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9.xml" ContentType="application/vnd.openxmlformats-officedocument.drawingml.chart+xml"/>
  <Override PartName="/xl/tables/table1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codeName="ThisWorkbook" defaultThemeVersion="124226"/>
  <mc:AlternateContent xmlns:mc="http://schemas.openxmlformats.org/markup-compatibility/2006">
    <mc:Choice Requires="x15">
      <x15ac:absPath xmlns:x15ac="http://schemas.microsoft.com/office/spreadsheetml/2010/11/ac" url="C:\Users\Mauricio\Dropbox\Projeto Mestrado\NodeXL\6- Co-Hashtags\"/>
    </mc:Choice>
  </mc:AlternateContent>
  <xr:revisionPtr revIDLastSave="0" documentId="8_{D95B77A6-5454-4F33-842C-AB4446199A4D}" xr6:coauthVersionLast="47" xr6:coauthVersionMax="47" xr10:uidLastSave="{00000000-0000-0000-0000-000000000000}"/>
  <bookViews>
    <workbookView xWindow="-120" yWindow="-120" windowWidth="24240" windowHeight="13020" activeTab="5" xr2:uid="{00000000-000D-0000-FFFF-FFFF00000000}"/>
  </bookViews>
  <sheets>
    <sheet name="Edges" sheetId="1" r:id="rId1"/>
    <sheet name="Vertices" sheetId="3" r:id="rId2"/>
    <sheet name="Do Not Delete" sheetId="4" state="hidden" r:id="rId3"/>
    <sheet name="Groups" sheetId="5" r:id="rId4"/>
    <sheet name="Group Vertices" sheetId="6" r:id="rId5"/>
    <sheet name="Overall Metrics" sheetId="7" r:id="rId6"/>
    <sheet name="Misc" sheetId="2" state="hidden" r:id="rId7"/>
    <sheet name="Export Options" sheetId="8" r:id="rId8"/>
  </sheets>
  <definedNames>
    <definedName name="BinDivisor">'Overall Metrics'!$X$2</definedName>
    <definedName name="DynamicFilterColumnName">'Overall Metrics'!#REF!</definedName>
    <definedName name="DynamicFilterForceCalculationRange">HistogramBins[[Dynamic Filter Bin]:[Dynamic Filter Frequency]]</definedName>
    <definedName name="DynamicFilterSourceColumnRange">'Overall Metrics'!$X$4</definedName>
    <definedName name="DynamicFilterTableName">'Overall Metrics'!#REF!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NoMetricMessage">'Overall Metrics'!$X$3</definedName>
    <definedName name="NotAvailable">'Overall Metrics'!$X$2</definedName>
    <definedName name="ValidBooleansDefaultFalse">Misc!$G$2:$G$5</definedName>
    <definedName name="ValidEdgeStyles">Misc!$B$2:$B$11</definedName>
    <definedName name="ValidEdgeVisibilities">Misc!$A$2:$A$7</definedName>
    <definedName name="ValidGroupShapes">Misc!$E$2:$E$19</definedName>
    <definedName name="ValidGroupVisibilities">Misc!$F$2:$F$7</definedName>
    <definedName name="ValidVertexLabelPositions">Misc!$H$2:$H$21</definedName>
    <definedName name="ValidVertexShapes">Misc!$D$2:$D$23</definedName>
    <definedName name="ValidVertexVisibilities">Misc!$C$2:$C$9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O3" i="3" l="1"/>
  <c r="BO4" i="3"/>
  <c r="BO5" i="3"/>
  <c r="BO6" i="3"/>
  <c r="BO7" i="3"/>
  <c r="BO8" i="3"/>
  <c r="BO9" i="3"/>
  <c r="BO10" i="3"/>
  <c r="BO11" i="3"/>
  <c r="BO12" i="3"/>
  <c r="BO13" i="3"/>
  <c r="BO14" i="3"/>
  <c r="BO15" i="3"/>
  <c r="BO16" i="3"/>
  <c r="BO17" i="3"/>
  <c r="BO18" i="3"/>
  <c r="BO19" i="3"/>
  <c r="BO20" i="3"/>
  <c r="BO21" i="3"/>
  <c r="BO22" i="3"/>
  <c r="BO23" i="3"/>
  <c r="BO24" i="3"/>
  <c r="BO25" i="3"/>
  <c r="BO26" i="3"/>
  <c r="BO27" i="3"/>
  <c r="BO28" i="3"/>
  <c r="BO29" i="3"/>
  <c r="BO30" i="3"/>
  <c r="BO31" i="3"/>
  <c r="BO32" i="3"/>
  <c r="BO33" i="3"/>
  <c r="BO34" i="3"/>
  <c r="BO35"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2"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39"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3"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BH3" i="3"/>
  <c r="BH4" i="3"/>
  <c r="BH5" i="3"/>
  <c r="BH6" i="3"/>
  <c r="BH7" i="3"/>
  <c r="BH8" i="3"/>
  <c r="BH9" i="3"/>
  <c r="BH10" i="3"/>
  <c r="BH11" i="3"/>
  <c r="BH12" i="3"/>
  <c r="BH13" i="3"/>
  <c r="BH15" i="3"/>
  <c r="BH16" i="3"/>
  <c r="BH17" i="3"/>
  <c r="BH18" i="3"/>
  <c r="BH19" i="3"/>
  <c r="BH20" i="3"/>
  <c r="BH21" i="3"/>
  <c r="BH22" i="3"/>
  <c r="BH23" i="3"/>
  <c r="BH24" i="3"/>
  <c r="BH26" i="3"/>
  <c r="BH27" i="3"/>
  <c r="BH28" i="3"/>
  <c r="BH29" i="3"/>
  <c r="BH31" i="3"/>
  <c r="BH32" i="3"/>
  <c r="BH33" i="3"/>
  <c r="BH34" i="3"/>
  <c r="BH35" i="3"/>
  <c r="BH38" i="3"/>
  <c r="BH39" i="3"/>
  <c r="BH40" i="3"/>
  <c r="BH41" i="3"/>
  <c r="BH42" i="3"/>
  <c r="BH44" i="3"/>
  <c r="BH45" i="3"/>
  <c r="BH46" i="3"/>
  <c r="BH47" i="3"/>
  <c r="BH48" i="3"/>
  <c r="BH50" i="3"/>
  <c r="BH51" i="3"/>
  <c r="BH52" i="3"/>
  <c r="BH53" i="3"/>
  <c r="BH54" i="3"/>
  <c r="BH55" i="3"/>
  <c r="BH57" i="3"/>
  <c r="BH58" i="3"/>
  <c r="BH59" i="3"/>
  <c r="BH60" i="3"/>
  <c r="BH62" i="3"/>
  <c r="BH63" i="3"/>
  <c r="BH64" i="3"/>
  <c r="BH65" i="3"/>
  <c r="BH66" i="3"/>
  <c r="BH67" i="3"/>
  <c r="BH68" i="3"/>
  <c r="BH69" i="3"/>
  <c r="BH70" i="3"/>
  <c r="BH71" i="3"/>
  <c r="BH72" i="3"/>
  <c r="BH73" i="3"/>
  <c r="BH74" i="3"/>
  <c r="BH76" i="3"/>
  <c r="BH77" i="3"/>
  <c r="BH78" i="3"/>
  <c r="BH79" i="3"/>
  <c r="BH80" i="3"/>
  <c r="BH81" i="3"/>
  <c r="BH82" i="3"/>
  <c r="BH83" i="3"/>
  <c r="BH85" i="3"/>
  <c r="BH87" i="3"/>
  <c r="BH88" i="3"/>
  <c r="BH89" i="3"/>
  <c r="BH90" i="3"/>
  <c r="BH91" i="3"/>
  <c r="BH92" i="3"/>
  <c r="BH93" i="3"/>
  <c r="BH94" i="3"/>
  <c r="BH95" i="3"/>
  <c r="BH96" i="3"/>
  <c r="BH97" i="3"/>
  <c r="BH98" i="3"/>
  <c r="BH99" i="3"/>
  <c r="BH100" i="3"/>
  <c r="BH101" i="3"/>
  <c r="BH103" i="3"/>
  <c r="BH104" i="3"/>
  <c r="BH105" i="3"/>
  <c r="BH106" i="3"/>
  <c r="BH107" i="3"/>
  <c r="BH108" i="3"/>
  <c r="BH109" i="3"/>
  <c r="BH110" i="3"/>
  <c r="BH112" i="3"/>
  <c r="BH113" i="3"/>
  <c r="BH114" i="3"/>
  <c r="BH116" i="3"/>
  <c r="BH118" i="3"/>
  <c r="BH120" i="3"/>
  <c r="BH121" i="3"/>
  <c r="BH122" i="3"/>
  <c r="BH123" i="3"/>
  <c r="BH124" i="3"/>
  <c r="BH125" i="3"/>
  <c r="BH126" i="3"/>
  <c r="BH127" i="3"/>
  <c r="BH128" i="3"/>
  <c r="BH129" i="3"/>
  <c r="BH130" i="3"/>
  <c r="BH131" i="3"/>
  <c r="BH132" i="3"/>
  <c r="BH133" i="3"/>
  <c r="BH136" i="3"/>
  <c r="BH138" i="3"/>
  <c r="BH139" i="3"/>
  <c r="BH141" i="3"/>
  <c r="BH144" i="3"/>
  <c r="BH145" i="3"/>
  <c r="BH146" i="3"/>
  <c r="BH147" i="3"/>
  <c r="BH149" i="3"/>
  <c r="BH150" i="3"/>
  <c r="BH151" i="3"/>
  <c r="BH152" i="3"/>
  <c r="BH154" i="3"/>
  <c r="BH155" i="3"/>
  <c r="BH156" i="3"/>
  <c r="BH157" i="3"/>
  <c r="BH158" i="3"/>
  <c r="BH159" i="3"/>
  <c r="BH160" i="3"/>
  <c r="BH161" i="3"/>
  <c r="BH162" i="3"/>
  <c r="BH164" i="3"/>
  <c r="BH165" i="3"/>
  <c r="BH166" i="3"/>
  <c r="BH167" i="3"/>
  <c r="BH168" i="3"/>
  <c r="BH169" i="3"/>
  <c r="BH170" i="3"/>
  <c r="BH171" i="3"/>
  <c r="BH172" i="3"/>
  <c r="BH173" i="3"/>
  <c r="BH174" i="3"/>
  <c r="BH175" i="3"/>
  <c r="BH176" i="3"/>
  <c r="BH177" i="3"/>
  <c r="BH178" i="3"/>
  <c r="BH179" i="3"/>
  <c r="BH180" i="3"/>
  <c r="BH181" i="3"/>
  <c r="BH182" i="3"/>
  <c r="BH183" i="3"/>
  <c r="BH184" i="3"/>
  <c r="BH186" i="3"/>
  <c r="BH187" i="3"/>
  <c r="BH188" i="3"/>
  <c r="BH189" i="3"/>
  <c r="BH190" i="3"/>
  <c r="BH192" i="3"/>
  <c r="BH193" i="3"/>
  <c r="BH194" i="3"/>
  <c r="BH195" i="3"/>
  <c r="BH196" i="3"/>
  <c r="BH197" i="3"/>
  <c r="BH198" i="3"/>
  <c r="BH199" i="3"/>
  <c r="BH200" i="3"/>
  <c r="BH201" i="3"/>
  <c r="BH202" i="3"/>
  <c r="BH203" i="3"/>
  <c r="BH204" i="3"/>
  <c r="BH205" i="3"/>
  <c r="BH207" i="3"/>
  <c r="BH208" i="3"/>
  <c r="BH209" i="3"/>
  <c r="BH210" i="3"/>
  <c r="BH212" i="3"/>
  <c r="BH213" i="3"/>
  <c r="BH214" i="3"/>
  <c r="BH215" i="3"/>
  <c r="BH216" i="3"/>
  <c r="BH219" i="3"/>
  <c r="BH220" i="3"/>
  <c r="BH222" i="3"/>
  <c r="BH224" i="3"/>
  <c r="BH225" i="3"/>
  <c r="BH226" i="3"/>
  <c r="BH227" i="3"/>
  <c r="BH228" i="3"/>
  <c r="BH229" i="3"/>
  <c r="BH230" i="3"/>
  <c r="BH231" i="3"/>
  <c r="BH232" i="3"/>
  <c r="BH233" i="3"/>
  <c r="BH235" i="3"/>
  <c r="BH236" i="3"/>
  <c r="BH237" i="3"/>
  <c r="BH238" i="3"/>
  <c r="BH239" i="3"/>
  <c r="BH240" i="3"/>
  <c r="BH241" i="3"/>
  <c r="BH242" i="3"/>
  <c r="BH243" i="3"/>
  <c r="BH244" i="3"/>
  <c r="BH245" i="3"/>
  <c r="BH246" i="3"/>
  <c r="BH247" i="3"/>
  <c r="BH248" i="3"/>
  <c r="BH249" i="3"/>
  <c r="BH250" i="3"/>
  <c r="BH251" i="3"/>
  <c r="BH252" i="3"/>
  <c r="BH253" i="3"/>
  <c r="BH254" i="3"/>
  <c r="BH256" i="3"/>
  <c r="BH257" i="3"/>
  <c r="BH260" i="3"/>
  <c r="BH261" i="3"/>
  <c r="BH262" i="3"/>
  <c r="BH263" i="3"/>
  <c r="BH264" i="3"/>
  <c r="BH265" i="3"/>
  <c r="BH268" i="3"/>
  <c r="BH269" i="3"/>
  <c r="BH270" i="3"/>
  <c r="BH272" i="3"/>
  <c r="BH273" i="3"/>
  <c r="BH275" i="3"/>
  <c r="BH276" i="3"/>
  <c r="BH277" i="3"/>
  <c r="BH278" i="3"/>
  <c r="BH279" i="3"/>
  <c r="BH280" i="3"/>
  <c r="BH281" i="3"/>
  <c r="BH282" i="3"/>
  <c r="BH283" i="3"/>
  <c r="BH284" i="3"/>
  <c r="BH285" i="3"/>
  <c r="BH286" i="3"/>
  <c r="BH287" i="3"/>
  <c r="BH289" i="3"/>
  <c r="BH290" i="3"/>
  <c r="BH292" i="3"/>
  <c r="BH293" i="3"/>
  <c r="BH294" i="3"/>
  <c r="BH295" i="3"/>
  <c r="BH296" i="3"/>
  <c r="BH297" i="3"/>
  <c r="BH298" i="3"/>
  <c r="BH299" i="3"/>
  <c r="BH300" i="3"/>
  <c r="BH301" i="3"/>
  <c r="BH302" i="3"/>
  <c r="BH303" i="3"/>
  <c r="BH304" i="3"/>
  <c r="BH306" i="3"/>
  <c r="BH307" i="3"/>
  <c r="BH308" i="3"/>
  <c r="BH309" i="3"/>
  <c r="BH310" i="3"/>
  <c r="BH312" i="3"/>
  <c r="BH313" i="3"/>
  <c r="BH314" i="3"/>
  <c r="BH315" i="3"/>
  <c r="BH316" i="3"/>
  <c r="BH318" i="3"/>
  <c r="BH319" i="3"/>
  <c r="BH320" i="3"/>
  <c r="BH321" i="3"/>
  <c r="BH322" i="3"/>
  <c r="BH323" i="3"/>
  <c r="BH326" i="3"/>
  <c r="BH327" i="3"/>
  <c r="BH329" i="3"/>
  <c r="BH330" i="3"/>
  <c r="BH331" i="3"/>
  <c r="BH333" i="3"/>
  <c r="BH334" i="3"/>
  <c r="BH335" i="3"/>
  <c r="BH336" i="3"/>
  <c r="BH337" i="3"/>
  <c r="BH338" i="3"/>
  <c r="BH340" i="3"/>
  <c r="BH341" i="3"/>
  <c r="BH342" i="3"/>
  <c r="BH344" i="3"/>
  <c r="BH345" i="3"/>
  <c r="BH346" i="3"/>
  <c r="BH347" i="3"/>
  <c r="BH348" i="3"/>
  <c r="BH349" i="3"/>
  <c r="BH350" i="3"/>
  <c r="BH351" i="3"/>
  <c r="BH352" i="3"/>
  <c r="BH354" i="3"/>
  <c r="BH355" i="3"/>
  <c r="BH356" i="3"/>
  <c r="BH358" i="3"/>
  <c r="BH359" i="3"/>
  <c r="BH360" i="3"/>
  <c r="BH361" i="3"/>
  <c r="BH362" i="3"/>
  <c r="BH363" i="3"/>
  <c r="BH365" i="3"/>
  <c r="BH366" i="3"/>
  <c r="BH367" i="3"/>
  <c r="BH368" i="3"/>
  <c r="BH369" i="3"/>
  <c r="BH370" i="3"/>
  <c r="BH371" i="3"/>
  <c r="BH374" i="3"/>
  <c r="BH375" i="3"/>
  <c r="BH376" i="3"/>
  <c r="BH377" i="3"/>
  <c r="BH378" i="3"/>
  <c r="BH379" i="3"/>
  <c r="BH380" i="3"/>
  <c r="BH382" i="3"/>
  <c r="BH383" i="3"/>
  <c r="BH384" i="3"/>
  <c r="BH385" i="3"/>
  <c r="BH386" i="3"/>
  <c r="BH388" i="3"/>
  <c r="BH389" i="3"/>
  <c r="BH390" i="3"/>
  <c r="BH391" i="3"/>
  <c r="BH392" i="3"/>
  <c r="BH393" i="3"/>
  <c r="BH394" i="3"/>
  <c r="BH395" i="3"/>
  <c r="BH396" i="3"/>
  <c r="BH397" i="3"/>
  <c r="BH398" i="3"/>
  <c r="BH400" i="3"/>
  <c r="BH401" i="3"/>
  <c r="BH402" i="3"/>
  <c r="BH403" i="3"/>
  <c r="BH404" i="3"/>
  <c r="BH405" i="3"/>
  <c r="BH406" i="3"/>
  <c r="BH407" i="3"/>
  <c r="BH408" i="3"/>
  <c r="BH409" i="3"/>
  <c r="BH411" i="3"/>
  <c r="BH412" i="3"/>
  <c r="BH413" i="3"/>
  <c r="BH414" i="3"/>
  <c r="BH415" i="3"/>
  <c r="BH416" i="3"/>
  <c r="BH417" i="3"/>
  <c r="BH418" i="3"/>
  <c r="BH419" i="3"/>
  <c r="BH420" i="3"/>
  <c r="BH421" i="3"/>
  <c r="BH422" i="3"/>
  <c r="BH423" i="3"/>
  <c r="BH424" i="3"/>
  <c r="BH425" i="3"/>
  <c r="BH426" i="3"/>
  <c r="BH427" i="3"/>
  <c r="BH428" i="3"/>
  <c r="BH429" i="3"/>
  <c r="BH430" i="3"/>
  <c r="BH431" i="3"/>
  <c r="BH432" i="3"/>
  <c r="BH433" i="3"/>
  <c r="BH434" i="3"/>
  <c r="BH435" i="3"/>
  <c r="BH436" i="3"/>
  <c r="BH437" i="3"/>
  <c r="BH439" i="3"/>
  <c r="BH442" i="3"/>
  <c r="BH443" i="3"/>
  <c r="BH444" i="3"/>
  <c r="BH446" i="3"/>
  <c r="BH447" i="3"/>
  <c r="BH448" i="3"/>
  <c r="BH449" i="3"/>
  <c r="BH451" i="3"/>
  <c r="BH452" i="3"/>
  <c r="BH453" i="3"/>
  <c r="BH454" i="3"/>
  <c r="BH456" i="3"/>
  <c r="BH457" i="3"/>
  <c r="BH458" i="3"/>
  <c r="BH459" i="3"/>
  <c r="BH460" i="3"/>
  <c r="BH461" i="3"/>
  <c r="BH462" i="3"/>
  <c r="BH464" i="3"/>
  <c r="BH465" i="3"/>
  <c r="BH466" i="3"/>
  <c r="BH467" i="3"/>
  <c r="BH468" i="3"/>
  <c r="BH469" i="3"/>
  <c r="BH470" i="3"/>
  <c r="BH471" i="3"/>
  <c r="BH472" i="3"/>
  <c r="BH473" i="3"/>
  <c r="BH474" i="3"/>
  <c r="BH475" i="3"/>
  <c r="BH476" i="3"/>
  <c r="BH477" i="3"/>
  <c r="BH478" i="3"/>
  <c r="BH479" i="3"/>
  <c r="BH481" i="3"/>
  <c r="BH482" i="3"/>
  <c r="BH483" i="3"/>
  <c r="BH485" i="3"/>
  <c r="BH486" i="3"/>
  <c r="BH487" i="3"/>
  <c r="BH488" i="3"/>
  <c r="BH490" i="3"/>
  <c r="BH491" i="3"/>
  <c r="BH492" i="3"/>
  <c r="BH493" i="3"/>
  <c r="BH494" i="3"/>
  <c r="BH495" i="3"/>
  <c r="BH496" i="3"/>
  <c r="BH497" i="3"/>
  <c r="BH498" i="3"/>
  <c r="BH499" i="3"/>
  <c r="BH500" i="3"/>
  <c r="BH501" i="3"/>
  <c r="BH502" i="3"/>
  <c r="BH503" i="3"/>
  <c r="BH504" i="3"/>
  <c r="BH505" i="3"/>
  <c r="BH506" i="3"/>
  <c r="BH507" i="3"/>
  <c r="BH508" i="3"/>
  <c r="BH510" i="3"/>
  <c r="BH511" i="3"/>
  <c r="BH512" i="3"/>
  <c r="BH513" i="3"/>
  <c r="BH514" i="3"/>
  <c r="BH515" i="3"/>
  <c r="BH516" i="3"/>
  <c r="BH517" i="3"/>
  <c r="BH518" i="3"/>
  <c r="BH519" i="3"/>
  <c r="BH520" i="3"/>
  <c r="BH522" i="3"/>
  <c r="BH523" i="3"/>
  <c r="BH524" i="3"/>
  <c r="BH525" i="3"/>
  <c r="BH526" i="3"/>
  <c r="BH528" i="3"/>
  <c r="BH530" i="3"/>
  <c r="BH531" i="3"/>
  <c r="BH532" i="3"/>
  <c r="BH533" i="3"/>
  <c r="BH535" i="3"/>
  <c r="BH536" i="3"/>
  <c r="BH537" i="3"/>
  <c r="BH538" i="3"/>
  <c r="BH539" i="3"/>
  <c r="BH540" i="3"/>
  <c r="BH541" i="3"/>
  <c r="BH542" i="3"/>
  <c r="BH543" i="3"/>
  <c r="BH544" i="3"/>
  <c r="BH545" i="3"/>
  <c r="BH546" i="3"/>
  <c r="BH547" i="3"/>
  <c r="BH548" i="3"/>
  <c r="BH549" i="3"/>
  <c r="BH550" i="3"/>
  <c r="BH552" i="3"/>
  <c r="BH553" i="3"/>
  <c r="BH554" i="3"/>
  <c r="BH555" i="3"/>
  <c r="BH556" i="3"/>
  <c r="BH557" i="3"/>
  <c r="BH558" i="3"/>
  <c r="BH559" i="3"/>
  <c r="BH560" i="3"/>
  <c r="BH561" i="3"/>
  <c r="BH563" i="3"/>
  <c r="BH564" i="3"/>
  <c r="BH566" i="3"/>
  <c r="BH568" i="3"/>
  <c r="BH569" i="3"/>
  <c r="BH570" i="3"/>
  <c r="BH571" i="3"/>
  <c r="BH573" i="3"/>
  <c r="BH574" i="3"/>
  <c r="BH575" i="3"/>
  <c r="BH576" i="3"/>
  <c r="BH577" i="3"/>
  <c r="BH578" i="3"/>
  <c r="BH579" i="3"/>
  <c r="BH580" i="3"/>
  <c r="BH581" i="3"/>
  <c r="BH582" i="3"/>
  <c r="BH583" i="3"/>
  <c r="BH584" i="3"/>
  <c r="BH585" i="3"/>
  <c r="BH587" i="3"/>
  <c r="BH588" i="3"/>
  <c r="BH590" i="3"/>
  <c r="BH591" i="3"/>
  <c r="BH592" i="3"/>
  <c r="BH593" i="3"/>
  <c r="BH594" i="3"/>
  <c r="BH595" i="3"/>
  <c r="BH596" i="3"/>
  <c r="BH597" i="3"/>
  <c r="BH598" i="3"/>
  <c r="BH599" i="3"/>
  <c r="BH600" i="3"/>
  <c r="BH601" i="3"/>
  <c r="BH602" i="3"/>
  <c r="BH603" i="3"/>
  <c r="BH604" i="3"/>
  <c r="BH605" i="3"/>
  <c r="BH606" i="3"/>
  <c r="BH607" i="3"/>
  <c r="BH608" i="3"/>
  <c r="BH609" i="3"/>
  <c r="BH610" i="3"/>
  <c r="BH611" i="3"/>
  <c r="BH612" i="3"/>
  <c r="BH613" i="3"/>
  <c r="BH614" i="3"/>
  <c r="BH615" i="3"/>
  <c r="BH616" i="3"/>
  <c r="BH617" i="3"/>
  <c r="BH618" i="3"/>
  <c r="BH619" i="3"/>
  <c r="BH620" i="3"/>
  <c r="BH622" i="3"/>
  <c r="BH624" i="3"/>
  <c r="BH625" i="3"/>
  <c r="BH626" i="3"/>
  <c r="BH627" i="3"/>
  <c r="BH628" i="3"/>
  <c r="BH630" i="3"/>
  <c r="BH632" i="3"/>
  <c r="BH633" i="3"/>
  <c r="BH634" i="3"/>
  <c r="BH635" i="3"/>
  <c r="BH636" i="3"/>
  <c r="BH637" i="3"/>
  <c r="BH638" i="3"/>
  <c r="BH639" i="3"/>
  <c r="BH640" i="3"/>
  <c r="BH641" i="3"/>
  <c r="BH642" i="3"/>
  <c r="BH643" i="3"/>
  <c r="BH644" i="3"/>
  <c r="BH645" i="3"/>
  <c r="BH646" i="3"/>
  <c r="BH647" i="3"/>
  <c r="BH648" i="3"/>
  <c r="BH649" i="3"/>
  <c r="BH650" i="3"/>
  <c r="BH651" i="3"/>
  <c r="BH652" i="3"/>
  <c r="BH653" i="3"/>
  <c r="BH654" i="3"/>
  <c r="BH656" i="3"/>
  <c r="BH657" i="3"/>
  <c r="BH658" i="3"/>
  <c r="BH659" i="3"/>
  <c r="BH660" i="3"/>
  <c r="BH661" i="3"/>
  <c r="BH662" i="3"/>
  <c r="BH663" i="3"/>
  <c r="BH664" i="3"/>
  <c r="BH665" i="3"/>
  <c r="BH666" i="3"/>
  <c r="BH668" i="3"/>
  <c r="BH669" i="3"/>
  <c r="BH670" i="3"/>
  <c r="BH671" i="3"/>
  <c r="BH672" i="3"/>
  <c r="BH673" i="3"/>
  <c r="BH675" i="3"/>
  <c r="BH676" i="3"/>
  <c r="BH677" i="3"/>
  <c r="BH678" i="3"/>
  <c r="BH679" i="3"/>
  <c r="BH680" i="3"/>
  <c r="BH681" i="3"/>
  <c r="BH683" i="3"/>
  <c r="BH684" i="3"/>
  <c r="BH685" i="3"/>
  <c r="BH686" i="3"/>
  <c r="BH687" i="3"/>
  <c r="BH688" i="3"/>
  <c r="BH689" i="3"/>
  <c r="BH690" i="3"/>
  <c r="BH691" i="3"/>
  <c r="BH692" i="3"/>
  <c r="BH693" i="3"/>
  <c r="BH695" i="3"/>
  <c r="BH696" i="3"/>
  <c r="BH697" i="3"/>
  <c r="BH699" i="3"/>
  <c r="BH700" i="3"/>
  <c r="BH701" i="3"/>
  <c r="BH702" i="3"/>
  <c r="BH703" i="3"/>
  <c r="BH704" i="3"/>
  <c r="BH705" i="3"/>
  <c r="BH706" i="3"/>
  <c r="BH707" i="3"/>
  <c r="BH708" i="3"/>
  <c r="BH709" i="3"/>
  <c r="BH712" i="3"/>
  <c r="BH713" i="3"/>
  <c r="BH715" i="3"/>
  <c r="BH716" i="3"/>
  <c r="BH718" i="3"/>
  <c r="BH720" i="3"/>
  <c r="BH722" i="3"/>
  <c r="BH723" i="3"/>
  <c r="BH724" i="3"/>
  <c r="BH725" i="3"/>
  <c r="BH726" i="3"/>
  <c r="BH727" i="3"/>
  <c r="BH728" i="3"/>
  <c r="BH729" i="3"/>
  <c r="BH730" i="3"/>
  <c r="BH731" i="3"/>
  <c r="BH732" i="3"/>
  <c r="BH733" i="3"/>
  <c r="BH734" i="3"/>
  <c r="BH735" i="3"/>
  <c r="BH736" i="3"/>
  <c r="BH737" i="3"/>
  <c r="BH738" i="3"/>
  <c r="BH739" i="3"/>
  <c r="BH740" i="3"/>
  <c r="BH741" i="3"/>
  <c r="BH743" i="3"/>
  <c r="BH744" i="3"/>
  <c r="BH745" i="3"/>
  <c r="BH746" i="3"/>
  <c r="BH747" i="3"/>
  <c r="BH748" i="3"/>
  <c r="BH749" i="3"/>
  <c r="AW3" i="3"/>
  <c r="AW4" i="3"/>
  <c r="AW5" i="3"/>
  <c r="AW6" i="3"/>
  <c r="AW7" i="3"/>
  <c r="AW8" i="3"/>
  <c r="AW9" i="3"/>
  <c r="AW10" i="3"/>
  <c r="AW11" i="3"/>
  <c r="AW12" i="3"/>
  <c r="AW16" i="3"/>
  <c r="AW17" i="3"/>
  <c r="AW18" i="3"/>
  <c r="AW20" i="3"/>
  <c r="AW22" i="3"/>
  <c r="AW23" i="3"/>
  <c r="AW26" i="3"/>
  <c r="AW27" i="3"/>
  <c r="AW28" i="3"/>
  <c r="AW31" i="3"/>
  <c r="AW32" i="3"/>
  <c r="AW33" i="3"/>
  <c r="AW35" i="3"/>
  <c r="AW38" i="3"/>
  <c r="AW39" i="3"/>
  <c r="AW40" i="3"/>
  <c r="AW41" i="3"/>
  <c r="AW42" i="3"/>
  <c r="AW43" i="3"/>
  <c r="AW45" i="3"/>
  <c r="AW46" i="3"/>
  <c r="AW48" i="3"/>
  <c r="AW50" i="3"/>
  <c r="AW51" i="3"/>
  <c r="AW52" i="3"/>
  <c r="AW54" i="3"/>
  <c r="AW55" i="3"/>
  <c r="AW58" i="3"/>
  <c r="AW59" i="3"/>
  <c r="AW60" i="3"/>
  <c r="AW62" i="3"/>
  <c r="AW63" i="3"/>
  <c r="AW64" i="3"/>
  <c r="AW65" i="3"/>
  <c r="AW66" i="3"/>
  <c r="AW67" i="3"/>
  <c r="AW68" i="3"/>
  <c r="AW69" i="3"/>
  <c r="AW70" i="3"/>
  <c r="AW71" i="3"/>
  <c r="AW72" i="3"/>
  <c r="AW73" i="3"/>
  <c r="AW74" i="3"/>
  <c r="AW76" i="3"/>
  <c r="AW77" i="3"/>
  <c r="AW79" i="3"/>
  <c r="AW80" i="3"/>
  <c r="AW81" i="3"/>
  <c r="AW82" i="3"/>
  <c r="AW83" i="3"/>
  <c r="AW85" i="3"/>
  <c r="AW87" i="3"/>
  <c r="AW88" i="3"/>
  <c r="AW89" i="3"/>
  <c r="AW90" i="3"/>
  <c r="AW93" i="3"/>
  <c r="AW94" i="3"/>
  <c r="AW95" i="3"/>
  <c r="AW96" i="3"/>
  <c r="AW97" i="3"/>
  <c r="AW98" i="3"/>
  <c r="AW101" i="3"/>
  <c r="AW105" i="3"/>
  <c r="AW106" i="3"/>
  <c r="AW107" i="3"/>
  <c r="AW108" i="3"/>
  <c r="AW109" i="3"/>
  <c r="AW110" i="3"/>
  <c r="AW112" i="3"/>
  <c r="AW113" i="3"/>
  <c r="AW116" i="3"/>
  <c r="AW118" i="3"/>
  <c r="AW120" i="3"/>
  <c r="AW122" i="3"/>
  <c r="AW123" i="3"/>
  <c r="AW125" i="3"/>
  <c r="AW126" i="3"/>
  <c r="AW127" i="3"/>
  <c r="AW128" i="3"/>
  <c r="AW129" i="3"/>
  <c r="AW130" i="3"/>
  <c r="AW131" i="3"/>
  <c r="AW132" i="3"/>
  <c r="AW133" i="3"/>
  <c r="AW134" i="3"/>
  <c r="AW136" i="3"/>
  <c r="AW138" i="3"/>
  <c r="AW139" i="3"/>
  <c r="AW141" i="3"/>
  <c r="AW144" i="3"/>
  <c r="AW145" i="3"/>
  <c r="AW147" i="3"/>
  <c r="AW148" i="3"/>
  <c r="AW150" i="3"/>
  <c r="AW151" i="3"/>
  <c r="AW152" i="3"/>
  <c r="AW154" i="3"/>
  <c r="AW155" i="3"/>
  <c r="AW156" i="3"/>
  <c r="AW157" i="3"/>
  <c r="AW159" i="3"/>
  <c r="AW161" i="3"/>
  <c r="AW162" i="3"/>
  <c r="AW164" i="3"/>
  <c r="AW166" i="3"/>
  <c r="AW168" i="3"/>
  <c r="AW169" i="3"/>
  <c r="AW171" i="3"/>
  <c r="AW172" i="3"/>
  <c r="AW173" i="3"/>
  <c r="AW174" i="3"/>
  <c r="AW176" i="3"/>
  <c r="AW177" i="3"/>
  <c r="AW178" i="3"/>
  <c r="AW179" i="3"/>
  <c r="AW180" i="3"/>
  <c r="AW182" i="3"/>
  <c r="AW183" i="3"/>
  <c r="AW184" i="3"/>
  <c r="AW186" i="3"/>
  <c r="AW187" i="3"/>
  <c r="AW188" i="3"/>
  <c r="AW189" i="3"/>
  <c r="AW190" i="3"/>
  <c r="AW192" i="3"/>
  <c r="AW193" i="3"/>
  <c r="AW195" i="3"/>
  <c r="AW196" i="3"/>
  <c r="AW199" i="3"/>
  <c r="AW200" i="3"/>
  <c r="AW201" i="3"/>
  <c r="AW203" i="3"/>
  <c r="AW204" i="3"/>
  <c r="AW205" i="3"/>
  <c r="AW207" i="3"/>
  <c r="AW208" i="3"/>
  <c r="AW209" i="3"/>
  <c r="AW212" i="3"/>
  <c r="AW215" i="3"/>
  <c r="AW221" i="3"/>
  <c r="AW222" i="3"/>
  <c r="AW223" i="3"/>
  <c r="AW225" i="3"/>
  <c r="AW226" i="3"/>
  <c r="AW227" i="3"/>
  <c r="AW228" i="3"/>
  <c r="AW229" i="3"/>
  <c r="AW232" i="3"/>
  <c r="AW233" i="3"/>
  <c r="AW234" i="3"/>
  <c r="AW236" i="3"/>
  <c r="AW238" i="3"/>
  <c r="AW240" i="3"/>
  <c r="AW241" i="3"/>
  <c r="AW243" i="3"/>
  <c r="AW244" i="3"/>
  <c r="AW245" i="3"/>
  <c r="AW246" i="3"/>
  <c r="AW247" i="3"/>
  <c r="AW248" i="3"/>
  <c r="AW250" i="3"/>
  <c r="AW251" i="3"/>
  <c r="AW252" i="3"/>
  <c r="AW253" i="3"/>
  <c r="AW254" i="3"/>
  <c r="AW256" i="3"/>
  <c r="AW257" i="3"/>
  <c r="AW258" i="3"/>
  <c r="AW260" i="3"/>
  <c r="AW261" i="3"/>
  <c r="AW262" i="3"/>
  <c r="AW263" i="3"/>
  <c r="AW264" i="3"/>
  <c r="AW265" i="3"/>
  <c r="AW270" i="3"/>
  <c r="AW272" i="3"/>
  <c r="AW273" i="3"/>
  <c r="AW275" i="3"/>
  <c r="AW276" i="3"/>
  <c r="AW277" i="3"/>
  <c r="AW278" i="3"/>
  <c r="AW279" i="3"/>
  <c r="AW280" i="3"/>
  <c r="AW281" i="3"/>
  <c r="AW283" i="3"/>
  <c r="AW284" i="3"/>
  <c r="AW285" i="3"/>
  <c r="AW286" i="3"/>
  <c r="AW287" i="3"/>
  <c r="AW289" i="3"/>
  <c r="AW292" i="3"/>
  <c r="AW293" i="3"/>
  <c r="AW294" i="3"/>
  <c r="AW295" i="3"/>
  <c r="AW296" i="3"/>
  <c r="AW297" i="3"/>
  <c r="AW298" i="3"/>
  <c r="AW299" i="3"/>
  <c r="AW301" i="3"/>
  <c r="AW302" i="3"/>
  <c r="AW303" i="3"/>
  <c r="AW304" i="3"/>
  <c r="AW305" i="3"/>
  <c r="AW307" i="3"/>
  <c r="AW308" i="3"/>
  <c r="AW310" i="3"/>
  <c r="AW311" i="3"/>
  <c r="AW312" i="3"/>
  <c r="AW313" i="3"/>
  <c r="AW314" i="3"/>
  <c r="AW315" i="3"/>
  <c r="AW317" i="3"/>
  <c r="AW318" i="3"/>
  <c r="AW319" i="3"/>
  <c r="AW322" i="3"/>
  <c r="AW327" i="3"/>
  <c r="AW329" i="3"/>
  <c r="AW330" i="3"/>
  <c r="AW335" i="3"/>
  <c r="AW336" i="3"/>
  <c r="AW338" i="3"/>
  <c r="AW341" i="3"/>
  <c r="AW342" i="3"/>
  <c r="AW343" i="3"/>
  <c r="AW344" i="3"/>
  <c r="AW345" i="3"/>
  <c r="AW346" i="3"/>
  <c r="AW347" i="3"/>
  <c r="AW348" i="3"/>
  <c r="AW349" i="3"/>
  <c r="AW351" i="3"/>
  <c r="AW352" i="3"/>
  <c r="AW353" i="3"/>
  <c r="AW358" i="3"/>
  <c r="AW359" i="3"/>
  <c r="AW360" i="3"/>
  <c r="AW362" i="3"/>
  <c r="AW363" i="3"/>
  <c r="AW365" i="3"/>
  <c r="AW366" i="3"/>
  <c r="AW367" i="3"/>
  <c r="AW370" i="3"/>
  <c r="AW371" i="3"/>
  <c r="AW374" i="3"/>
  <c r="AW375" i="3"/>
  <c r="AW376" i="3"/>
  <c r="AW377" i="3"/>
  <c r="AW378" i="3"/>
  <c r="AW379" i="3"/>
  <c r="AW380" i="3"/>
  <c r="AW382" i="3"/>
  <c r="AW383" i="3"/>
  <c r="AW384" i="3"/>
  <c r="AW385" i="3"/>
  <c r="AW386" i="3"/>
  <c r="AW387" i="3"/>
  <c r="AW389" i="3"/>
  <c r="AW391" i="3"/>
  <c r="AW392" i="3"/>
  <c r="AW393" i="3"/>
  <c r="AW394" i="3"/>
  <c r="AW395" i="3"/>
  <c r="AW396" i="3"/>
  <c r="AW397" i="3"/>
  <c r="AW398" i="3"/>
  <c r="AW400" i="3"/>
  <c r="AW401" i="3"/>
  <c r="AW402" i="3"/>
  <c r="AW403" i="3"/>
  <c r="AW404" i="3"/>
  <c r="AW406" i="3"/>
  <c r="AW407" i="3"/>
  <c r="AW408" i="3"/>
  <c r="AW409" i="3"/>
  <c r="AW411" i="3"/>
  <c r="AW412" i="3"/>
  <c r="AW413" i="3"/>
  <c r="AW414" i="3"/>
  <c r="AW415" i="3"/>
  <c r="AW417" i="3"/>
  <c r="AW419" i="3"/>
  <c r="AW420" i="3"/>
  <c r="AW422" i="3"/>
  <c r="AW423" i="3"/>
  <c r="AW424" i="3"/>
  <c r="AW425" i="3"/>
  <c r="AW426" i="3"/>
  <c r="AW427" i="3"/>
  <c r="AW428" i="3"/>
  <c r="AW429" i="3"/>
  <c r="AW431" i="3"/>
  <c r="AW432" i="3"/>
  <c r="AW433" i="3"/>
  <c r="AW434" i="3"/>
  <c r="AW435" i="3"/>
  <c r="AW436" i="3"/>
  <c r="AW437" i="3"/>
  <c r="AW438" i="3"/>
  <c r="AW443" i="3"/>
  <c r="AW444" i="3"/>
  <c r="AW447" i="3"/>
  <c r="AW452" i="3"/>
  <c r="AW453" i="3"/>
  <c r="AW456" i="3"/>
  <c r="AW460" i="3"/>
  <c r="AW461" i="3"/>
  <c r="AW462" i="3"/>
  <c r="AW465" i="3"/>
  <c r="AW466" i="3"/>
  <c r="AW467" i="3"/>
  <c r="AW469" i="3"/>
  <c r="AW471" i="3"/>
  <c r="AW472" i="3"/>
  <c r="AW473" i="3"/>
  <c r="AW474" i="3"/>
  <c r="AW476" i="3"/>
  <c r="AW477" i="3"/>
  <c r="AW478" i="3"/>
  <c r="AW481" i="3"/>
  <c r="AW482" i="3"/>
  <c r="AW483" i="3"/>
  <c r="AW485" i="3"/>
  <c r="AW486" i="3"/>
  <c r="AW487" i="3"/>
  <c r="AW488" i="3"/>
  <c r="AW490" i="3"/>
  <c r="AW491" i="3"/>
  <c r="AW492" i="3"/>
  <c r="AW493" i="3"/>
  <c r="AW494" i="3"/>
  <c r="AW495" i="3"/>
  <c r="AW496" i="3"/>
  <c r="AW499" i="3"/>
  <c r="AW501" i="3"/>
  <c r="AW502" i="3"/>
  <c r="AW503" i="3"/>
  <c r="AW504" i="3"/>
  <c r="AW505" i="3"/>
  <c r="AW507" i="3"/>
  <c r="AW508" i="3"/>
  <c r="AW510" i="3"/>
  <c r="AW511" i="3"/>
  <c r="AW513" i="3"/>
  <c r="AW514" i="3"/>
  <c r="AW515" i="3"/>
  <c r="AW518" i="3"/>
  <c r="AW519" i="3"/>
  <c r="AW520" i="3"/>
  <c r="AW522" i="3"/>
  <c r="AW523" i="3"/>
  <c r="AW524" i="3"/>
  <c r="AW525" i="3"/>
  <c r="AW527" i="3"/>
  <c r="AW528" i="3"/>
  <c r="AW530" i="3"/>
  <c r="AW531" i="3"/>
  <c r="AW532" i="3"/>
  <c r="AW533" i="3"/>
  <c r="AW535" i="3"/>
  <c r="AW537" i="3"/>
  <c r="AW538" i="3"/>
  <c r="AW540" i="3"/>
  <c r="AW541" i="3"/>
  <c r="AW542" i="3"/>
  <c r="AW543" i="3"/>
  <c r="AW544" i="3"/>
  <c r="AW545" i="3"/>
  <c r="AW546" i="3"/>
  <c r="AW549" i="3"/>
  <c r="AW551" i="3"/>
  <c r="AW552" i="3"/>
  <c r="AW553" i="3"/>
  <c r="AW555" i="3"/>
  <c r="AW556" i="3"/>
  <c r="AW559" i="3"/>
  <c r="AW561" i="3"/>
  <c r="AW562" i="3"/>
  <c r="AW563" i="3"/>
  <c r="AW564" i="3"/>
  <c r="AW566" i="3"/>
  <c r="AW567" i="3"/>
  <c r="AW569" i="3"/>
  <c r="AW570" i="3"/>
  <c r="AW574" i="3"/>
  <c r="AW575" i="3"/>
  <c r="AW576" i="3"/>
  <c r="AW577" i="3"/>
  <c r="AW578" i="3"/>
  <c r="AW579" i="3"/>
  <c r="AW580" i="3"/>
  <c r="AW582" i="3"/>
  <c r="AW583" i="3"/>
  <c r="AW584" i="3"/>
  <c r="AW588" i="3"/>
  <c r="AW589" i="3"/>
  <c r="AW590" i="3"/>
  <c r="AW591" i="3"/>
  <c r="AW593" i="3"/>
  <c r="AW594" i="3"/>
  <c r="AW595" i="3"/>
  <c r="AW596" i="3"/>
  <c r="AW597" i="3"/>
  <c r="AW598" i="3"/>
  <c r="AW599" i="3"/>
  <c r="AW600" i="3"/>
  <c r="AW601" i="3"/>
  <c r="AW602" i="3"/>
  <c r="AW603" i="3"/>
  <c r="AW604" i="3"/>
  <c r="AW605" i="3"/>
  <c r="AW606" i="3"/>
  <c r="AW607" i="3"/>
  <c r="AW608" i="3"/>
  <c r="AW609" i="3"/>
  <c r="AW611" i="3"/>
  <c r="AW612" i="3"/>
  <c r="AW613" i="3"/>
  <c r="AW615" i="3"/>
  <c r="AW619" i="3"/>
  <c r="AW621" i="3"/>
  <c r="AW622" i="3"/>
  <c r="AW624" i="3"/>
  <c r="AW625" i="3"/>
  <c r="AW626" i="3"/>
  <c r="AW630" i="3"/>
  <c r="AW631" i="3"/>
  <c r="AW632" i="3"/>
  <c r="AW633" i="3"/>
  <c r="AW634" i="3"/>
  <c r="AW635" i="3"/>
  <c r="AW636" i="3"/>
  <c r="AW637" i="3"/>
  <c r="AW639" i="3"/>
  <c r="AW640" i="3"/>
  <c r="AW641" i="3"/>
  <c r="AW642" i="3"/>
  <c r="AW645" i="3"/>
  <c r="AW646" i="3"/>
  <c r="AW647" i="3"/>
  <c r="AW648" i="3"/>
  <c r="AW650" i="3"/>
  <c r="AW651" i="3"/>
  <c r="AW652" i="3"/>
  <c r="AW654" i="3"/>
  <c r="AW655" i="3"/>
  <c r="AW656" i="3"/>
  <c r="AW657" i="3"/>
  <c r="AW658" i="3"/>
  <c r="AW660" i="3"/>
  <c r="AW664" i="3"/>
  <c r="AW665" i="3"/>
  <c r="AW668" i="3"/>
  <c r="AW669" i="3"/>
  <c r="AW670" i="3"/>
  <c r="AW672" i="3"/>
  <c r="AW677" i="3"/>
  <c r="AW678" i="3"/>
  <c r="AW679" i="3"/>
  <c r="AW680" i="3"/>
  <c r="AW681" i="3"/>
  <c r="AW683" i="3"/>
  <c r="AW684" i="3"/>
  <c r="AW685" i="3"/>
  <c r="AW686" i="3"/>
  <c r="AW687" i="3"/>
  <c r="AW688" i="3"/>
  <c r="AW689" i="3"/>
  <c r="AW690" i="3"/>
  <c r="AW691" i="3"/>
  <c r="AW692" i="3"/>
  <c r="AW693" i="3"/>
  <c r="AW695" i="3"/>
  <c r="AW698" i="3"/>
  <c r="AW699" i="3"/>
  <c r="AW700" i="3"/>
  <c r="AW701" i="3"/>
  <c r="AW703" i="3"/>
  <c r="AW704" i="3"/>
  <c r="AW705" i="3"/>
  <c r="AW706" i="3"/>
  <c r="AW707" i="3"/>
  <c r="AW709" i="3"/>
  <c r="AW713" i="3"/>
  <c r="AW715" i="3"/>
  <c r="AW716" i="3"/>
  <c r="AW718" i="3"/>
  <c r="AW719" i="3"/>
  <c r="AW720" i="3"/>
  <c r="AW723" i="3"/>
  <c r="AW725" i="3"/>
  <c r="AW726" i="3"/>
  <c r="AW727" i="3"/>
  <c r="AW728" i="3"/>
  <c r="AW729" i="3"/>
  <c r="AW730" i="3"/>
  <c r="AW732" i="3"/>
  <c r="AW733" i="3"/>
  <c r="AW734" i="3"/>
  <c r="AW735" i="3"/>
  <c r="AW736" i="3"/>
  <c r="AW737" i="3"/>
  <c r="AW738" i="3"/>
  <c r="AW739" i="3"/>
  <c r="AW740" i="3"/>
  <c r="AW741" i="3"/>
  <c r="AW743" i="3"/>
  <c r="AW744" i="3"/>
  <c r="AW745" i="3"/>
  <c r="AW746" i="3"/>
  <c r="AW747" i="3"/>
  <c r="AW748" i="3"/>
  <c r="AW749" i="3"/>
  <c r="AT16" i="3"/>
  <c r="AT20" i="3"/>
  <c r="AT22" i="3"/>
  <c r="AT23" i="3"/>
  <c r="AT31" i="3"/>
  <c r="AT43" i="3"/>
  <c r="AT50" i="3"/>
  <c r="AT52" i="3"/>
  <c r="AT54" i="3"/>
  <c r="AT62" i="3"/>
  <c r="AT74" i="3"/>
  <c r="AT85" i="3"/>
  <c r="AT97" i="3"/>
  <c r="AT100" i="3"/>
  <c r="AT103" i="3"/>
  <c r="AT112" i="3"/>
  <c r="AT145" i="3"/>
  <c r="AT156" i="3"/>
  <c r="AT167" i="3"/>
  <c r="AT178" i="3"/>
  <c r="AT184" i="3"/>
  <c r="AT189" i="3"/>
  <c r="AT190" i="3"/>
  <c r="AT202" i="3"/>
  <c r="AT228" i="3"/>
  <c r="AT229" i="3"/>
  <c r="AT249" i="3"/>
  <c r="AT250" i="3"/>
  <c r="AT260" i="3"/>
  <c r="AT273" i="3"/>
  <c r="AT293" i="3"/>
  <c r="AT299" i="3"/>
  <c r="AT302" i="3"/>
  <c r="AT320" i="3"/>
  <c r="AT370" i="3"/>
  <c r="AT371" i="3"/>
  <c r="AT392" i="3"/>
  <c r="AT393" i="3"/>
  <c r="AT413" i="3"/>
  <c r="AT415" i="3"/>
  <c r="AT419" i="3"/>
  <c r="AT424" i="3"/>
  <c r="AT441" i="3"/>
  <c r="AT471" i="3"/>
  <c r="AT481" i="3"/>
  <c r="AT501" i="3"/>
  <c r="AT502" i="3"/>
  <c r="AT513" i="3"/>
  <c r="AT517" i="3"/>
  <c r="AT521" i="3"/>
  <c r="AT537" i="3"/>
  <c r="AT546" i="3"/>
  <c r="AT554" i="3"/>
  <c r="AT555" i="3"/>
  <c r="AT558" i="3"/>
  <c r="AT574" i="3"/>
  <c r="AT600" i="3"/>
  <c r="AT601" i="3"/>
  <c r="AT604" i="3"/>
  <c r="AT614" i="3"/>
  <c r="AT645" i="3"/>
  <c r="AT648" i="3"/>
  <c r="AT657" i="3"/>
  <c r="AT687" i="3"/>
  <c r="AT693" i="3"/>
  <c r="AT703" i="3"/>
  <c r="AT727" i="3"/>
  <c r="AT747" i="3"/>
  <c r="AS16" i="3"/>
  <c r="AS20" i="3"/>
  <c r="AS22" i="3"/>
  <c r="AS23" i="3"/>
  <c r="AS31" i="3"/>
  <c r="AS43" i="3"/>
  <c r="AS50" i="3"/>
  <c r="AS52" i="3"/>
  <c r="AS54" i="3"/>
  <c r="AS62" i="3"/>
  <c r="AS74" i="3"/>
  <c r="AS85" i="3"/>
  <c r="AS97" i="3"/>
  <c r="AS100" i="3"/>
  <c r="AS103" i="3"/>
  <c r="AS112" i="3"/>
  <c r="AS145" i="3"/>
  <c r="AS156" i="3"/>
  <c r="AS167" i="3"/>
  <c r="AS178" i="3"/>
  <c r="AS184" i="3"/>
  <c r="AS189" i="3"/>
  <c r="AS190" i="3"/>
  <c r="AS202" i="3"/>
  <c r="AS228" i="3"/>
  <c r="AS229" i="3"/>
  <c r="AS249" i="3"/>
  <c r="AS250" i="3"/>
  <c r="AS258" i="3"/>
  <c r="AS260" i="3"/>
  <c r="AS273" i="3"/>
  <c r="AS293" i="3"/>
  <c r="AS299" i="3"/>
  <c r="AS302" i="3"/>
  <c r="AS320" i="3"/>
  <c r="AS370" i="3"/>
  <c r="AS371" i="3"/>
  <c r="AS392" i="3"/>
  <c r="AS393" i="3"/>
  <c r="AS413" i="3"/>
  <c r="AS415" i="3"/>
  <c r="AS419" i="3"/>
  <c r="AS424" i="3"/>
  <c r="AS441" i="3"/>
  <c r="AS471" i="3"/>
  <c r="AS481" i="3"/>
  <c r="AS501" i="3"/>
  <c r="AS502" i="3"/>
  <c r="AS513" i="3"/>
  <c r="AS517" i="3"/>
  <c r="AS521" i="3"/>
  <c r="AS537" i="3"/>
  <c r="AS546" i="3"/>
  <c r="AS554" i="3"/>
  <c r="AS555" i="3"/>
  <c r="AS558" i="3"/>
  <c r="AS574" i="3"/>
  <c r="AS600" i="3"/>
  <c r="AS601" i="3"/>
  <c r="AS604" i="3"/>
  <c r="AS614" i="3"/>
  <c r="AS645" i="3"/>
  <c r="AS648" i="3"/>
  <c r="AS657" i="3"/>
  <c r="AS687" i="3"/>
  <c r="AS693" i="3"/>
  <c r="AS703" i="3"/>
  <c r="AS727" i="3"/>
  <c r="AS747" i="3"/>
  <c r="AQ3" i="3"/>
  <c r="AQ4" i="3"/>
  <c r="AQ5" i="3"/>
  <c r="AQ6" i="3"/>
  <c r="AQ7" i="3"/>
  <c r="AQ8" i="3"/>
  <c r="AQ9" i="3"/>
  <c r="AQ10" i="3"/>
  <c r="AQ11" i="3"/>
  <c r="AQ12" i="3"/>
  <c r="AQ16" i="3"/>
  <c r="AQ17" i="3"/>
  <c r="AQ18" i="3"/>
  <c r="AQ20" i="3"/>
  <c r="AQ22" i="3"/>
  <c r="AQ23" i="3"/>
  <c r="AQ26" i="3"/>
  <c r="AQ27" i="3"/>
  <c r="AQ28" i="3"/>
  <c r="AQ31" i="3"/>
  <c r="AQ32" i="3"/>
  <c r="AQ33" i="3"/>
  <c r="AQ35" i="3"/>
  <c r="AQ38" i="3"/>
  <c r="AQ39" i="3"/>
  <c r="AQ40" i="3"/>
  <c r="AQ41" i="3"/>
  <c r="AQ42" i="3"/>
  <c r="AQ43" i="3"/>
  <c r="AQ45" i="3"/>
  <c r="AQ46" i="3"/>
  <c r="AQ48" i="3"/>
  <c r="AQ50" i="3"/>
  <c r="AQ51" i="3"/>
  <c r="AQ52" i="3"/>
  <c r="AQ54" i="3"/>
  <c r="AQ55" i="3"/>
  <c r="AQ58" i="3"/>
  <c r="AQ59" i="3"/>
  <c r="AQ60" i="3"/>
  <c r="AQ62" i="3"/>
  <c r="AQ63" i="3"/>
  <c r="AQ64" i="3"/>
  <c r="AQ65" i="3"/>
  <c r="AQ66" i="3"/>
  <c r="AQ67" i="3"/>
  <c r="AQ68" i="3"/>
  <c r="AQ69" i="3"/>
  <c r="AQ70" i="3"/>
  <c r="AQ71" i="3"/>
  <c r="AQ72" i="3"/>
  <c r="AQ73" i="3"/>
  <c r="AQ74" i="3"/>
  <c r="AQ76" i="3"/>
  <c r="AQ77" i="3"/>
  <c r="AQ79" i="3"/>
  <c r="AQ80" i="3"/>
  <c r="AQ81" i="3"/>
  <c r="AQ82" i="3"/>
  <c r="AQ83" i="3"/>
  <c r="AQ85" i="3"/>
  <c r="AQ87" i="3"/>
  <c r="AQ88" i="3"/>
  <c r="AQ89" i="3"/>
  <c r="AQ90" i="3"/>
  <c r="AQ93" i="3"/>
  <c r="AQ94" i="3"/>
  <c r="AQ95" i="3"/>
  <c r="AQ96" i="3"/>
  <c r="AQ97" i="3"/>
  <c r="AQ98" i="3"/>
  <c r="AQ101" i="3"/>
  <c r="AQ105" i="3"/>
  <c r="AQ106" i="3"/>
  <c r="AQ107" i="3"/>
  <c r="AQ108" i="3"/>
  <c r="AQ109" i="3"/>
  <c r="AQ110" i="3"/>
  <c r="AQ112" i="3"/>
  <c r="AQ113" i="3"/>
  <c r="AQ116" i="3"/>
  <c r="AQ118" i="3"/>
  <c r="AQ120" i="3"/>
  <c r="AQ122" i="3"/>
  <c r="AQ123" i="3"/>
  <c r="AQ125" i="3"/>
  <c r="AQ126" i="3"/>
  <c r="AQ127" i="3"/>
  <c r="AQ128" i="3"/>
  <c r="AQ129" i="3"/>
  <c r="AQ130" i="3"/>
  <c r="AQ131" i="3"/>
  <c r="AQ132" i="3"/>
  <c r="AQ133" i="3"/>
  <c r="AQ134" i="3"/>
  <c r="AQ136" i="3"/>
  <c r="AQ138" i="3"/>
  <c r="AQ139" i="3"/>
  <c r="AQ141" i="3"/>
  <c r="AQ144" i="3"/>
  <c r="AQ145" i="3"/>
  <c r="AQ147" i="3"/>
  <c r="AQ148" i="3"/>
  <c r="AQ150" i="3"/>
  <c r="AQ151" i="3"/>
  <c r="AQ152" i="3"/>
  <c r="AQ154" i="3"/>
  <c r="AQ155" i="3"/>
  <c r="AQ156" i="3"/>
  <c r="AQ157" i="3"/>
  <c r="AQ159" i="3"/>
  <c r="AQ161" i="3"/>
  <c r="AQ162" i="3"/>
  <c r="AQ164" i="3"/>
  <c r="AQ166" i="3"/>
  <c r="AQ168" i="3"/>
  <c r="AQ169" i="3"/>
  <c r="AQ171" i="3"/>
  <c r="AQ172" i="3"/>
  <c r="AQ173" i="3"/>
  <c r="AQ174" i="3"/>
  <c r="AQ176" i="3"/>
  <c r="AQ177" i="3"/>
  <c r="AQ178" i="3"/>
  <c r="AQ179" i="3"/>
  <c r="AQ180" i="3"/>
  <c r="AQ182" i="3"/>
  <c r="AQ183" i="3"/>
  <c r="AQ184" i="3"/>
  <c r="AQ186" i="3"/>
  <c r="AQ187" i="3"/>
  <c r="AQ188" i="3"/>
  <c r="AQ189" i="3"/>
  <c r="AQ190" i="3"/>
  <c r="AQ192" i="3"/>
  <c r="AQ193" i="3"/>
  <c r="AQ195" i="3"/>
  <c r="AQ196" i="3"/>
  <c r="AQ199" i="3"/>
  <c r="AQ200" i="3"/>
  <c r="AQ201" i="3"/>
  <c r="AQ203" i="3"/>
  <c r="AQ204" i="3"/>
  <c r="AQ205" i="3"/>
  <c r="AQ207" i="3"/>
  <c r="AQ208" i="3"/>
  <c r="AQ209" i="3"/>
  <c r="AQ212" i="3"/>
  <c r="AQ215" i="3"/>
  <c r="AQ221" i="3"/>
  <c r="AQ222" i="3"/>
  <c r="AQ223" i="3"/>
  <c r="AQ225" i="3"/>
  <c r="AQ226" i="3"/>
  <c r="AQ227" i="3"/>
  <c r="AQ228" i="3"/>
  <c r="AQ229" i="3"/>
  <c r="AQ232" i="3"/>
  <c r="AQ233" i="3"/>
  <c r="AQ234" i="3"/>
  <c r="AQ236" i="3"/>
  <c r="AQ238" i="3"/>
  <c r="AQ240" i="3"/>
  <c r="AQ241" i="3"/>
  <c r="AQ243" i="3"/>
  <c r="AQ244" i="3"/>
  <c r="AQ245" i="3"/>
  <c r="AQ246" i="3"/>
  <c r="AQ247" i="3"/>
  <c r="AQ248" i="3"/>
  <c r="AQ250" i="3"/>
  <c r="AQ251" i="3"/>
  <c r="AQ252" i="3"/>
  <c r="AQ253" i="3"/>
  <c r="AQ254" i="3"/>
  <c r="AQ256" i="3"/>
  <c r="AQ257" i="3"/>
  <c r="AQ258" i="3"/>
  <c r="AQ260" i="3"/>
  <c r="AQ261" i="3"/>
  <c r="AQ262" i="3"/>
  <c r="AQ263" i="3"/>
  <c r="AQ264" i="3"/>
  <c r="AQ265" i="3"/>
  <c r="AQ270" i="3"/>
  <c r="AQ272" i="3"/>
  <c r="AQ273" i="3"/>
  <c r="AQ275" i="3"/>
  <c r="AQ276" i="3"/>
  <c r="AQ277" i="3"/>
  <c r="AQ278" i="3"/>
  <c r="AQ279" i="3"/>
  <c r="AQ280" i="3"/>
  <c r="AQ281" i="3"/>
  <c r="AQ283" i="3"/>
  <c r="AQ284" i="3"/>
  <c r="AQ285" i="3"/>
  <c r="AQ286" i="3"/>
  <c r="AQ287" i="3"/>
  <c r="AQ289" i="3"/>
  <c r="AQ292" i="3"/>
  <c r="AQ293" i="3"/>
  <c r="AQ294" i="3"/>
  <c r="AQ295" i="3"/>
  <c r="AQ296" i="3"/>
  <c r="AQ297" i="3"/>
  <c r="AQ298" i="3"/>
  <c r="AQ299" i="3"/>
  <c r="AQ301" i="3"/>
  <c r="AQ302" i="3"/>
  <c r="AQ303" i="3"/>
  <c r="AQ304" i="3"/>
  <c r="AQ305" i="3"/>
  <c r="AQ307" i="3"/>
  <c r="AQ308" i="3"/>
  <c r="AQ310" i="3"/>
  <c r="AQ311" i="3"/>
  <c r="AQ312" i="3"/>
  <c r="AQ313" i="3"/>
  <c r="AQ314" i="3"/>
  <c r="AQ315" i="3"/>
  <c r="AQ317" i="3"/>
  <c r="AQ318" i="3"/>
  <c r="AQ319" i="3"/>
  <c r="AQ322" i="3"/>
  <c r="AQ327" i="3"/>
  <c r="AQ329" i="3"/>
  <c r="AQ330" i="3"/>
  <c r="AQ335" i="3"/>
  <c r="AQ336" i="3"/>
  <c r="AQ338" i="3"/>
  <c r="AQ341" i="3"/>
  <c r="AQ342" i="3"/>
  <c r="AQ343" i="3"/>
  <c r="AQ344" i="3"/>
  <c r="AQ345" i="3"/>
  <c r="AQ346" i="3"/>
  <c r="AQ347" i="3"/>
  <c r="AQ348" i="3"/>
  <c r="AQ349" i="3"/>
  <c r="AQ351" i="3"/>
  <c r="AQ352" i="3"/>
  <c r="AQ353" i="3"/>
  <c r="AQ358" i="3"/>
  <c r="AQ359" i="3"/>
  <c r="AQ360" i="3"/>
  <c r="AQ362" i="3"/>
  <c r="AQ363" i="3"/>
  <c r="AQ365" i="3"/>
  <c r="AQ366" i="3"/>
  <c r="AQ367" i="3"/>
  <c r="AQ370" i="3"/>
  <c r="AQ371" i="3"/>
  <c r="AQ374" i="3"/>
  <c r="AQ375" i="3"/>
  <c r="AQ376" i="3"/>
  <c r="AQ377" i="3"/>
  <c r="AQ378" i="3"/>
  <c r="AQ379" i="3"/>
  <c r="AQ380" i="3"/>
  <c r="AQ382" i="3"/>
  <c r="AQ383" i="3"/>
  <c r="AQ384" i="3"/>
  <c r="AQ385" i="3"/>
  <c r="AQ386" i="3"/>
  <c r="AQ387" i="3"/>
  <c r="AQ389" i="3"/>
  <c r="AQ391" i="3"/>
  <c r="AQ392" i="3"/>
  <c r="AQ393" i="3"/>
  <c r="AQ394" i="3"/>
  <c r="AQ395" i="3"/>
  <c r="AQ396" i="3"/>
  <c r="AQ397" i="3"/>
  <c r="AQ398" i="3"/>
  <c r="AQ400" i="3"/>
  <c r="AQ401" i="3"/>
  <c r="AQ402" i="3"/>
  <c r="AQ403" i="3"/>
  <c r="AQ404" i="3"/>
  <c r="AQ406" i="3"/>
  <c r="AQ407" i="3"/>
  <c r="AQ408" i="3"/>
  <c r="AQ409" i="3"/>
  <c r="AQ411" i="3"/>
  <c r="AQ412" i="3"/>
  <c r="AQ413" i="3"/>
  <c r="AQ414" i="3"/>
  <c r="AQ415" i="3"/>
  <c r="AQ417" i="3"/>
  <c r="AQ419" i="3"/>
  <c r="AQ420" i="3"/>
  <c r="AQ422" i="3"/>
  <c r="AQ423" i="3"/>
  <c r="AQ424" i="3"/>
  <c r="AQ425" i="3"/>
  <c r="AQ426" i="3"/>
  <c r="AQ427" i="3"/>
  <c r="AQ428" i="3"/>
  <c r="AQ429" i="3"/>
  <c r="AQ431" i="3"/>
  <c r="AQ432" i="3"/>
  <c r="AQ433" i="3"/>
  <c r="AQ434" i="3"/>
  <c r="AQ435" i="3"/>
  <c r="AQ436" i="3"/>
  <c r="AQ437" i="3"/>
  <c r="AQ438" i="3"/>
  <c r="AQ443" i="3"/>
  <c r="AQ444" i="3"/>
  <c r="AQ447" i="3"/>
  <c r="AQ452" i="3"/>
  <c r="AQ453" i="3"/>
  <c r="AQ456" i="3"/>
  <c r="AQ460" i="3"/>
  <c r="AQ461" i="3"/>
  <c r="AQ462" i="3"/>
  <c r="AQ465" i="3"/>
  <c r="AQ466" i="3"/>
  <c r="AQ467" i="3"/>
  <c r="AQ469" i="3"/>
  <c r="AQ471" i="3"/>
  <c r="AQ472" i="3"/>
  <c r="AQ473" i="3"/>
  <c r="AQ474" i="3"/>
  <c r="AQ476" i="3"/>
  <c r="AQ477" i="3"/>
  <c r="AQ478" i="3"/>
  <c r="AQ481" i="3"/>
  <c r="AQ482" i="3"/>
  <c r="AQ483" i="3"/>
  <c r="AQ485" i="3"/>
  <c r="AQ486" i="3"/>
  <c r="AQ487" i="3"/>
  <c r="AQ488" i="3"/>
  <c r="AQ490" i="3"/>
  <c r="AQ491" i="3"/>
  <c r="AQ492" i="3"/>
  <c r="AQ493" i="3"/>
  <c r="AQ494" i="3"/>
  <c r="AQ495" i="3"/>
  <c r="AQ496" i="3"/>
  <c r="AQ499" i="3"/>
  <c r="AQ501" i="3"/>
  <c r="AQ502" i="3"/>
  <c r="AQ503" i="3"/>
  <c r="AQ504" i="3"/>
  <c r="AQ505" i="3"/>
  <c r="AQ507" i="3"/>
  <c r="AQ508" i="3"/>
  <c r="AQ510" i="3"/>
  <c r="AQ511" i="3"/>
  <c r="AQ513" i="3"/>
  <c r="AQ514" i="3"/>
  <c r="AQ515" i="3"/>
  <c r="AQ518" i="3"/>
  <c r="AQ519" i="3"/>
  <c r="AQ520" i="3"/>
  <c r="AQ522" i="3"/>
  <c r="AQ523" i="3"/>
  <c r="AQ524" i="3"/>
  <c r="AQ525" i="3"/>
  <c r="AQ527" i="3"/>
  <c r="AQ528" i="3"/>
  <c r="AQ530" i="3"/>
  <c r="AQ531" i="3"/>
  <c r="AQ532" i="3"/>
  <c r="AQ533" i="3"/>
  <c r="AQ535" i="3"/>
  <c r="AQ537" i="3"/>
  <c r="AQ538" i="3"/>
  <c r="AQ540" i="3"/>
  <c r="AQ541" i="3"/>
  <c r="AQ542" i="3"/>
  <c r="AQ543" i="3"/>
  <c r="AQ544" i="3"/>
  <c r="AQ545" i="3"/>
  <c r="AQ546" i="3"/>
  <c r="AQ549" i="3"/>
  <c r="AQ551" i="3"/>
  <c r="AQ552" i="3"/>
  <c r="AQ553" i="3"/>
  <c r="AQ555" i="3"/>
  <c r="AQ556" i="3"/>
  <c r="AQ559" i="3"/>
  <c r="AQ561" i="3"/>
  <c r="AQ562" i="3"/>
  <c r="AQ563" i="3"/>
  <c r="AQ564" i="3"/>
  <c r="AQ566" i="3"/>
  <c r="AQ567" i="3"/>
  <c r="AQ569" i="3"/>
  <c r="AQ570" i="3"/>
  <c r="AQ574" i="3"/>
  <c r="AQ575" i="3"/>
  <c r="AQ576" i="3"/>
  <c r="AQ577" i="3"/>
  <c r="AQ578" i="3"/>
  <c r="AQ579" i="3"/>
  <c r="AQ580" i="3"/>
  <c r="AQ582" i="3"/>
  <c r="AQ583" i="3"/>
  <c r="AQ584" i="3"/>
  <c r="AQ588" i="3"/>
  <c r="AQ589" i="3"/>
  <c r="AQ590" i="3"/>
  <c r="AQ591" i="3"/>
  <c r="AQ593" i="3"/>
  <c r="AQ594" i="3"/>
  <c r="AQ595" i="3"/>
  <c r="AQ596" i="3"/>
  <c r="AQ597" i="3"/>
  <c r="AQ598" i="3"/>
  <c r="AQ599" i="3"/>
  <c r="AQ600" i="3"/>
  <c r="AQ601" i="3"/>
  <c r="AQ602" i="3"/>
  <c r="AQ603" i="3"/>
  <c r="AQ604" i="3"/>
  <c r="AQ605" i="3"/>
  <c r="AQ606" i="3"/>
  <c r="AQ607" i="3"/>
  <c r="AQ608" i="3"/>
  <c r="AQ609" i="3"/>
  <c r="AQ611" i="3"/>
  <c r="AQ612" i="3"/>
  <c r="AQ613" i="3"/>
  <c r="AQ615" i="3"/>
  <c r="AQ619" i="3"/>
  <c r="AQ621" i="3"/>
  <c r="AQ622" i="3"/>
  <c r="AQ624" i="3"/>
  <c r="AQ625" i="3"/>
  <c r="AQ626" i="3"/>
  <c r="AQ630" i="3"/>
  <c r="AQ631" i="3"/>
  <c r="AQ632" i="3"/>
  <c r="AQ633" i="3"/>
  <c r="AQ634" i="3"/>
  <c r="AQ635" i="3"/>
  <c r="AQ636" i="3"/>
  <c r="AQ637" i="3"/>
  <c r="AQ639" i="3"/>
  <c r="AQ640" i="3"/>
  <c r="AQ641" i="3"/>
  <c r="AQ642" i="3"/>
  <c r="AQ645" i="3"/>
  <c r="AQ646" i="3"/>
  <c r="AQ647" i="3"/>
  <c r="AQ648" i="3"/>
  <c r="AQ650" i="3"/>
  <c r="AQ651" i="3"/>
  <c r="AQ652" i="3"/>
  <c r="AQ654" i="3"/>
  <c r="AQ655" i="3"/>
  <c r="AQ656" i="3"/>
  <c r="AQ657" i="3"/>
  <c r="AQ658" i="3"/>
  <c r="AQ660" i="3"/>
  <c r="AQ664" i="3"/>
  <c r="AQ665" i="3"/>
  <c r="AQ668" i="3"/>
  <c r="AQ669" i="3"/>
  <c r="AQ670" i="3"/>
  <c r="AQ672" i="3"/>
  <c r="AQ677" i="3"/>
  <c r="AQ678" i="3"/>
  <c r="AQ679" i="3"/>
  <c r="AQ680" i="3"/>
  <c r="AQ681" i="3"/>
  <c r="AQ683" i="3"/>
  <c r="AQ684" i="3"/>
  <c r="AQ685" i="3"/>
  <c r="AQ686" i="3"/>
  <c r="AQ687" i="3"/>
  <c r="AQ688" i="3"/>
  <c r="AQ689" i="3"/>
  <c r="AQ690" i="3"/>
  <c r="AQ691" i="3"/>
  <c r="AQ692" i="3"/>
  <c r="AQ693" i="3"/>
  <c r="AQ695" i="3"/>
  <c r="AQ698" i="3"/>
  <c r="AQ699" i="3"/>
  <c r="AQ700" i="3"/>
  <c r="AQ701" i="3"/>
  <c r="AQ703" i="3"/>
  <c r="AQ704" i="3"/>
  <c r="AQ705" i="3"/>
  <c r="AQ706" i="3"/>
  <c r="AQ707" i="3"/>
  <c r="AQ709" i="3"/>
  <c r="AQ713" i="3"/>
  <c r="AQ715" i="3"/>
  <c r="AQ716" i="3"/>
  <c r="AQ718" i="3"/>
  <c r="AQ719" i="3"/>
  <c r="AQ720" i="3"/>
  <c r="AQ723" i="3"/>
  <c r="AQ725" i="3"/>
  <c r="AQ726" i="3"/>
  <c r="AQ727" i="3"/>
  <c r="AQ728" i="3"/>
  <c r="AQ729" i="3"/>
  <c r="AQ730" i="3"/>
  <c r="AQ732" i="3"/>
  <c r="AQ733" i="3"/>
  <c r="AQ734" i="3"/>
  <c r="AQ735" i="3"/>
  <c r="AQ736" i="3"/>
  <c r="AQ737" i="3"/>
  <c r="AQ738" i="3"/>
  <c r="AQ739" i="3"/>
  <c r="AQ740" i="3"/>
  <c r="AQ741" i="3"/>
  <c r="AQ743" i="3"/>
  <c r="AQ744" i="3"/>
  <c r="AQ745" i="3"/>
  <c r="AQ746" i="3"/>
  <c r="AQ747" i="3"/>
  <c r="AQ748" i="3"/>
  <c r="AQ749" i="3"/>
  <c r="AP3" i="3"/>
  <c r="AP4" i="3"/>
  <c r="AP5" i="3"/>
  <c r="AP6" i="3"/>
  <c r="AP7" i="3"/>
  <c r="AP8" i="3"/>
  <c r="AP9" i="3"/>
  <c r="AP10" i="3"/>
  <c r="AP11" i="3"/>
  <c r="AP12" i="3"/>
  <c r="AP16" i="3"/>
  <c r="AP17" i="3"/>
  <c r="AP18" i="3"/>
  <c r="AP20" i="3"/>
  <c r="AP22" i="3"/>
  <c r="AP23" i="3"/>
  <c r="AP26" i="3"/>
  <c r="AP27" i="3"/>
  <c r="AP28" i="3"/>
  <c r="AP31" i="3"/>
  <c r="AP32" i="3"/>
  <c r="AP33" i="3"/>
  <c r="AP35" i="3"/>
  <c r="AP38" i="3"/>
  <c r="AP39" i="3"/>
  <c r="AP40" i="3"/>
  <c r="AP41" i="3"/>
  <c r="AP42" i="3"/>
  <c r="AP43" i="3"/>
  <c r="AP45" i="3"/>
  <c r="AP46" i="3"/>
  <c r="AP48" i="3"/>
  <c r="AP50" i="3"/>
  <c r="AP51" i="3"/>
  <c r="AP52" i="3"/>
  <c r="AP54" i="3"/>
  <c r="AP55" i="3"/>
  <c r="AP58" i="3"/>
  <c r="AP59" i="3"/>
  <c r="AP60" i="3"/>
  <c r="AP62" i="3"/>
  <c r="AP63" i="3"/>
  <c r="AP64" i="3"/>
  <c r="AP65" i="3"/>
  <c r="AP66" i="3"/>
  <c r="AP67" i="3"/>
  <c r="AP68" i="3"/>
  <c r="AP69" i="3"/>
  <c r="AP70" i="3"/>
  <c r="AP71" i="3"/>
  <c r="AP72" i="3"/>
  <c r="AP73" i="3"/>
  <c r="AP74" i="3"/>
  <c r="AP76" i="3"/>
  <c r="AP77" i="3"/>
  <c r="AP79" i="3"/>
  <c r="AP80" i="3"/>
  <c r="AP81" i="3"/>
  <c r="AP82" i="3"/>
  <c r="AP83" i="3"/>
  <c r="AP85" i="3"/>
  <c r="AP87" i="3"/>
  <c r="AP88" i="3"/>
  <c r="AP89" i="3"/>
  <c r="AP90" i="3"/>
  <c r="AP93" i="3"/>
  <c r="AP94" i="3"/>
  <c r="AP95" i="3"/>
  <c r="AP96" i="3"/>
  <c r="AP97" i="3"/>
  <c r="AP98" i="3"/>
  <c r="AP101" i="3"/>
  <c r="AP105" i="3"/>
  <c r="AP106" i="3"/>
  <c r="AP107" i="3"/>
  <c r="AP108" i="3"/>
  <c r="AP109" i="3"/>
  <c r="AP110" i="3"/>
  <c r="AP112" i="3"/>
  <c r="AP113" i="3"/>
  <c r="AP116" i="3"/>
  <c r="AP118" i="3"/>
  <c r="AP120" i="3"/>
  <c r="AP122" i="3"/>
  <c r="AP123" i="3"/>
  <c r="AP125" i="3"/>
  <c r="AP126" i="3"/>
  <c r="AP127" i="3"/>
  <c r="AP128" i="3"/>
  <c r="AP129" i="3"/>
  <c r="AP130" i="3"/>
  <c r="AP131" i="3"/>
  <c r="AP132" i="3"/>
  <c r="AP133" i="3"/>
  <c r="AP134" i="3"/>
  <c r="AP136" i="3"/>
  <c r="AP138" i="3"/>
  <c r="AP139" i="3"/>
  <c r="AP141" i="3"/>
  <c r="AP144" i="3"/>
  <c r="AP145" i="3"/>
  <c r="AP147" i="3"/>
  <c r="AP148" i="3"/>
  <c r="AP150" i="3"/>
  <c r="AP151" i="3"/>
  <c r="AP152" i="3"/>
  <c r="AP154" i="3"/>
  <c r="AP155" i="3"/>
  <c r="AP156" i="3"/>
  <c r="AP157" i="3"/>
  <c r="AP159" i="3"/>
  <c r="AP161" i="3"/>
  <c r="AP162" i="3"/>
  <c r="AP164" i="3"/>
  <c r="AP166" i="3"/>
  <c r="AP168" i="3"/>
  <c r="AP169" i="3"/>
  <c r="AP171" i="3"/>
  <c r="AP172" i="3"/>
  <c r="AP173" i="3"/>
  <c r="AP174" i="3"/>
  <c r="AP176" i="3"/>
  <c r="AP177" i="3"/>
  <c r="AP178" i="3"/>
  <c r="AP179" i="3"/>
  <c r="AP180" i="3"/>
  <c r="AP182" i="3"/>
  <c r="AP183" i="3"/>
  <c r="AP184" i="3"/>
  <c r="AP186" i="3"/>
  <c r="AP187" i="3"/>
  <c r="AP188" i="3"/>
  <c r="AP189" i="3"/>
  <c r="AP190" i="3"/>
  <c r="AP192" i="3"/>
  <c r="AP193" i="3"/>
  <c r="AP195" i="3"/>
  <c r="AP196" i="3"/>
  <c r="AP199" i="3"/>
  <c r="AP200" i="3"/>
  <c r="AP201" i="3"/>
  <c r="AP203" i="3"/>
  <c r="AP204" i="3"/>
  <c r="AP205" i="3"/>
  <c r="AP207" i="3"/>
  <c r="AP208" i="3"/>
  <c r="AP209" i="3"/>
  <c r="AP212" i="3"/>
  <c r="AP215" i="3"/>
  <c r="AP221" i="3"/>
  <c r="AP222" i="3"/>
  <c r="AP223" i="3"/>
  <c r="AP225" i="3"/>
  <c r="AP226" i="3"/>
  <c r="AP227" i="3"/>
  <c r="AP228" i="3"/>
  <c r="AP229" i="3"/>
  <c r="AP232" i="3"/>
  <c r="AP233" i="3"/>
  <c r="AP234" i="3"/>
  <c r="AP236" i="3"/>
  <c r="AP238" i="3"/>
  <c r="AP240" i="3"/>
  <c r="AP241" i="3"/>
  <c r="AP243" i="3"/>
  <c r="AP244" i="3"/>
  <c r="AP245" i="3"/>
  <c r="AP246" i="3"/>
  <c r="AP247" i="3"/>
  <c r="AP248" i="3"/>
  <c r="AP250" i="3"/>
  <c r="AP251" i="3"/>
  <c r="AP252" i="3"/>
  <c r="AP253" i="3"/>
  <c r="AP254" i="3"/>
  <c r="AP256" i="3"/>
  <c r="AP257" i="3"/>
  <c r="AP258" i="3"/>
  <c r="AP260" i="3"/>
  <c r="AP261" i="3"/>
  <c r="AP262" i="3"/>
  <c r="AP263" i="3"/>
  <c r="AP264" i="3"/>
  <c r="AP265" i="3"/>
  <c r="AP270" i="3"/>
  <c r="AP272" i="3"/>
  <c r="AP273" i="3"/>
  <c r="AP275" i="3"/>
  <c r="AP276" i="3"/>
  <c r="AP277" i="3"/>
  <c r="AP278" i="3"/>
  <c r="AP279" i="3"/>
  <c r="AP280" i="3"/>
  <c r="AP281" i="3"/>
  <c r="AP283" i="3"/>
  <c r="AP284" i="3"/>
  <c r="AP285" i="3"/>
  <c r="AP286" i="3"/>
  <c r="AP287" i="3"/>
  <c r="AP289" i="3"/>
  <c r="AP292" i="3"/>
  <c r="AP293" i="3"/>
  <c r="AP294" i="3"/>
  <c r="AP295" i="3"/>
  <c r="AP296" i="3"/>
  <c r="AP297" i="3"/>
  <c r="AP298" i="3"/>
  <c r="AP299" i="3"/>
  <c r="AP301" i="3"/>
  <c r="AP302" i="3"/>
  <c r="AP303" i="3"/>
  <c r="AP304" i="3"/>
  <c r="AP305" i="3"/>
  <c r="AP307" i="3"/>
  <c r="AP308" i="3"/>
  <c r="AP310" i="3"/>
  <c r="AP311" i="3"/>
  <c r="AP312" i="3"/>
  <c r="AP313" i="3"/>
  <c r="AP314" i="3"/>
  <c r="AP315" i="3"/>
  <c r="AP317" i="3"/>
  <c r="AP318" i="3"/>
  <c r="AP319" i="3"/>
  <c r="AP322" i="3"/>
  <c r="AP327" i="3"/>
  <c r="AP329" i="3"/>
  <c r="AP330" i="3"/>
  <c r="AP335" i="3"/>
  <c r="AP336" i="3"/>
  <c r="AP338" i="3"/>
  <c r="AP341" i="3"/>
  <c r="AP342" i="3"/>
  <c r="AP343" i="3"/>
  <c r="AP344" i="3"/>
  <c r="AP345" i="3"/>
  <c r="AP346" i="3"/>
  <c r="AP347" i="3"/>
  <c r="AP348" i="3"/>
  <c r="AP349" i="3"/>
  <c r="AP351" i="3"/>
  <c r="AP352" i="3"/>
  <c r="AP353" i="3"/>
  <c r="AP358" i="3"/>
  <c r="AP359" i="3"/>
  <c r="AP360" i="3"/>
  <c r="AP362" i="3"/>
  <c r="AP363" i="3"/>
  <c r="AP365" i="3"/>
  <c r="AP366" i="3"/>
  <c r="AP367" i="3"/>
  <c r="AP370" i="3"/>
  <c r="AP371" i="3"/>
  <c r="AP374" i="3"/>
  <c r="AP375" i="3"/>
  <c r="AP376" i="3"/>
  <c r="AP377" i="3"/>
  <c r="AP378" i="3"/>
  <c r="AP379" i="3"/>
  <c r="AP380" i="3"/>
  <c r="AP382" i="3"/>
  <c r="AP383" i="3"/>
  <c r="AP384" i="3"/>
  <c r="AP385" i="3"/>
  <c r="AP386" i="3"/>
  <c r="AP387" i="3"/>
  <c r="AP389" i="3"/>
  <c r="AP391" i="3"/>
  <c r="AP392" i="3"/>
  <c r="AP393" i="3"/>
  <c r="AP394" i="3"/>
  <c r="AP395" i="3"/>
  <c r="AP396" i="3"/>
  <c r="AP397" i="3"/>
  <c r="AP398" i="3"/>
  <c r="AP400" i="3"/>
  <c r="AP401" i="3"/>
  <c r="AP402" i="3"/>
  <c r="AP403" i="3"/>
  <c r="AP404" i="3"/>
  <c r="AP406" i="3"/>
  <c r="AP407" i="3"/>
  <c r="AP408" i="3"/>
  <c r="AP409" i="3"/>
  <c r="AP411" i="3"/>
  <c r="AP412" i="3"/>
  <c r="AP413" i="3"/>
  <c r="AP414" i="3"/>
  <c r="AP415" i="3"/>
  <c r="AP417" i="3"/>
  <c r="AP419" i="3"/>
  <c r="AP420" i="3"/>
  <c r="AP422" i="3"/>
  <c r="AP423" i="3"/>
  <c r="AP424" i="3"/>
  <c r="AP425" i="3"/>
  <c r="AP426" i="3"/>
  <c r="AP427" i="3"/>
  <c r="AP428" i="3"/>
  <c r="AP429" i="3"/>
  <c r="AP431" i="3"/>
  <c r="AP432" i="3"/>
  <c r="AP433" i="3"/>
  <c r="AP434" i="3"/>
  <c r="AP435" i="3"/>
  <c r="AP436" i="3"/>
  <c r="AP437" i="3"/>
  <c r="AP438" i="3"/>
  <c r="AP443" i="3"/>
  <c r="AP444" i="3"/>
  <c r="AP447" i="3"/>
  <c r="AP452" i="3"/>
  <c r="AP453" i="3"/>
  <c r="AP456" i="3"/>
  <c r="AP460" i="3"/>
  <c r="AP461" i="3"/>
  <c r="AP462" i="3"/>
  <c r="AP465" i="3"/>
  <c r="AP466" i="3"/>
  <c r="AP467" i="3"/>
  <c r="AP469" i="3"/>
  <c r="AP471" i="3"/>
  <c r="AP472" i="3"/>
  <c r="AP473" i="3"/>
  <c r="AP474" i="3"/>
  <c r="AP476" i="3"/>
  <c r="AP477" i="3"/>
  <c r="AP478" i="3"/>
  <c r="AP481" i="3"/>
  <c r="AP482" i="3"/>
  <c r="AP483" i="3"/>
  <c r="AP485" i="3"/>
  <c r="AP486" i="3"/>
  <c r="AP487" i="3"/>
  <c r="AP488" i="3"/>
  <c r="AP490" i="3"/>
  <c r="AP491" i="3"/>
  <c r="AP492" i="3"/>
  <c r="AP493" i="3"/>
  <c r="AP494" i="3"/>
  <c r="AP495" i="3"/>
  <c r="AP496" i="3"/>
  <c r="AP499" i="3"/>
  <c r="AP501" i="3"/>
  <c r="AP502" i="3"/>
  <c r="AP503" i="3"/>
  <c r="AP504" i="3"/>
  <c r="AP505" i="3"/>
  <c r="AP507" i="3"/>
  <c r="AP508" i="3"/>
  <c r="AP510" i="3"/>
  <c r="AP511" i="3"/>
  <c r="AP513" i="3"/>
  <c r="AP514" i="3"/>
  <c r="AP515" i="3"/>
  <c r="AP518" i="3"/>
  <c r="AP519" i="3"/>
  <c r="AP520" i="3"/>
  <c r="AP522" i="3"/>
  <c r="AP523" i="3"/>
  <c r="AP524" i="3"/>
  <c r="AP525" i="3"/>
  <c r="AP527" i="3"/>
  <c r="AP528" i="3"/>
  <c r="AP530" i="3"/>
  <c r="AP531" i="3"/>
  <c r="AP532" i="3"/>
  <c r="AP533" i="3"/>
  <c r="AP535" i="3"/>
  <c r="AP537" i="3"/>
  <c r="AP538" i="3"/>
  <c r="AP540" i="3"/>
  <c r="AP541" i="3"/>
  <c r="AP542" i="3"/>
  <c r="AP543" i="3"/>
  <c r="AP544" i="3"/>
  <c r="AP545" i="3"/>
  <c r="AP546" i="3"/>
  <c r="AP549" i="3"/>
  <c r="AP551" i="3"/>
  <c r="AP552" i="3"/>
  <c r="AP553" i="3"/>
  <c r="AP555" i="3"/>
  <c r="AP556" i="3"/>
  <c r="AP559" i="3"/>
  <c r="AP561" i="3"/>
  <c r="AP562" i="3"/>
  <c r="AP563" i="3"/>
  <c r="AP564" i="3"/>
  <c r="AP566" i="3"/>
  <c r="AP567" i="3"/>
  <c r="AP569" i="3"/>
  <c r="AP570" i="3"/>
  <c r="AP574" i="3"/>
  <c r="AP575" i="3"/>
  <c r="AP576" i="3"/>
  <c r="AP577" i="3"/>
  <c r="AP578" i="3"/>
  <c r="AP579" i="3"/>
  <c r="AP580" i="3"/>
  <c r="AP582" i="3"/>
  <c r="AP583" i="3"/>
  <c r="AP584" i="3"/>
  <c r="AP588" i="3"/>
  <c r="AP589" i="3"/>
  <c r="AP590" i="3"/>
  <c r="AP591" i="3"/>
  <c r="AP593" i="3"/>
  <c r="AP594" i="3"/>
  <c r="AP595" i="3"/>
  <c r="AP596" i="3"/>
  <c r="AP597" i="3"/>
  <c r="AP598" i="3"/>
  <c r="AP599" i="3"/>
  <c r="AP600" i="3"/>
  <c r="AP601" i="3"/>
  <c r="AP602" i="3"/>
  <c r="AP603" i="3"/>
  <c r="AP604" i="3"/>
  <c r="AP605" i="3"/>
  <c r="AP606" i="3"/>
  <c r="AP607" i="3"/>
  <c r="AP608" i="3"/>
  <c r="AP609" i="3"/>
  <c r="AP611" i="3"/>
  <c r="AP612" i="3"/>
  <c r="AP613" i="3"/>
  <c r="AP615" i="3"/>
  <c r="AP619" i="3"/>
  <c r="AP621" i="3"/>
  <c r="AP622" i="3"/>
  <c r="AP624" i="3"/>
  <c r="AP625" i="3"/>
  <c r="AP626" i="3"/>
  <c r="AP630" i="3"/>
  <c r="AP631" i="3"/>
  <c r="AP632" i="3"/>
  <c r="AP633" i="3"/>
  <c r="AP634" i="3"/>
  <c r="AP635" i="3"/>
  <c r="AP636" i="3"/>
  <c r="AP637" i="3"/>
  <c r="AP639" i="3"/>
  <c r="AP640" i="3"/>
  <c r="AP641" i="3"/>
  <c r="AP642" i="3"/>
  <c r="AP645" i="3"/>
  <c r="AP646" i="3"/>
  <c r="AP647" i="3"/>
  <c r="AP648" i="3"/>
  <c r="AP650" i="3"/>
  <c r="AP651" i="3"/>
  <c r="AP652" i="3"/>
  <c r="AP654" i="3"/>
  <c r="AP655" i="3"/>
  <c r="AP656" i="3"/>
  <c r="AP657" i="3"/>
  <c r="AP658" i="3"/>
  <c r="AP660" i="3"/>
  <c r="AP664" i="3"/>
  <c r="AP665" i="3"/>
  <c r="AP668" i="3"/>
  <c r="AP669" i="3"/>
  <c r="AP670" i="3"/>
  <c r="AP672" i="3"/>
  <c r="AP677" i="3"/>
  <c r="AP678" i="3"/>
  <c r="AP679" i="3"/>
  <c r="AP680" i="3"/>
  <c r="AP681" i="3"/>
  <c r="AP683" i="3"/>
  <c r="AP684" i="3"/>
  <c r="AP685" i="3"/>
  <c r="AP686" i="3"/>
  <c r="AP687" i="3"/>
  <c r="AP688" i="3"/>
  <c r="AP689" i="3"/>
  <c r="AP690" i="3"/>
  <c r="AP691" i="3"/>
  <c r="AP692" i="3"/>
  <c r="AP693" i="3"/>
  <c r="AP695" i="3"/>
  <c r="AP698" i="3"/>
  <c r="AP699" i="3"/>
  <c r="AP700" i="3"/>
  <c r="AP701" i="3"/>
  <c r="AP703" i="3"/>
  <c r="AP704" i="3"/>
  <c r="AP705" i="3"/>
  <c r="AP706" i="3"/>
  <c r="AP707" i="3"/>
  <c r="AP709" i="3"/>
  <c r="AP713" i="3"/>
  <c r="AP715" i="3"/>
  <c r="AP716" i="3"/>
  <c r="AP718" i="3"/>
  <c r="AP719" i="3"/>
  <c r="AP720" i="3"/>
  <c r="AP723" i="3"/>
  <c r="AP725" i="3"/>
  <c r="AP726" i="3"/>
  <c r="AP727" i="3"/>
  <c r="AP728" i="3"/>
  <c r="AP729" i="3"/>
  <c r="AP730" i="3"/>
  <c r="AP732" i="3"/>
  <c r="AP733" i="3"/>
  <c r="AP734" i="3"/>
  <c r="AP735" i="3"/>
  <c r="AP736" i="3"/>
  <c r="AP737" i="3"/>
  <c r="AP738" i="3"/>
  <c r="AP739" i="3"/>
  <c r="AP740" i="3"/>
  <c r="AP741" i="3"/>
  <c r="AP743" i="3"/>
  <c r="AP744" i="3"/>
  <c r="AP745" i="3"/>
  <c r="AP746" i="3"/>
  <c r="AP747" i="3"/>
  <c r="AP748" i="3"/>
  <c r="AP749" i="3"/>
  <c r="AO502" i="3"/>
  <c r="AV3" i="1"/>
  <c r="AV4" i="1"/>
  <c r="AV5" i="1"/>
  <c r="AV6" i="1"/>
  <c r="AV7" i="1"/>
  <c r="AV8" i="1"/>
  <c r="AV9" i="1"/>
  <c r="AV10" i="1"/>
  <c r="AV11" i="1"/>
  <c r="AV12" i="1"/>
  <c r="AV13" i="1"/>
  <c r="AV14" i="1"/>
  <c r="AV15" i="1"/>
  <c r="AV16" i="1"/>
  <c r="AV17" i="1"/>
  <c r="AV18" i="1"/>
  <c r="AV19" i="1"/>
  <c r="AV20" i="1"/>
  <c r="AV21" i="1"/>
  <c r="AV22" i="1"/>
  <c r="AV23" i="1"/>
  <c r="AV24" i="1"/>
  <c r="AV25" i="1"/>
  <c r="AV26" i="1"/>
  <c r="AV27" i="1"/>
  <c r="AV28" i="1"/>
  <c r="AV29" i="1"/>
  <c r="AV30" i="1"/>
  <c r="AV31" i="1"/>
  <c r="AV32" i="1"/>
  <c r="AV33" i="1"/>
  <c r="AV34" i="1"/>
  <c r="AV35" i="1"/>
  <c r="AV36" i="1"/>
  <c r="AV37" i="1"/>
  <c r="AV38" i="1"/>
  <c r="AV39" i="1"/>
  <c r="AV40" i="1"/>
  <c r="AV41" i="1"/>
  <c r="AV42" i="1"/>
  <c r="AV43" i="1"/>
  <c r="AV44" i="1"/>
  <c r="AV45" i="1"/>
  <c r="AV46" i="1"/>
  <c r="AV47" i="1"/>
  <c r="AV48" i="1"/>
  <c r="AV49" i="1"/>
  <c r="AV50" i="1"/>
  <c r="AV51" i="1"/>
  <c r="AV52" i="1"/>
  <c r="AV53" i="1"/>
  <c r="AV54" i="1"/>
  <c r="AV55" i="1"/>
  <c r="AV56" i="1"/>
  <c r="AV57" i="1"/>
  <c r="AV58" i="1"/>
  <c r="AV59" i="1"/>
  <c r="AV60" i="1"/>
  <c r="AV61" i="1"/>
  <c r="AV62" i="1"/>
  <c r="AV63" i="1"/>
  <c r="AV64" i="1"/>
  <c r="AV65" i="1"/>
  <c r="AV66" i="1"/>
  <c r="AV67" i="1"/>
  <c r="AV68" i="1"/>
  <c r="AV69" i="1"/>
  <c r="AV70" i="1"/>
  <c r="AV71" i="1"/>
  <c r="AV72" i="1"/>
  <c r="AV73" i="1"/>
  <c r="AV74" i="1"/>
  <c r="AV75" i="1"/>
  <c r="AV76" i="1"/>
  <c r="AV77" i="1"/>
  <c r="AV78" i="1"/>
  <c r="AV79" i="1"/>
  <c r="AV80" i="1"/>
  <c r="AV81" i="1"/>
  <c r="AV82" i="1"/>
  <c r="AV83" i="1"/>
  <c r="AV84" i="1"/>
  <c r="AV85" i="1"/>
  <c r="AV86" i="1"/>
  <c r="AV87" i="1"/>
  <c r="AV88" i="1"/>
  <c r="AV89" i="1"/>
  <c r="AV90" i="1"/>
  <c r="AV91" i="1"/>
  <c r="AV92" i="1"/>
  <c r="AV93" i="1"/>
  <c r="AV94" i="1"/>
  <c r="AV95" i="1"/>
  <c r="AV96" i="1"/>
  <c r="AV97" i="1"/>
  <c r="AV98" i="1"/>
  <c r="AV99" i="1"/>
  <c r="AV100" i="1"/>
  <c r="AV101" i="1"/>
  <c r="AV102" i="1"/>
  <c r="AV103" i="1"/>
  <c r="AV104" i="1"/>
  <c r="AV105" i="1"/>
  <c r="AV106" i="1"/>
  <c r="AV107" i="1"/>
  <c r="AV108" i="1"/>
  <c r="AV109" i="1"/>
  <c r="AV110" i="1"/>
  <c r="AV111" i="1"/>
  <c r="AV112" i="1"/>
  <c r="AV113" i="1"/>
  <c r="AV114" i="1"/>
  <c r="AV115" i="1"/>
  <c r="AV116" i="1"/>
  <c r="AV117" i="1"/>
  <c r="AV118" i="1"/>
  <c r="AV119" i="1"/>
  <c r="AV120" i="1"/>
  <c r="AV121" i="1"/>
  <c r="AV122" i="1"/>
  <c r="AV123" i="1"/>
  <c r="AV124" i="1"/>
  <c r="AV125" i="1"/>
  <c r="AV126" i="1"/>
  <c r="AV127" i="1"/>
  <c r="AV128" i="1"/>
  <c r="AV129" i="1"/>
  <c r="AV130" i="1"/>
  <c r="AV131" i="1"/>
  <c r="AV132" i="1"/>
  <c r="AV133" i="1"/>
  <c r="AV134" i="1"/>
  <c r="AV135" i="1"/>
  <c r="AV136" i="1"/>
  <c r="AV137" i="1"/>
  <c r="AV138" i="1"/>
  <c r="AV139" i="1"/>
  <c r="AV140" i="1"/>
  <c r="AV141" i="1"/>
  <c r="AV142" i="1"/>
  <c r="AV143" i="1"/>
  <c r="AV144" i="1"/>
  <c r="AV145" i="1"/>
  <c r="AV146" i="1"/>
  <c r="AV147" i="1"/>
  <c r="AV148" i="1"/>
  <c r="AV149" i="1"/>
  <c r="AV150" i="1"/>
  <c r="AV151" i="1"/>
  <c r="AV152" i="1"/>
  <c r="AV153" i="1"/>
  <c r="AV154" i="1"/>
  <c r="AV155" i="1"/>
  <c r="AV156" i="1"/>
  <c r="AV157" i="1"/>
  <c r="AV158" i="1"/>
  <c r="AV159" i="1"/>
  <c r="AV160" i="1"/>
  <c r="AV161" i="1"/>
  <c r="AV162" i="1"/>
  <c r="AV163" i="1"/>
  <c r="AV164" i="1"/>
  <c r="AV165" i="1"/>
  <c r="AV166" i="1"/>
  <c r="AV167" i="1"/>
  <c r="AV168" i="1"/>
  <c r="AV169" i="1"/>
  <c r="AV170" i="1"/>
  <c r="AV171" i="1"/>
  <c r="AV172" i="1"/>
  <c r="AV173" i="1"/>
  <c r="AV174" i="1"/>
  <c r="AV175" i="1"/>
  <c r="AV176" i="1"/>
  <c r="AV177" i="1"/>
  <c r="AV178" i="1"/>
  <c r="AV179" i="1"/>
  <c r="AV180" i="1"/>
  <c r="AV181" i="1"/>
  <c r="AV182" i="1"/>
  <c r="AV183" i="1"/>
  <c r="AV184" i="1"/>
  <c r="AV185" i="1"/>
  <c r="AV186" i="1"/>
  <c r="AV187" i="1"/>
  <c r="AV188" i="1"/>
  <c r="AV189" i="1"/>
  <c r="AV190" i="1"/>
  <c r="AV191" i="1"/>
  <c r="AV192" i="1"/>
  <c r="AV193" i="1"/>
  <c r="AV194" i="1"/>
  <c r="AV195" i="1"/>
  <c r="AV196" i="1"/>
  <c r="AV197" i="1"/>
  <c r="AV198" i="1"/>
  <c r="AV199" i="1"/>
  <c r="AV200" i="1"/>
  <c r="AV201" i="1"/>
  <c r="AV202" i="1"/>
  <c r="AV203" i="1"/>
  <c r="AV204" i="1"/>
  <c r="AV205" i="1"/>
  <c r="AV206" i="1"/>
  <c r="AV207" i="1"/>
  <c r="AV208" i="1"/>
  <c r="AV209" i="1"/>
  <c r="AV210" i="1"/>
  <c r="AV211" i="1"/>
  <c r="AV212" i="1"/>
  <c r="AV213" i="1"/>
  <c r="AV214" i="1"/>
  <c r="AV215" i="1"/>
  <c r="AV216" i="1"/>
  <c r="AV217" i="1"/>
  <c r="AV218" i="1"/>
  <c r="AV219" i="1"/>
  <c r="AV220" i="1"/>
  <c r="AV221" i="1"/>
  <c r="AV222" i="1"/>
  <c r="AV223" i="1"/>
  <c r="AV224" i="1"/>
  <c r="AV225" i="1"/>
  <c r="AV226" i="1"/>
  <c r="AV227" i="1"/>
  <c r="AV228" i="1"/>
  <c r="AV229" i="1"/>
  <c r="AV230" i="1"/>
  <c r="AV231" i="1"/>
  <c r="AV232" i="1"/>
  <c r="AV233" i="1"/>
  <c r="AV234" i="1"/>
  <c r="AV235" i="1"/>
  <c r="AV236" i="1"/>
  <c r="AV237" i="1"/>
  <c r="AV238" i="1"/>
  <c r="AV239" i="1"/>
  <c r="AV240" i="1"/>
  <c r="AV241" i="1"/>
  <c r="AV242" i="1"/>
  <c r="AV243" i="1"/>
  <c r="AV244" i="1"/>
  <c r="AV245" i="1"/>
  <c r="AV246" i="1"/>
  <c r="AV247" i="1"/>
  <c r="AV248" i="1"/>
  <c r="AV249" i="1"/>
  <c r="AV250" i="1"/>
  <c r="AV251" i="1"/>
  <c r="AV252" i="1"/>
  <c r="AV253" i="1"/>
  <c r="AV254" i="1"/>
  <c r="AV255" i="1"/>
  <c r="AV256" i="1"/>
  <c r="AV257" i="1"/>
  <c r="AV258" i="1"/>
  <c r="AV259" i="1"/>
  <c r="AV260" i="1"/>
  <c r="AV261" i="1"/>
  <c r="AV262" i="1"/>
  <c r="AV263" i="1"/>
  <c r="AV264" i="1"/>
  <c r="AV265" i="1"/>
  <c r="AV266" i="1"/>
  <c r="AV267" i="1"/>
  <c r="AV268" i="1"/>
  <c r="AV269" i="1"/>
  <c r="AV270" i="1"/>
  <c r="AV271" i="1"/>
  <c r="AV272" i="1"/>
  <c r="AV273" i="1"/>
  <c r="AV274" i="1"/>
  <c r="AV275" i="1"/>
  <c r="AV276" i="1"/>
  <c r="AV277" i="1"/>
  <c r="AV278" i="1"/>
  <c r="AV279" i="1"/>
  <c r="AV280" i="1"/>
  <c r="AV281" i="1"/>
  <c r="AV282" i="1"/>
  <c r="AV283" i="1"/>
  <c r="AV284" i="1"/>
  <c r="AV285" i="1"/>
  <c r="AV286" i="1"/>
  <c r="AV287" i="1"/>
  <c r="AV288" i="1"/>
  <c r="AV289" i="1"/>
  <c r="AV290" i="1"/>
  <c r="AV291" i="1"/>
  <c r="AV292" i="1"/>
  <c r="AV293" i="1"/>
  <c r="AV294" i="1"/>
  <c r="AV295" i="1"/>
  <c r="AV296" i="1"/>
  <c r="AV297" i="1"/>
  <c r="AV298" i="1"/>
  <c r="AV299" i="1"/>
  <c r="AV300" i="1"/>
  <c r="AV301" i="1"/>
  <c r="AV302" i="1"/>
  <c r="AV303" i="1"/>
  <c r="AV304" i="1"/>
  <c r="AV305" i="1"/>
  <c r="AV306" i="1"/>
  <c r="AV307" i="1"/>
  <c r="AV308" i="1"/>
  <c r="AV309" i="1"/>
  <c r="AV310" i="1"/>
  <c r="AV311" i="1"/>
  <c r="AV312" i="1"/>
  <c r="AV313" i="1"/>
  <c r="AV314" i="1"/>
  <c r="AV315" i="1"/>
  <c r="AV316" i="1"/>
  <c r="AV317" i="1"/>
  <c r="AV318" i="1"/>
  <c r="AV319" i="1"/>
  <c r="AV320" i="1"/>
  <c r="AV321" i="1"/>
  <c r="AV322" i="1"/>
  <c r="AV323" i="1"/>
  <c r="AV324" i="1"/>
  <c r="AV325" i="1"/>
  <c r="AV326" i="1"/>
  <c r="AV327" i="1"/>
  <c r="AV328" i="1"/>
  <c r="AV329" i="1"/>
  <c r="AV330" i="1"/>
  <c r="AV331" i="1"/>
  <c r="AV332" i="1"/>
  <c r="AV333" i="1"/>
  <c r="AV334" i="1"/>
  <c r="AV335" i="1"/>
  <c r="AV336" i="1"/>
  <c r="AV337" i="1"/>
  <c r="AV338" i="1"/>
  <c r="AV339" i="1"/>
  <c r="AV340" i="1"/>
  <c r="AV341" i="1"/>
  <c r="AV342" i="1"/>
  <c r="AV343" i="1"/>
  <c r="AV344" i="1"/>
  <c r="AV345" i="1"/>
  <c r="AV346" i="1"/>
  <c r="AV347" i="1"/>
  <c r="AV348" i="1"/>
  <c r="AV349" i="1"/>
  <c r="AV350" i="1"/>
  <c r="AV351" i="1"/>
  <c r="AV352" i="1"/>
  <c r="AV353" i="1"/>
  <c r="AV354" i="1"/>
  <c r="AV355" i="1"/>
  <c r="AV356" i="1"/>
  <c r="AV357" i="1"/>
  <c r="AV358" i="1"/>
  <c r="AV359" i="1"/>
  <c r="AV360" i="1"/>
  <c r="AV361" i="1"/>
  <c r="AV362" i="1"/>
  <c r="AV363" i="1"/>
  <c r="AV364" i="1"/>
  <c r="AV365" i="1"/>
  <c r="AV366" i="1"/>
  <c r="AV367" i="1"/>
  <c r="AV368" i="1"/>
  <c r="AV369" i="1"/>
  <c r="AV370" i="1"/>
  <c r="AV371" i="1"/>
  <c r="AV372" i="1"/>
  <c r="AV373" i="1"/>
  <c r="AV374" i="1"/>
  <c r="AV375" i="1"/>
  <c r="AV376" i="1"/>
  <c r="AV377" i="1"/>
  <c r="AV378" i="1"/>
  <c r="AV379" i="1"/>
  <c r="AV380" i="1"/>
  <c r="AV381" i="1"/>
  <c r="AV382" i="1"/>
  <c r="AV383" i="1"/>
  <c r="AV384" i="1"/>
  <c r="AV385" i="1"/>
  <c r="AV386" i="1"/>
  <c r="AV387" i="1"/>
  <c r="AV388" i="1"/>
  <c r="AV389" i="1"/>
  <c r="AV390" i="1"/>
  <c r="AV391" i="1"/>
  <c r="AV392" i="1"/>
  <c r="AV393" i="1"/>
  <c r="AV394" i="1"/>
  <c r="AV395" i="1"/>
  <c r="AV396" i="1"/>
  <c r="AV397" i="1"/>
  <c r="AV398" i="1"/>
  <c r="AV399" i="1"/>
  <c r="AV400" i="1"/>
  <c r="AV401" i="1"/>
  <c r="AV402" i="1"/>
  <c r="AV403" i="1"/>
  <c r="AV404" i="1"/>
  <c r="AV405" i="1"/>
  <c r="AV406" i="1"/>
  <c r="AV407" i="1"/>
  <c r="AV408" i="1"/>
  <c r="AV409" i="1"/>
  <c r="AV410" i="1"/>
  <c r="AV411" i="1"/>
  <c r="AV412" i="1"/>
  <c r="AV413" i="1"/>
  <c r="AV414" i="1"/>
  <c r="AV415" i="1"/>
  <c r="AV416" i="1"/>
  <c r="AV417" i="1"/>
  <c r="AV418" i="1"/>
  <c r="AV419" i="1"/>
  <c r="AV420" i="1"/>
  <c r="AV421" i="1"/>
  <c r="AV422" i="1"/>
  <c r="AV423" i="1"/>
  <c r="AV424" i="1"/>
  <c r="AV425" i="1"/>
  <c r="AV426" i="1"/>
  <c r="AV427" i="1"/>
  <c r="AV428" i="1"/>
  <c r="AV429" i="1"/>
  <c r="AV430" i="1"/>
  <c r="AV431" i="1"/>
  <c r="AV432" i="1"/>
  <c r="AV433" i="1"/>
  <c r="AV434" i="1"/>
  <c r="AV435" i="1"/>
  <c r="AV436" i="1"/>
  <c r="AV437" i="1"/>
  <c r="AV438" i="1"/>
  <c r="AV439" i="1"/>
  <c r="AV440" i="1"/>
  <c r="AV441" i="1"/>
  <c r="AV442" i="1"/>
  <c r="AV443" i="1"/>
  <c r="AV444" i="1"/>
  <c r="AV445" i="1"/>
  <c r="AV446" i="1"/>
  <c r="AV447" i="1"/>
  <c r="AV448" i="1"/>
  <c r="AV449" i="1"/>
  <c r="AV450" i="1"/>
  <c r="AV451" i="1"/>
  <c r="AV452" i="1"/>
  <c r="AV453" i="1"/>
  <c r="AV454" i="1"/>
  <c r="AV455" i="1"/>
  <c r="AV456" i="1"/>
  <c r="AV457" i="1"/>
  <c r="AV458" i="1"/>
  <c r="AV459" i="1"/>
  <c r="AV460" i="1"/>
  <c r="AV461" i="1"/>
  <c r="AV462" i="1"/>
  <c r="AV463" i="1"/>
  <c r="AV464" i="1"/>
  <c r="AV465" i="1"/>
  <c r="AV466" i="1"/>
  <c r="AV467" i="1"/>
  <c r="AV468" i="1"/>
  <c r="AV469" i="1"/>
  <c r="AV470" i="1"/>
  <c r="AV471" i="1"/>
  <c r="AV472" i="1"/>
  <c r="AV473" i="1"/>
  <c r="AV474" i="1"/>
  <c r="AV475" i="1"/>
  <c r="AV476" i="1"/>
  <c r="AV477" i="1"/>
  <c r="AV478" i="1"/>
  <c r="AV479" i="1"/>
  <c r="AV480" i="1"/>
  <c r="AV481" i="1"/>
  <c r="AV482" i="1"/>
  <c r="AV483" i="1"/>
  <c r="AV484" i="1"/>
  <c r="AV485" i="1"/>
  <c r="AV486" i="1"/>
  <c r="AV487" i="1"/>
  <c r="AV488" i="1"/>
  <c r="AV489" i="1"/>
  <c r="AV490" i="1"/>
  <c r="AV491" i="1"/>
  <c r="AV492" i="1"/>
  <c r="AV493" i="1"/>
  <c r="AV494" i="1"/>
  <c r="AV495" i="1"/>
  <c r="AV496" i="1"/>
  <c r="AV497" i="1"/>
  <c r="AV498" i="1"/>
  <c r="AV499" i="1"/>
  <c r="AV500" i="1"/>
  <c r="AV501" i="1"/>
  <c r="AV502" i="1"/>
  <c r="AV503" i="1"/>
  <c r="AV504" i="1"/>
  <c r="AV505" i="1"/>
  <c r="AV506" i="1"/>
  <c r="AV507" i="1"/>
  <c r="AV508" i="1"/>
  <c r="AV509" i="1"/>
  <c r="AV510" i="1"/>
  <c r="AV511" i="1"/>
  <c r="AV512" i="1"/>
  <c r="AV513" i="1"/>
  <c r="AV514" i="1"/>
  <c r="AV515" i="1"/>
  <c r="AV516" i="1"/>
  <c r="AV517" i="1"/>
  <c r="AV518" i="1"/>
  <c r="AV519" i="1"/>
  <c r="AV520" i="1"/>
  <c r="AV521" i="1"/>
  <c r="AV522" i="1"/>
  <c r="AV523" i="1"/>
  <c r="AV524" i="1"/>
  <c r="AV525" i="1"/>
  <c r="AV526" i="1"/>
  <c r="AV527" i="1"/>
  <c r="AV528" i="1"/>
  <c r="AV529" i="1"/>
  <c r="AV530" i="1"/>
  <c r="AV531" i="1"/>
  <c r="AV532" i="1"/>
  <c r="AV533" i="1"/>
  <c r="AV534" i="1"/>
  <c r="AV535" i="1"/>
  <c r="AV536" i="1"/>
  <c r="AV537" i="1"/>
  <c r="AV538" i="1"/>
  <c r="AV539" i="1"/>
  <c r="AV540" i="1"/>
  <c r="AV541" i="1"/>
  <c r="AV542" i="1"/>
  <c r="AV543" i="1"/>
  <c r="AV544" i="1"/>
  <c r="AV545" i="1"/>
  <c r="AV546" i="1"/>
  <c r="AV547" i="1"/>
  <c r="AV548" i="1"/>
  <c r="AV549" i="1"/>
  <c r="AV550" i="1"/>
  <c r="AV551" i="1"/>
  <c r="AV552" i="1"/>
  <c r="AV553" i="1"/>
  <c r="AV554" i="1"/>
  <c r="AV555" i="1"/>
  <c r="AV556" i="1"/>
  <c r="AV557" i="1"/>
  <c r="AV558" i="1"/>
  <c r="AV559" i="1"/>
  <c r="AV560" i="1"/>
  <c r="AV561" i="1"/>
  <c r="AV562" i="1"/>
  <c r="AV563" i="1"/>
  <c r="AV564" i="1"/>
  <c r="AV565" i="1"/>
  <c r="AV566" i="1"/>
  <c r="AV567" i="1"/>
  <c r="AV568" i="1"/>
  <c r="AV569" i="1"/>
  <c r="AV570" i="1"/>
  <c r="AV571" i="1"/>
  <c r="AV572" i="1"/>
  <c r="AV573" i="1"/>
  <c r="AV574" i="1"/>
  <c r="AV575" i="1"/>
  <c r="AV576" i="1"/>
  <c r="AV577" i="1"/>
  <c r="AV578" i="1"/>
  <c r="AV579" i="1"/>
  <c r="AV580" i="1"/>
  <c r="AV581" i="1"/>
  <c r="AV582" i="1"/>
  <c r="AV583" i="1"/>
  <c r="AV584" i="1"/>
  <c r="AV585" i="1"/>
  <c r="AV586" i="1"/>
  <c r="AV587" i="1"/>
  <c r="AV588" i="1"/>
  <c r="AV589" i="1"/>
  <c r="AV590" i="1"/>
  <c r="AV591" i="1"/>
  <c r="AV592" i="1"/>
  <c r="AV593" i="1"/>
  <c r="AV594" i="1"/>
  <c r="AV595" i="1"/>
  <c r="AV596" i="1"/>
  <c r="AV597" i="1"/>
  <c r="AV598" i="1"/>
  <c r="AV599" i="1"/>
  <c r="AV600" i="1"/>
  <c r="AV601" i="1"/>
  <c r="AV602" i="1"/>
  <c r="AV603" i="1"/>
  <c r="AV604" i="1"/>
  <c r="AV605" i="1"/>
  <c r="AV606" i="1"/>
  <c r="AV607" i="1"/>
  <c r="AV608" i="1"/>
  <c r="AV609" i="1"/>
  <c r="AV610" i="1"/>
  <c r="AV611" i="1"/>
  <c r="AV612" i="1"/>
  <c r="AV613" i="1"/>
  <c r="AV614" i="1"/>
  <c r="AV615" i="1"/>
  <c r="AV616" i="1"/>
  <c r="AV617" i="1"/>
  <c r="AV618" i="1"/>
  <c r="AV619" i="1"/>
  <c r="AV620" i="1"/>
  <c r="AV621" i="1"/>
  <c r="AV622" i="1"/>
  <c r="AV623" i="1"/>
  <c r="AV624" i="1"/>
  <c r="AV625" i="1"/>
  <c r="AV626" i="1"/>
  <c r="AV627" i="1"/>
  <c r="AV628" i="1"/>
  <c r="AV629" i="1"/>
  <c r="AV630" i="1"/>
  <c r="AV631" i="1"/>
  <c r="AV632" i="1"/>
  <c r="AV633" i="1"/>
  <c r="AV634" i="1"/>
  <c r="AV635" i="1"/>
  <c r="AV636" i="1"/>
  <c r="AV637" i="1"/>
  <c r="AV638" i="1"/>
  <c r="AV639" i="1"/>
  <c r="AV640" i="1"/>
  <c r="AV641" i="1"/>
  <c r="AV642" i="1"/>
  <c r="AV643" i="1"/>
  <c r="AV644" i="1"/>
  <c r="AV645" i="1"/>
  <c r="AV646" i="1"/>
  <c r="AV647" i="1"/>
  <c r="AV648" i="1"/>
  <c r="AV649" i="1"/>
  <c r="AV650" i="1"/>
  <c r="AV651" i="1"/>
  <c r="AV652" i="1"/>
  <c r="AV653" i="1"/>
  <c r="AV654" i="1"/>
  <c r="AV655" i="1"/>
  <c r="AV656" i="1"/>
  <c r="AV657" i="1"/>
  <c r="AV658" i="1"/>
  <c r="AV659" i="1"/>
  <c r="AV660" i="1"/>
  <c r="AV661" i="1"/>
  <c r="AV662" i="1"/>
  <c r="AV663" i="1"/>
  <c r="AV664" i="1"/>
  <c r="AV665" i="1"/>
  <c r="AV666" i="1"/>
  <c r="AV667" i="1"/>
  <c r="AV668" i="1"/>
  <c r="AV669" i="1"/>
  <c r="AV670" i="1"/>
  <c r="AV671" i="1"/>
  <c r="AV672" i="1"/>
  <c r="AV673" i="1"/>
  <c r="AV674" i="1"/>
  <c r="AV675" i="1"/>
  <c r="AV676" i="1"/>
  <c r="AV677" i="1"/>
  <c r="AV678" i="1"/>
  <c r="AV679" i="1"/>
  <c r="AV680" i="1"/>
  <c r="AV681" i="1"/>
  <c r="AV682" i="1"/>
  <c r="AV683" i="1"/>
  <c r="AV684" i="1"/>
  <c r="AV685" i="1"/>
  <c r="AV686" i="1"/>
  <c r="AV687" i="1"/>
  <c r="AV688" i="1"/>
  <c r="AV689" i="1"/>
  <c r="AV690" i="1"/>
  <c r="AV691" i="1"/>
  <c r="AV692" i="1"/>
  <c r="AV693" i="1"/>
  <c r="AV694" i="1"/>
  <c r="AV695" i="1"/>
  <c r="AV696" i="1"/>
  <c r="AV697" i="1"/>
  <c r="AV698" i="1"/>
  <c r="AV699" i="1"/>
  <c r="AV700" i="1"/>
  <c r="AV701" i="1"/>
  <c r="AV702" i="1"/>
  <c r="AV703" i="1"/>
  <c r="AV704" i="1"/>
  <c r="AV705" i="1"/>
  <c r="AV706" i="1"/>
  <c r="AV707" i="1"/>
  <c r="AV708" i="1"/>
  <c r="AV709" i="1"/>
  <c r="AV710" i="1"/>
  <c r="AV711" i="1"/>
  <c r="AV712" i="1"/>
  <c r="AV713" i="1"/>
  <c r="AV714" i="1"/>
  <c r="AV715" i="1"/>
  <c r="AV716" i="1"/>
  <c r="AV717" i="1"/>
  <c r="AV718" i="1"/>
  <c r="AV719" i="1"/>
  <c r="AV720" i="1"/>
  <c r="AV721" i="1"/>
  <c r="AV722" i="1"/>
  <c r="AV723" i="1"/>
  <c r="AV724" i="1"/>
  <c r="AV725" i="1"/>
  <c r="AV726" i="1"/>
  <c r="AV727" i="1"/>
  <c r="AV728" i="1"/>
  <c r="AV729" i="1"/>
  <c r="AV730" i="1"/>
  <c r="AV731" i="1"/>
  <c r="AV732" i="1"/>
  <c r="AV733" i="1"/>
  <c r="AV734" i="1"/>
  <c r="AV735" i="1"/>
  <c r="AV736" i="1"/>
  <c r="AV737" i="1"/>
  <c r="AV738" i="1"/>
  <c r="AV739" i="1"/>
  <c r="AV740" i="1"/>
  <c r="AV741" i="1"/>
  <c r="AV742" i="1"/>
  <c r="AV743" i="1"/>
  <c r="AV744" i="1"/>
  <c r="AV745" i="1"/>
  <c r="AV746" i="1"/>
  <c r="AV747" i="1"/>
  <c r="AV748" i="1"/>
  <c r="AV749" i="1"/>
  <c r="AV750" i="1"/>
  <c r="AV751" i="1"/>
  <c r="AV752" i="1"/>
  <c r="AV753" i="1"/>
  <c r="AV754" i="1"/>
  <c r="AV755" i="1"/>
  <c r="AV756" i="1"/>
  <c r="AV757" i="1"/>
  <c r="AV758" i="1"/>
  <c r="AV759" i="1"/>
  <c r="AV760" i="1"/>
  <c r="AV761" i="1"/>
  <c r="AV762" i="1"/>
  <c r="AV763" i="1"/>
  <c r="AV764" i="1"/>
  <c r="AV765" i="1"/>
  <c r="AV766" i="1"/>
  <c r="AV767" i="1"/>
  <c r="AV768" i="1"/>
  <c r="AV769" i="1"/>
  <c r="AV770" i="1"/>
  <c r="AV771" i="1"/>
  <c r="AV772" i="1"/>
  <c r="AV773" i="1"/>
  <c r="AV774" i="1"/>
  <c r="AV775" i="1"/>
  <c r="AV776" i="1"/>
  <c r="AV777" i="1"/>
  <c r="AV778" i="1"/>
  <c r="AV779" i="1"/>
  <c r="AV780" i="1"/>
  <c r="AV781" i="1"/>
  <c r="AV782" i="1"/>
  <c r="AV783" i="1"/>
  <c r="AV784" i="1"/>
  <c r="AV785" i="1"/>
  <c r="AV786" i="1"/>
  <c r="AV787" i="1"/>
  <c r="AV788" i="1"/>
  <c r="AV789" i="1"/>
  <c r="AV790" i="1"/>
  <c r="AV791" i="1"/>
  <c r="AV792" i="1"/>
  <c r="AV793" i="1"/>
  <c r="AV794" i="1"/>
  <c r="AV795" i="1"/>
  <c r="AV796" i="1"/>
  <c r="AV797" i="1"/>
  <c r="AV798" i="1"/>
  <c r="AV799" i="1"/>
  <c r="AV800" i="1"/>
  <c r="AV801" i="1"/>
  <c r="AV802" i="1"/>
  <c r="AV803" i="1"/>
  <c r="AV804" i="1"/>
  <c r="AV805" i="1"/>
  <c r="AV806" i="1"/>
  <c r="AV807" i="1"/>
  <c r="AV808" i="1"/>
  <c r="AV809" i="1"/>
  <c r="AV810" i="1"/>
  <c r="AV811" i="1"/>
  <c r="AV812" i="1"/>
  <c r="AV813" i="1"/>
  <c r="AV814" i="1"/>
  <c r="AV815" i="1"/>
  <c r="AV816" i="1"/>
  <c r="AV817" i="1"/>
  <c r="AV818" i="1"/>
  <c r="AV819" i="1"/>
  <c r="AV820" i="1"/>
  <c r="AV821" i="1"/>
  <c r="AV822" i="1"/>
  <c r="AV823" i="1"/>
  <c r="AV824" i="1"/>
  <c r="AV825" i="1"/>
  <c r="AV826" i="1"/>
  <c r="AV827" i="1"/>
  <c r="AV828" i="1"/>
  <c r="AV829" i="1"/>
  <c r="AV830" i="1"/>
  <c r="AV831" i="1"/>
  <c r="AV832" i="1"/>
  <c r="AV833" i="1"/>
  <c r="AV834" i="1"/>
  <c r="AV835" i="1"/>
  <c r="AV836" i="1"/>
  <c r="AV837" i="1"/>
  <c r="AV838" i="1"/>
  <c r="AV839" i="1"/>
  <c r="AV840" i="1"/>
  <c r="AV841" i="1"/>
  <c r="AV842" i="1"/>
  <c r="AV843" i="1"/>
  <c r="AV844" i="1"/>
  <c r="AV845" i="1"/>
  <c r="AV846" i="1"/>
  <c r="AV847" i="1"/>
  <c r="AV848" i="1"/>
  <c r="AV849" i="1"/>
  <c r="AV850" i="1"/>
  <c r="AV851" i="1"/>
  <c r="AV852" i="1"/>
  <c r="AV853" i="1"/>
  <c r="AV854" i="1"/>
  <c r="AV855" i="1"/>
  <c r="AV856" i="1"/>
  <c r="AV857" i="1"/>
  <c r="AV858" i="1"/>
  <c r="AV859" i="1"/>
  <c r="AV860" i="1"/>
  <c r="AV861" i="1"/>
  <c r="AV862" i="1"/>
  <c r="AV863" i="1"/>
  <c r="AV864" i="1"/>
  <c r="AV865" i="1"/>
  <c r="AV866" i="1"/>
  <c r="AV867" i="1"/>
  <c r="AV868" i="1"/>
  <c r="AV869" i="1"/>
  <c r="AV870" i="1"/>
  <c r="AV871" i="1"/>
  <c r="AV872" i="1"/>
  <c r="AV873" i="1"/>
  <c r="AV874" i="1"/>
  <c r="AV875" i="1"/>
  <c r="AV876" i="1"/>
  <c r="AV877" i="1"/>
  <c r="AV878" i="1"/>
  <c r="AV879" i="1"/>
  <c r="AV880" i="1"/>
  <c r="AV881" i="1"/>
  <c r="AV882" i="1"/>
  <c r="AV883" i="1"/>
  <c r="AV884" i="1"/>
  <c r="AV885" i="1"/>
  <c r="AV886" i="1"/>
  <c r="AV887" i="1"/>
  <c r="AV888" i="1"/>
  <c r="AV889" i="1"/>
  <c r="AV890" i="1"/>
  <c r="AV891" i="1"/>
  <c r="AV892" i="1"/>
  <c r="AV893" i="1"/>
  <c r="AV894" i="1"/>
  <c r="AV895" i="1"/>
  <c r="AV896" i="1"/>
  <c r="AV897" i="1"/>
  <c r="AV898" i="1"/>
  <c r="AV899" i="1"/>
  <c r="AV900" i="1"/>
  <c r="AV901" i="1"/>
  <c r="AV902" i="1"/>
  <c r="AV903" i="1"/>
  <c r="AV904" i="1"/>
  <c r="AV905" i="1"/>
  <c r="AV906" i="1"/>
  <c r="AV907" i="1"/>
  <c r="AV908" i="1"/>
  <c r="AV909" i="1"/>
  <c r="AV910" i="1"/>
  <c r="AV911" i="1"/>
  <c r="AV912" i="1"/>
  <c r="AV913" i="1"/>
  <c r="AV914" i="1"/>
  <c r="AV915" i="1"/>
  <c r="AV916" i="1"/>
  <c r="AV917" i="1"/>
  <c r="AV918" i="1"/>
  <c r="AV919" i="1"/>
  <c r="AV920" i="1"/>
  <c r="AV921" i="1"/>
  <c r="AV922" i="1"/>
  <c r="AV923" i="1"/>
  <c r="AV924" i="1"/>
  <c r="AV925" i="1"/>
  <c r="AV926" i="1"/>
  <c r="AV927" i="1"/>
  <c r="AV928" i="1"/>
  <c r="AV929" i="1"/>
  <c r="AV930" i="1"/>
  <c r="AV931" i="1"/>
  <c r="AV932" i="1"/>
  <c r="AV933" i="1"/>
  <c r="AV934" i="1"/>
  <c r="AV935" i="1"/>
  <c r="AV936" i="1"/>
  <c r="AV937" i="1"/>
  <c r="AV938" i="1"/>
  <c r="AV939" i="1"/>
  <c r="AV940" i="1"/>
  <c r="AV941" i="1"/>
  <c r="AV942" i="1"/>
  <c r="AV943" i="1"/>
  <c r="AV944" i="1"/>
  <c r="AV945" i="1"/>
  <c r="AV946" i="1"/>
  <c r="AV947" i="1"/>
  <c r="AV948" i="1"/>
  <c r="AV949" i="1"/>
  <c r="AV950" i="1"/>
  <c r="AV951" i="1"/>
  <c r="AV952" i="1"/>
  <c r="AV953" i="1"/>
  <c r="AV954" i="1"/>
  <c r="AV955" i="1"/>
  <c r="AV956" i="1"/>
  <c r="AV957" i="1"/>
  <c r="AV958" i="1"/>
  <c r="AV959" i="1"/>
  <c r="AV960" i="1"/>
  <c r="AV961" i="1"/>
  <c r="AV962" i="1"/>
  <c r="AV963" i="1"/>
  <c r="AV964" i="1"/>
  <c r="AV965" i="1"/>
  <c r="AV966" i="1"/>
  <c r="AV967" i="1"/>
  <c r="AV968" i="1"/>
  <c r="AV969" i="1"/>
  <c r="AV970" i="1"/>
  <c r="AV971" i="1"/>
  <c r="AV972" i="1"/>
  <c r="AV973" i="1"/>
  <c r="AV974" i="1"/>
  <c r="AV975" i="1"/>
  <c r="AV976" i="1"/>
  <c r="AV977" i="1"/>
  <c r="AV978" i="1"/>
  <c r="AV979" i="1"/>
  <c r="AV980" i="1"/>
  <c r="AV981" i="1"/>
  <c r="AV982" i="1"/>
  <c r="AV983" i="1"/>
  <c r="AV984" i="1"/>
  <c r="AV985" i="1"/>
  <c r="AV986" i="1"/>
  <c r="AV987" i="1"/>
  <c r="AV988" i="1"/>
  <c r="AV989" i="1"/>
  <c r="AV990" i="1"/>
  <c r="AV991" i="1"/>
  <c r="AV992" i="1"/>
  <c r="AV993" i="1"/>
  <c r="AV994" i="1"/>
  <c r="AV995" i="1"/>
  <c r="AV996" i="1"/>
  <c r="AV997" i="1"/>
  <c r="AV998" i="1"/>
  <c r="AV999" i="1"/>
  <c r="AV1000" i="1"/>
  <c r="AV1001" i="1"/>
  <c r="AV1002" i="1"/>
  <c r="AV1003" i="1"/>
  <c r="AV1004" i="1"/>
  <c r="AV1005" i="1"/>
  <c r="AV1006" i="1"/>
  <c r="AV1007" i="1"/>
  <c r="AV1008" i="1"/>
  <c r="AV1009" i="1"/>
  <c r="AV1010" i="1"/>
  <c r="AV1011" i="1"/>
  <c r="AV1012" i="1"/>
  <c r="AV1013" i="1"/>
  <c r="AV1014" i="1"/>
  <c r="AV1015" i="1"/>
  <c r="AV1016" i="1"/>
  <c r="AV1017" i="1"/>
  <c r="AV1018" i="1"/>
  <c r="AV1019" i="1"/>
  <c r="AV1020" i="1"/>
  <c r="AV1021" i="1"/>
  <c r="AV1022" i="1"/>
  <c r="AV1023" i="1"/>
  <c r="AV1024" i="1"/>
  <c r="AV1025" i="1"/>
  <c r="AV1026" i="1"/>
  <c r="AV1027" i="1"/>
  <c r="AV1028" i="1"/>
  <c r="AV1029" i="1"/>
  <c r="AV1030" i="1"/>
  <c r="AV1031" i="1"/>
  <c r="AV1032" i="1"/>
  <c r="AV1033" i="1"/>
  <c r="AV1034" i="1"/>
  <c r="AV1035" i="1"/>
  <c r="AV1036" i="1"/>
  <c r="AV1037" i="1"/>
  <c r="AV1038" i="1"/>
  <c r="AV1039" i="1"/>
  <c r="AV1040" i="1"/>
  <c r="AV1041" i="1"/>
  <c r="AV1042" i="1"/>
  <c r="AV1043" i="1"/>
  <c r="AV1044" i="1"/>
  <c r="AV1045" i="1"/>
  <c r="AV1046" i="1"/>
  <c r="AV1047" i="1"/>
  <c r="AV1048" i="1"/>
  <c r="AV1049" i="1"/>
  <c r="AV1050" i="1"/>
  <c r="AV1051" i="1"/>
  <c r="AV1052" i="1"/>
  <c r="AV1053" i="1"/>
  <c r="AV1054" i="1"/>
  <c r="AV1055" i="1"/>
  <c r="AV1056" i="1"/>
  <c r="AV1057" i="1"/>
  <c r="AV1058" i="1"/>
  <c r="AV1059" i="1"/>
  <c r="AV1060" i="1"/>
  <c r="AV1061" i="1"/>
  <c r="AV1062" i="1"/>
  <c r="AV1063" i="1"/>
  <c r="AV1064" i="1"/>
  <c r="AV1065" i="1"/>
  <c r="AV1066" i="1"/>
  <c r="AV1067" i="1"/>
  <c r="AV1068" i="1"/>
  <c r="AV1069" i="1"/>
  <c r="AV1070" i="1"/>
  <c r="AV1071" i="1"/>
  <c r="AV1072" i="1"/>
  <c r="AV1073" i="1"/>
  <c r="AV1074" i="1"/>
  <c r="AV1075" i="1"/>
  <c r="AV1076" i="1"/>
  <c r="AV1077" i="1"/>
  <c r="AV1078" i="1"/>
  <c r="AV1079" i="1"/>
  <c r="AV1080" i="1"/>
  <c r="AV1081" i="1"/>
  <c r="AV1082" i="1"/>
  <c r="AV1083" i="1"/>
  <c r="AV1084" i="1"/>
  <c r="AV1085" i="1"/>
  <c r="AV1086" i="1"/>
  <c r="AV1087" i="1"/>
  <c r="AV1088" i="1"/>
  <c r="AV1089" i="1"/>
  <c r="AV1090" i="1"/>
  <c r="AV1091" i="1"/>
  <c r="AV1092" i="1"/>
  <c r="AV1093" i="1"/>
  <c r="AV1094" i="1"/>
  <c r="AV1095" i="1"/>
  <c r="AV1096" i="1"/>
  <c r="AV1097" i="1"/>
  <c r="AV1098" i="1"/>
  <c r="AV1099" i="1"/>
  <c r="AV1100" i="1"/>
  <c r="AV1101" i="1"/>
  <c r="AV1102" i="1"/>
  <c r="AV1103" i="1"/>
  <c r="AV1104" i="1"/>
  <c r="AV1105" i="1"/>
  <c r="AV1106" i="1"/>
  <c r="AV1107" i="1"/>
  <c r="AV1108" i="1"/>
  <c r="AV1109" i="1"/>
  <c r="AV1110" i="1"/>
  <c r="AV1111" i="1"/>
  <c r="AV1112" i="1"/>
  <c r="AV1113" i="1"/>
  <c r="AV1114" i="1"/>
  <c r="AV1115" i="1"/>
  <c r="AV1116" i="1"/>
  <c r="AV1117" i="1"/>
  <c r="AV1118" i="1"/>
  <c r="AV1119" i="1"/>
  <c r="AV1120" i="1"/>
  <c r="AV1121" i="1"/>
  <c r="AV1122" i="1"/>
  <c r="AV1123" i="1"/>
  <c r="AV1124" i="1"/>
  <c r="AV1125" i="1"/>
  <c r="AV1126" i="1"/>
  <c r="AV1127" i="1"/>
  <c r="AV1128" i="1"/>
  <c r="AV1129" i="1"/>
  <c r="AV1130" i="1"/>
  <c r="AV1131" i="1"/>
  <c r="AV1132" i="1"/>
  <c r="AV1133" i="1"/>
  <c r="AV1134" i="1"/>
  <c r="AV1135" i="1"/>
  <c r="AV1136" i="1"/>
  <c r="AV1137" i="1"/>
  <c r="AV1138" i="1"/>
  <c r="AV1139" i="1"/>
  <c r="AV1140" i="1"/>
  <c r="AV1141" i="1"/>
  <c r="AV1142" i="1"/>
  <c r="AV1143" i="1"/>
  <c r="AV1144" i="1"/>
  <c r="AV1145" i="1"/>
  <c r="AV1146" i="1"/>
  <c r="AV1147" i="1"/>
  <c r="AV1148" i="1"/>
  <c r="AV1149" i="1"/>
  <c r="AV1150" i="1"/>
  <c r="AV1151" i="1"/>
  <c r="AV1152" i="1"/>
  <c r="AV1153" i="1"/>
  <c r="AV1154" i="1"/>
  <c r="AV1155" i="1"/>
  <c r="AV1156" i="1"/>
  <c r="AV1157" i="1"/>
  <c r="AV1158" i="1"/>
  <c r="AV1159" i="1"/>
  <c r="AV1160" i="1"/>
  <c r="AV1161" i="1"/>
  <c r="AV1162" i="1"/>
  <c r="AV1163" i="1"/>
  <c r="AV1164" i="1"/>
  <c r="AV1165" i="1"/>
  <c r="AV1166" i="1"/>
  <c r="AV1167" i="1"/>
  <c r="AV1168" i="1"/>
  <c r="AV1169" i="1"/>
  <c r="AV1170" i="1"/>
  <c r="AV1171" i="1"/>
  <c r="AV1172" i="1"/>
  <c r="AV1173" i="1"/>
  <c r="AV1174" i="1"/>
  <c r="AV1175" i="1"/>
  <c r="AV1176" i="1"/>
  <c r="AV1177" i="1"/>
  <c r="AV1178" i="1"/>
  <c r="AV1179" i="1"/>
  <c r="AV1180" i="1"/>
  <c r="AV1181" i="1"/>
  <c r="AV1182" i="1"/>
  <c r="AV1183" i="1"/>
  <c r="AV1184" i="1"/>
  <c r="AV1185" i="1"/>
  <c r="AV1186" i="1"/>
  <c r="AV1187" i="1"/>
  <c r="AV1188" i="1"/>
  <c r="AV1189" i="1"/>
  <c r="AV1190" i="1"/>
  <c r="AV1191" i="1"/>
  <c r="AV1192" i="1"/>
  <c r="AV1193" i="1"/>
  <c r="AV1194" i="1"/>
  <c r="AV1195" i="1"/>
  <c r="AV1196" i="1"/>
  <c r="AV1197" i="1"/>
  <c r="AV1198" i="1"/>
  <c r="AV1199" i="1"/>
  <c r="AV1200" i="1"/>
  <c r="AV1201" i="1"/>
  <c r="AV1202" i="1"/>
  <c r="AV1203" i="1"/>
  <c r="AV1204" i="1"/>
  <c r="AV1205" i="1"/>
  <c r="AV1206" i="1"/>
  <c r="AV1207" i="1"/>
  <c r="AV1208" i="1"/>
  <c r="AV1209" i="1"/>
  <c r="AV1210" i="1"/>
  <c r="AV1211" i="1"/>
  <c r="AV1212" i="1"/>
  <c r="AV1213" i="1"/>
  <c r="AV1214" i="1"/>
  <c r="AV1215" i="1"/>
  <c r="AV1216" i="1"/>
  <c r="AV1217" i="1"/>
  <c r="AV1218" i="1"/>
  <c r="AV1219" i="1"/>
  <c r="AV1220" i="1"/>
  <c r="AV1221" i="1"/>
  <c r="AV1222" i="1"/>
  <c r="AV1223" i="1"/>
  <c r="AV1224" i="1"/>
  <c r="AV1225" i="1"/>
  <c r="AV1226" i="1"/>
  <c r="AV1227" i="1"/>
  <c r="AV1228" i="1"/>
  <c r="AV1229" i="1"/>
  <c r="AV1230" i="1"/>
  <c r="AV1231" i="1"/>
  <c r="AV1232" i="1"/>
  <c r="AV1233" i="1"/>
  <c r="AV1234" i="1"/>
  <c r="AV1235" i="1"/>
  <c r="AV1236" i="1"/>
  <c r="AV1237" i="1"/>
  <c r="AV1238" i="1"/>
  <c r="AV1239" i="1"/>
  <c r="AV1240" i="1"/>
  <c r="AV1241" i="1"/>
  <c r="AV1242" i="1"/>
  <c r="AV1243" i="1"/>
  <c r="AV1244" i="1"/>
  <c r="AV1245" i="1"/>
  <c r="AV1246" i="1"/>
  <c r="AV1247" i="1"/>
  <c r="AV1248" i="1"/>
  <c r="AV1249" i="1"/>
  <c r="AV1250" i="1"/>
  <c r="AV1251" i="1"/>
  <c r="AV1252" i="1"/>
  <c r="AV1253" i="1"/>
  <c r="AV1254" i="1"/>
  <c r="AV1255" i="1"/>
  <c r="AV1256" i="1"/>
  <c r="AV1257" i="1"/>
  <c r="AV1258" i="1"/>
  <c r="AV1259" i="1"/>
  <c r="AV1260" i="1"/>
  <c r="AV1261" i="1"/>
  <c r="AV1262" i="1"/>
  <c r="AV1263" i="1"/>
  <c r="AV1264" i="1"/>
  <c r="AV1265" i="1"/>
  <c r="AV1266" i="1"/>
  <c r="AV1267" i="1"/>
  <c r="AV1268" i="1"/>
  <c r="AV1269" i="1"/>
  <c r="AV1270" i="1"/>
  <c r="AV1271" i="1"/>
  <c r="AV1272" i="1"/>
  <c r="AV1273" i="1"/>
  <c r="AV1274" i="1"/>
  <c r="AV1275" i="1"/>
  <c r="AV1276" i="1"/>
  <c r="AV1277" i="1"/>
  <c r="AV1278" i="1"/>
  <c r="AV1279" i="1"/>
  <c r="AV1280" i="1"/>
  <c r="AV1281" i="1"/>
  <c r="AV1282" i="1"/>
  <c r="AV1283" i="1"/>
  <c r="AV1284" i="1"/>
  <c r="AV1285" i="1"/>
  <c r="AV1286" i="1"/>
  <c r="AV1287" i="1"/>
  <c r="AV1288" i="1"/>
  <c r="AV1289" i="1"/>
  <c r="AV1290" i="1"/>
  <c r="AV1291" i="1"/>
  <c r="AV1292" i="1"/>
  <c r="AV1293" i="1"/>
  <c r="AV1294" i="1"/>
  <c r="AV1295" i="1"/>
  <c r="AV1296" i="1"/>
  <c r="AV1297" i="1"/>
  <c r="AV1298" i="1"/>
  <c r="AV1299" i="1"/>
  <c r="AV1300" i="1"/>
  <c r="AV1301" i="1"/>
  <c r="AV1302" i="1"/>
  <c r="AV1303" i="1"/>
  <c r="AV1304" i="1"/>
  <c r="AV1305" i="1"/>
  <c r="AV1306" i="1"/>
  <c r="AV1307" i="1"/>
  <c r="AV1308" i="1"/>
  <c r="AV1309" i="1"/>
  <c r="AV1310" i="1"/>
  <c r="AV1311" i="1"/>
  <c r="AV1312" i="1"/>
  <c r="AV1313" i="1"/>
  <c r="AV1314" i="1"/>
  <c r="AV1315" i="1"/>
  <c r="AV1316" i="1"/>
  <c r="AV1317" i="1"/>
  <c r="AV1318" i="1"/>
  <c r="AV1319" i="1"/>
  <c r="AV1320" i="1"/>
  <c r="AV1321" i="1"/>
  <c r="AV1322" i="1"/>
  <c r="AV1323" i="1"/>
  <c r="AV1324" i="1"/>
  <c r="AV1325" i="1"/>
  <c r="AV1326" i="1"/>
  <c r="AV1327" i="1"/>
  <c r="AV1328" i="1"/>
  <c r="AV1329" i="1"/>
  <c r="AV1330" i="1"/>
  <c r="AV1331" i="1"/>
  <c r="AV1332" i="1"/>
  <c r="AV1333" i="1"/>
  <c r="AV1334" i="1"/>
  <c r="AV1335" i="1"/>
  <c r="AV1336" i="1"/>
  <c r="AV1337" i="1"/>
  <c r="AV1338" i="1"/>
  <c r="AV1339" i="1"/>
  <c r="AV1340" i="1"/>
  <c r="AV1341" i="1"/>
  <c r="AV1342" i="1"/>
  <c r="AV1343" i="1"/>
  <c r="AV1344" i="1"/>
  <c r="AV1345" i="1"/>
  <c r="AV1346" i="1"/>
  <c r="AV1347" i="1"/>
  <c r="AV1348" i="1"/>
  <c r="AV1349" i="1"/>
  <c r="AV1350" i="1"/>
  <c r="AV1351" i="1"/>
  <c r="AV1352" i="1"/>
  <c r="AV1353" i="1"/>
  <c r="AV1354" i="1"/>
  <c r="AV1355" i="1"/>
  <c r="AV1356" i="1"/>
  <c r="AV1357" i="1"/>
  <c r="AV1358" i="1"/>
  <c r="AV1359" i="1"/>
  <c r="AV1360" i="1"/>
  <c r="AV1361" i="1"/>
  <c r="AV1362" i="1"/>
  <c r="AV1363" i="1"/>
  <c r="AV1364" i="1"/>
  <c r="AV1365" i="1"/>
  <c r="AV1366" i="1"/>
  <c r="AV1367" i="1"/>
  <c r="AV1368" i="1"/>
  <c r="AV1369" i="1"/>
  <c r="AV1370" i="1"/>
  <c r="AV1371" i="1"/>
  <c r="AV1372" i="1"/>
  <c r="AV1373" i="1"/>
  <c r="AV1374" i="1"/>
  <c r="AV1375" i="1"/>
  <c r="AV1376" i="1"/>
  <c r="AV1377" i="1"/>
  <c r="AV1378" i="1"/>
  <c r="AV1379" i="1"/>
  <c r="AV1380" i="1"/>
  <c r="AV1381" i="1"/>
  <c r="AV1382" i="1"/>
  <c r="AV1383" i="1"/>
  <c r="AV1384" i="1"/>
  <c r="AV1385" i="1"/>
  <c r="AV1386" i="1"/>
  <c r="AV1387" i="1"/>
  <c r="AV1388" i="1"/>
  <c r="AV1389" i="1"/>
  <c r="AV1390" i="1"/>
  <c r="AV1391" i="1"/>
  <c r="AV1392" i="1"/>
  <c r="AV1393" i="1"/>
  <c r="AV1394" i="1"/>
  <c r="AV1395" i="1"/>
  <c r="AV1396" i="1"/>
  <c r="AV1397" i="1"/>
  <c r="AV1398" i="1"/>
  <c r="AV1399" i="1"/>
  <c r="AV1400" i="1"/>
  <c r="AV1401" i="1"/>
  <c r="AV1402" i="1"/>
  <c r="AV1403" i="1"/>
  <c r="AV1404" i="1"/>
  <c r="AV1405" i="1"/>
  <c r="AV1406" i="1"/>
  <c r="AV1407" i="1"/>
  <c r="AV1408" i="1"/>
  <c r="AV1409" i="1"/>
  <c r="AV1410" i="1"/>
  <c r="AV1411" i="1"/>
  <c r="AV1412" i="1"/>
  <c r="AV1413" i="1"/>
  <c r="AV1414" i="1"/>
  <c r="AV1415" i="1"/>
  <c r="AV1416" i="1"/>
  <c r="AV1417" i="1"/>
  <c r="AV1418" i="1"/>
  <c r="AV1419" i="1"/>
  <c r="AV1420" i="1"/>
  <c r="AV1421" i="1"/>
  <c r="AV1422" i="1"/>
  <c r="AV1423" i="1"/>
  <c r="AV1424" i="1"/>
  <c r="AV1425" i="1"/>
  <c r="AV1426" i="1"/>
  <c r="AV1427" i="1"/>
  <c r="AV1428" i="1"/>
  <c r="AV1429" i="1"/>
  <c r="AV1430" i="1"/>
  <c r="AV1431" i="1"/>
  <c r="AV1432" i="1"/>
  <c r="AV1433" i="1"/>
  <c r="AV1434" i="1"/>
  <c r="AV1435" i="1"/>
  <c r="AV1436" i="1"/>
  <c r="AV1437" i="1"/>
  <c r="AV1438" i="1"/>
  <c r="AV1439" i="1"/>
  <c r="AV1440" i="1"/>
  <c r="AV1441" i="1"/>
  <c r="AV1442" i="1"/>
  <c r="AV1443" i="1"/>
  <c r="AV1444" i="1"/>
  <c r="AV1445" i="1"/>
  <c r="AV1446" i="1"/>
  <c r="AV1447" i="1"/>
  <c r="AV1448" i="1"/>
  <c r="AV1449" i="1"/>
  <c r="AV1450" i="1"/>
  <c r="AV1451" i="1"/>
  <c r="AV1452" i="1"/>
  <c r="AV1453" i="1"/>
  <c r="AV1454" i="1"/>
  <c r="AV1455" i="1"/>
  <c r="AV1456" i="1"/>
  <c r="AV1457" i="1"/>
  <c r="AV1458" i="1"/>
  <c r="AV1459" i="1"/>
  <c r="AV1460" i="1"/>
  <c r="AV1461" i="1"/>
  <c r="AV1462" i="1"/>
  <c r="AV1463" i="1"/>
  <c r="AV1464" i="1"/>
  <c r="AV1465" i="1"/>
  <c r="AV1466" i="1"/>
  <c r="AV1467" i="1"/>
  <c r="AV1468" i="1"/>
  <c r="AV1469" i="1"/>
  <c r="AV1470" i="1"/>
  <c r="AV1471" i="1"/>
  <c r="AV1472" i="1"/>
  <c r="AV1473" i="1"/>
  <c r="AV1474" i="1"/>
  <c r="AV1475" i="1"/>
  <c r="AV1476" i="1"/>
  <c r="AV1477" i="1"/>
  <c r="AV1478" i="1"/>
  <c r="AV1479" i="1"/>
  <c r="AV1480" i="1"/>
  <c r="AV1481" i="1"/>
  <c r="AV1482" i="1"/>
  <c r="AV1483" i="1"/>
  <c r="AV1484" i="1"/>
  <c r="AV1485" i="1"/>
  <c r="AV1486" i="1"/>
  <c r="AV1487" i="1"/>
  <c r="AV1488" i="1"/>
  <c r="AV1489" i="1"/>
  <c r="AV1490" i="1"/>
  <c r="AV1491" i="1"/>
  <c r="AV1492" i="1"/>
  <c r="AV1493" i="1"/>
  <c r="AV1494" i="1"/>
  <c r="AV1495" i="1"/>
  <c r="AV1496" i="1"/>
  <c r="AV1497" i="1"/>
  <c r="AV1498" i="1"/>
  <c r="AV1499" i="1"/>
  <c r="AV1500" i="1"/>
  <c r="AV1501" i="1"/>
  <c r="AV1502" i="1"/>
  <c r="AV1503" i="1"/>
  <c r="AV1504" i="1"/>
  <c r="AV1505" i="1"/>
  <c r="AV1506" i="1"/>
  <c r="AV1507" i="1"/>
  <c r="AV1508" i="1"/>
  <c r="AV1509" i="1"/>
  <c r="AV1510" i="1"/>
  <c r="AV1511" i="1"/>
  <c r="AV1512" i="1"/>
  <c r="AV1513" i="1"/>
  <c r="AV1514" i="1"/>
  <c r="AV1515" i="1"/>
  <c r="AV1516" i="1"/>
  <c r="AV1517" i="1"/>
  <c r="AV1518" i="1"/>
  <c r="AV1519" i="1"/>
  <c r="AV1520" i="1"/>
  <c r="AV1521" i="1"/>
  <c r="AV1522" i="1"/>
  <c r="AV1523" i="1"/>
  <c r="AV1524" i="1"/>
  <c r="AV1525" i="1"/>
  <c r="AV1526" i="1"/>
  <c r="AV1527" i="1"/>
  <c r="AV1528" i="1"/>
  <c r="AV1529" i="1"/>
  <c r="AV1530" i="1"/>
  <c r="AV1531" i="1"/>
  <c r="AV1532" i="1"/>
  <c r="AV1533" i="1"/>
  <c r="AV1534" i="1"/>
  <c r="AV1535" i="1"/>
  <c r="AV1536" i="1"/>
  <c r="AV1537" i="1"/>
  <c r="AV1538" i="1"/>
  <c r="AV1539" i="1"/>
  <c r="AV1540" i="1"/>
  <c r="AV1541" i="1"/>
  <c r="AV1542" i="1"/>
  <c r="AV1543" i="1"/>
  <c r="AV1544" i="1"/>
  <c r="AV1545" i="1"/>
  <c r="AV1546" i="1"/>
  <c r="AV1547" i="1"/>
  <c r="AV1548" i="1"/>
  <c r="AV1549" i="1"/>
  <c r="AV1550" i="1"/>
  <c r="AV1551" i="1"/>
  <c r="AV1552" i="1"/>
  <c r="AV1553" i="1"/>
  <c r="AV1554" i="1"/>
  <c r="AV1555" i="1"/>
  <c r="AV1556" i="1"/>
  <c r="AV1557" i="1"/>
  <c r="AV1558" i="1"/>
  <c r="AV1559" i="1"/>
  <c r="AV1560" i="1"/>
  <c r="AV1561" i="1"/>
  <c r="AV1562" i="1"/>
  <c r="AV1563" i="1"/>
  <c r="AV1564" i="1"/>
  <c r="AV1565" i="1"/>
  <c r="AV1566" i="1"/>
  <c r="AV1567" i="1"/>
  <c r="AV1568" i="1"/>
  <c r="AV1569" i="1"/>
  <c r="AV1570" i="1"/>
  <c r="AV1571" i="1"/>
  <c r="AV1572" i="1"/>
  <c r="AV1573" i="1"/>
  <c r="AV1574" i="1"/>
  <c r="AV1575" i="1"/>
  <c r="AV1576" i="1"/>
  <c r="AV1577" i="1"/>
  <c r="AV1578" i="1"/>
  <c r="AV1579" i="1"/>
  <c r="AV1580" i="1"/>
  <c r="AV1581" i="1"/>
  <c r="AV1582" i="1"/>
  <c r="AV1583" i="1"/>
  <c r="AV1584" i="1"/>
  <c r="AV1585" i="1"/>
  <c r="AV1586" i="1"/>
  <c r="AV1587" i="1"/>
  <c r="AV1588" i="1"/>
  <c r="AV1589" i="1"/>
  <c r="AV1590" i="1"/>
  <c r="AV1591" i="1"/>
  <c r="AV1592" i="1"/>
  <c r="AV1593" i="1"/>
  <c r="AV1594" i="1"/>
  <c r="AV1595" i="1"/>
  <c r="AV1596" i="1"/>
  <c r="AV1597" i="1"/>
  <c r="AV1598" i="1"/>
  <c r="AV1599" i="1"/>
  <c r="AV1600" i="1"/>
  <c r="AV1601" i="1"/>
  <c r="AV1602" i="1"/>
  <c r="AV1603" i="1"/>
  <c r="AV1604" i="1"/>
  <c r="AV1605" i="1"/>
  <c r="AV1606" i="1"/>
  <c r="AV1607" i="1"/>
  <c r="AV1608" i="1"/>
  <c r="AV1609" i="1"/>
  <c r="AV1610" i="1"/>
  <c r="AV1611" i="1"/>
  <c r="AV1612" i="1"/>
  <c r="AV1613" i="1"/>
  <c r="AV1614" i="1"/>
  <c r="AV1615" i="1"/>
  <c r="AV1616" i="1"/>
  <c r="AV1617" i="1"/>
  <c r="AV1618" i="1"/>
  <c r="AV1619" i="1"/>
  <c r="AV1620" i="1"/>
  <c r="AV1621" i="1"/>
  <c r="AV1622" i="1"/>
  <c r="AV1623" i="1"/>
  <c r="AV1624" i="1"/>
  <c r="AV1625" i="1"/>
  <c r="AV1626" i="1"/>
  <c r="AV1627" i="1"/>
  <c r="AV1628" i="1"/>
  <c r="AV1629" i="1"/>
  <c r="AV1630" i="1"/>
  <c r="AV1631" i="1"/>
  <c r="AV1632" i="1"/>
  <c r="AV1633" i="1"/>
  <c r="AV1634" i="1"/>
  <c r="AV1635" i="1"/>
  <c r="AV1636" i="1"/>
  <c r="AV1637" i="1"/>
  <c r="AV1638" i="1"/>
  <c r="AV1639" i="1"/>
  <c r="AV1640" i="1"/>
  <c r="AV1641" i="1"/>
  <c r="AV1642" i="1"/>
  <c r="AV1643" i="1"/>
  <c r="AV1644" i="1"/>
  <c r="AV1645" i="1"/>
  <c r="AV1646" i="1"/>
  <c r="AV1647" i="1"/>
  <c r="AV1648" i="1"/>
  <c r="AV1649" i="1"/>
  <c r="AV1650" i="1"/>
  <c r="AV1651" i="1"/>
  <c r="AV1652" i="1"/>
  <c r="AV1653" i="1"/>
  <c r="AV1654" i="1"/>
  <c r="AV1655" i="1"/>
  <c r="AV1656" i="1"/>
  <c r="AV1657" i="1"/>
  <c r="AV1658" i="1"/>
  <c r="AV1659" i="1"/>
  <c r="AV1660" i="1"/>
  <c r="AV1661" i="1"/>
  <c r="AV1662" i="1"/>
  <c r="AV1663" i="1"/>
  <c r="AV1664" i="1"/>
  <c r="AV1665" i="1"/>
  <c r="AV1666" i="1"/>
  <c r="AV1667" i="1"/>
  <c r="AV1668" i="1"/>
  <c r="AV1669" i="1"/>
  <c r="AV1670" i="1"/>
  <c r="AV1671" i="1"/>
  <c r="AV1672" i="1"/>
  <c r="AV1673" i="1"/>
  <c r="AV1674" i="1"/>
  <c r="AV1675" i="1"/>
  <c r="AV1676" i="1"/>
  <c r="AV1677" i="1"/>
  <c r="AV1678" i="1"/>
  <c r="AV1679" i="1"/>
  <c r="AV1680" i="1"/>
  <c r="AV1681" i="1"/>
  <c r="AV1682" i="1"/>
  <c r="AV1683" i="1"/>
  <c r="AV1684" i="1"/>
  <c r="AV1685" i="1"/>
  <c r="AV1686" i="1"/>
  <c r="AV1687" i="1"/>
  <c r="AV1688" i="1"/>
  <c r="AV1689" i="1"/>
  <c r="AV1690" i="1"/>
  <c r="AV1691" i="1"/>
  <c r="AV1692" i="1"/>
  <c r="AV1693" i="1"/>
  <c r="AV1694" i="1"/>
  <c r="AV1695" i="1"/>
  <c r="AV1696" i="1"/>
  <c r="AV1697" i="1"/>
  <c r="AV1698" i="1"/>
  <c r="AV1699" i="1"/>
  <c r="AV1700" i="1"/>
  <c r="AV1701" i="1"/>
  <c r="AV1702" i="1"/>
  <c r="AV1703" i="1"/>
  <c r="AV1704" i="1"/>
  <c r="AV1705" i="1"/>
  <c r="AV1706" i="1"/>
  <c r="AV1707" i="1"/>
  <c r="AV1708" i="1"/>
  <c r="AV1709" i="1"/>
  <c r="AV1710" i="1"/>
  <c r="AV1711" i="1"/>
  <c r="AV1712" i="1"/>
  <c r="AV1713" i="1"/>
  <c r="AV1714" i="1"/>
  <c r="AV1715" i="1"/>
  <c r="AV1716" i="1"/>
  <c r="AV1717" i="1"/>
  <c r="AV1718" i="1"/>
  <c r="AV1719" i="1"/>
  <c r="AV1720" i="1"/>
  <c r="AV1721" i="1"/>
  <c r="AV1722" i="1"/>
  <c r="AV1723" i="1"/>
  <c r="AV1724" i="1"/>
  <c r="AV1725" i="1"/>
  <c r="AV1726" i="1"/>
  <c r="AV1727" i="1"/>
  <c r="AV1728" i="1"/>
  <c r="AV1729" i="1"/>
  <c r="AV1730" i="1"/>
  <c r="AV1731" i="1"/>
  <c r="AV1732" i="1"/>
  <c r="AV1733" i="1"/>
  <c r="AV1734" i="1"/>
  <c r="AV1735" i="1"/>
  <c r="AV1736" i="1"/>
  <c r="AV1737" i="1"/>
  <c r="AV1738" i="1"/>
  <c r="AV1739" i="1"/>
  <c r="AV1740" i="1"/>
  <c r="AV1741" i="1"/>
  <c r="AV1742" i="1"/>
  <c r="AV1743" i="1"/>
  <c r="AV1744" i="1"/>
  <c r="AV1745" i="1"/>
  <c r="AV1746" i="1"/>
  <c r="AV1747" i="1"/>
  <c r="AV1748" i="1"/>
  <c r="AV1749" i="1"/>
  <c r="AV1750" i="1"/>
  <c r="AV1751" i="1"/>
  <c r="AV1752" i="1"/>
  <c r="AV1753" i="1"/>
  <c r="AV1754" i="1"/>
  <c r="AV1755" i="1"/>
  <c r="AV1756" i="1"/>
  <c r="AV1757" i="1"/>
  <c r="AV1758" i="1"/>
  <c r="AV1759" i="1"/>
  <c r="AV1760" i="1"/>
  <c r="AV1761" i="1"/>
  <c r="AV1762" i="1"/>
  <c r="AV1763" i="1"/>
  <c r="AV1764" i="1"/>
  <c r="AV1765" i="1"/>
  <c r="AV1766" i="1"/>
  <c r="AV1767" i="1"/>
  <c r="AV1768" i="1"/>
  <c r="AV1769" i="1"/>
  <c r="AV1770" i="1"/>
  <c r="AV1771" i="1"/>
  <c r="AV1772" i="1"/>
  <c r="AV1773" i="1"/>
  <c r="AV1774" i="1"/>
  <c r="AV1775" i="1"/>
  <c r="AV1776" i="1"/>
  <c r="AV1777" i="1"/>
  <c r="AV1778" i="1"/>
  <c r="AV1779" i="1"/>
  <c r="AV1780" i="1"/>
  <c r="AV1781" i="1"/>
  <c r="AV1782" i="1"/>
  <c r="AV1783" i="1"/>
  <c r="AV1784" i="1"/>
  <c r="AV1785" i="1"/>
  <c r="AV1786" i="1"/>
  <c r="AV1787" i="1"/>
  <c r="AV1788" i="1"/>
  <c r="AV1789" i="1"/>
  <c r="AV1790" i="1"/>
  <c r="AV1791" i="1"/>
  <c r="AV1792" i="1"/>
  <c r="AV1793" i="1"/>
  <c r="AV1794" i="1"/>
  <c r="AV1795" i="1"/>
  <c r="AV1796" i="1"/>
  <c r="AV1797" i="1"/>
  <c r="AV1798" i="1"/>
  <c r="AV1799" i="1"/>
  <c r="AV1800" i="1"/>
  <c r="AV1801" i="1"/>
  <c r="AV1802" i="1"/>
  <c r="AV1803" i="1"/>
  <c r="AV1804" i="1"/>
  <c r="AV1805" i="1"/>
  <c r="AV1806" i="1"/>
  <c r="AV1807" i="1"/>
  <c r="AV1808" i="1"/>
  <c r="AV1809" i="1"/>
  <c r="AV1810" i="1"/>
  <c r="AV1811" i="1"/>
  <c r="AV1812" i="1"/>
  <c r="AV1813" i="1"/>
  <c r="AV1814" i="1"/>
  <c r="AV1815" i="1"/>
  <c r="AV1816" i="1"/>
  <c r="AV1817" i="1"/>
  <c r="AV1818" i="1"/>
  <c r="AV1819" i="1"/>
  <c r="AV1820" i="1"/>
  <c r="AV1821" i="1"/>
  <c r="AV1822" i="1"/>
  <c r="AV1823" i="1"/>
  <c r="AV1824" i="1"/>
  <c r="AV1825" i="1"/>
  <c r="AV1826" i="1"/>
  <c r="AV1827" i="1"/>
  <c r="AV1828" i="1"/>
  <c r="AV1829" i="1"/>
  <c r="AV1830" i="1"/>
  <c r="AV1831" i="1"/>
  <c r="AV1832" i="1"/>
  <c r="AV1833" i="1"/>
  <c r="AV1834" i="1"/>
  <c r="AV1835" i="1"/>
  <c r="AV1836" i="1"/>
  <c r="AV1837" i="1"/>
  <c r="AV1838" i="1"/>
  <c r="AV1839" i="1"/>
  <c r="AV1840" i="1"/>
  <c r="AV1841" i="1"/>
  <c r="AV1842" i="1"/>
  <c r="AV1843" i="1"/>
  <c r="AV1844" i="1"/>
  <c r="AV1845" i="1"/>
  <c r="AV1846" i="1"/>
  <c r="AV1847" i="1"/>
  <c r="AV1848" i="1"/>
  <c r="AV1849" i="1"/>
  <c r="AV1850" i="1"/>
  <c r="AV1851" i="1"/>
  <c r="AV1852" i="1"/>
  <c r="AV1853" i="1"/>
  <c r="AV1854" i="1"/>
  <c r="AV1855" i="1"/>
  <c r="AV1856" i="1"/>
  <c r="AV1857" i="1"/>
  <c r="AV1858" i="1"/>
  <c r="AV1859" i="1"/>
  <c r="AV1860" i="1"/>
  <c r="AV1861" i="1"/>
  <c r="AV1862" i="1"/>
  <c r="AV1863" i="1"/>
  <c r="AV1864" i="1"/>
  <c r="AV1865" i="1"/>
  <c r="AV1866" i="1"/>
  <c r="AV1867" i="1"/>
  <c r="AV1868" i="1"/>
  <c r="AV1869" i="1"/>
  <c r="AV1870" i="1"/>
  <c r="AV1871" i="1"/>
  <c r="AV1872" i="1"/>
  <c r="AV1873" i="1"/>
  <c r="AV1874" i="1"/>
  <c r="AV1875" i="1"/>
  <c r="AV1876" i="1"/>
  <c r="AV1877" i="1"/>
  <c r="AV1878" i="1"/>
  <c r="AV1879" i="1"/>
  <c r="AV1880" i="1"/>
  <c r="AV1881" i="1"/>
  <c r="AV1882" i="1"/>
  <c r="AV1883" i="1"/>
  <c r="AV1884" i="1"/>
  <c r="AV1885" i="1"/>
  <c r="AV1886" i="1"/>
  <c r="AV1887" i="1"/>
  <c r="AV1888" i="1"/>
  <c r="AV1889" i="1"/>
  <c r="AV1890" i="1"/>
  <c r="AV1891" i="1"/>
  <c r="AV1892" i="1"/>
  <c r="AV1893" i="1"/>
  <c r="AV1894" i="1"/>
  <c r="AV1895" i="1"/>
  <c r="AV1896" i="1"/>
  <c r="AV1897" i="1"/>
  <c r="AV1898" i="1"/>
  <c r="AV1899" i="1"/>
  <c r="AV1900" i="1"/>
  <c r="AV1901" i="1"/>
  <c r="AV1902" i="1"/>
  <c r="AV1903" i="1"/>
  <c r="AV1904" i="1"/>
  <c r="AV1905" i="1"/>
  <c r="AV1906" i="1"/>
  <c r="AV1907" i="1"/>
  <c r="AV1908" i="1"/>
  <c r="AV1909" i="1"/>
  <c r="AV1910" i="1"/>
  <c r="AV1911" i="1"/>
  <c r="AV1912" i="1"/>
  <c r="AV1913" i="1"/>
  <c r="AV1914" i="1"/>
  <c r="AV1915" i="1"/>
  <c r="AV1916" i="1"/>
  <c r="AV1917" i="1"/>
  <c r="AV1918" i="1"/>
  <c r="AV1919" i="1"/>
  <c r="AV1920" i="1"/>
  <c r="AV1921" i="1"/>
  <c r="AV1922" i="1"/>
  <c r="AV1923" i="1"/>
  <c r="AV1924" i="1"/>
  <c r="AV1925" i="1"/>
  <c r="AV1926" i="1"/>
  <c r="AV1927" i="1"/>
  <c r="AV1928" i="1"/>
  <c r="AV1929" i="1"/>
  <c r="AV1930" i="1"/>
  <c r="AV1931" i="1"/>
  <c r="AV1932" i="1"/>
  <c r="AV1933" i="1"/>
  <c r="AV1934" i="1"/>
  <c r="AV1935" i="1"/>
  <c r="AV1936" i="1"/>
  <c r="AV1937" i="1"/>
  <c r="AV1938" i="1"/>
  <c r="AV1939" i="1"/>
  <c r="AV1940" i="1"/>
  <c r="AV1941" i="1"/>
  <c r="AV1942" i="1"/>
  <c r="AV1943" i="1"/>
  <c r="AV1944" i="1"/>
  <c r="AV1945" i="1"/>
  <c r="AV1946" i="1"/>
  <c r="AV1947" i="1"/>
  <c r="AV1948" i="1"/>
  <c r="AV1949" i="1"/>
  <c r="AV1950" i="1"/>
  <c r="AV1951" i="1"/>
  <c r="AV1952" i="1"/>
  <c r="AV1953" i="1"/>
  <c r="AV1954" i="1"/>
  <c r="AV1955" i="1"/>
  <c r="AV1956" i="1"/>
  <c r="AV1957" i="1"/>
  <c r="AV1958" i="1"/>
  <c r="AV1959" i="1"/>
  <c r="AV1960" i="1"/>
  <c r="AV1961" i="1"/>
  <c r="AV1962" i="1"/>
  <c r="AV1963" i="1"/>
  <c r="AV1964" i="1"/>
  <c r="AV1965" i="1"/>
  <c r="AV1966" i="1"/>
  <c r="AV1967" i="1"/>
  <c r="AV1968" i="1"/>
  <c r="AV1969" i="1"/>
  <c r="AV1970" i="1"/>
  <c r="AV1971" i="1"/>
  <c r="AV1972" i="1"/>
  <c r="AV1973" i="1"/>
  <c r="AV1974" i="1"/>
  <c r="AV1975" i="1"/>
  <c r="AV1976" i="1"/>
  <c r="AV1977" i="1"/>
  <c r="AV1978" i="1"/>
  <c r="AV1979" i="1"/>
  <c r="AV1980" i="1"/>
  <c r="AV1981" i="1"/>
  <c r="AV1982" i="1"/>
  <c r="AV1983" i="1"/>
  <c r="AV1984" i="1"/>
  <c r="AV1985" i="1"/>
  <c r="AV1986" i="1"/>
  <c r="AV1987" i="1"/>
  <c r="AV1988" i="1"/>
  <c r="AV1989" i="1"/>
  <c r="AV1990" i="1"/>
  <c r="AV1991" i="1"/>
  <c r="AV1992" i="1"/>
  <c r="AV1993" i="1"/>
  <c r="AV1994" i="1"/>
  <c r="AV1995" i="1"/>
  <c r="AV1996" i="1"/>
  <c r="AV1997" i="1"/>
  <c r="AV1998" i="1"/>
  <c r="AV1999" i="1"/>
  <c r="AV2000" i="1"/>
  <c r="AV2001" i="1"/>
  <c r="AV2002" i="1"/>
  <c r="AV2003" i="1"/>
  <c r="AV2004" i="1"/>
  <c r="AV2005" i="1"/>
  <c r="AV2006" i="1"/>
  <c r="AV2007" i="1"/>
  <c r="AV2008" i="1"/>
  <c r="AV2009" i="1"/>
  <c r="AV2010" i="1"/>
  <c r="AV2011" i="1"/>
  <c r="AV2012" i="1"/>
  <c r="AV2013" i="1"/>
  <c r="AV2014" i="1"/>
  <c r="AV2015" i="1"/>
  <c r="AV2016" i="1"/>
  <c r="AV2017" i="1"/>
  <c r="AV2018" i="1"/>
  <c r="AV2019" i="1"/>
  <c r="AV2020" i="1"/>
  <c r="AV2021" i="1"/>
  <c r="AV2022" i="1"/>
  <c r="AV2023" i="1"/>
  <c r="AV2024" i="1"/>
  <c r="AV2025" i="1"/>
  <c r="AV2026" i="1"/>
  <c r="AV2027" i="1"/>
  <c r="AV2028" i="1"/>
  <c r="AV2029" i="1"/>
  <c r="AV2030" i="1"/>
  <c r="AV2031" i="1"/>
  <c r="AV2032" i="1"/>
  <c r="AV2033" i="1"/>
  <c r="AV2034" i="1"/>
  <c r="AV2035" i="1"/>
  <c r="AV2036" i="1"/>
  <c r="AV2037" i="1"/>
  <c r="AV2038" i="1"/>
  <c r="AV2039" i="1"/>
  <c r="AV2040" i="1"/>
  <c r="AV2041" i="1"/>
  <c r="AV2042" i="1"/>
  <c r="AV2043" i="1"/>
  <c r="AV2044" i="1"/>
  <c r="AV2045" i="1"/>
  <c r="AV2046" i="1"/>
  <c r="AV2047" i="1"/>
  <c r="AV2048" i="1"/>
  <c r="AV2049" i="1"/>
  <c r="AV2050" i="1"/>
  <c r="AV2051" i="1"/>
  <c r="AV2052" i="1"/>
  <c r="AV2053" i="1"/>
  <c r="AV2054" i="1"/>
  <c r="AV2055" i="1"/>
  <c r="AV2056" i="1"/>
  <c r="AV2057" i="1"/>
  <c r="AV2058" i="1"/>
  <c r="AV2059" i="1"/>
  <c r="AV2060" i="1"/>
  <c r="AV2061" i="1"/>
  <c r="AV2062" i="1"/>
  <c r="AV2063" i="1"/>
  <c r="AV2064" i="1"/>
  <c r="AV2065" i="1"/>
  <c r="AV2066" i="1"/>
  <c r="AV2067" i="1"/>
  <c r="AV2068" i="1"/>
  <c r="AV2069" i="1"/>
  <c r="AV2070" i="1"/>
  <c r="AV2071" i="1"/>
  <c r="AV2072" i="1"/>
  <c r="AV2073" i="1"/>
  <c r="AV2074" i="1"/>
  <c r="AV2075" i="1"/>
  <c r="AV2076" i="1"/>
  <c r="AV2077" i="1"/>
  <c r="AV2078" i="1"/>
  <c r="AV2079" i="1"/>
  <c r="AV2080" i="1"/>
  <c r="AV2081" i="1"/>
  <c r="AV2082" i="1"/>
  <c r="AV2083" i="1"/>
  <c r="AV2084" i="1"/>
  <c r="AV2085" i="1"/>
  <c r="AV2086" i="1"/>
  <c r="AV2087" i="1"/>
  <c r="AV2088" i="1"/>
  <c r="AV2089" i="1"/>
  <c r="AV2090" i="1"/>
  <c r="AV2091" i="1"/>
  <c r="AV2092" i="1"/>
  <c r="AV2093" i="1"/>
  <c r="AV2094" i="1"/>
  <c r="AV2095" i="1"/>
  <c r="AV2096" i="1"/>
  <c r="AV2097" i="1"/>
  <c r="AV2098" i="1"/>
  <c r="AV2099" i="1"/>
  <c r="AV2100" i="1"/>
  <c r="AV2101" i="1"/>
  <c r="AV2102" i="1"/>
  <c r="AV2103" i="1"/>
  <c r="AV2104" i="1"/>
  <c r="AV2105" i="1"/>
  <c r="AV2106" i="1"/>
  <c r="AV2107" i="1"/>
  <c r="AV2108" i="1"/>
  <c r="AV2109" i="1"/>
  <c r="AV2110" i="1"/>
  <c r="AV2111" i="1"/>
  <c r="AV2112" i="1"/>
  <c r="AV2113" i="1"/>
  <c r="AV2114" i="1"/>
  <c r="AV2115" i="1"/>
  <c r="AV2116" i="1"/>
  <c r="AV2117" i="1"/>
  <c r="AV2118" i="1"/>
  <c r="AV2119" i="1"/>
  <c r="AV2120" i="1"/>
  <c r="AV2121" i="1"/>
  <c r="AV2122" i="1"/>
  <c r="AV2123" i="1"/>
  <c r="AV2124" i="1"/>
  <c r="AV2125" i="1"/>
  <c r="AV2126" i="1"/>
  <c r="AV2127" i="1"/>
  <c r="AV2128" i="1"/>
  <c r="AV2129" i="1"/>
  <c r="AV2130" i="1"/>
  <c r="AV2131" i="1"/>
  <c r="AV2132" i="1"/>
  <c r="AV2133" i="1"/>
  <c r="AV2134" i="1"/>
  <c r="AV2135" i="1"/>
  <c r="AV2136" i="1"/>
  <c r="AV2137" i="1"/>
  <c r="AV2138" i="1"/>
  <c r="AV2139" i="1"/>
  <c r="AV2140" i="1"/>
  <c r="AV2141" i="1"/>
  <c r="AE3" i="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2"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79"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6"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8"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X3" i="1"/>
  <c r="X4" i="1"/>
  <c r="X5" i="1"/>
  <c r="X6" i="1"/>
  <c r="X7" i="1"/>
  <c r="X8" i="1"/>
  <c r="X9" i="1"/>
  <c r="X10" i="1"/>
  <c r="X15" i="1"/>
  <c r="X16" i="1"/>
  <c r="X17" i="1"/>
  <c r="X18" i="1"/>
  <c r="X19" i="1"/>
  <c r="X20" i="1"/>
  <c r="X21" i="1"/>
  <c r="X22" i="1"/>
  <c r="X23" i="1"/>
  <c r="X54" i="1"/>
  <c r="X57" i="1"/>
  <c r="X63" i="1"/>
  <c r="X64" i="1"/>
  <c r="X67" i="1"/>
  <c r="X69" i="1"/>
  <c r="X70" i="1"/>
  <c r="X71" i="1"/>
  <c r="X72" i="1"/>
  <c r="X73" i="1"/>
  <c r="X74" i="1"/>
  <c r="X75" i="1"/>
  <c r="X77" i="1"/>
  <c r="X78" i="1"/>
  <c r="X79" i="1"/>
  <c r="X80" i="1"/>
  <c r="X82" i="1"/>
  <c r="X87" i="1"/>
  <c r="X88" i="1"/>
  <c r="X95" i="1"/>
  <c r="X98" i="1"/>
  <c r="X99" i="1"/>
  <c r="X115" i="1"/>
  <c r="X117" i="1"/>
  <c r="X118" i="1"/>
  <c r="X119" i="1"/>
  <c r="X122" i="1"/>
  <c r="X124" i="1"/>
  <c r="X127" i="1"/>
  <c r="X132" i="1"/>
  <c r="X134" i="1"/>
  <c r="X138" i="1"/>
  <c r="X141" i="1"/>
  <c r="X148" i="1"/>
  <c r="X150" i="1"/>
  <c r="X153" i="1"/>
  <c r="X154" i="1"/>
  <c r="X155" i="1"/>
  <c r="X156" i="1"/>
  <c r="X158" i="1"/>
  <c r="X170" i="1"/>
  <c r="X171" i="1"/>
  <c r="X172" i="1"/>
  <c r="X173" i="1"/>
  <c r="X174" i="1"/>
  <c r="X175" i="1"/>
  <c r="X176" i="1"/>
  <c r="X181" i="1"/>
  <c r="X182" i="1"/>
  <c r="X183" i="1"/>
  <c r="X184" i="1"/>
  <c r="X185" i="1"/>
  <c r="X186" i="1"/>
  <c r="X187" i="1"/>
  <c r="X188" i="1"/>
  <c r="X189" i="1"/>
  <c r="X190" i="1"/>
  <c r="X191" i="1"/>
  <c r="X192" i="1"/>
  <c r="X193" i="1"/>
  <c r="X194" i="1"/>
  <c r="X195" i="1"/>
  <c r="X196" i="1"/>
  <c r="X197" i="1"/>
  <c r="X198" i="1"/>
  <c r="X199" i="1"/>
  <c r="X200" i="1"/>
  <c r="X201" i="1"/>
  <c r="X202" i="1"/>
  <c r="X203" i="1"/>
  <c r="X206" i="1"/>
  <c r="X207" i="1"/>
  <c r="X208" i="1"/>
  <c r="X209" i="1"/>
  <c r="X211" i="1"/>
  <c r="X212" i="1"/>
  <c r="X213" i="1"/>
  <c r="X214" i="1"/>
  <c r="X215" i="1"/>
  <c r="X216" i="1"/>
  <c r="X217" i="1"/>
  <c r="X218" i="1"/>
  <c r="X220" i="1"/>
  <c r="X221" i="1"/>
  <c r="X222" i="1"/>
  <c r="X223" i="1"/>
  <c r="X224" i="1"/>
  <c r="X225" i="1"/>
  <c r="X226" i="1"/>
  <c r="X227" i="1"/>
  <c r="X228" i="1"/>
  <c r="X229" i="1"/>
  <c r="X231" i="1"/>
  <c r="X232" i="1"/>
  <c r="X234" i="1"/>
  <c r="X235" i="1"/>
  <c r="X236" i="1"/>
  <c r="X23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90" i="1"/>
  <c r="X293" i="1"/>
  <c r="X294" i="1"/>
  <c r="X295" i="1"/>
  <c r="X300" i="1"/>
  <c r="X301" i="1"/>
  <c r="X302" i="1"/>
  <c r="X305" i="1"/>
  <c r="X308" i="1"/>
  <c r="X309" i="1"/>
  <c r="X318" i="1"/>
  <c r="X319" i="1"/>
  <c r="X321" i="1"/>
  <c r="X322" i="1"/>
  <c r="X323" i="1"/>
  <c r="X324" i="1"/>
  <c r="X328" i="1"/>
  <c r="X331" i="1"/>
  <c r="X334" i="1"/>
  <c r="X335" i="1"/>
  <c r="X336" i="1"/>
  <c r="X337" i="1"/>
  <c r="X338" i="1"/>
  <c r="X345" i="1"/>
  <c r="X359" i="1"/>
  <c r="X360" i="1"/>
  <c r="X361" i="1"/>
  <c r="X362" i="1"/>
  <c r="X364" i="1"/>
  <c r="X365" i="1"/>
  <c r="X366" i="1"/>
  <c r="X369" i="1"/>
  <c r="X370" i="1"/>
  <c r="X377" i="1"/>
  <c r="X380" i="1"/>
  <c r="X384" i="1"/>
  <c r="X385" i="1"/>
  <c r="X386" i="1"/>
  <c r="X387" i="1"/>
  <c r="X388" i="1"/>
  <c r="X389" i="1"/>
  <c r="X390" i="1"/>
  <c r="X391" i="1"/>
  <c r="X392" i="1"/>
  <c r="X393" i="1"/>
  <c r="X394" i="1"/>
  <c r="X395" i="1"/>
  <c r="X396" i="1"/>
  <c r="X397" i="1"/>
  <c r="X398" i="1"/>
  <c r="X399" i="1"/>
  <c r="X402" i="1"/>
  <c r="X404" i="1"/>
  <c r="X405" i="1"/>
  <c r="X408" i="1"/>
  <c r="X409" i="1"/>
  <c r="X410" i="1"/>
  <c r="X417" i="1"/>
  <c r="X418" i="1"/>
  <c r="X422" i="1"/>
  <c r="X423" i="1"/>
  <c r="X424" i="1"/>
  <c r="X425" i="1"/>
  <c r="X426" i="1"/>
  <c r="X427" i="1"/>
  <c r="X428"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72" i="1"/>
  <c r="X474" i="1"/>
  <c r="X484" i="1"/>
  <c r="X498" i="1"/>
  <c r="X501" i="1"/>
  <c r="X505" i="1"/>
  <c r="X515" i="1"/>
  <c r="X517" i="1"/>
  <c r="X541" i="1"/>
  <c r="X542" i="1"/>
  <c r="X544" i="1"/>
  <c r="X569" i="1"/>
  <c r="X572" i="1"/>
  <c r="X580" i="1"/>
  <c r="X588" i="1"/>
  <c r="X619" i="1"/>
  <c r="X636" i="1"/>
  <c r="X644" i="1"/>
  <c r="X667" i="1"/>
  <c r="X686" i="1"/>
  <c r="X688" i="1"/>
  <c r="X692" i="1"/>
  <c r="X694" i="1"/>
  <c r="X707" i="1"/>
  <c r="X718" i="1"/>
  <c r="X735" i="1"/>
  <c r="X736" i="1"/>
  <c r="X740" i="1"/>
  <c r="X741" i="1"/>
  <c r="X742" i="1"/>
  <c r="X743" i="1"/>
  <c r="X744" i="1"/>
  <c r="X745" i="1"/>
  <c r="X747" i="1"/>
  <c r="X748" i="1"/>
  <c r="X867" i="1"/>
  <c r="X869" i="1"/>
  <c r="X871" i="1"/>
  <c r="X873" i="1"/>
  <c r="X874" i="1"/>
  <c r="X876" i="1"/>
  <c r="X877" i="1"/>
  <c r="X878" i="1"/>
  <c r="X879" i="1"/>
  <c r="X880" i="1"/>
  <c r="X881" i="1"/>
  <c r="X882" i="1"/>
  <c r="X883" i="1"/>
  <c r="X884" i="1"/>
  <c r="X885" i="1"/>
  <c r="X886" i="1"/>
  <c r="X890" i="1"/>
  <c r="X891" i="1"/>
  <c r="X892" i="1"/>
  <c r="X893" i="1"/>
  <c r="X894" i="1"/>
  <c r="X895" i="1"/>
  <c r="X896" i="1"/>
  <c r="X902" i="1"/>
  <c r="X903" i="1"/>
  <c r="X904" i="1"/>
  <c r="X905" i="1"/>
  <c r="X906" i="1"/>
  <c r="X907" i="1"/>
  <c r="X909" i="1"/>
  <c r="X910" i="1"/>
  <c r="X911" i="1"/>
  <c r="X1071"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41" i="1"/>
  <c r="X1149" i="1"/>
  <c r="X1150" i="1"/>
  <c r="X1173" i="1"/>
  <c r="X1174" i="1"/>
  <c r="X1175" i="1"/>
  <c r="X1180" i="1"/>
  <c r="X1181" i="1"/>
  <c r="X1182" i="1"/>
  <c r="X1223" i="1"/>
  <c r="X1224" i="1"/>
  <c r="X1225" i="1"/>
  <c r="X1226" i="1"/>
  <c r="X1227" i="1"/>
  <c r="X1228" i="1"/>
  <c r="X1229" i="1"/>
  <c r="X1230" i="1"/>
  <c r="X1231" i="1"/>
  <c r="X1232" i="1"/>
  <c r="X1233" i="1"/>
  <c r="X1234" i="1"/>
  <c r="X1238" i="1"/>
  <c r="X1337" i="1"/>
  <c r="X1338" i="1"/>
  <c r="X1339" i="1"/>
  <c r="X1340" i="1"/>
  <c r="X1341" i="1"/>
  <c r="X1342" i="1"/>
  <c r="X1343" i="1"/>
  <c r="X1344" i="1"/>
  <c r="X1345" i="1"/>
  <c r="X1346" i="1"/>
  <c r="X1347" i="1"/>
  <c r="X1361" i="1"/>
  <c r="X1362" i="1"/>
  <c r="X1363" i="1"/>
  <c r="X1364" i="1"/>
  <c r="X1365" i="1"/>
  <c r="X1366" i="1"/>
  <c r="X1367" i="1"/>
  <c r="X1368" i="1"/>
  <c r="X1369" i="1"/>
  <c r="X1370" i="1"/>
  <c r="X1371" i="1"/>
  <c r="X1372" i="1"/>
  <c r="X1374" i="1"/>
  <c r="X1375" i="1"/>
  <c r="X1376" i="1"/>
  <c r="X1377" i="1"/>
  <c r="X1378" i="1"/>
  <c r="X1379" i="1"/>
  <c r="X1380" i="1"/>
  <c r="X1381" i="1"/>
  <c r="X1382" i="1"/>
  <c r="X1383" i="1"/>
  <c r="X1384" i="1"/>
  <c r="X1385" i="1"/>
  <c r="X1386" i="1"/>
  <c r="X1387" i="1"/>
  <c r="X1388" i="1"/>
  <c r="X1392" i="1"/>
  <c r="X1393" i="1"/>
  <c r="X1394" i="1"/>
  <c r="X1395" i="1"/>
  <c r="X1396" i="1"/>
  <c r="X1397" i="1"/>
  <c r="X1398" i="1"/>
  <c r="X1400" i="1"/>
  <c r="X1401" i="1"/>
  <c r="X1404" i="1"/>
  <c r="X1405" i="1"/>
  <c r="X1408" i="1"/>
  <c r="X1410" i="1"/>
  <c r="X1411" i="1"/>
  <c r="X1415" i="1"/>
  <c r="X1416" i="1"/>
  <c r="X1417" i="1"/>
  <c r="X1419" i="1"/>
  <c r="X1420" i="1"/>
  <c r="X1421" i="1"/>
  <c r="X1422" i="1"/>
  <c r="X1423" i="1"/>
  <c r="X1424" i="1"/>
  <c r="X1425" i="1"/>
  <c r="X1426" i="1"/>
  <c r="X1427" i="1"/>
  <c r="X1428" i="1"/>
  <c r="X1429" i="1"/>
  <c r="X1430" i="1"/>
  <c r="X1431" i="1"/>
  <c r="X1432" i="1"/>
  <c r="X1433" i="1"/>
  <c r="X1435" i="1"/>
  <c r="X1436" i="1"/>
  <c r="X1437" i="1"/>
  <c r="X1438" i="1"/>
  <c r="X1439" i="1"/>
  <c r="X1440" i="1"/>
  <c r="X1441" i="1"/>
  <c r="X1442" i="1"/>
  <c r="X1445" i="1"/>
  <c r="X1446" i="1"/>
  <c r="X1454" i="1"/>
  <c r="X1455" i="1"/>
  <c r="X1460" i="1"/>
  <c r="X1461" i="1"/>
  <c r="X1462" i="1"/>
  <c r="X1463" i="1"/>
  <c r="X1464" i="1"/>
  <c r="X1465" i="1"/>
  <c r="X1466" i="1"/>
  <c r="X1467" i="1"/>
  <c r="X1468" i="1"/>
  <c r="X1469" i="1"/>
  <c r="X1470" i="1"/>
  <c r="X1471" i="1"/>
  <c r="X1472" i="1"/>
  <c r="X1473" i="1"/>
  <c r="X1480" i="1"/>
  <c r="X1481" i="1"/>
  <c r="X1482" i="1"/>
  <c r="X1483" i="1"/>
  <c r="X1484" i="1"/>
  <c r="X1485" i="1"/>
  <c r="X1486" i="1"/>
  <c r="X1489" i="1"/>
  <c r="X1490" i="1"/>
  <c r="X1493" i="1"/>
  <c r="X1494" i="1"/>
  <c r="X1507" i="1"/>
  <c r="X1509" i="1"/>
  <c r="X1511" i="1"/>
  <c r="X1517" i="1"/>
  <c r="X1518" i="1"/>
  <c r="X1520" i="1"/>
  <c r="X1533" i="1"/>
  <c r="X1534" i="1"/>
  <c r="X1535" i="1"/>
  <c r="X1536" i="1"/>
  <c r="X1539" i="1"/>
  <c r="X1543" i="1"/>
  <c r="X1546" i="1"/>
  <c r="X1547" i="1"/>
  <c r="X1550" i="1"/>
  <c r="X1551" i="1"/>
  <c r="X1552" i="1"/>
  <c r="X1555" i="1"/>
  <c r="X1556" i="1"/>
  <c r="X1563" i="1"/>
  <c r="X1565" i="1"/>
  <c r="X1566" i="1"/>
  <c r="X1569" i="1"/>
  <c r="X1574" i="1"/>
  <c r="X1579" i="1"/>
  <c r="X1594" i="1"/>
  <c r="X1599" i="1"/>
  <c r="X1603" i="1"/>
  <c r="X1604" i="1"/>
  <c r="X1605" i="1"/>
  <c r="X1614" i="1"/>
  <c r="X1617" i="1"/>
  <c r="X1623" i="1"/>
  <c r="X1624" i="1"/>
  <c r="X1633" i="1"/>
  <c r="X1634" i="1"/>
  <c r="X1636" i="1"/>
  <c r="X1637" i="1"/>
  <c r="X1638" i="1"/>
  <c r="X1639" i="1"/>
  <c r="X1640" i="1"/>
  <c r="X1641" i="1"/>
  <c r="X1642" i="1"/>
  <c r="X1647" i="1"/>
  <c r="X1650" i="1"/>
  <c r="X1652" i="1"/>
  <c r="X1653" i="1"/>
  <c r="X1654" i="1"/>
  <c r="X1660" i="1"/>
  <c r="X1661" i="1"/>
  <c r="X1665" i="1"/>
  <c r="X1671" i="1"/>
  <c r="X1672" i="1"/>
  <c r="X1673" i="1"/>
  <c r="X1674" i="1"/>
  <c r="X1675" i="1"/>
  <c r="X1681" i="1"/>
  <c r="X1682" i="1"/>
  <c r="X1685" i="1"/>
  <c r="X1686" i="1"/>
  <c r="X1688" i="1"/>
  <c r="X1689" i="1"/>
  <c r="X1691" i="1"/>
  <c r="X1692" i="1"/>
  <c r="X1693" i="1"/>
  <c r="X1699" i="1"/>
  <c r="X1700" i="1"/>
  <c r="X1707" i="1"/>
  <c r="X1717" i="1"/>
  <c r="X1718" i="1"/>
  <c r="X1719" i="1"/>
  <c r="X1720" i="1"/>
  <c r="X1721" i="1"/>
  <c r="X1723" i="1"/>
  <c r="X1732" i="1"/>
  <c r="X1735" i="1"/>
  <c r="X1736" i="1"/>
  <c r="X1746" i="1"/>
  <c r="X1749" i="1"/>
  <c r="X1756" i="1"/>
  <c r="X1757" i="1"/>
  <c r="X1762" i="1"/>
  <c r="X1763" i="1"/>
  <c r="X1764" i="1"/>
  <c r="X1765" i="1"/>
  <c r="X1766" i="1"/>
  <c r="X1768" i="1"/>
  <c r="X1769" i="1"/>
  <c r="X1770" i="1"/>
  <c r="X1773" i="1"/>
  <c r="X1777" i="1"/>
  <c r="X1780" i="1"/>
  <c r="X1781" i="1"/>
  <c r="X1782" i="1"/>
  <c r="X1783" i="1"/>
  <c r="X1791" i="1"/>
  <c r="X1793" i="1"/>
  <c r="X1794" i="1"/>
  <c r="X1804" i="1"/>
  <c r="X1808" i="1"/>
  <c r="X1817" i="1"/>
  <c r="X1818" i="1"/>
  <c r="X1819" i="1"/>
  <c r="X1820" i="1"/>
  <c r="X1821" i="1"/>
  <c r="X1822" i="1"/>
  <c r="X1823" i="1"/>
  <c r="X1824" i="1"/>
  <c r="X1825" i="1"/>
  <c r="X1826" i="1"/>
  <c r="X1827" i="1"/>
  <c r="X1830" i="1"/>
  <c r="X1831" i="1"/>
  <c r="X1833" i="1"/>
  <c r="X1835" i="1"/>
  <c r="X1839" i="1"/>
  <c r="X1842" i="1"/>
  <c r="X1843" i="1"/>
  <c r="X1844" i="1"/>
  <c r="X1845" i="1"/>
  <c r="X1846" i="1"/>
  <c r="X1857" i="1"/>
  <c r="X1865" i="1"/>
  <c r="X1866" i="1"/>
  <c r="X1869" i="1"/>
  <c r="X1870" i="1"/>
  <c r="X1871" i="1"/>
  <c r="X1872" i="1"/>
  <c r="X1873" i="1"/>
  <c r="X1874" i="1"/>
  <c r="X1876" i="1"/>
  <c r="X1877" i="1"/>
  <c r="X1878" i="1"/>
  <c r="X1879" i="1"/>
  <c r="X1880" i="1"/>
  <c r="X1886" i="1"/>
  <c r="X1887" i="1"/>
  <c r="X1888" i="1"/>
  <c r="X1889" i="1"/>
  <c r="X1890" i="1"/>
  <c r="X1891" i="1"/>
  <c r="X1892" i="1"/>
  <c r="X1893" i="1"/>
  <c r="X1896" i="1"/>
  <c r="X1897" i="1"/>
  <c r="X1898" i="1"/>
  <c r="X1899" i="1"/>
  <c r="X1901"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8" i="1"/>
  <c r="X1948" i="1"/>
  <c r="X1949" i="1"/>
  <c r="X1955" i="1"/>
  <c r="X1956" i="1"/>
  <c r="X1957" i="1"/>
  <c r="X1960" i="1"/>
  <c r="X1961" i="1"/>
  <c r="X1962" i="1"/>
  <c r="X1963" i="1"/>
  <c r="X1964" i="1"/>
  <c r="X1965" i="1"/>
  <c r="X1966" i="1"/>
  <c r="X1967" i="1"/>
  <c r="X1968" i="1"/>
  <c r="X1969" i="1"/>
  <c r="X1970" i="1"/>
  <c r="X1971" i="1"/>
  <c r="X1972" i="1"/>
  <c r="X1974" i="1"/>
  <c r="X1975" i="1"/>
  <c r="X1976" i="1"/>
  <c r="X1977" i="1"/>
  <c r="X1978" i="1"/>
  <c r="X1979" i="1"/>
  <c r="X1981" i="1"/>
  <c r="X1982" i="1"/>
  <c r="X1983" i="1"/>
  <c r="X1985" i="1"/>
  <c r="X1986" i="1"/>
  <c r="X1990" i="1"/>
  <c r="X1992" i="1"/>
  <c r="X2006" i="1"/>
  <c r="X2007" i="1"/>
  <c r="X2008" i="1"/>
  <c r="X2009" i="1"/>
  <c r="X2010" i="1"/>
  <c r="X2011" i="1"/>
  <c r="X2012" i="1"/>
  <c r="X2013" i="1"/>
  <c r="X2014" i="1"/>
  <c r="X2015" i="1"/>
  <c r="X2016" i="1"/>
  <c r="X2017" i="1"/>
  <c r="X2020" i="1"/>
  <c r="X2021" i="1"/>
  <c r="X2022" i="1"/>
  <c r="X2023" i="1"/>
  <c r="X2024" i="1"/>
  <c r="X2025" i="1"/>
  <c r="X2026" i="1"/>
  <c r="X2027" i="1"/>
  <c r="X2028" i="1"/>
  <c r="X2029" i="1"/>
  <c r="X2035" i="1"/>
  <c r="X2038" i="1"/>
  <c r="X2039" i="1"/>
  <c r="X2040" i="1"/>
  <c r="X2045" i="1"/>
  <c r="X2047" i="1"/>
  <c r="X2048" i="1"/>
  <c r="X2049" i="1"/>
  <c r="X2076" i="1"/>
  <c r="X2077" i="1"/>
  <c r="X2078" i="1"/>
  <c r="X2081" i="1"/>
  <c r="X2085" i="1"/>
  <c r="X2086" i="1"/>
  <c r="X2087" i="1"/>
  <c r="X2088" i="1"/>
  <c r="X2089" i="1"/>
  <c r="X2090" i="1"/>
  <c r="X2091" i="1"/>
  <c r="X2092" i="1"/>
  <c r="X2098" i="1"/>
  <c r="X2101" i="1"/>
  <c r="X2102" i="1"/>
  <c r="X2103" i="1"/>
  <c r="X2106" i="1"/>
  <c r="X2108" i="1"/>
  <c r="X2109" i="1"/>
  <c r="X2110" i="1"/>
  <c r="X2111" i="1"/>
  <c r="X2112" i="1"/>
  <c r="X2113" i="1"/>
  <c r="X2114" i="1"/>
  <c r="X2115" i="1"/>
  <c r="X2116" i="1"/>
  <c r="X2117" i="1"/>
  <c r="X2120" i="1"/>
  <c r="X2121" i="1"/>
  <c r="X2122" i="1"/>
  <c r="X2123" i="1"/>
  <c r="X2124" i="1"/>
  <c r="X2125" i="1"/>
  <c r="X2126" i="1"/>
  <c r="X2127" i="1"/>
  <c r="X2128" i="1"/>
  <c r="X2129" i="1"/>
  <c r="X2131" i="1"/>
  <c r="X2132" i="1"/>
  <c r="X2133" i="1"/>
  <c r="X2134" i="1"/>
  <c r="X2135" i="1"/>
  <c r="X2136" i="1"/>
  <c r="X2137" i="1"/>
  <c r="X2138" i="1"/>
  <c r="X2139" i="1"/>
  <c r="X2140" i="1"/>
  <c r="X2141" i="1"/>
  <c r="B159" i="7" l="1"/>
  <c r="B158" i="7"/>
  <c r="B161" i="7"/>
  <c r="B160" i="7"/>
  <c r="P36" i="7"/>
  <c r="Q36" i="7" s="1"/>
  <c r="P2" i="7"/>
  <c r="B173" i="7"/>
  <c r="B172" i="7"/>
  <c r="B175" i="7"/>
  <c r="B174" i="7"/>
  <c r="R36" i="7"/>
  <c r="S36" i="7" s="1"/>
  <c r="R2" i="7"/>
  <c r="B145" i="7"/>
  <c r="B144" i="7"/>
  <c r="B147" i="7"/>
  <c r="B146" i="7"/>
  <c r="N36" i="7"/>
  <c r="O36" i="7" s="1"/>
  <c r="N2" i="7"/>
  <c r="B131" i="7"/>
  <c r="B130" i="7"/>
  <c r="B117" i="7"/>
  <c r="B116" i="7"/>
  <c r="B133" i="7"/>
  <c r="B132" i="7"/>
  <c r="L36" i="7"/>
  <c r="M36" i="7" s="1"/>
  <c r="L2" i="7"/>
  <c r="B103" i="7"/>
  <c r="B102" i="7"/>
  <c r="B89" i="7"/>
  <c r="B88" i="7"/>
  <c r="B119" i="7"/>
  <c r="B118" i="7"/>
  <c r="J36" i="7"/>
  <c r="K36" i="7" s="1"/>
  <c r="J2" i="7"/>
  <c r="B105" i="7"/>
  <c r="B104" i="7"/>
  <c r="H36" i="7"/>
  <c r="I36" i="7" s="1"/>
  <c r="H2" i="7"/>
  <c r="B91" i="7"/>
  <c r="B90" i="7"/>
  <c r="F36" i="7"/>
  <c r="G36" i="7" s="1"/>
  <c r="F2" i="7"/>
  <c r="B75" i="7"/>
  <c r="B74" i="7"/>
  <c r="B77" i="7"/>
  <c r="B76" i="7"/>
  <c r="T36" i="7"/>
  <c r="T2" i="7"/>
  <c r="X2" i="7" l="1"/>
  <c r="P3" i="7" s="1"/>
  <c r="P4" i="7" s="1"/>
  <c r="P5" i="7" s="1"/>
  <c r="P6" i="7" s="1"/>
  <c r="P7" i="7" s="1"/>
  <c r="P8" i="7" s="1"/>
  <c r="P9" i="7" s="1"/>
  <c r="P10" i="7" s="1"/>
  <c r="P11" i="7" s="1"/>
  <c r="P12" i="7" s="1"/>
  <c r="P13" i="7" s="1"/>
  <c r="P14" i="7" s="1"/>
  <c r="P15" i="7" s="1"/>
  <c r="P16" i="7" s="1"/>
  <c r="P17" i="7" s="1"/>
  <c r="P18" i="7" s="1"/>
  <c r="P19" i="7" s="1"/>
  <c r="P20" i="7" s="1"/>
  <c r="P21" i="7" s="1"/>
  <c r="P22" i="7" s="1"/>
  <c r="P23" i="7" s="1"/>
  <c r="P24" i="7" s="1"/>
  <c r="P25" i="7" s="1"/>
  <c r="P26" i="7" s="1"/>
  <c r="P27" i="7" s="1"/>
  <c r="D36" i="7"/>
  <c r="E36" i="7" s="1"/>
  <c r="D2" i="7"/>
  <c r="U36" i="7"/>
  <c r="P28" i="7" l="1"/>
  <c r="Q3" i="7"/>
  <c r="Q2" i="7"/>
  <c r="R3" i="7"/>
  <c r="R4" i="7" s="1"/>
  <c r="S3" i="7" s="1"/>
  <c r="T3" i="7"/>
  <c r="L3" i="7"/>
  <c r="M2" i="7" s="1"/>
  <c r="N3" i="7"/>
  <c r="H3" i="7"/>
  <c r="J3" i="7"/>
  <c r="D3" i="7"/>
  <c r="D4" i="7" s="1"/>
  <c r="E3" i="7" s="1"/>
  <c r="F3" i="7"/>
  <c r="U2" i="7"/>
  <c r="P29" i="7" l="1"/>
  <c r="P30" i="7" s="1"/>
  <c r="P31" i="7" s="1"/>
  <c r="P32" i="7" s="1"/>
  <c r="P33" i="7" s="1"/>
  <c r="P34" i="7" s="1"/>
  <c r="P35" i="7" s="1"/>
  <c r="Q35" i="7" s="1"/>
  <c r="Q5" i="7"/>
  <c r="Q4" i="7"/>
  <c r="S2" i="7"/>
  <c r="T4" i="7"/>
  <c r="R5" i="7"/>
  <c r="S4" i="7" s="1"/>
  <c r="N4" i="7"/>
  <c r="O2" i="7"/>
  <c r="L4" i="7"/>
  <c r="L5" i="7" s="1"/>
  <c r="L6" i="7" s="1"/>
  <c r="L7" i="7" s="1"/>
  <c r="L8" i="7" s="1"/>
  <c r="L9" i="7" s="1"/>
  <c r="L10" i="7" s="1"/>
  <c r="L11" i="7" s="1"/>
  <c r="L12" i="7" s="1"/>
  <c r="L13" i="7" s="1"/>
  <c r="L14" i="7" s="1"/>
  <c r="L15" i="7" s="1"/>
  <c r="L16" i="7" s="1"/>
  <c r="L17" i="7" s="1"/>
  <c r="L18" i="7" s="1"/>
  <c r="L19" i="7" s="1"/>
  <c r="L20" i="7" s="1"/>
  <c r="L21" i="7" s="1"/>
  <c r="L22" i="7" s="1"/>
  <c r="L23" i="7" s="1"/>
  <c r="L24" i="7" s="1"/>
  <c r="L25" i="7" s="1"/>
  <c r="L26" i="7" s="1"/>
  <c r="L27" i="7" s="1"/>
  <c r="I2" i="7"/>
  <c r="J4" i="7"/>
  <c r="K2" i="7"/>
  <c r="H4" i="7"/>
  <c r="H5" i="7" s="1"/>
  <c r="E2" i="7"/>
  <c r="F4" i="7"/>
  <c r="G2" i="7"/>
  <c r="D5" i="7"/>
  <c r="E4" i="7" s="1"/>
  <c r="U3" i="7"/>
  <c r="L28" i="7" l="1"/>
  <c r="Q6" i="7"/>
  <c r="T5" i="7"/>
  <c r="M3" i="7"/>
  <c r="R6" i="7"/>
  <c r="S5" i="7" s="1"/>
  <c r="I3" i="7"/>
  <c r="N5" i="7"/>
  <c r="O3" i="7"/>
  <c r="M4" i="7"/>
  <c r="M5" i="7"/>
  <c r="M6" i="7"/>
  <c r="J5" i="7"/>
  <c r="K3" i="7"/>
  <c r="H6" i="7"/>
  <c r="I5" i="7" s="1"/>
  <c r="I4" i="7"/>
  <c r="F5" i="7"/>
  <c r="G3" i="7"/>
  <c r="D6" i="7"/>
  <c r="E5" i="7" s="1"/>
  <c r="U4" i="7"/>
  <c r="L29" i="7" l="1"/>
  <c r="L30" i="7" s="1"/>
  <c r="L31" i="7" s="1"/>
  <c r="L32" i="7" s="1"/>
  <c r="L33" i="7" s="1"/>
  <c r="L34" i="7" s="1"/>
  <c r="L35" i="7" s="1"/>
  <c r="M35" i="7" s="1"/>
  <c r="Q7" i="7"/>
  <c r="T6" i="7"/>
  <c r="R7" i="7"/>
  <c r="S6" i="7" s="1"/>
  <c r="N6" i="7"/>
  <c r="O4" i="7"/>
  <c r="M7" i="7"/>
  <c r="J6" i="7"/>
  <c r="K4" i="7"/>
  <c r="H7" i="7"/>
  <c r="I6" i="7" s="1"/>
  <c r="F6" i="7"/>
  <c r="G4" i="7"/>
  <c r="D7" i="7"/>
  <c r="E6" i="7" s="1"/>
  <c r="U5" i="7"/>
  <c r="T7" i="7" l="1"/>
  <c r="R8" i="7"/>
  <c r="N7" i="7"/>
  <c r="O5" i="7"/>
  <c r="M8" i="7"/>
  <c r="J7" i="7"/>
  <c r="K6" i="7" s="1"/>
  <c r="K5" i="7"/>
  <c r="H8" i="7"/>
  <c r="F7" i="7"/>
  <c r="G6" i="7" s="1"/>
  <c r="G5" i="7"/>
  <c r="D8" i="7"/>
  <c r="E7" i="7" s="1"/>
  <c r="U6" i="7"/>
  <c r="Q9" i="7" l="1"/>
  <c r="Q8" i="7"/>
  <c r="T8" i="7"/>
  <c r="R9" i="7"/>
  <c r="S7" i="7"/>
  <c r="N8" i="7"/>
  <c r="O6" i="7"/>
  <c r="M9" i="7"/>
  <c r="J8" i="7"/>
  <c r="K7" i="7" s="1"/>
  <c r="H9" i="7"/>
  <c r="I8" i="7" s="1"/>
  <c r="I7" i="7"/>
  <c r="F8" i="7"/>
  <c r="D9" i="7"/>
  <c r="E8" i="7" s="1"/>
  <c r="U7" i="7"/>
  <c r="Q10" i="7" l="1"/>
  <c r="T9" i="7"/>
  <c r="R10" i="7"/>
  <c r="S9" i="7" s="1"/>
  <c r="S8" i="7"/>
  <c r="N9" i="7"/>
  <c r="O8" i="7" s="1"/>
  <c r="O7" i="7"/>
  <c r="M10" i="7"/>
  <c r="J9" i="7"/>
  <c r="K8" i="7" s="1"/>
  <c r="H10" i="7"/>
  <c r="I9" i="7" s="1"/>
  <c r="F9" i="7"/>
  <c r="G8" i="7" s="1"/>
  <c r="G7" i="7"/>
  <c r="D10" i="7"/>
  <c r="E9" i="7" s="1"/>
  <c r="U8" i="7"/>
  <c r="Q11" i="7" l="1"/>
  <c r="T10" i="7"/>
  <c r="R11" i="7"/>
  <c r="S10" i="7" s="1"/>
  <c r="N10" i="7"/>
  <c r="O9" i="7" s="1"/>
  <c r="M11" i="7"/>
  <c r="J10" i="7"/>
  <c r="K9" i="7" s="1"/>
  <c r="H11" i="7"/>
  <c r="I10" i="7" s="1"/>
  <c r="F10" i="7"/>
  <c r="G9" i="7" s="1"/>
  <c r="D11" i="7"/>
  <c r="E10" i="7" s="1"/>
  <c r="U9" i="7"/>
  <c r="Q12" i="7" l="1"/>
  <c r="T11" i="7"/>
  <c r="R12" i="7"/>
  <c r="S11" i="7" s="1"/>
  <c r="N11" i="7"/>
  <c r="O10" i="7" s="1"/>
  <c r="M12" i="7"/>
  <c r="J11" i="7"/>
  <c r="K10" i="7" s="1"/>
  <c r="H12" i="7"/>
  <c r="I11" i="7" s="1"/>
  <c r="F11" i="7"/>
  <c r="G10" i="7" s="1"/>
  <c r="D12" i="7"/>
  <c r="E11" i="7" s="1"/>
  <c r="U10" i="7"/>
  <c r="Q13" i="7" l="1"/>
  <c r="T12" i="7"/>
  <c r="R13" i="7"/>
  <c r="S12" i="7" s="1"/>
  <c r="N12" i="7"/>
  <c r="O11" i="7" s="1"/>
  <c r="M13" i="7"/>
  <c r="J12" i="7"/>
  <c r="K11" i="7" s="1"/>
  <c r="H13" i="7"/>
  <c r="I12" i="7" s="1"/>
  <c r="F12" i="7"/>
  <c r="G11" i="7" s="1"/>
  <c r="D13" i="7"/>
  <c r="E12" i="7" s="1"/>
  <c r="U11" i="7"/>
  <c r="Q14" i="7" l="1"/>
  <c r="T13" i="7"/>
  <c r="R14" i="7"/>
  <c r="S13" i="7" s="1"/>
  <c r="N13" i="7"/>
  <c r="O12" i="7" s="1"/>
  <c r="M14" i="7"/>
  <c r="J13" i="7"/>
  <c r="K12" i="7" s="1"/>
  <c r="H14" i="7"/>
  <c r="I13" i="7" s="1"/>
  <c r="F13" i="7"/>
  <c r="G12" i="7" s="1"/>
  <c r="D14" i="7"/>
  <c r="E13" i="7" s="1"/>
  <c r="U12" i="7"/>
  <c r="Q15" i="7" l="1"/>
  <c r="T14" i="7"/>
  <c r="R15" i="7"/>
  <c r="N14" i="7"/>
  <c r="O13" i="7" s="1"/>
  <c r="M15" i="7"/>
  <c r="J14" i="7"/>
  <c r="K13" i="7" s="1"/>
  <c r="H15" i="7"/>
  <c r="I14" i="7" s="1"/>
  <c r="F14" i="7"/>
  <c r="G13" i="7" s="1"/>
  <c r="D15" i="7"/>
  <c r="E14" i="7" s="1"/>
  <c r="U13" i="7"/>
  <c r="Q16" i="7" l="1"/>
  <c r="T15" i="7"/>
  <c r="R16" i="7"/>
  <c r="S15" i="7" s="1"/>
  <c r="S14" i="7"/>
  <c r="N15" i="7"/>
  <c r="O14" i="7" s="1"/>
  <c r="M16" i="7"/>
  <c r="J15" i="7"/>
  <c r="K14" i="7" s="1"/>
  <c r="H16" i="7"/>
  <c r="I15" i="7" s="1"/>
  <c r="F15" i="7"/>
  <c r="G14" i="7" s="1"/>
  <c r="D16" i="7"/>
  <c r="E15" i="7" s="1"/>
  <c r="U14" i="7"/>
  <c r="Q17" i="7" l="1"/>
  <c r="T16" i="7"/>
  <c r="R17" i="7"/>
  <c r="N16" i="7"/>
  <c r="O15" i="7" s="1"/>
  <c r="M17" i="7"/>
  <c r="J16" i="7"/>
  <c r="K15" i="7" s="1"/>
  <c r="H17" i="7"/>
  <c r="I16" i="7" s="1"/>
  <c r="F16" i="7"/>
  <c r="G15" i="7" s="1"/>
  <c r="D17" i="7"/>
  <c r="E16" i="7" s="1"/>
  <c r="U15" i="7"/>
  <c r="Q18" i="7" l="1"/>
  <c r="T17" i="7"/>
  <c r="R18" i="7"/>
  <c r="S16" i="7"/>
  <c r="N17" i="7"/>
  <c r="O16" i="7" s="1"/>
  <c r="M18" i="7"/>
  <c r="J17" i="7"/>
  <c r="K16" i="7" s="1"/>
  <c r="H18" i="7"/>
  <c r="I17" i="7" s="1"/>
  <c r="F17" i="7"/>
  <c r="G16" i="7" s="1"/>
  <c r="D18" i="7"/>
  <c r="E17" i="7" s="1"/>
  <c r="U16" i="7"/>
  <c r="Q19" i="7" l="1"/>
  <c r="T18" i="7"/>
  <c r="R19" i="7"/>
  <c r="S18" i="7" s="1"/>
  <c r="S17" i="7"/>
  <c r="N18" i="7"/>
  <c r="O17" i="7" s="1"/>
  <c r="M19" i="7"/>
  <c r="J18" i="7"/>
  <c r="K17" i="7" s="1"/>
  <c r="H19" i="7"/>
  <c r="I18" i="7" s="1"/>
  <c r="F18" i="7"/>
  <c r="G17" i="7" s="1"/>
  <c r="D19" i="7"/>
  <c r="E18" i="7" s="1"/>
  <c r="U17" i="7"/>
  <c r="Q20" i="7" l="1"/>
  <c r="T19" i="7"/>
  <c r="R20" i="7"/>
  <c r="S19" i="7" s="1"/>
  <c r="N19" i="7"/>
  <c r="O18" i="7" s="1"/>
  <c r="M20" i="7"/>
  <c r="J19" i="7"/>
  <c r="K18" i="7" s="1"/>
  <c r="H20" i="7"/>
  <c r="I19" i="7" s="1"/>
  <c r="F19" i="7"/>
  <c r="G18" i="7" s="1"/>
  <c r="D20" i="7"/>
  <c r="E19" i="7" s="1"/>
  <c r="U18" i="7"/>
  <c r="Q21" i="7" l="1"/>
  <c r="T20" i="7"/>
  <c r="R21" i="7"/>
  <c r="S20" i="7" s="1"/>
  <c r="N20" i="7"/>
  <c r="O19" i="7" s="1"/>
  <c r="M21" i="7"/>
  <c r="J20" i="7"/>
  <c r="K19" i="7" s="1"/>
  <c r="H21" i="7"/>
  <c r="I20" i="7" s="1"/>
  <c r="F20" i="7"/>
  <c r="G19" i="7" s="1"/>
  <c r="D21" i="7"/>
  <c r="E20" i="7" s="1"/>
  <c r="U19" i="7"/>
  <c r="T21" i="7" l="1"/>
  <c r="R22" i="7"/>
  <c r="S21" i="7" s="1"/>
  <c r="N21" i="7"/>
  <c r="O20" i="7" s="1"/>
  <c r="M22" i="7"/>
  <c r="J21" i="7"/>
  <c r="K20" i="7" s="1"/>
  <c r="H22" i="7"/>
  <c r="I21" i="7" s="1"/>
  <c r="F21" i="7"/>
  <c r="G20" i="7" s="1"/>
  <c r="D22" i="7"/>
  <c r="E21" i="7" s="1"/>
  <c r="U20" i="7"/>
  <c r="Q22" i="7" l="1"/>
  <c r="T22" i="7"/>
  <c r="R23" i="7"/>
  <c r="S22" i="7" s="1"/>
  <c r="N22" i="7"/>
  <c r="O21" i="7" s="1"/>
  <c r="M23" i="7"/>
  <c r="J22" i="7"/>
  <c r="K21" i="7" s="1"/>
  <c r="H23" i="7"/>
  <c r="I22" i="7" s="1"/>
  <c r="F22" i="7"/>
  <c r="G21" i="7" s="1"/>
  <c r="D23" i="7"/>
  <c r="E22" i="7" s="1"/>
  <c r="U21" i="7"/>
  <c r="Q23" i="7" l="1"/>
  <c r="T23" i="7"/>
  <c r="R24" i="7"/>
  <c r="S23" i="7" s="1"/>
  <c r="N23" i="7"/>
  <c r="O22" i="7" s="1"/>
  <c r="M24" i="7"/>
  <c r="J23" i="7"/>
  <c r="K22" i="7" s="1"/>
  <c r="H24" i="7"/>
  <c r="I23" i="7" s="1"/>
  <c r="F23" i="7"/>
  <c r="G22" i="7" s="1"/>
  <c r="D24" i="7"/>
  <c r="E23" i="7" s="1"/>
  <c r="U22" i="7"/>
  <c r="Q24" i="7" l="1"/>
  <c r="T24" i="7"/>
  <c r="R25" i="7"/>
  <c r="S24" i="7" s="1"/>
  <c r="N24" i="7"/>
  <c r="O23" i="7" s="1"/>
  <c r="M25" i="7"/>
  <c r="J24" i="7"/>
  <c r="K23" i="7" s="1"/>
  <c r="H25" i="7"/>
  <c r="I24" i="7" s="1"/>
  <c r="F24" i="7"/>
  <c r="G23" i="7" s="1"/>
  <c r="D25" i="7"/>
  <c r="E24" i="7" s="1"/>
  <c r="U23" i="7"/>
  <c r="Q25" i="7" l="1"/>
  <c r="T25" i="7"/>
  <c r="R26" i="7"/>
  <c r="S25" i="7" s="1"/>
  <c r="N25" i="7"/>
  <c r="O24" i="7" s="1"/>
  <c r="M26" i="7"/>
  <c r="J25" i="7"/>
  <c r="K24" i="7" s="1"/>
  <c r="H26" i="7"/>
  <c r="I25" i="7" s="1"/>
  <c r="F25" i="7"/>
  <c r="G24" i="7" s="1"/>
  <c r="D26" i="7"/>
  <c r="E25" i="7" s="1"/>
  <c r="U24" i="7"/>
  <c r="Q26" i="7" l="1"/>
  <c r="T26" i="7"/>
  <c r="R27" i="7"/>
  <c r="N26" i="7"/>
  <c r="O25" i="7" s="1"/>
  <c r="M27" i="7"/>
  <c r="J26" i="7"/>
  <c r="K25" i="7" s="1"/>
  <c r="H27" i="7"/>
  <c r="F26" i="7"/>
  <c r="G25" i="7" s="1"/>
  <c r="D27" i="7"/>
  <c r="U25" i="7"/>
  <c r="I26" i="7" l="1"/>
  <c r="S26" i="7"/>
  <c r="E26" i="7"/>
  <c r="Q27" i="7"/>
  <c r="T27" i="7"/>
  <c r="R28" i="7"/>
  <c r="N27" i="7"/>
  <c r="M28" i="7"/>
  <c r="J27" i="7"/>
  <c r="H28" i="7"/>
  <c r="F27" i="7"/>
  <c r="D28" i="7"/>
  <c r="I27" i="7" l="1"/>
  <c r="E27" i="7"/>
  <c r="S27" i="7"/>
  <c r="K26" i="7"/>
  <c r="G26" i="7"/>
  <c r="O26" i="7"/>
  <c r="Q28" i="7"/>
  <c r="T28" i="7"/>
  <c r="R29" i="7"/>
  <c r="S28" i="7" s="1"/>
  <c r="N28" i="7"/>
  <c r="M29" i="7"/>
  <c r="J28" i="7"/>
  <c r="H29" i="7"/>
  <c r="I28" i="7" s="1"/>
  <c r="F28" i="7"/>
  <c r="D29" i="7"/>
  <c r="E28" i="7" s="1"/>
  <c r="U26" i="7"/>
  <c r="K27" i="7" l="1"/>
  <c r="G27" i="7"/>
  <c r="O27" i="7"/>
  <c r="Q29" i="7"/>
  <c r="T29" i="7"/>
  <c r="R30" i="7"/>
  <c r="N29" i="7"/>
  <c r="O28" i="7" s="1"/>
  <c r="M30" i="7"/>
  <c r="J29" i="7"/>
  <c r="K28" i="7" s="1"/>
  <c r="H30" i="7"/>
  <c r="I29" i="7" s="1"/>
  <c r="F29" i="7"/>
  <c r="G28" i="7" s="1"/>
  <c r="D30" i="7"/>
  <c r="E29" i="7" s="1"/>
  <c r="U27" i="7"/>
  <c r="Q30" i="7" l="1"/>
  <c r="T30" i="7"/>
  <c r="R31" i="7"/>
  <c r="S30" i="7" s="1"/>
  <c r="S29" i="7"/>
  <c r="N30" i="7"/>
  <c r="O29" i="7" s="1"/>
  <c r="M31" i="7"/>
  <c r="J30" i="7"/>
  <c r="K29" i="7" s="1"/>
  <c r="H31" i="7"/>
  <c r="I30" i="7" s="1"/>
  <c r="F30" i="7"/>
  <c r="G29" i="7" s="1"/>
  <c r="D31" i="7"/>
  <c r="E30" i="7" s="1"/>
  <c r="U29" i="7"/>
  <c r="U28" i="7"/>
  <c r="Q31" i="7" l="1"/>
  <c r="T31" i="7"/>
  <c r="R32" i="7"/>
  <c r="S31" i="7" s="1"/>
  <c r="N31" i="7"/>
  <c r="O30" i="7" s="1"/>
  <c r="M32" i="7"/>
  <c r="J31" i="7"/>
  <c r="K30" i="7" s="1"/>
  <c r="H32" i="7"/>
  <c r="I31" i="7" s="1"/>
  <c r="F31" i="7"/>
  <c r="G30" i="7" s="1"/>
  <c r="D32" i="7"/>
  <c r="E31" i="7" s="1"/>
  <c r="U30" i="7"/>
  <c r="Q32" i="7" l="1"/>
  <c r="T32" i="7"/>
  <c r="R33" i="7"/>
  <c r="N32" i="7"/>
  <c r="O31" i="7" s="1"/>
  <c r="M33" i="7"/>
  <c r="J32" i="7"/>
  <c r="K31" i="7" s="1"/>
  <c r="H33" i="7"/>
  <c r="I32" i="7" s="1"/>
  <c r="F32" i="7"/>
  <c r="G31" i="7" s="1"/>
  <c r="D33" i="7"/>
  <c r="E32" i="7" s="1"/>
  <c r="U31" i="7"/>
  <c r="Q33" i="7" l="1"/>
  <c r="T33" i="7"/>
  <c r="R34" i="7"/>
  <c r="S33" i="7" s="1"/>
  <c r="S32" i="7"/>
  <c r="N33" i="7"/>
  <c r="O32" i="7" s="1"/>
  <c r="M34" i="7"/>
  <c r="J33" i="7"/>
  <c r="K32" i="7" s="1"/>
  <c r="H34" i="7"/>
  <c r="I33" i="7" s="1"/>
  <c r="F33" i="7"/>
  <c r="G32" i="7" s="1"/>
  <c r="D34" i="7"/>
  <c r="E33" i="7" s="1"/>
  <c r="U32" i="7"/>
  <c r="Q34" i="7" l="1"/>
  <c r="T34" i="7"/>
  <c r="R35" i="7"/>
  <c r="N34" i="7"/>
  <c r="O33" i="7" s="1"/>
  <c r="J34" i="7"/>
  <c r="K33" i="7" s="1"/>
  <c r="H35" i="7"/>
  <c r="F34" i="7"/>
  <c r="G33" i="7" s="1"/>
  <c r="D35" i="7"/>
  <c r="U33" i="7"/>
  <c r="E34" i="7" l="1"/>
  <c r="E35" i="7"/>
  <c r="I34" i="7"/>
  <c r="I35" i="7"/>
  <c r="S34" i="7"/>
  <c r="S35" i="7"/>
  <c r="T35" i="7"/>
  <c r="N35" i="7"/>
  <c r="J35" i="7"/>
  <c r="F35" i="7"/>
  <c r="U35" i="7"/>
  <c r="O34" i="7" l="1"/>
  <c r="O35" i="7"/>
  <c r="G34" i="7"/>
  <c r="G35" i="7"/>
  <c r="K34" i="7"/>
  <c r="K35" i="7"/>
  <c r="U3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Tony C.</author>
  </authors>
  <commentList>
    <comment ref="A2" authorId="0" shapeId="0" xr:uid="{00000000-0006-0000-0000-000001000000}">
      <text>
        <r>
          <rPr>
            <b/>
            <sz val="8"/>
            <color indexed="81"/>
            <rFont val="Tahoma"/>
            <family val="2"/>
          </rPr>
          <t xml:space="preserve">Vertex 1 Name
</t>
        </r>
        <r>
          <rPr>
            <sz val="8"/>
            <color indexed="81"/>
            <rFont val="Tahoma"/>
            <family val="2"/>
          </rPr>
          <t xml:space="preserve">
Enter the name of the edge's first vertex.
</t>
        </r>
        <r>
          <rPr>
            <u/>
            <sz val="8"/>
            <color indexed="81"/>
            <rFont val="Tahoma"/>
            <family val="2"/>
          </rPr>
          <t>Worksheet Overview</t>
        </r>
        <r>
          <rPr>
            <sz val="8"/>
            <color indexed="81"/>
            <rFont val="Tahoma"/>
            <family val="2"/>
          </rPr>
          <t xml:space="preserve">
To create a NodeXL graph in Excel 2007, enter the graph's edges on this worksheet, one row per edge.  The first two columns are required; the other columns can be used to customize the edge's appearance.
To customize the appearance of an individual vertex or add an isolated vertex not connected to an edge, click the "Vertices" tab near Excel's lower-left corner.
After you have entered the edges, click the "Show Graph" button in the NodeXL tab in Excel's Ribbon.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
</t>
        </r>
      </text>
    </comment>
    <comment ref="B2" authorId="0" shapeId="0" xr:uid="{00000000-0006-0000-0000-000002000000}">
      <text>
        <r>
          <rPr>
            <b/>
            <sz val="8"/>
            <color indexed="81"/>
            <rFont val="Tahoma"/>
            <family val="2"/>
          </rPr>
          <t xml:space="preserve">Vertex 2 Name
</t>
        </r>
        <r>
          <rPr>
            <sz val="8"/>
            <color indexed="81"/>
            <rFont val="Tahoma"/>
            <family val="2"/>
          </rPr>
          <t xml:space="preserve">
Enter the name of the edge's second vertex.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t>
        </r>
      </text>
    </comment>
    <comment ref="C2" authorId="0" shapeId="0" xr:uid="{00000000-0006-0000-0000-000003000000}">
      <text>
        <r>
          <rPr>
            <b/>
            <sz val="8"/>
            <color indexed="81"/>
            <rFont val="Tahoma"/>
            <family val="2"/>
          </rPr>
          <t xml:space="preserve">Edge Color
</t>
        </r>
        <r>
          <rPr>
            <sz val="8"/>
            <color indexed="81"/>
            <rFont val="Tahoma"/>
            <family val="2"/>
          </rPr>
          <t xml:space="preserve">
To select an optional edge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D2" authorId="0" shapeId="0" xr:uid="{00000000-0006-0000-0000-000004000000}">
      <text>
        <r>
          <rPr>
            <b/>
            <sz val="8"/>
            <color indexed="81"/>
            <rFont val="Tahoma"/>
            <family val="2"/>
          </rPr>
          <t xml:space="preserve">Edge Width
</t>
        </r>
        <r>
          <rPr>
            <sz val="8"/>
            <color indexed="81"/>
            <rFont val="Tahoma"/>
            <family val="2"/>
          </rPr>
          <t xml:space="preserve">
Enter an optional edge width between 1 and 10.</t>
        </r>
      </text>
    </comment>
    <comment ref="E2" authorId="1" shapeId="0" xr:uid="{00000000-0006-0000-0000-000005000000}">
      <text>
        <r>
          <rPr>
            <b/>
            <sz val="8"/>
            <color indexed="81"/>
            <rFont val="Tahoma"/>
            <family val="2"/>
          </rPr>
          <t>Edge Style</t>
        </r>
        <r>
          <rPr>
            <b/>
            <sz val="9"/>
            <color indexed="81"/>
            <rFont val="Tahoma"/>
            <charset val="1"/>
          </rPr>
          <t xml:space="preserve">
</t>
        </r>
        <r>
          <rPr>
            <sz val="8"/>
            <color indexed="81"/>
            <rFont val="Tahoma"/>
            <family val="2"/>
          </rPr>
          <t xml:space="preserve">Select an optional edge style.
</t>
        </r>
        <r>
          <rPr>
            <u/>
            <sz val="8"/>
            <color indexed="81"/>
            <rFont val="Tahoma"/>
            <family val="2"/>
          </rPr>
          <t>Formulas</t>
        </r>
        <r>
          <rPr>
            <sz val="8"/>
            <color indexed="81"/>
            <rFont val="Tahoma"/>
            <family val="2"/>
          </rPr>
          <t xml:space="preserve">
If you are using Excel formulas to compute the styles, you may find it helpful to use the numerical options instead of text:
1 = Solid
2 = Dash
3 = Dot
4 = Dash Dot
5 = Dash Dot Dot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b/>
            <sz val="8"/>
            <color indexed="81"/>
            <rFont val="Tahoma"/>
            <family val="2"/>
          </rPr>
          <t xml:space="preserve">
</t>
        </r>
        <r>
          <rPr>
            <sz val="8"/>
            <color indexed="81"/>
            <rFont val="Tahoma"/>
            <family val="2"/>
          </rPr>
          <t xml:space="preserve">
</t>
        </r>
      </text>
    </comment>
    <comment ref="F2" authorId="0" shapeId="0" xr:uid="{00000000-0006-0000-0000-000006000000}">
      <text>
        <r>
          <rPr>
            <b/>
            <sz val="8"/>
            <color indexed="81"/>
            <rFont val="Tahoma"/>
            <family val="2"/>
          </rPr>
          <t xml:space="preserve">Edge Opacity
</t>
        </r>
        <r>
          <rPr>
            <sz val="8"/>
            <color indexed="81"/>
            <rFont val="Tahoma"/>
            <family val="2"/>
          </rPr>
          <t xml:space="preserve">
Enter an optional edge opacity between 0 (transparent) and 100 (opaque).</t>
        </r>
      </text>
    </comment>
    <comment ref="G2" authorId="0" shapeId="0" xr:uid="{00000000-0006-0000-0000-000007000000}">
      <text>
        <r>
          <rPr>
            <b/>
            <sz val="8"/>
            <color indexed="81"/>
            <rFont val="Tahoma"/>
            <family val="2"/>
          </rPr>
          <t xml:space="preserve">Edge Visibility
</t>
        </r>
        <r>
          <rPr>
            <sz val="8"/>
            <color indexed="81"/>
            <rFont val="Tahoma"/>
            <family val="2"/>
          </rPr>
          <t xml:space="preserve">
Select an optional edge visibility.
</t>
        </r>
        <r>
          <rPr>
            <b/>
            <sz val="8"/>
            <color indexed="81"/>
            <rFont val="Tahoma"/>
            <family val="2"/>
          </rPr>
          <t>Show</t>
        </r>
        <r>
          <rPr>
            <sz val="8"/>
            <color indexed="81"/>
            <rFont val="Tahoma"/>
            <family val="2"/>
          </rPr>
          <t xml:space="preserve">
Show the edge when the graph is refreshed.  This is the default.
</t>
        </r>
        <r>
          <rPr>
            <b/>
            <sz val="8"/>
            <color indexed="81"/>
            <rFont val="Tahoma"/>
            <family val="2"/>
          </rPr>
          <t>Skip</t>
        </r>
        <r>
          <rPr>
            <sz val="8"/>
            <color indexed="81"/>
            <rFont val="Tahoma"/>
            <family val="2"/>
          </rPr>
          <t xml:space="preserve">
Skip the edge row.
</t>
        </r>
        <r>
          <rPr>
            <b/>
            <sz val="8"/>
            <color indexed="81"/>
            <rFont val="Tahoma"/>
            <family val="2"/>
          </rPr>
          <t>Hide</t>
        </r>
        <r>
          <rPr>
            <sz val="8"/>
            <color indexed="81"/>
            <rFont val="Tahoma"/>
            <family val="2"/>
          </rPr>
          <t xml:space="preserve">
Use the edge when laying out the graph but then hide it.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2" shapeId="0" xr:uid="{00000000-0006-0000-0000-000008000000}">
      <text>
        <r>
          <rPr>
            <b/>
            <sz val="8"/>
            <color indexed="81"/>
            <rFont val="Tahoma"/>
            <family val="2"/>
          </rPr>
          <t xml:space="preserve">Edge Label
</t>
        </r>
        <r>
          <rPr>
            <sz val="8"/>
            <color indexed="81"/>
            <rFont val="Tahoma"/>
            <family val="2"/>
          </rPr>
          <t xml:space="preserve">Enter an optional edge label.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text>
    </comment>
    <comment ref="I2" authorId="1" shapeId="0" xr:uid="{00000000-0006-0000-0000-000009000000}">
      <text>
        <r>
          <rPr>
            <b/>
            <sz val="8"/>
            <color indexed="81"/>
            <rFont val="Tahoma"/>
            <family val="2"/>
          </rPr>
          <t xml:space="preserve">Edge Label Text Color
</t>
        </r>
        <r>
          <rPr>
            <sz val="8"/>
            <color indexed="81"/>
            <rFont val="Tahoma"/>
            <family val="2"/>
          </rPr>
          <t xml:space="preserve">
To select an optional label text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000-00000A000000}">
      <text>
        <r>
          <rPr>
            <b/>
            <sz val="8"/>
            <color indexed="81"/>
            <rFont val="Tahoma"/>
            <family val="2"/>
          </rPr>
          <t xml:space="preserve">Edge Label Font Size
</t>
        </r>
        <r>
          <rPr>
            <sz val="8"/>
            <color indexed="81"/>
            <rFont val="Tahoma"/>
            <family val="2"/>
          </rPr>
          <t>Enter an optional label font size between 8 and 72.</t>
        </r>
        <r>
          <rPr>
            <b/>
            <sz val="8"/>
            <color indexed="81"/>
            <rFont val="Tahoma"/>
            <family val="2"/>
          </rPr>
          <t xml:space="preserve">
</t>
        </r>
      </text>
    </comment>
    <comment ref="K2" authorId="1" shapeId="0" xr:uid="{00000000-0006-0000-0000-00000B000000}">
      <text>
        <r>
          <rPr>
            <b/>
            <sz val="8"/>
            <color indexed="81"/>
            <rFont val="Tahoma"/>
            <family val="2"/>
          </rPr>
          <t xml:space="preserve">Edge Reciprocated?
</t>
        </r>
        <r>
          <rPr>
            <sz val="8"/>
            <color indexed="81"/>
            <rFont val="Tahoma"/>
            <family val="2"/>
          </rPr>
          <t xml:space="preserve">
You can tell NodeXL to calculate this and other graph metrics by going to NodeXL, Analysis, Graph Metrics in the Ribbon.</t>
        </r>
        <r>
          <rPr>
            <sz val="9"/>
            <color indexed="81"/>
            <rFont val="Tahoma"/>
            <charset val="1"/>
          </rPr>
          <t xml:space="preserve">
</t>
        </r>
      </text>
    </comment>
    <comment ref="L2" authorId="0" shapeId="0" xr:uid="{00000000-0006-0000-0000-00000C000000}">
      <text>
        <r>
          <rPr>
            <b/>
            <sz val="8"/>
            <color indexed="81"/>
            <rFont val="Tahoma"/>
            <family val="2"/>
          </rPr>
          <t xml:space="preserve">Edge ID
</t>
        </r>
        <r>
          <rPr>
            <sz val="8"/>
            <color indexed="81"/>
            <rFont val="Tahoma"/>
            <family val="2"/>
          </rPr>
          <t>This is a unique ID that gets filled in automatically.  Do not edit this column.</t>
        </r>
      </text>
    </comment>
    <comment ref="N2" authorId="0" shapeId="0" xr:uid="{00000000-0006-0000-0000-00000D000000}">
      <text>
        <r>
          <rPr>
            <b/>
            <sz val="8"/>
            <color indexed="81"/>
            <rFont val="Tahoma"/>
            <family val="2"/>
          </rPr>
          <t xml:space="preserve">How to Add Your Own Columns
</t>
        </r>
        <r>
          <rPr>
            <sz val="8"/>
            <color indexed="81"/>
            <rFont val="Tahoma"/>
            <family val="2"/>
          </rPr>
          <t>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TonyAdmin</author>
    <author>Tony C.</author>
    <author>Tony</author>
  </authors>
  <commentList>
    <comment ref="A2" authorId="0" shapeId="0" xr:uid="{00000000-0006-0000-0100-000001000000}">
      <text>
        <r>
          <rPr>
            <b/>
            <sz val="8"/>
            <color indexed="81"/>
            <rFont val="Tahoma"/>
            <family val="2"/>
          </rPr>
          <t xml:space="preserve">Vertex Name
</t>
        </r>
        <r>
          <rPr>
            <sz val="8"/>
            <color indexed="81"/>
            <rFont val="Tahoma"/>
            <family val="2"/>
          </rPr>
          <t xml:space="preserve">
Enter the name of the vertex.
</t>
        </r>
        <r>
          <rPr>
            <u/>
            <sz val="8"/>
            <color indexed="81"/>
            <rFont val="Tahoma"/>
            <family val="2"/>
          </rPr>
          <t>Worksheet Overview</t>
        </r>
        <r>
          <rPr>
            <sz val="8"/>
            <color indexed="81"/>
            <rFont val="Tahoma"/>
            <family val="2"/>
          </rPr>
          <t xml:space="preserve">
Use this worksheet to customize the appearance of the graph's vertices and to add isolated vertices that are not connected to edges.  You do not have to enter anything on this worksheet if you don't need either of these features.
</t>
        </r>
        <r>
          <rPr>
            <u/>
            <sz val="8"/>
            <color indexed="81"/>
            <rFont val="Tahoma"/>
            <family val="2"/>
          </rPr>
          <t>Isolated Vertices</t>
        </r>
        <r>
          <rPr>
            <sz val="8"/>
            <color indexed="81"/>
            <rFont val="Tahoma"/>
            <family val="2"/>
          </rPr>
          <t xml:space="preserve">
To add an isolated vertex that is not connected to any edges, enter it on this worksheet and set its Visibility cell to "Show."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t>
        </r>
        <r>
          <rPr>
            <sz val="8"/>
            <color indexed="81"/>
            <rFont val="Tahoma"/>
            <family val="2"/>
          </rPr>
          <t xml:space="preserve">
The Vertex column is frozen, meaning that it remains visible even if you scroll the worksheet to the right.  To unfreeze it,  use View, Freeze Panes, Unfreeze Panes in the Excel Ribbon.</t>
        </r>
      </text>
    </comment>
    <comment ref="B2" authorId="0" shapeId="0" xr:uid="{00000000-0006-0000-0100-000002000000}">
      <text>
        <r>
          <rPr>
            <b/>
            <sz val="8"/>
            <color indexed="81"/>
            <rFont val="Tahoma"/>
            <family val="2"/>
          </rPr>
          <t xml:space="preserve">Vertex Color
</t>
        </r>
        <r>
          <rPr>
            <sz val="8"/>
            <color indexed="81"/>
            <rFont val="Tahoma"/>
            <family val="2"/>
          </rPr>
          <t xml:space="preserve">
To select an optional vertex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
</t>
        </r>
      </text>
    </comment>
    <comment ref="C2" authorId="0" shapeId="0" xr:uid="{00000000-0006-0000-0100-000003000000}">
      <text>
        <r>
          <rPr>
            <b/>
            <sz val="8"/>
            <color indexed="81"/>
            <rFont val="Tahoma"/>
            <family val="2"/>
          </rPr>
          <t xml:space="preserve">Vertex Shape
</t>
        </r>
        <r>
          <rPr>
            <sz val="8"/>
            <color indexed="81"/>
            <rFont val="Tahoma"/>
            <family val="2"/>
          </rPr>
          <t xml:space="preserve">
Select an optional vertex shape.
</t>
        </r>
        <r>
          <rPr>
            <u/>
            <sz val="8"/>
            <color indexed="81"/>
            <rFont val="Tahoma"/>
            <family val="2"/>
          </rPr>
          <t>Formulas</t>
        </r>
        <r>
          <rPr>
            <sz val="8"/>
            <color indexed="81"/>
            <rFont val="Tahoma"/>
            <family val="2"/>
          </rPr>
          <t xml:space="preserve">
If you are using Excel formulas to compute the shapes, you may find it helpful to use the numerical options instead of text:
1 = Circle
2 = Disk
3 = Sphere
4 = Square
5 = Solid Square
6 = Diamond
7 = Solid Diamond
8 = Triangle
9 = Solid Triangle
10 = Label
11 = Image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D2" authorId="0" shapeId="0" xr:uid="{00000000-0006-0000-0100-000004000000}">
      <text>
        <r>
          <rPr>
            <b/>
            <sz val="8"/>
            <color indexed="81"/>
            <rFont val="Tahoma"/>
            <family val="2"/>
          </rPr>
          <t xml:space="preserve">Vertex Size
</t>
        </r>
        <r>
          <rPr>
            <sz val="8"/>
            <color indexed="81"/>
            <rFont val="Tahoma"/>
            <family val="2"/>
          </rPr>
          <t xml:space="preserve">
Enter an optional vertex size between 1 and 1,000.</t>
        </r>
      </text>
    </comment>
    <comment ref="E2" authorId="0" shapeId="0" xr:uid="{00000000-0006-0000-0100-000005000000}">
      <text>
        <r>
          <rPr>
            <b/>
            <sz val="8"/>
            <color indexed="81"/>
            <rFont val="Tahoma"/>
            <family val="2"/>
          </rPr>
          <t xml:space="preserve">Vertex Opacity
</t>
        </r>
        <r>
          <rPr>
            <sz val="8"/>
            <color indexed="81"/>
            <rFont val="Tahoma"/>
            <family val="2"/>
          </rPr>
          <t xml:space="preserve">
Enter an optional vertex opacity between 0 (transparent) and 100 (opaque).</t>
        </r>
      </text>
    </comment>
    <comment ref="F2" authorId="0" shapeId="0" xr:uid="{00000000-0006-0000-0100-000006000000}">
      <text>
        <r>
          <rPr>
            <b/>
            <sz val="8"/>
            <color indexed="81"/>
            <rFont val="Tahoma"/>
            <family val="2"/>
          </rPr>
          <t>Vertex Image File</t>
        </r>
        <r>
          <rPr>
            <sz val="8"/>
            <color indexed="81"/>
            <rFont val="Tahoma"/>
            <family val="2"/>
          </rPr>
          <t xml:space="preserve">
To show a vertex as an image, set the Shape to Image and enter one of the following into the Image File column:
* The full path to an image file on your computer or local network.  Example: "C:\MyImages\Image.jpg".
* If the workbook has been saved, a path that is relative to the saved workbook file.  Example: "Images\Image.jpg"
* An URL to an image on the Internet.  Example: "http://www.somesite.com/Image.jpg".</t>
        </r>
      </text>
    </comment>
    <comment ref="G2" authorId="0" shapeId="0" xr:uid="{00000000-0006-0000-0100-000007000000}">
      <text>
        <r>
          <rPr>
            <b/>
            <sz val="8"/>
            <color indexed="81"/>
            <rFont val="Tahoma"/>
            <family val="2"/>
          </rPr>
          <t xml:space="preserve">Vertex Visibility
</t>
        </r>
        <r>
          <rPr>
            <sz val="8"/>
            <color indexed="81"/>
            <rFont val="Tahoma"/>
            <family val="2"/>
          </rPr>
          <t xml:space="preserve">
Select an optional vertex visibility
</t>
        </r>
        <r>
          <rPr>
            <b/>
            <sz val="8"/>
            <color indexed="81"/>
            <rFont val="Tahoma"/>
            <family val="2"/>
          </rPr>
          <t>Show if in an Edge</t>
        </r>
        <r>
          <rPr>
            <sz val="8"/>
            <color indexed="81"/>
            <rFont val="Tahoma"/>
            <family val="2"/>
          </rPr>
          <t xml:space="preserve">
Show the vertex when the graph is refreshed if it is part of an edge.  Otherwise, ignore the vertex row.  This is the default.
</t>
        </r>
        <r>
          <rPr>
            <b/>
            <sz val="8"/>
            <color indexed="81"/>
            <rFont val="Tahoma"/>
            <family val="2"/>
          </rPr>
          <t>Skip</t>
        </r>
        <r>
          <rPr>
            <sz val="8"/>
            <color indexed="81"/>
            <rFont val="Tahoma"/>
            <family val="2"/>
          </rPr>
          <t xml:space="preserve">
Skip the vertex row and any edge rows that use the vertex.
</t>
        </r>
        <r>
          <rPr>
            <b/>
            <sz val="8"/>
            <color indexed="81"/>
            <rFont val="Tahoma"/>
            <family val="2"/>
          </rPr>
          <t>Hide</t>
        </r>
        <r>
          <rPr>
            <sz val="8"/>
            <color indexed="81"/>
            <rFont val="Tahoma"/>
            <family val="2"/>
          </rPr>
          <t xml:space="preserve">
If the vertex is part of an edge, use it when laying out the graph but then hide it.  Otherwise, ignore the vertex row.
</t>
        </r>
        <r>
          <rPr>
            <b/>
            <sz val="8"/>
            <color indexed="81"/>
            <rFont val="Tahoma"/>
            <family val="2"/>
          </rPr>
          <t>Show</t>
        </r>
        <r>
          <rPr>
            <sz val="8"/>
            <color indexed="81"/>
            <rFont val="Tahoma"/>
            <family val="2"/>
          </rPr>
          <t xml:space="preserve">
Show the vertex regardless of whether it is part of an edge.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if in an Edge
0 = Skip
2 = Hide
4 = Show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0" shapeId="0" xr:uid="{00000000-0006-0000-0100-000008000000}">
      <text>
        <r>
          <rPr>
            <b/>
            <sz val="8"/>
            <color indexed="81"/>
            <rFont val="Tahoma"/>
            <family val="2"/>
          </rPr>
          <t xml:space="preserve">Vertex Label
</t>
        </r>
        <r>
          <rPr>
            <sz val="8"/>
            <color indexed="81"/>
            <rFont val="Tahoma"/>
            <family val="2"/>
          </rPr>
          <t xml:space="preserve">
To show a vertex as a box containing text, set the Shape to Label and enter the text into the Label column.  To annotate another shape with text, set the Shape to something else and enter the annotation text into the Label column.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I2" authorId="0" shapeId="0" xr:uid="{00000000-0006-0000-0100-000009000000}">
      <text>
        <r>
          <rPr>
            <b/>
            <sz val="8"/>
            <color indexed="81"/>
            <rFont val="Tahoma"/>
            <family val="2"/>
          </rPr>
          <t xml:space="preserve">Vertex Label Fill Color
</t>
        </r>
        <r>
          <rPr>
            <sz val="8"/>
            <color indexed="81"/>
            <rFont val="Tahoma"/>
            <family val="2"/>
          </rPr>
          <t>To select an optional fill color for the Label shape,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100-00000A000000}">
      <text>
        <r>
          <rPr>
            <b/>
            <sz val="8"/>
            <color indexed="81"/>
            <rFont val="Tahoma"/>
            <family val="2"/>
          </rPr>
          <t xml:space="preserve">Vertex Label Position
</t>
        </r>
        <r>
          <rPr>
            <sz val="8"/>
            <color indexed="81"/>
            <rFont val="Tahoma"/>
            <family val="2"/>
          </rPr>
          <t xml:space="preserve">Select an optional vertex label position.  This is used only when the label annotates the vertex, not when the vertex Shape is Label.  Hover the mouse over the Label column header for more details.
</t>
        </r>
        <r>
          <rPr>
            <u/>
            <sz val="8"/>
            <color indexed="81"/>
            <rFont val="Tahoma"/>
            <family val="2"/>
          </rPr>
          <t>Formulas</t>
        </r>
        <r>
          <rPr>
            <sz val="8"/>
            <color indexed="81"/>
            <rFont val="Tahoma"/>
            <family val="2"/>
          </rPr>
          <t xml:space="preserve">
If you are using Excel formulas to compute the positions, you may find it helpful to use the numerical options instead of text:
0 = Nowhere
1 = Top Left
2 = Top Center
3 = Top Right
4 = Middle Left
5 = Middle Center
6 = Middle Right
7 = Bottom Left
8 = Bottom Center
9 = Bottom Right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text>
    </comment>
    <comment ref="K2" authorId="0" shapeId="0" xr:uid="{00000000-0006-0000-0100-00000B000000}">
      <text>
        <r>
          <rPr>
            <b/>
            <sz val="8"/>
            <color indexed="81"/>
            <rFont val="Tahoma"/>
            <family val="2"/>
          </rPr>
          <t xml:space="preserve">Vertex Tooltip
</t>
        </r>
        <r>
          <rPr>
            <sz val="8"/>
            <color indexed="81"/>
            <rFont val="Tahoma"/>
            <family val="2"/>
          </rPr>
          <t xml:space="preserve">
Enter optional text that will pop up when the mouse is hovered over the vertex in the graph pane.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L2" authorId="0" shapeId="0" xr:uid="{00000000-0006-0000-0100-00000C000000}">
      <text>
        <r>
          <rPr>
            <b/>
            <sz val="8"/>
            <color indexed="81"/>
            <rFont val="Tahoma"/>
            <family val="2"/>
          </rPr>
          <t xml:space="preserve">Vertex Layout Order
</t>
        </r>
        <r>
          <rPr>
            <sz val="8"/>
            <color indexed="81"/>
            <rFont val="Tahoma"/>
            <family val="2"/>
          </rPr>
          <t xml:space="preserve">Enter an optional number to control the order in which the vertices are laid out in the graph when a geometric layout algorithm (Circle, Spiral and so on) is used.  This also controls the vertex stacking order when vertices overlap.  Vertices with larger numbers are stacked on top of vertices with smaller numbers.
</t>
        </r>
      </text>
    </comment>
    <comment ref="M2" authorId="0" shapeId="0" xr:uid="{00000000-0006-0000-0100-00000D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N2" authorId="0" shapeId="0" xr:uid="{00000000-0006-0000-0100-00000E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O2" authorId="0" shapeId="0" xr:uid="{00000000-0006-0000-0100-00000F000000}">
      <text>
        <r>
          <rPr>
            <b/>
            <sz val="8"/>
            <color indexed="81"/>
            <rFont val="Tahoma"/>
            <family val="2"/>
          </rPr>
          <t xml:space="preserve">Vertex Locked?
</t>
        </r>
        <r>
          <rPr>
            <sz val="8"/>
            <color indexed="81"/>
            <rFont val="Tahoma"/>
            <family val="2"/>
          </rPr>
          <t xml:space="preserve">
Set to Yes to lock the vertex at its current location.
</t>
        </r>
        <r>
          <rPr>
            <u/>
            <sz val="8"/>
            <color indexed="81"/>
            <rFont val="Tahoma"/>
            <family val="2"/>
          </rPr>
          <t>Formulas</t>
        </r>
        <r>
          <rPr>
            <sz val="8"/>
            <color indexed="81"/>
            <rFont val="Tahoma"/>
            <family val="2"/>
          </rPr>
          <t xml:space="preserve">
If you are using Excel formulas to compute the locked values, you may find it helpful to use the numerical options instead of text:
0 = No
1 = Yes
</t>
        </r>
        <r>
          <rPr>
            <u/>
            <sz val="8"/>
            <color indexed="81"/>
            <rFont val="Tahoma"/>
            <family val="2"/>
          </rPr>
          <t xml:space="preserve">Pasting
</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P2" authorId="0" shapeId="0" xr:uid="{00000000-0006-0000-0100-000010000000}">
      <text>
        <r>
          <rPr>
            <b/>
            <sz val="8"/>
            <color indexed="81"/>
            <rFont val="Tahoma"/>
            <family val="2"/>
          </rPr>
          <t xml:space="preserve">Vertex Polar R
</t>
        </r>
        <r>
          <rPr>
            <sz val="8"/>
            <color indexed="81"/>
            <rFont val="Tahoma"/>
            <family val="2"/>
          </rPr>
          <t xml:space="preserve">
Enter an optional vertex polar radial coordinate.  This is used only when the Layout is set to Polar or Polar Absolute in the graph pane.
</t>
        </r>
        <r>
          <rPr>
            <u/>
            <sz val="8"/>
            <color indexed="81"/>
            <rFont val="Tahoma"/>
            <family val="2"/>
          </rPr>
          <t>For the Polar Layout</t>
        </r>
        <r>
          <rPr>
            <sz val="8"/>
            <color indexed="81"/>
            <rFont val="Tahoma"/>
            <family val="2"/>
          </rPr>
          <t xml:space="preserve">
0.0 represents the polar origin, which is the center of the graph pane, while 1.0 represents one-half the graph pane's width or height, whichever is smaller.
Polar R values less than 0.0 are allowed, but they have the same effect as the value 0.0.  Similarly, polar R values greater than 1.0 are allowed, but they have the same effect as the value 1.0.
Any vertex that is missing polar coordinates is placed at the polar origin.
</t>
        </r>
        <r>
          <rPr>
            <u/>
            <sz val="8"/>
            <color indexed="81"/>
            <rFont val="Tahoma"/>
            <family val="2"/>
          </rPr>
          <t>For the Polar Absolute Layout</t>
        </r>
        <r>
          <rPr>
            <sz val="8"/>
            <color indexed="81"/>
            <rFont val="Tahoma"/>
            <family val="2"/>
          </rPr>
          <t xml:space="preserve">
0.0 represents the polar origin, which is the center of the graph pane, while 1.0 represents an absolute distance of about 1/96 inch.
There are no limits on Polar R values when using the Polar Absolute layout.  Negative values have the effect of adding 180 degrees to the specified Polar Angle.
Any vertex that is missing polar coordinates is placed at the polar origin.
</t>
        </r>
      </text>
    </comment>
    <comment ref="Q2" authorId="0" shapeId="0" xr:uid="{00000000-0006-0000-0100-000011000000}">
      <text>
        <r>
          <rPr>
            <b/>
            <sz val="8"/>
            <color indexed="81"/>
            <rFont val="Tahoma"/>
            <family val="2"/>
          </rPr>
          <t xml:space="preserve">Vertex Polar Angle
</t>
        </r>
        <r>
          <rPr>
            <sz val="8"/>
            <color indexed="81"/>
            <rFont val="Tahoma"/>
            <family val="2"/>
          </rPr>
          <t>Enter an optional vertex polar angle coordinate, in degrees.  This is used only when the Layout is set to Polar or Polar Absolute in the graph pane.
0.0 degrees is to the right, 90.0 degrees is up, 180.0 degrees is to the left, and 270.0 degrees is down.  Angles less than 0 are allowed: -1.0 is the same as 359.0, for example.  Similarly, angles greater than 360.0 are allowed: 361.0 is the same as 1.0, for example.
Any vertex that is missing polar coordinates is placed at the polar origin.</t>
        </r>
        <r>
          <rPr>
            <b/>
            <sz val="8"/>
            <color indexed="81"/>
            <rFont val="Tahoma"/>
            <family val="2"/>
          </rPr>
          <t xml:space="preserve">
</t>
        </r>
      </text>
    </comment>
    <comment ref="R2" authorId="0" shapeId="0" xr:uid="{00000000-0006-0000-0100-000012000000}">
      <text>
        <r>
          <rPr>
            <b/>
            <sz val="8"/>
            <color indexed="81"/>
            <rFont val="Tahoma"/>
            <family val="2"/>
          </rPr>
          <t>Vertex Degree</t>
        </r>
        <r>
          <rPr>
            <sz val="8"/>
            <color indexed="81"/>
            <rFont val="Tahoma"/>
            <family val="2"/>
          </rPr>
          <t xml:space="preserve">
You can tell NodeXL to calculate this and other graph metrics by going to NodeXL, Analysis, Graph Metrics in the Ribbon.
</t>
        </r>
      </text>
    </comment>
    <comment ref="S2" authorId="0" shapeId="0" xr:uid="{00000000-0006-0000-0100-000013000000}">
      <text>
        <r>
          <rPr>
            <b/>
            <sz val="8"/>
            <color indexed="81"/>
            <rFont val="Tahoma"/>
            <family val="2"/>
          </rPr>
          <t xml:space="preserve">Vertex In-Degree
</t>
        </r>
        <r>
          <rPr>
            <sz val="8"/>
            <color indexed="81"/>
            <rFont val="Tahoma"/>
            <family val="2"/>
          </rPr>
          <t xml:space="preserve">You can tell NodeXL to calculate this and other graph metrics by going to NodeXL, Analysis, Graph Metrics in the Ribbon.
</t>
        </r>
      </text>
    </comment>
    <comment ref="T2" authorId="0" shapeId="0" xr:uid="{00000000-0006-0000-0100-000014000000}">
      <text>
        <r>
          <rPr>
            <b/>
            <sz val="8"/>
            <color indexed="81"/>
            <rFont val="Tahoma"/>
            <family val="2"/>
          </rPr>
          <t xml:space="preserve">Vertex Out-Degree
</t>
        </r>
        <r>
          <rPr>
            <sz val="8"/>
            <color indexed="81"/>
            <rFont val="Tahoma"/>
            <family val="2"/>
          </rPr>
          <t xml:space="preserve">You can tell NodeXL to calculate this and other graph metrics by going to NodeXL, Analysis, Graph Metrics in the Ribbon.
</t>
        </r>
      </text>
    </comment>
    <comment ref="U2" authorId="0" shapeId="0" xr:uid="{00000000-0006-0000-0100-000015000000}">
      <text>
        <r>
          <rPr>
            <b/>
            <sz val="8"/>
            <color indexed="81"/>
            <rFont val="Tahoma"/>
            <family val="2"/>
          </rPr>
          <t xml:space="preserve">Vertex Betweenness Centrality
</t>
        </r>
        <r>
          <rPr>
            <sz val="8"/>
            <color indexed="81"/>
            <rFont val="Tahoma"/>
            <family val="2"/>
          </rPr>
          <t xml:space="preserve">You can tell NodeXL to calculate this and other graph metrics by going to NodeXL, Analysis, Graph Metrics in the Ribbon.
</t>
        </r>
      </text>
    </comment>
    <comment ref="V2" authorId="0" shapeId="0" xr:uid="{00000000-0006-0000-0100-000016000000}">
      <text>
        <r>
          <rPr>
            <b/>
            <sz val="8"/>
            <color indexed="81"/>
            <rFont val="Tahoma"/>
            <family val="2"/>
          </rPr>
          <t xml:space="preserve">Vertex Closeness Centrality
</t>
        </r>
        <r>
          <rPr>
            <sz val="8"/>
            <color indexed="81"/>
            <rFont val="Tahoma"/>
            <family val="2"/>
          </rPr>
          <t xml:space="preserve">You can tell NodeXL to calculate this and other graph metrics by going to NodeXL, Analysis, Graph Metrics in the Ribbon.
</t>
        </r>
      </text>
    </comment>
    <comment ref="W2" authorId="0" shapeId="0" xr:uid="{00000000-0006-0000-0100-000017000000}">
      <text>
        <r>
          <rPr>
            <b/>
            <sz val="8"/>
            <color indexed="81"/>
            <rFont val="Tahoma"/>
            <family val="2"/>
          </rPr>
          <t xml:space="preserve">Vertex Eigenvector Centrality
</t>
        </r>
        <r>
          <rPr>
            <sz val="8"/>
            <color indexed="81"/>
            <rFont val="Tahoma"/>
            <family val="2"/>
          </rPr>
          <t xml:space="preserve">You can tell NodeXL to calculate this and other graph metrics by going to NodeXL, Analysis, Graph Metrics in the Ribbon.
</t>
        </r>
      </text>
    </comment>
    <comment ref="X2" authorId="2" shapeId="0" xr:uid="{00000000-0006-0000-0100-000018000000}">
      <text>
        <r>
          <rPr>
            <b/>
            <sz val="8"/>
            <color indexed="81"/>
            <rFont val="Tahoma"/>
            <family val="2"/>
          </rPr>
          <t xml:space="preserve">Vertex PageRank
</t>
        </r>
        <r>
          <rPr>
            <sz val="8"/>
            <color indexed="81"/>
            <rFont val="Tahoma"/>
            <family val="2"/>
          </rPr>
          <t>You can tell NodeXL to calculate this and other graph metrics by going to NodeXL, Analysis, Graph Metrics in the Ribbon.</t>
        </r>
      </text>
    </comment>
    <comment ref="Y2" authorId="0" shapeId="0" xr:uid="{00000000-0006-0000-0100-000019000000}">
      <text>
        <r>
          <rPr>
            <b/>
            <sz val="8"/>
            <color indexed="81"/>
            <rFont val="Tahoma"/>
            <family val="2"/>
          </rPr>
          <t xml:space="preserve">Vertex Clustering Coefficient
</t>
        </r>
        <r>
          <rPr>
            <sz val="8"/>
            <color indexed="81"/>
            <rFont val="Tahoma"/>
            <family val="2"/>
          </rPr>
          <t xml:space="preserve">You can tell NodeXL to calculate this and other graph metrics by going to NodeXL, Analysis, Graph Metrics in the Ribbon.
</t>
        </r>
      </text>
    </comment>
    <comment ref="Z2" authorId="2" shapeId="0" xr:uid="{00000000-0006-0000-0100-00001A000000}">
      <text>
        <r>
          <rPr>
            <b/>
            <sz val="8"/>
            <color indexed="81"/>
            <rFont val="Tahoma"/>
            <family val="2"/>
          </rPr>
          <t>Vertex Reciprocated Pair Ratio</t>
        </r>
        <r>
          <rPr>
            <sz val="8"/>
            <color indexed="81"/>
            <rFont val="Tahoma"/>
            <family val="2"/>
          </rPr>
          <t xml:space="preserve">
You can tell NodeXL to calculate this and other graph metrics by going to NodeXL, Analysis, Graph Metrics in the Ribbon.</t>
        </r>
      </text>
    </comment>
    <comment ref="AA2" authorId="0" shapeId="0" xr:uid="{00000000-0006-0000-0100-00001B000000}">
      <text>
        <r>
          <rPr>
            <b/>
            <sz val="8"/>
            <color indexed="81"/>
            <rFont val="Tahoma"/>
            <family val="2"/>
          </rPr>
          <t xml:space="preserve">Vertex ID
</t>
        </r>
        <r>
          <rPr>
            <sz val="8"/>
            <color indexed="81"/>
            <rFont val="Tahoma"/>
            <family val="2"/>
          </rPr>
          <t xml:space="preserve">
This is a unique ID that gets filled in automatically.  Do not edit this column.</t>
        </r>
      </text>
    </comment>
    <comment ref="AC2" authorId="0" shapeId="0" xr:uid="{00000000-0006-0000-0100-00001C000000}">
      <text>
        <r>
          <rPr>
            <b/>
            <sz val="8"/>
            <color indexed="81"/>
            <rFont val="Tahoma"/>
            <family val="2"/>
          </rPr>
          <t>How to Add Your Own Columns</t>
        </r>
        <r>
          <rPr>
            <sz val="8"/>
            <color indexed="81"/>
            <rFont val="Tahoma"/>
            <family val="2"/>
          </rPr>
          <t xml:space="preserve">
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2" authorId="0" shapeId="0" xr:uid="{00000000-0006-0000-03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
        </r>
        <r>
          <rPr>
            <u/>
            <sz val="8"/>
            <color indexed="81"/>
            <rFont val="Tahoma"/>
            <family val="2"/>
          </rPr>
          <t xml:space="preserve">
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2" authorId="0" shapeId="0" xr:uid="{00000000-0006-0000-0300-000002000000}">
      <text>
        <r>
          <rPr>
            <b/>
            <sz val="8"/>
            <color indexed="81"/>
            <rFont val="Tahoma"/>
            <family val="2"/>
          </rPr>
          <t xml:space="preserve">Group Vertex Color
</t>
        </r>
        <r>
          <rPr>
            <sz val="8"/>
            <color indexed="81"/>
            <rFont val="Tahoma"/>
            <family val="2"/>
          </rPr>
          <t xml:space="preserve">
(In most cases, you should not edit this worksheet.  Instead, use the items on the NodeXL, Analysis, Groups menu to create and work with groups.)
To select a color to use for all vertices in the group,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C2" authorId="0" shapeId="0" xr:uid="{00000000-0006-0000-0300-000003000000}">
      <text>
        <r>
          <rPr>
            <b/>
            <sz val="8"/>
            <color indexed="81"/>
            <rFont val="Tahoma"/>
            <family val="2"/>
          </rPr>
          <t>Group Vertex Shape</t>
        </r>
        <r>
          <rPr>
            <sz val="8"/>
            <color indexed="81"/>
            <rFont val="Tahoma"/>
            <family val="2"/>
          </rPr>
          <t xml:space="preserve">
(In most cases, you should not edit this worksheet.  Instead, use the items on the NodeXL, Analysis, Groups menu to create and work with groups.)
Select a shape to use for all vertices in the group.
</t>
        </r>
        <r>
          <rPr>
            <u/>
            <sz val="8"/>
            <color indexed="81"/>
            <rFont val="Tahoma"/>
            <family val="2"/>
          </rPr>
          <t>Pasting</t>
        </r>
        <r>
          <rPr>
            <sz val="8"/>
            <color indexed="81"/>
            <rFont val="Tahoma"/>
            <family val="2"/>
          </rPr>
          <t xml:space="preserve">
If you want to paste shapes into this column, do not use the standard Paste command (Ctrl-V).  The standard Paste command removes the shape drop-downs from the column.  Instead, use Home, Paste, Paste Values in the Excel Ribbon.</t>
        </r>
      </text>
    </comment>
    <comment ref="D2" authorId="1" shapeId="0" xr:uid="{00000000-0006-0000-0300-000004000000}">
      <text>
        <r>
          <rPr>
            <b/>
            <sz val="8"/>
            <color indexed="81"/>
            <rFont val="Tahoma"/>
            <family val="2"/>
          </rPr>
          <t>Group Visibility</t>
        </r>
        <r>
          <rPr>
            <sz val="8"/>
            <color indexed="81"/>
            <rFont val="Tahoma"/>
            <family val="2"/>
          </rPr>
          <t xml:space="preserve">
Select an optional group visibility.
</t>
        </r>
        <r>
          <rPr>
            <b/>
            <sz val="8"/>
            <color indexed="81"/>
            <rFont val="Tahoma"/>
            <family val="2"/>
          </rPr>
          <t>Show</t>
        </r>
        <r>
          <rPr>
            <sz val="8"/>
            <color indexed="81"/>
            <rFont val="Tahoma"/>
            <family val="2"/>
          </rPr>
          <t xml:space="preserve">
Show the group's vertices and edges when the graph is refreshed.  This is the default.
</t>
        </r>
        <r>
          <rPr>
            <b/>
            <sz val="8"/>
            <color indexed="81"/>
            <rFont val="Tahoma"/>
            <family val="2"/>
          </rPr>
          <t>Skip</t>
        </r>
        <r>
          <rPr>
            <sz val="8"/>
            <color indexed="81"/>
            <rFont val="Tahoma"/>
            <family val="2"/>
          </rPr>
          <t xml:space="preserve">
Skip the group's vertices and edges.
</t>
        </r>
        <r>
          <rPr>
            <b/>
            <sz val="8"/>
            <color indexed="81"/>
            <rFont val="Tahoma"/>
            <family val="2"/>
          </rPr>
          <t>Hide</t>
        </r>
        <r>
          <rPr>
            <sz val="8"/>
            <color indexed="81"/>
            <rFont val="Tahoma"/>
            <family val="2"/>
          </rPr>
          <t xml:space="preserve">
Use the group's vertices and edges when laying out the graph, but then hide the group's vertices and edges.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E2" authorId="1" shapeId="0" xr:uid="{00000000-0006-0000-0300-000005000000}">
      <text>
        <r>
          <rPr>
            <b/>
            <sz val="8"/>
            <color indexed="81"/>
            <rFont val="Tahoma"/>
            <family val="2"/>
          </rPr>
          <t xml:space="preserve">Group Collapsed?
</t>
        </r>
        <r>
          <rPr>
            <sz val="8"/>
            <color indexed="81"/>
            <rFont val="Tahoma"/>
            <family val="2"/>
          </rPr>
          <t>(In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 xml:space="preserve">Set to Yes to collapse the group.
</t>
        </r>
        <r>
          <rPr>
            <u/>
            <sz val="8"/>
            <color indexed="81"/>
            <rFont val="Tahoma"/>
            <family val="2"/>
          </rPr>
          <t>Formulas</t>
        </r>
        <r>
          <rPr>
            <sz val="8"/>
            <color indexed="81"/>
            <rFont val="Tahoma"/>
            <family val="2"/>
          </rPr>
          <t xml:space="preserve">
If you are using Excel formulas to compute the collapsed values, you may find it helpful to use the numerical options instead of text:
0 = No
1 = Yes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sz val="9"/>
            <color indexed="81"/>
            <rFont val="Tahoma"/>
            <family val="2"/>
          </rPr>
          <t xml:space="preserve">
</t>
        </r>
      </text>
    </comment>
    <comment ref="F2" authorId="1" shapeId="0" xr:uid="{00000000-0006-0000-0300-000006000000}">
      <text>
        <r>
          <rPr>
            <b/>
            <sz val="8"/>
            <color indexed="81"/>
            <rFont val="Tahoma"/>
            <family val="2"/>
          </rPr>
          <t>Group Label</t>
        </r>
        <r>
          <rPr>
            <sz val="8"/>
            <color indexed="81"/>
            <rFont val="Tahoma"/>
            <family val="2"/>
          </rPr>
          <t xml:space="preserve">
Enter an optional group label.
Group labels are used when you choose to lay out each of the graph's groups in its own box (NodeXL, Graph, Layout, Layout Options), and when you collapse a group (NodeXL, Analysis, Groups, Collapse Selected Groups).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r>
          <rPr>
            <sz val="9"/>
            <color indexed="81"/>
            <rFont val="Tahoma"/>
            <charset val="1"/>
          </rPr>
          <t xml:space="preserve">
</t>
        </r>
      </text>
    </comment>
    <comment ref="G2" authorId="1" shapeId="0" xr:uid="{00000000-0006-0000-0300-000007000000}">
      <text>
        <r>
          <rPr>
            <b/>
            <sz val="8"/>
            <color indexed="81"/>
            <rFont val="Tahoma"/>
            <family val="2"/>
          </rPr>
          <t xml:space="preserve">Collapsed Location
</t>
        </r>
        <r>
          <rPr>
            <sz val="8"/>
            <color indexed="81"/>
            <rFont val="Tahoma"/>
            <family val="2"/>
          </rPr>
          <t xml:space="preserve">
(In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H2" authorId="1" shapeId="0" xr:uid="{00000000-0006-0000-0300-000008000000}">
      <text>
        <r>
          <rPr>
            <b/>
            <sz val="8"/>
            <color indexed="81"/>
            <rFont val="Tahoma"/>
            <family val="2"/>
          </rPr>
          <t xml:space="preserve">Collapsed Location
</t>
        </r>
        <r>
          <rPr>
            <sz val="8"/>
            <color indexed="81"/>
            <rFont val="Tahoma"/>
            <family val="2"/>
          </rPr>
          <t>(In most cases, you should not edit this worksheet.  Instead, use the items on the NodeXL, Analysis, Groups menu to create and work with groups.)
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K2" authorId="1" shapeId="0" xr:uid="{00000000-0006-0000-0300-000009000000}">
      <text>
        <r>
          <rPr>
            <b/>
            <sz val="8"/>
            <color indexed="81"/>
            <rFont val="Tahoma"/>
            <family val="2"/>
          </rPr>
          <t xml:space="preserve">Group Vertices
</t>
        </r>
        <r>
          <rPr>
            <sz val="8"/>
            <color indexed="81"/>
            <rFont val="Tahoma"/>
            <family val="2"/>
          </rPr>
          <t xml:space="preserve">
You can tell NodeXL to calculate this and other graph metrics by going to NodeXL, Analysis, Graph Metrics in the Ribbon.</t>
        </r>
        <r>
          <rPr>
            <b/>
            <sz val="9"/>
            <color indexed="81"/>
            <rFont val="Tahoma"/>
            <charset val="1"/>
          </rPr>
          <t xml:space="preserve">
</t>
        </r>
        <r>
          <rPr>
            <sz val="9"/>
            <color indexed="81"/>
            <rFont val="Tahoma"/>
            <charset val="1"/>
          </rPr>
          <t xml:space="preserve">
</t>
        </r>
      </text>
    </comment>
    <comment ref="L2" authorId="1" shapeId="0" xr:uid="{00000000-0006-0000-0300-00000A000000}">
      <text>
        <r>
          <rPr>
            <b/>
            <sz val="8"/>
            <color indexed="81"/>
            <rFont val="Tahoma"/>
            <family val="2"/>
          </rPr>
          <t>Group Unique Edges</t>
        </r>
        <r>
          <rPr>
            <sz val="8"/>
            <color indexed="81"/>
            <rFont val="Tahoma"/>
            <family val="2"/>
          </rPr>
          <t xml:space="preserve">
You can tell NodeXL to calculate this and other graph metrics by going to NodeXL, Analysis, Graph Metrics in the Ribbon.</t>
        </r>
      </text>
    </comment>
    <comment ref="M2" authorId="1" shapeId="0" xr:uid="{00000000-0006-0000-0300-00000B000000}">
      <text>
        <r>
          <rPr>
            <b/>
            <sz val="8"/>
            <color indexed="81"/>
            <rFont val="Tahoma"/>
            <family val="2"/>
          </rPr>
          <t>Group Edges With Duplicates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N2" authorId="1" shapeId="0" xr:uid="{00000000-0006-0000-0300-00000C000000}">
      <text>
        <r>
          <rPr>
            <b/>
            <sz val="8"/>
            <color indexed="81"/>
            <rFont val="Tahoma"/>
            <family val="2"/>
          </rPr>
          <t>Group Total Edges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O2" authorId="1" shapeId="0" xr:uid="{00000000-0006-0000-0300-00000D000000}">
      <text>
        <r>
          <rPr>
            <b/>
            <sz val="8"/>
            <color indexed="81"/>
            <rFont val="Tahoma"/>
            <family val="2"/>
          </rPr>
          <t>Group Self-Loops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P2" authorId="1" shapeId="0" xr:uid="{00000000-0006-0000-0300-00000E000000}">
      <text>
        <r>
          <rPr>
            <b/>
            <sz val="8"/>
            <color indexed="81"/>
            <rFont val="Tahoma"/>
            <family val="2"/>
          </rPr>
          <t xml:space="preserve">Group Reciprocated Vertex Pair Ratio
</t>
        </r>
        <r>
          <rPr>
            <sz val="8"/>
            <color indexed="81"/>
            <rFont val="Tahoma"/>
            <family val="2"/>
          </rPr>
          <t>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Q2" authorId="1" shapeId="0" xr:uid="{00000000-0006-0000-0300-00000F000000}">
      <text>
        <r>
          <rPr>
            <b/>
            <sz val="8"/>
            <color indexed="81"/>
            <rFont val="Tahoma"/>
            <family val="2"/>
          </rPr>
          <t xml:space="preserve">Group Reciprocated Edge Ratio
</t>
        </r>
        <r>
          <rPr>
            <sz val="8"/>
            <color indexed="81"/>
            <rFont val="Tahoma"/>
            <family val="2"/>
          </rPr>
          <t>You can tell NodeXL to calculate this and other graph metrics by going to NodeXL, Analysis, Graph Metrics in the Ribbon.</t>
        </r>
      </text>
    </comment>
    <comment ref="R2" authorId="1" shapeId="0" xr:uid="{00000000-0006-0000-0300-000010000000}">
      <text>
        <r>
          <rPr>
            <b/>
            <sz val="8"/>
            <color indexed="81"/>
            <rFont val="Tahoma"/>
            <family val="2"/>
          </rPr>
          <t>Group Connected Components</t>
        </r>
        <r>
          <rPr>
            <sz val="8"/>
            <color indexed="81"/>
            <rFont val="Tahoma"/>
            <family val="2"/>
          </rPr>
          <t xml:space="preserve">
You can tell NodeXL to calculate this and other graph metrics by going to NodeXL, Analysis, Graph Metrics in the Ribbon.</t>
        </r>
        <r>
          <rPr>
            <b/>
            <sz val="8"/>
            <color indexed="81"/>
            <rFont val="Tahoma"/>
            <family val="2"/>
          </rPr>
          <t xml:space="preserve">
</t>
        </r>
      </text>
    </comment>
    <comment ref="S2" authorId="1" shapeId="0" xr:uid="{00000000-0006-0000-0300-000011000000}">
      <text>
        <r>
          <rPr>
            <b/>
            <sz val="8"/>
            <color indexed="81"/>
            <rFont val="Tahoma"/>
            <family val="2"/>
          </rPr>
          <t>Group Single-Vertex Connected Components</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T2" authorId="1" shapeId="0" xr:uid="{00000000-0006-0000-0300-000012000000}">
      <text>
        <r>
          <rPr>
            <b/>
            <sz val="8"/>
            <color indexed="81"/>
            <rFont val="Tahoma"/>
            <family val="2"/>
          </rPr>
          <t>Group Maximum Vertices in a Connected Component</t>
        </r>
        <r>
          <rPr>
            <sz val="8"/>
            <color indexed="81"/>
            <rFont val="Tahoma"/>
            <family val="2"/>
          </rPr>
          <t xml:space="preserve">
You can tell NodeXL to calculate this and other graph metrics by going to NodeXL, Analysis, Graph Metrics in the Ribbon.
</t>
        </r>
        <r>
          <rPr>
            <sz val="9"/>
            <color indexed="81"/>
            <rFont val="Tahoma"/>
            <family val="2"/>
          </rPr>
          <t xml:space="preserve">
</t>
        </r>
      </text>
    </comment>
    <comment ref="U2" authorId="1" shapeId="0" xr:uid="{00000000-0006-0000-0300-000013000000}">
      <text>
        <r>
          <rPr>
            <b/>
            <sz val="8"/>
            <color indexed="81"/>
            <rFont val="Tahoma"/>
            <family val="2"/>
          </rPr>
          <t>Group Maximum Edges in a Connected Component</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 ref="V2" authorId="1" shapeId="0" xr:uid="{00000000-0006-0000-0300-000014000000}">
      <text>
        <r>
          <rPr>
            <b/>
            <sz val="8"/>
            <color indexed="81"/>
            <rFont val="Tahoma"/>
            <family val="2"/>
          </rPr>
          <t>Group Maximum Geodesic Distance (Diameter)</t>
        </r>
        <r>
          <rPr>
            <sz val="8"/>
            <color indexed="81"/>
            <rFont val="Tahoma"/>
            <family val="2"/>
          </rPr>
          <t xml:space="preserve">
You can tell NodeXL to calculate this and other graph metrics by going to NodeXL, Analysis, Graph Metrics in the Ribbon.</t>
        </r>
      </text>
    </comment>
    <comment ref="W2" authorId="1" shapeId="0" xr:uid="{00000000-0006-0000-0300-000015000000}">
      <text>
        <r>
          <rPr>
            <b/>
            <sz val="8"/>
            <color indexed="81"/>
            <rFont val="Tahoma"/>
            <family val="2"/>
          </rPr>
          <t>Group Average Geodesic Distance</t>
        </r>
        <r>
          <rPr>
            <sz val="8"/>
            <color indexed="81"/>
            <rFont val="Tahoma"/>
            <family val="2"/>
          </rPr>
          <t xml:space="preserve">
You can tell NodeXL to calculate this and other graph metrics by going to NodeXL, Analysis, Graph Metrics in the Ribbon.</t>
        </r>
      </text>
    </comment>
    <comment ref="X2" authorId="1" shapeId="0" xr:uid="{00000000-0006-0000-0300-000016000000}">
      <text>
        <r>
          <rPr>
            <b/>
            <sz val="8"/>
            <color indexed="81"/>
            <rFont val="Tahoma"/>
            <family val="2"/>
          </rPr>
          <t>Group Graph Density</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1" authorId="0" shapeId="0" xr:uid="{00000000-0006-0000-04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The group name must also be entered on the Groups worksheet.
</t>
        </r>
        <r>
          <rPr>
            <u/>
            <sz val="8"/>
            <color indexed="81"/>
            <rFont val="Tahoma"/>
            <family val="2"/>
          </rPr>
          <t>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1" authorId="0" shapeId="0" xr:uid="{00000000-0006-0000-0400-000002000000}">
      <text>
        <r>
          <rPr>
            <b/>
            <sz val="8"/>
            <color indexed="81"/>
            <rFont val="Tahoma"/>
            <family val="2"/>
          </rPr>
          <t>Vertex Name</t>
        </r>
        <r>
          <rPr>
            <sz val="8"/>
            <color indexed="81"/>
            <rFont val="Tahoma"/>
            <family val="2"/>
          </rPr>
          <t xml:space="preserve">
(In most cases, you should not edit this worksheet.  Instead, use the items on the NodeXL, Analysis, Groups menu to create and work with groups.)
Enter the name of a vertex to include in this group.</t>
        </r>
      </text>
    </comment>
    <comment ref="C1" authorId="1" shapeId="0" xr:uid="{00000000-0006-0000-0400-000003000000}">
      <text>
        <r>
          <rPr>
            <b/>
            <sz val="8"/>
            <color indexed="81"/>
            <rFont val="Tahoma"/>
            <family val="2"/>
          </rPr>
          <t xml:space="preserve">Vertex ID
</t>
        </r>
        <r>
          <rPr>
            <sz val="8"/>
            <color indexed="81"/>
            <rFont val="Tahoma"/>
            <family val="2"/>
          </rPr>
          <t xml:space="preserve">
This gets filled in by the items on the NodeXL, Analysis, Groups menu.</t>
        </r>
        <r>
          <rPr>
            <b/>
            <sz val="9"/>
            <color indexed="81"/>
            <rFont val="Tahoma"/>
            <charset val="1"/>
          </rPr>
          <t xml:space="preserve">
</t>
        </r>
        <r>
          <rPr>
            <sz val="9"/>
            <color indexed="81"/>
            <rFont val="Tahoma"/>
            <charset val="1"/>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TonyAdmin</author>
  </authors>
  <commentList>
    <comment ref="A1" authorId="0" shapeId="0" xr:uid="{00000000-0006-0000-0500-000001000000}">
      <text>
        <r>
          <rPr>
            <b/>
            <sz val="8"/>
            <color indexed="81"/>
            <rFont val="Tahoma"/>
            <family val="2"/>
          </rPr>
          <t>Overall Metrics</t>
        </r>
        <r>
          <rPr>
            <sz val="8"/>
            <color indexed="81"/>
            <rFont val="Tahoma"/>
            <family val="2"/>
          </rPr>
          <t xml:space="preserve">
</t>
        </r>
        <r>
          <rPr>
            <u/>
            <sz val="8"/>
            <color indexed="81"/>
            <rFont val="Tahoma"/>
            <family val="2"/>
          </rPr>
          <t>Worksheet Overview</t>
        </r>
        <r>
          <rPr>
            <sz val="8"/>
            <color indexed="81"/>
            <rFont val="Tahoma"/>
            <family val="2"/>
          </rPr>
          <t xml:space="preserve">
This worksheet displays overall graph metrics, which can be calculated using NodeXL, Analysis, Graph Metrics in the Ribbon.  It also displays overall readability metrics, which can be calculated using NodeXL, Graph, Layout, Calculate Readability Metrics.</t>
        </r>
      </text>
    </comment>
  </commentList>
</comments>
</file>

<file path=xl/sharedStrings.xml><?xml version="1.0" encoding="utf-8"?>
<sst xmlns="http://schemas.openxmlformats.org/spreadsheetml/2006/main" count="44763" uniqueCount="15231">
  <si>
    <t>Vertex 1</t>
  </si>
  <si>
    <t>Vertex 2</t>
  </si>
  <si>
    <t>Color</t>
  </si>
  <si>
    <t>Width</t>
  </si>
  <si>
    <t>Opacity</t>
  </si>
  <si>
    <t>Vertex</t>
  </si>
  <si>
    <t>Valid Edge Visibilities</t>
  </si>
  <si>
    <t>Valid Vertex Visibilities</t>
  </si>
  <si>
    <t>Shape</t>
  </si>
  <si>
    <t>Valid Vertex Shapes</t>
  </si>
  <si>
    <t>Tooltip</t>
  </si>
  <si>
    <t>Visibility</t>
  </si>
  <si>
    <t>ID</t>
  </si>
  <si>
    <t>Locked?</t>
  </si>
  <si>
    <t>Valid Booleans Default False</t>
  </si>
  <si>
    <t>X</t>
  </si>
  <si>
    <t>Y</t>
  </si>
  <si>
    <t>Value</t>
  </si>
  <si>
    <t>Per-Workbook Setting</t>
  </si>
  <si>
    <t>Template Version</t>
  </si>
  <si>
    <t>Vertex Shape</t>
  </si>
  <si>
    <t>Vertex Color</t>
  </si>
  <si>
    <t>Table Name</t>
  </si>
  <si>
    <t>Column Name</t>
  </si>
  <si>
    <t>Selected Minimum</t>
  </si>
  <si>
    <t>Selected Maximum</t>
  </si>
  <si>
    <t>Add Your Own Columns Here</t>
  </si>
  <si>
    <t>Layout Order</t>
  </si>
  <si>
    <t>Polar R</t>
  </si>
  <si>
    <t>Polar Angle</t>
  </si>
  <si>
    <t>Graph Directedness</t>
  </si>
  <si>
    <t>Degree</t>
  </si>
  <si>
    <t>In-Degree</t>
  </si>
  <si>
    <t>Out-Degree</t>
  </si>
  <si>
    <t>Betweenness Centrality</t>
  </si>
  <si>
    <t>Closeness Centrality</t>
  </si>
  <si>
    <t>Eigenvector Centrality</t>
  </si>
  <si>
    <t>Clustering Coefficient</t>
  </si>
  <si>
    <t>Dynamic Filter</t>
  </si>
  <si>
    <t>Visual Properties</t>
  </si>
  <si>
    <t>Do Not Edit</t>
  </si>
  <si>
    <t>Other Columns</t>
  </si>
  <si>
    <t>Graph Metrics</t>
  </si>
  <si>
    <t>Labels</t>
  </si>
  <si>
    <t>Layout</t>
  </si>
  <si>
    <t>Size</t>
  </si>
  <si>
    <t>Label</t>
  </si>
  <si>
    <t>Label Fill Color</t>
  </si>
  <si>
    <t>Image File</t>
  </si>
  <si>
    <t>This worksheet is no longer used but is retained to allow older versions of NodeXL to open workbooks created with NodeXL version 1.0.1.96 or later.</t>
  </si>
  <si>
    <t>Do not delete this worksheet.</t>
  </si>
  <si>
    <t>Show</t>
  </si>
  <si>
    <t>Skip</t>
  </si>
  <si>
    <t>Hide</t>
  </si>
  <si>
    <t>Show if in an Edge</t>
  </si>
  <si>
    <t>Circle</t>
  </si>
  <si>
    <t>Disk</t>
  </si>
  <si>
    <t>Sphere</t>
  </si>
  <si>
    <t>Square</t>
  </si>
  <si>
    <t>Solid Square</t>
  </si>
  <si>
    <t>Diamond</t>
  </si>
  <si>
    <t>Solid Diamond</t>
  </si>
  <si>
    <t>Triangle</t>
  </si>
  <si>
    <t>Solid Triangle</t>
  </si>
  <si>
    <t>Image</t>
  </si>
  <si>
    <t>No</t>
  </si>
  <si>
    <t>Yes</t>
  </si>
  <si>
    <t>Valid Vertex Label Positions</t>
  </si>
  <si>
    <t>Top Left</t>
  </si>
  <si>
    <t>Top Center</t>
  </si>
  <si>
    <t>Top Right</t>
  </si>
  <si>
    <t>Middle Left</t>
  </si>
  <si>
    <t>Middle Center</t>
  </si>
  <si>
    <t>Middle Right</t>
  </si>
  <si>
    <t>Bottom Left</t>
  </si>
  <si>
    <t>Bottom Center</t>
  </si>
  <si>
    <t>Bottom Right</t>
  </si>
  <si>
    <t>Label Position</t>
  </si>
  <si>
    <t>Auto Layout on Open</t>
  </si>
  <si>
    <t>Degree Bin</t>
  </si>
  <si>
    <t>Degree Frequency</t>
  </si>
  <si>
    <t>Minimum Degree</t>
  </si>
  <si>
    <t>Maximum Degree</t>
  </si>
  <si>
    <t>Average Degree</t>
  </si>
  <si>
    <t>Median Degree</t>
  </si>
  <si>
    <t>Not Available</t>
  </si>
  <si>
    <t>In-Degree Bin</t>
  </si>
  <si>
    <t>In-Degree Frequency</t>
  </si>
  <si>
    <t>Minimum In-Degree</t>
  </si>
  <si>
    <t>Maximum In-Degree</t>
  </si>
  <si>
    <t>Average In-Degree</t>
  </si>
  <si>
    <t>Median In-Degree</t>
  </si>
  <si>
    <t>Out-Degree Bin</t>
  </si>
  <si>
    <t>Out-Degree Frequency</t>
  </si>
  <si>
    <t>Minimum Out-Degree</t>
  </si>
  <si>
    <t>Maximum Out-Degree</t>
  </si>
  <si>
    <t>Average Out-Degree</t>
  </si>
  <si>
    <t>Median Out-Degree</t>
  </si>
  <si>
    <t>Betweenness Centrality Bin</t>
  </si>
  <si>
    <t>Betweenness Centrality Frequency</t>
  </si>
  <si>
    <t>Minimum Betweenness Centrality</t>
  </si>
  <si>
    <t>Maximum Betweenness Centrality</t>
  </si>
  <si>
    <t>Average Betweenness Centrality</t>
  </si>
  <si>
    <t>Median Betweenness Centrality</t>
  </si>
  <si>
    <t>Closeness Centrality Bin</t>
  </si>
  <si>
    <t>Closeness Centrality Frequency</t>
  </si>
  <si>
    <t>Minimum Closeness Centrality</t>
  </si>
  <si>
    <t>Maximum Closeness Centrality</t>
  </si>
  <si>
    <t>Average Closeness Centrality</t>
  </si>
  <si>
    <t>Median Closeness Centrality</t>
  </si>
  <si>
    <t>Eigenvector Centrality Bin</t>
  </si>
  <si>
    <t>Eigenvector Centrality Frequency</t>
  </si>
  <si>
    <t>Minimum Eigenvector Centrality</t>
  </si>
  <si>
    <t>Maximum Eigenvector Centrality</t>
  </si>
  <si>
    <t>Average Eigenvector Centrality</t>
  </si>
  <si>
    <t>Median Eigenvector Centrality</t>
  </si>
  <si>
    <t>Clustering Coefficient Bin</t>
  </si>
  <si>
    <t>Clustering Coefficient Frequency</t>
  </si>
  <si>
    <t>Minimum Clustering Coefficient</t>
  </si>
  <si>
    <t>Maximum Clustering Coefficient</t>
  </si>
  <si>
    <t>Average Clustering Coefficient</t>
  </si>
  <si>
    <t>Median Clustering Coefficient</t>
  </si>
  <si>
    <t>Dynamic Filter Bin</t>
  </si>
  <si>
    <t>Dynamic Filter Frequency</t>
  </si>
  <si>
    <t>Bin Divisor</t>
  </si>
  <si>
    <t>No Metric Message</t>
  </si>
  <si>
    <t>Dynamic Filter Source Column Range</t>
  </si>
  <si>
    <t>Histogram Property</t>
  </si>
  <si>
    <t>TableName[ColumnName]</t>
  </si>
  <si>
    <t xml:space="preserve">The empty chart above is used to create histogram images for dynamic filters.  It is associated with two columns in the HistogramBins table on the Overall Metrics worksheet, and on the HistogramProperties table on that worksheet.  The chart is on this worksheet instead of the more logical Overall Metrics worksheet because the chart must be visible for a histogram image to be created.  If the chart where in Overall Metrics in a visible range the user would see it, whereas the user never sees this Misc worksheet because the entire worksheet is hidden. </t>
  </si>
  <si>
    <t>Style</t>
  </si>
  <si>
    <t>Valid Edge Styles</t>
  </si>
  <si>
    <t>Solid</t>
  </si>
  <si>
    <t>Dash</t>
  </si>
  <si>
    <t>Dot</t>
  </si>
  <si>
    <t>Dash Dot</t>
  </si>
  <si>
    <t>Dash Dot Dot</t>
  </si>
  <si>
    <t>PageRank</t>
  </si>
  <si>
    <t>PageRank Bin</t>
  </si>
  <si>
    <t>PageRank Frequency</t>
  </si>
  <si>
    <t>Minimum PageRank</t>
  </si>
  <si>
    <t>Maximum PageRank</t>
  </si>
  <si>
    <t>Average PageRank</t>
  </si>
  <si>
    <t>Median PageRank</t>
  </si>
  <si>
    <t>Group</t>
  </si>
  <si>
    <t>Collapsed?</t>
  </si>
  <si>
    <t>Vertices</t>
  </si>
  <si>
    <t>Vertex ID</t>
  </si>
  <si>
    <t>Unique Edges</t>
  </si>
  <si>
    <t>Edges With Duplicates</t>
  </si>
  <si>
    <t>Total Edges</t>
  </si>
  <si>
    <t>Self-Loops</t>
  </si>
  <si>
    <t>Connected Components</t>
  </si>
  <si>
    <t>Single-Vertex Connected Components</t>
  </si>
  <si>
    <t>Maximum Vertices in a Connected Component</t>
  </si>
  <si>
    <t>Maximum Edges in a Connected Component</t>
  </si>
  <si>
    <t>Maximum Geodesic Distance (Diameter)</t>
  </si>
  <si>
    <t>Average Geodesic Distance</t>
  </si>
  <si>
    <t>Graph Density</t>
  </si>
  <si>
    <t>Nowhere</t>
  </si>
  <si>
    <t>Label Text Color</t>
  </si>
  <si>
    <t>Label Font Size</t>
  </si>
  <si>
    <t>Graph Metric</t>
  </si>
  <si>
    <t>Readability Metric</t>
  </si>
  <si>
    <t>Valid Group Shapes</t>
  </si>
  <si>
    <t>Reciprocated?</t>
  </si>
  <si>
    <t>Collapsed Properties</t>
  </si>
  <si>
    <t>Collapsed X</t>
  </si>
  <si>
    <t>Collapsed Y</t>
  </si>
  <si>
    <t>Valid Group Visibilities</t>
  </si>
  <si>
    <t>Reciprocated Vertex Pair Ratio</t>
  </si>
  <si>
    <t>Reciprocated Edge Ratio</t>
  </si>
  <si>
    <t>Workbook Settings 1</t>
  </si>
  <si>
    <t>Workbook Settings Cell Count</t>
  </si>
  <si>
    <t>Autofill Workbook Results</t>
  </si>
  <si>
    <t>▓0▓0▓0▓True▓Black▓Black▓▓▓0▓0▓0▓0▓0▓False▓▓0▓0▓0▓0▓0▓False▓▓0▓0▓0▓True▓Black▓Black▓▓▓0▓0▓0▓0▓0▓False▓▓0▓0▓0▓0▓0▓False▓▓0▓0▓0▓0▓0▓False▓▓0▓0▓0▓0▓0▓False</t>
  </si>
  <si>
    <t>Graph History</t>
  </si>
  <si>
    <t>Relationship</t>
  </si>
  <si>
    <t>Relationship Date (UTC)</t>
  </si>
  <si>
    <t>Tweet</t>
  </si>
  <si>
    <t>Retweet Count</t>
  </si>
  <si>
    <t>Favorite Count</t>
  </si>
  <si>
    <t>Reply Count</t>
  </si>
  <si>
    <t>Quote Count</t>
  </si>
  <si>
    <t>Impression Count</t>
  </si>
  <si>
    <t>Hashtags in Tweet</t>
  </si>
  <si>
    <t>URLs in Tweet</t>
  </si>
  <si>
    <t>Domains in Tweet</t>
  </si>
  <si>
    <t>Mentions in Tweet</t>
  </si>
  <si>
    <t>Media in Tweet</t>
  </si>
  <si>
    <t>Media Type</t>
  </si>
  <si>
    <t>Source</t>
  </si>
  <si>
    <t>Language</t>
  </si>
  <si>
    <t>Twitter Page for Tweet</t>
  </si>
  <si>
    <t>Tweet Date (UTC)</t>
  </si>
  <si>
    <t>Date</t>
  </si>
  <si>
    <t>Time</t>
  </si>
  <si>
    <t>Possibly Sensitive</t>
  </si>
  <si>
    <t>Place Bounding Box</t>
  </si>
  <si>
    <t>Place Country</t>
  </si>
  <si>
    <t>Place Country Code</t>
  </si>
  <si>
    <t>Place Full Name</t>
  </si>
  <si>
    <t>Place ID</t>
  </si>
  <si>
    <t>Place Name</t>
  </si>
  <si>
    <t>Place Type</t>
  </si>
  <si>
    <t>Media Key</t>
  </si>
  <si>
    <t>Media Duration (ms)</t>
  </si>
  <si>
    <t>Media Height</t>
  </si>
  <si>
    <t>Media Width</t>
  </si>
  <si>
    <t>Media View Count</t>
  </si>
  <si>
    <t>Tweet Image File</t>
  </si>
  <si>
    <t>Imported ID</t>
  </si>
  <si>
    <t>Conversation ID</t>
  </si>
  <si>
    <t>In Reply To User ID</t>
  </si>
  <si>
    <t>In Reply To Tweet ID</t>
  </si>
  <si>
    <t>Quoted Status ID</t>
  </si>
  <si>
    <t>Retweet ID</t>
  </si>
  <si>
    <t>Unified Twitter ID</t>
  </si>
  <si>
    <t>Author ID</t>
  </si>
  <si>
    <t>Poll ID</t>
  </si>
  <si>
    <t>Poll Options</t>
  </si>
  <si>
    <t>Poll Duration</t>
  </si>
  <si>
    <t>Poll End Date</t>
  </si>
  <si>
    <t>Poll Voting Status</t>
  </si>
  <si>
    <t>laplazadiario</t>
  </si>
  <si>
    <t>coachvillacis</t>
  </si>
  <si>
    <t>acsiresearch</t>
  </si>
  <si>
    <t>carlosagami</t>
  </si>
  <si>
    <t>sagitariomaz</t>
  </si>
  <si>
    <t>m_malaquias</t>
  </si>
  <si>
    <t>lecheriateve</t>
  </si>
  <si>
    <t>innetsolucoes</t>
  </si>
  <si>
    <t>redclinicapsi</t>
  </si>
  <si>
    <t>jobsbayton</t>
  </si>
  <si>
    <t>jpsotohelo</t>
  </si>
  <si>
    <t>tina_pimenteld</t>
  </si>
  <si>
    <t>daphinefmera</t>
  </si>
  <si>
    <t>psyteco_</t>
  </si>
  <si>
    <t>dznprojectmedia</t>
  </si>
  <si>
    <t>digitaltic1</t>
  </si>
  <si>
    <t>diarioenlaruta</t>
  </si>
  <si>
    <t>visocym</t>
  </si>
  <si>
    <t>alicam_mx</t>
  </si>
  <si>
    <t>gfsaadv</t>
  </si>
  <si>
    <t>se_personalize</t>
  </si>
  <si>
    <t>guidocurletto</t>
  </si>
  <si>
    <t>joaonetoupcont</t>
  </si>
  <si>
    <t>tradeviewes</t>
  </si>
  <si>
    <t>tramicares</t>
  </si>
  <si>
    <t>wandergomes33</t>
  </si>
  <si>
    <t>gilbester</t>
  </si>
  <si>
    <t>telenoticiasrd</t>
  </si>
  <si>
    <t>armandopdiaz</t>
  </si>
  <si>
    <t>pfdoarmario</t>
  </si>
  <si>
    <t>ticjobco</t>
  </si>
  <si>
    <t>grupoperseo</t>
  </si>
  <si>
    <t>thesassypants70</t>
  </si>
  <si>
    <t>vacantesaps</t>
  </si>
  <si>
    <t>lojaelenicosta</t>
  </si>
  <si>
    <t>nakahashiadv</t>
  </si>
  <si>
    <t>gavrocheg</t>
  </si>
  <si>
    <t>noti7guatemala</t>
  </si>
  <si>
    <t>carmen197713</t>
  </si>
  <si>
    <t>evaluabroker</t>
  </si>
  <si>
    <t>centralcursoss</t>
  </si>
  <si>
    <t>rainmakersalesc</t>
  </si>
  <si>
    <t>canalupcast</t>
  </si>
  <si>
    <t>ismaelkardoudi</t>
  </si>
  <si>
    <t>conocimientoyde</t>
  </si>
  <si>
    <t>nienna_26</t>
  </si>
  <si>
    <t>trabajoenelnoa</t>
  </si>
  <si>
    <t>timbralofacil</t>
  </si>
  <si>
    <t>geraimpacto</t>
  </si>
  <si>
    <t>shugardeli1</t>
  </si>
  <si>
    <t>vivendex</t>
  </si>
  <si>
    <t>elbonanews</t>
  </si>
  <si>
    <t>merchantsguider</t>
  </si>
  <si>
    <t>guiaserjcentro</t>
  </si>
  <si>
    <t>cintiaxis</t>
  </si>
  <si>
    <t>dnrconsultor</t>
  </si>
  <si>
    <t>amaneciendomx</t>
  </si>
  <si>
    <t>abigaildelolmo1</t>
  </si>
  <si>
    <t>antenasanluis</t>
  </si>
  <si>
    <t>elenicostadf</t>
  </si>
  <si>
    <t>vendes_o_ayudas</t>
  </si>
  <si>
    <t>informacaoief</t>
  </si>
  <si>
    <t>vendolite</t>
  </si>
  <si>
    <t>bavaronews</t>
  </si>
  <si>
    <t>netgen_al</t>
  </si>
  <si>
    <t>info_clicktime</t>
  </si>
  <si>
    <t>esther260420</t>
  </si>
  <si>
    <t>prcticasempres1</t>
  </si>
  <si>
    <t>viccarijonny</t>
  </si>
  <si>
    <t>dancarlossilva</t>
  </si>
  <si>
    <t>aliqindoi</t>
  </si>
  <si>
    <t>civilmercantil</t>
  </si>
  <si>
    <t>rodrigo90818252</t>
  </si>
  <si>
    <t>lausalda0115</t>
  </si>
  <si>
    <t>daniel_consig</t>
  </si>
  <si>
    <t>sumundotv</t>
  </si>
  <si>
    <t>luchoveracruz</t>
  </si>
  <si>
    <t>luizrocca_</t>
  </si>
  <si>
    <t>novaeraestrateg</t>
  </si>
  <si>
    <t>andreassaallan</t>
  </si>
  <si>
    <t>diarioudi</t>
  </si>
  <si>
    <t>elfocoinforma</t>
  </si>
  <si>
    <t>juan41195</t>
  </si>
  <si>
    <t>ivangzg</t>
  </si>
  <si>
    <t>snepueblaofi</t>
  </si>
  <si>
    <t>paredonpaterna</t>
  </si>
  <si>
    <t>manuarias_c</t>
  </si>
  <si>
    <t>danielnobregao</t>
  </si>
  <si>
    <t>lajornadaonline</t>
  </si>
  <si>
    <t>palmaparafusos</t>
  </si>
  <si>
    <t>noemi_12mmo</t>
  </si>
  <si>
    <t>empleadorserial</t>
  </si>
  <si>
    <t>transdoctrabajo</t>
  </si>
  <si>
    <t>azojca</t>
  </si>
  <si>
    <t>erpsolmex</t>
  </si>
  <si>
    <t>mercedesnuru</t>
  </si>
  <si>
    <t>frameticket</t>
  </si>
  <si>
    <t>calzatodos</t>
  </si>
  <si>
    <t>destino_em_maos</t>
  </si>
  <si>
    <t>maround_sports</t>
  </si>
  <si>
    <t>adrianod_rafael</t>
  </si>
  <si>
    <t>desdela3cuerda</t>
  </si>
  <si>
    <t>reserva_isadora</t>
  </si>
  <si>
    <t>markusdesigner</t>
  </si>
  <si>
    <t>mislenetbrito</t>
  </si>
  <si>
    <t>edultimalinea</t>
  </si>
  <si>
    <t>joaormilanezi</t>
  </si>
  <si>
    <t>mpmsoftware</t>
  </si>
  <si>
    <t>rogermar</t>
  </si>
  <si>
    <t>umancolombia</t>
  </si>
  <si>
    <t>zorbash</t>
  </si>
  <si>
    <t>nicolassalesadv</t>
  </si>
  <si>
    <t>alexbru65408321</t>
  </si>
  <si>
    <t>canalfs0ciety</t>
  </si>
  <si>
    <t>lado_mx</t>
  </si>
  <si>
    <t>dudiinhass</t>
  </si>
  <si>
    <t>leomigdal</t>
  </si>
  <si>
    <t>pmurphy_ar</t>
  </si>
  <si>
    <t>odylarios</t>
  </si>
  <si>
    <t>mactredxc</t>
  </si>
  <si>
    <t>calltocall</t>
  </si>
  <si>
    <t>aosamit</t>
  </si>
  <si>
    <t>gomusic29513980</t>
  </si>
  <si>
    <t>zspindula</t>
  </si>
  <si>
    <t>jaimegarmar_</t>
  </si>
  <si>
    <t>juanarizaruiz</t>
  </si>
  <si>
    <t>jxcabrer</t>
  </si>
  <si>
    <t>marciavalria15</t>
  </si>
  <si>
    <t>clientelacrm</t>
  </si>
  <si>
    <t>portidaniel</t>
  </si>
  <si>
    <t>fmdlog</t>
  </si>
  <si>
    <t>zcmayoristas</t>
  </si>
  <si>
    <t>rrsolucdigitais</t>
  </si>
  <si>
    <t>callhimrog</t>
  </si>
  <si>
    <t>acovedi</t>
  </si>
  <si>
    <t>grandemomento_</t>
  </si>
  <si>
    <t>deinformal</t>
  </si>
  <si>
    <t>vavaarthur</t>
  </si>
  <si>
    <t>talentoverdeco</t>
  </si>
  <si>
    <t>meetlineup</t>
  </si>
  <si>
    <t>calfermx</t>
  </si>
  <si>
    <t>mooreecuador</t>
  </si>
  <si>
    <t>el_diariomx</t>
  </si>
  <si>
    <t>adrianabacic</t>
  </si>
  <si>
    <t>expopublicitas_</t>
  </si>
  <si>
    <t>editor_platense</t>
  </si>
  <si>
    <t>henriquesbno</t>
  </si>
  <si>
    <t>pratiscrm</t>
  </si>
  <si>
    <t>regionnet_ar</t>
  </si>
  <si>
    <t>perfilecuador</t>
  </si>
  <si>
    <t>meionorte</t>
  </si>
  <si>
    <t>jlatencio</t>
  </si>
  <si>
    <t>laucierigomez</t>
  </si>
  <si>
    <t>tetransformamos</t>
  </si>
  <si>
    <t>nicolsproorg</t>
  </si>
  <si>
    <t>claudia_ardon</t>
  </si>
  <si>
    <t>roberto_vilela</t>
  </si>
  <si>
    <t>joven360</t>
  </si>
  <si>
    <t>jg_humanr</t>
  </si>
  <si>
    <t>clauromorh231</t>
  </si>
  <si>
    <t>oevandroazevedo</t>
  </si>
  <si>
    <t>rhprojettar</t>
  </si>
  <si>
    <t>olemanocomunica</t>
  </si>
  <si>
    <t>gringodist</t>
  </si>
  <si>
    <t>redesvisualesve</t>
  </si>
  <si>
    <t>tilsobataglia</t>
  </si>
  <si>
    <t>wautechnologies</t>
  </si>
  <si>
    <t>jgribbell</t>
  </si>
  <si>
    <t>coachingcialcie</t>
  </si>
  <si>
    <t>helio_couto</t>
  </si>
  <si>
    <t>mucaoaovivo</t>
  </si>
  <si>
    <t>decalogooficial</t>
  </si>
  <si>
    <t>porto_ba</t>
  </si>
  <si>
    <t>nerimarmendes</t>
  </si>
  <si>
    <t>amilcabogados</t>
  </si>
  <si>
    <t>alexkid18734651</t>
  </si>
  <si>
    <t>mondinthalles</t>
  </si>
  <si>
    <t>alucianio</t>
  </si>
  <si>
    <t>luzpcg</t>
  </si>
  <si>
    <t>soyfelixrojasm</t>
  </si>
  <si>
    <t>diseniocapacita</t>
  </si>
  <si>
    <t>vagassa</t>
  </si>
  <si>
    <t>asvtech</t>
  </si>
  <si>
    <t>tobiasbrosas</t>
  </si>
  <si>
    <t>visaooeste</t>
  </si>
  <si>
    <t>nalvesadvocacia</t>
  </si>
  <si>
    <t>moblescanbarato</t>
  </si>
  <si>
    <t>mendozantigua</t>
  </si>
  <si>
    <t>aperfin</t>
  </si>
  <si>
    <t>vtgsolar</t>
  </si>
  <si>
    <t>empleocerca</t>
  </si>
  <si>
    <t>diariodoestado</t>
  </si>
  <si>
    <t>gisellejacome</t>
  </si>
  <si>
    <t>cidorodrigues</t>
  </si>
  <si>
    <t>treinadoralexis</t>
  </si>
  <si>
    <t>agenciaguiase</t>
  </si>
  <si>
    <t>applejuicejayy</t>
  </si>
  <si>
    <t>agnesrh</t>
  </si>
  <si>
    <t>montparnassemx</t>
  </si>
  <si>
    <t>roberto_j_parra</t>
  </si>
  <si>
    <t>rrecrutadora</t>
  </si>
  <si>
    <t>thelogisticswd</t>
  </si>
  <si>
    <t>ovationamericas</t>
  </si>
  <si>
    <t>grupotsalach</t>
  </si>
  <si>
    <t>tneaar</t>
  </si>
  <si>
    <t>ingdascenzo</t>
  </si>
  <si>
    <t>6printdesign</t>
  </si>
  <si>
    <t>tierrasdemedina</t>
  </si>
  <si>
    <t>dandresamado</t>
  </si>
  <si>
    <t>librosflash</t>
  </si>
  <si>
    <t>empleosrealesyt</t>
  </si>
  <si>
    <t>josy85547308</t>
  </si>
  <si>
    <t>legalmenterrss</t>
  </si>
  <si>
    <t>workshopdantas</t>
  </si>
  <si>
    <t>garotoviniofc</t>
  </si>
  <si>
    <t>elcaph</t>
  </si>
  <si>
    <t>vivicolme</t>
  </si>
  <si>
    <t>inconfor_mista</t>
  </si>
  <si>
    <t>sergiramo</t>
  </si>
  <si>
    <t>vacantesmx</t>
  </si>
  <si>
    <t>gacetinmadrid</t>
  </si>
  <si>
    <t>buscaempleomad</t>
  </si>
  <si>
    <t>thefernandolour</t>
  </si>
  <si>
    <t>aliatecla</t>
  </si>
  <si>
    <t>canal11hn</t>
  </si>
  <si>
    <t>laleype</t>
  </si>
  <si>
    <t>gravitycombr</t>
  </si>
  <si>
    <t>valdiviamarlon</t>
  </si>
  <si>
    <t>umviajante</t>
  </si>
  <si>
    <t>retenchiriqui</t>
  </si>
  <si>
    <t>neogrid</t>
  </si>
  <si>
    <t>elsolucionario</t>
  </si>
  <si>
    <t>hacktivos</t>
  </si>
  <si>
    <t>radiorock89</t>
  </si>
  <si>
    <t>resultadoscia</t>
  </si>
  <si>
    <t>nacho_asprella</t>
  </si>
  <si>
    <t>mariana64692094</t>
  </si>
  <si>
    <t>jobomas</t>
  </si>
  <si>
    <t>automafast</t>
  </si>
  <si>
    <t>molkiades</t>
  </si>
  <si>
    <t>netcarreiras</t>
  </si>
  <si>
    <t>ederzardin</t>
  </si>
  <si>
    <t>victorv82449539</t>
  </si>
  <si>
    <t>postadurango</t>
  </si>
  <si>
    <t>eudavidhernande</t>
  </si>
  <si>
    <t>elmeromero90210</t>
  </si>
  <si>
    <t>ciebarcelona</t>
  </si>
  <si>
    <t>luiswolly</t>
  </si>
  <si>
    <t>deciopes</t>
  </si>
  <si>
    <t>lauracantizano</t>
  </si>
  <si>
    <t>mercasa3</t>
  </si>
  <si>
    <t>agricolacenteno</t>
  </si>
  <si>
    <t>bolsadtrabajot</t>
  </si>
  <si>
    <t>niurymartins</t>
  </si>
  <si>
    <t>quepocamadre_mx</t>
  </si>
  <si>
    <t>habiteoes</t>
  </si>
  <si>
    <t>el_ruana</t>
  </si>
  <si>
    <t>roollingstar</t>
  </si>
  <si>
    <t>ibahia</t>
  </si>
  <si>
    <t>vpinguim</t>
  </si>
  <si>
    <t>euqueroameta</t>
  </si>
  <si>
    <t>amvdmx</t>
  </si>
  <si>
    <t>accounterweb</t>
  </si>
  <si>
    <t>maria_mzorrilla</t>
  </si>
  <si>
    <t>tupentagrama</t>
  </si>
  <si>
    <t>quepocamadremex</t>
  </si>
  <si>
    <t>maatacado</t>
  </si>
  <si>
    <t>juanpedroporra2</t>
  </si>
  <si>
    <t>mktraquelsouza</t>
  </si>
  <si>
    <t>talentomayan</t>
  </si>
  <si>
    <t>framemktdigital</t>
  </si>
  <si>
    <t>ideiasedesafios</t>
  </si>
  <si>
    <t>alexandremota</t>
  </si>
  <si>
    <t>easycoboficial</t>
  </si>
  <si>
    <t>jesusal50997127</t>
  </si>
  <si>
    <t>segevidenceone</t>
  </si>
  <si>
    <t>ofcphilip</t>
  </si>
  <si>
    <t>kiaframx</t>
  </si>
  <si>
    <t>silveriorique</t>
  </si>
  <si>
    <t>desdeparaguay</t>
  </si>
  <si>
    <t>sonoticiaboaofc</t>
  </si>
  <si>
    <t>carolcamponez</t>
  </si>
  <si>
    <t>fotoganando</t>
  </si>
  <si>
    <t>rafaelcineasta7</t>
  </si>
  <si>
    <t>noejaz77</t>
  </si>
  <si>
    <t>advtalinykrein</t>
  </si>
  <si>
    <t>crisperezmkt</t>
  </si>
  <si>
    <t>carlossolisd</t>
  </si>
  <si>
    <t>nortemediacion</t>
  </si>
  <si>
    <t>se_empreendedor</t>
  </si>
  <si>
    <t>exordia_ma</t>
  </si>
  <si>
    <t>avisooportunomx</t>
  </si>
  <si>
    <t>douglaswebp</t>
  </si>
  <si>
    <t>salazarbalbuena</t>
  </si>
  <si>
    <t>teneriadiaz</t>
  </si>
  <si>
    <t>josueseibel</t>
  </si>
  <si>
    <t>joclarbh</t>
  </si>
  <si>
    <t>pablosu91535628</t>
  </si>
  <si>
    <t>coformacion</t>
  </si>
  <si>
    <t>clasicsfm</t>
  </si>
  <si>
    <t>anaborgestoc</t>
  </si>
  <si>
    <t>lajozzs</t>
  </si>
  <si>
    <t>naomiauve</t>
  </si>
  <si>
    <t>vagasdesalvador</t>
  </si>
  <si>
    <t>korraleja</t>
  </si>
  <si>
    <t>ceciliabolina</t>
  </si>
  <si>
    <t>chuy13jesus04</t>
  </si>
  <si>
    <t>vimaracarros</t>
  </si>
  <si>
    <t>juanvpe1980</t>
  </si>
  <si>
    <t>juristecadv</t>
  </si>
  <si>
    <t>opensinergia</t>
  </si>
  <si>
    <t>goianiacal</t>
  </si>
  <si>
    <t>saraperez0205</t>
  </si>
  <si>
    <t>hispanatolia</t>
  </si>
  <si>
    <t>franklindiazl</t>
  </si>
  <si>
    <t>ahnegocios</t>
  </si>
  <si>
    <t>vaconmarke65311</t>
  </si>
  <si>
    <t>oleonardodantas</t>
  </si>
  <si>
    <t>doutornegis</t>
  </si>
  <si>
    <t>alaboralec</t>
  </si>
  <si>
    <t>plastlaminados</t>
  </si>
  <si>
    <t>jorge_ebe85</t>
  </si>
  <si>
    <t>elcircotv</t>
  </si>
  <si>
    <t>ventas_exito</t>
  </si>
  <si>
    <t>globalempregos</t>
  </si>
  <si>
    <t>juanpedroporra1</t>
  </si>
  <si>
    <t>telepremier</t>
  </si>
  <si>
    <t>negocios_tv</t>
  </si>
  <si>
    <t>oscarmarcosg</t>
  </si>
  <si>
    <t>sonderargentina</t>
  </si>
  <si>
    <t>elvendedor81</t>
  </si>
  <si>
    <t>estadoluz_</t>
  </si>
  <si>
    <t>billeteramovil_</t>
  </si>
  <si>
    <t>eldial_com</t>
  </si>
  <si>
    <t>rprsabogados1</t>
  </si>
  <si>
    <t>casasmaracana</t>
  </si>
  <si>
    <t>juanitomalafoya</t>
  </si>
  <si>
    <t>gestionmhumana</t>
  </si>
  <si>
    <t>kevintanori11</t>
  </si>
  <si>
    <t>pgsconsultingg</t>
  </si>
  <si>
    <t>academyeducacao</t>
  </si>
  <si>
    <t>eliotello23</t>
  </si>
  <si>
    <t>menschmx</t>
  </si>
  <si>
    <t>chavesechapolin</t>
  </si>
  <si>
    <t>teslatemis007</t>
  </si>
  <si>
    <t>snesanluis</t>
  </si>
  <si>
    <t>cuartodemillamx</t>
  </si>
  <si>
    <t>ingodwetrustja7</t>
  </si>
  <si>
    <t>aztecachihuahua</t>
  </si>
  <si>
    <t>awebmor</t>
  </si>
  <si>
    <t>mysteryproject2</t>
  </si>
  <si>
    <t>ofertapremium</t>
  </si>
  <si>
    <t>canales3y7</t>
  </si>
  <si>
    <t>andresilva1206</t>
  </si>
  <si>
    <t>empleo_na</t>
  </si>
  <si>
    <t>erlan_dgm</t>
  </si>
  <si>
    <t>meucrediario</t>
  </si>
  <si>
    <t>ipforce_telecom</t>
  </si>
  <si>
    <t>radio3trelew</t>
  </si>
  <si>
    <t>jacklupio</t>
  </si>
  <si>
    <t>arthuroliveirad</t>
  </si>
  <si>
    <t>dole_one</t>
  </si>
  <si>
    <t>formate_oficial</t>
  </si>
  <si>
    <t>jeimage</t>
  </si>
  <si>
    <t>marcrixnoticias</t>
  </si>
  <si>
    <t>yakuconsultora</t>
  </si>
  <si>
    <t>adapta_tech</t>
  </si>
  <si>
    <t>consult_report</t>
  </si>
  <si>
    <t>raphael_cordova</t>
  </si>
  <si>
    <t>yosoyoriginal_</t>
  </si>
  <si>
    <t>zaloalo</t>
  </si>
  <si>
    <t>guardianaliento</t>
  </si>
  <si>
    <t>rdiostudiobr1</t>
  </si>
  <si>
    <t>katherin8782818</t>
  </si>
  <si>
    <t>mnifstddreams</t>
  </si>
  <si>
    <t>viniciusdiferr1</t>
  </si>
  <si>
    <t>puschinni</t>
  </si>
  <si>
    <t>rasinkavz</t>
  </si>
  <si>
    <t>meeeegustarc5</t>
  </si>
  <si>
    <t>danisanchez454</t>
  </si>
  <si>
    <t>colombiavozavoz</t>
  </si>
  <si>
    <t>michellenvarro</t>
  </si>
  <si>
    <t>empleolandia</t>
  </si>
  <si>
    <t>dux284</t>
  </si>
  <si>
    <t>memez_van</t>
  </si>
  <si>
    <t>chatguruoficial</t>
  </si>
  <si>
    <t>century21goldt</t>
  </si>
  <si>
    <t>vinicius198547</t>
  </si>
  <si>
    <t>tatahsouza21</t>
  </si>
  <si>
    <t>cptm_oficial</t>
  </si>
  <si>
    <t>thesauce_ag</t>
  </si>
  <si>
    <t>papodevendedor</t>
  </si>
  <si>
    <t>focushr_</t>
  </si>
  <si>
    <t>consultores_dp</t>
  </si>
  <si>
    <t>m_garciaarranz</t>
  </si>
  <si>
    <t>yessagenciaweb</t>
  </si>
  <si>
    <t>alimentadorweb</t>
  </si>
  <si>
    <t>inteligencia999</t>
  </si>
  <si>
    <t>julioce81307211</t>
  </si>
  <si>
    <t>mtzompantzi</t>
  </si>
  <si>
    <t>rhplanningmx</t>
  </si>
  <si>
    <t>fatimavazquezdg</t>
  </si>
  <si>
    <t>marielalivy</t>
  </si>
  <si>
    <t>cybersecurityes</t>
  </si>
  <si>
    <t>podermail_com</t>
  </si>
  <si>
    <t>josepoliticus</t>
  </si>
  <si>
    <t>grucaps</t>
  </si>
  <si>
    <t>bassilevandro</t>
  </si>
  <si>
    <t>tierras_cid</t>
  </si>
  <si>
    <t>lib_capitulos</t>
  </si>
  <si>
    <t>oportoneto</t>
  </si>
  <si>
    <t>juniorportare</t>
  </si>
  <si>
    <t>iloveventas</t>
  </si>
  <si>
    <t>binho_nog</t>
  </si>
  <si>
    <t>revistatmx</t>
  </si>
  <si>
    <t>inmoinformativo</t>
  </si>
  <si>
    <t>1terceirizacao</t>
  </si>
  <si>
    <t>thebonnermx</t>
  </si>
  <si>
    <t>wil_carrillo18</t>
  </si>
  <si>
    <t>jornalsomos</t>
  </si>
  <si>
    <t>rosaescamilla19</t>
  </si>
  <si>
    <t>deobedsdl</t>
  </si>
  <si>
    <t>inmobgonzalez</t>
  </si>
  <si>
    <t>andrevalgestor</t>
  </si>
  <si>
    <t>radiosol1039</t>
  </si>
  <si>
    <t>blogdohiel</t>
  </si>
  <si>
    <t>myagastelum</t>
  </si>
  <si>
    <t>ricardobuse</t>
  </si>
  <si>
    <t>gondolabrasil</t>
  </si>
  <si>
    <t>luizreuter</t>
  </si>
  <si>
    <t>adv_arlisson</t>
  </si>
  <si>
    <t>brainstormlabs_</t>
  </si>
  <si>
    <t>alcalrodrguez1</t>
  </si>
  <si>
    <t>arcentroeduca</t>
  </si>
  <si>
    <t>manpowergbrasil</t>
  </si>
  <si>
    <t>elyokasxd</t>
  </si>
  <si>
    <t>guiterrengui</t>
  </si>
  <si>
    <t>ogmantuberias</t>
  </si>
  <si>
    <t>gustavodorazio</t>
  </si>
  <si>
    <t>truckvan</t>
  </si>
  <si>
    <t>robertm07526169</t>
  </si>
  <si>
    <t>brokersanalisis</t>
  </si>
  <si>
    <t>aravanlabs1</t>
  </si>
  <si>
    <t>infoblogmarket</t>
  </si>
  <si>
    <t>apsddesign</t>
  </si>
  <si>
    <t>pollodbienpegao</t>
  </si>
  <si>
    <t>localappbr</t>
  </si>
  <si>
    <t>mitoraiam</t>
  </si>
  <si>
    <t>melodionisio</t>
  </si>
  <si>
    <t>cvplantillas</t>
  </si>
  <si>
    <t>luismanolos315</t>
  </si>
  <si>
    <t>navarragc</t>
  </si>
  <si>
    <t>storlabsmkt</t>
  </si>
  <si>
    <t>floraida17</t>
  </si>
  <si>
    <t>helios_herrera</t>
  </si>
  <si>
    <t>coopsagroand</t>
  </si>
  <si>
    <t>leandroneuhaus</t>
  </si>
  <si>
    <t>gruponewcompany</t>
  </si>
  <si>
    <t>paulaokmpo</t>
  </si>
  <si>
    <t>luzawesllei</t>
  </si>
  <si>
    <t>kikemultiple</t>
  </si>
  <si>
    <t>alextri49052227</t>
  </si>
  <si>
    <t>cursorinformat1</t>
  </si>
  <si>
    <t>resultadocomads</t>
  </si>
  <si>
    <t>lucashondarj021</t>
  </si>
  <si>
    <t>grupopersonale</t>
  </si>
  <si>
    <t>stephengroberio</t>
  </si>
  <si>
    <t>loganlyne</t>
  </si>
  <si>
    <t>carmenrealtorfl</t>
  </si>
  <si>
    <t>cholloterapia</t>
  </si>
  <si>
    <t>prlusevero</t>
  </si>
  <si>
    <t>dpersonas</t>
  </si>
  <si>
    <t>latinnetma</t>
  </si>
  <si>
    <t>hectorianlogic</t>
  </si>
  <si>
    <t>rogervelayarce3</t>
  </si>
  <si>
    <t>_vincenzocoll</t>
  </si>
  <si>
    <t>luiserolave</t>
  </si>
  <si>
    <t>topipcomputador</t>
  </si>
  <si>
    <t>galvngmez</t>
  </si>
  <si>
    <t>creces</t>
  </si>
  <si>
    <t>krinavalencia</t>
  </si>
  <si>
    <t>gruposalesland</t>
  </si>
  <si>
    <t>joaoserpasantos</t>
  </si>
  <si>
    <t>francocomprebem</t>
  </si>
  <si>
    <t>ateliermidnight</t>
  </si>
  <si>
    <t>oscarhbp1</t>
  </si>
  <si>
    <t>araareclut67717</t>
  </si>
  <si>
    <t>fsimilaresnorte</t>
  </si>
  <si>
    <t>erikpenna</t>
  </si>
  <si>
    <t>cgcopywriter</t>
  </si>
  <si>
    <t>qualityassist_</t>
  </si>
  <si>
    <t>joaonatas</t>
  </si>
  <si>
    <t>lorenteandia</t>
  </si>
  <si>
    <t>asismedl</t>
  </si>
  <si>
    <t>sb_osite</t>
  </si>
  <si>
    <t>rafapm_marbella</t>
  </si>
  <si>
    <t>telediariogt</t>
  </si>
  <si>
    <t>cyromello</t>
  </si>
  <si>
    <t>lucasdtoledo</t>
  </si>
  <si>
    <t>alejand44877881</t>
  </si>
  <si>
    <t>go_nater</t>
  </si>
  <si>
    <t>jumizlukas23</t>
  </si>
  <si>
    <t>berth99studio</t>
  </si>
  <si>
    <t>soudiegooliveir</t>
  </si>
  <si>
    <t>souza_dis</t>
  </si>
  <si>
    <t>contralinea</t>
  </si>
  <si>
    <t>wortev</t>
  </si>
  <si>
    <t>asap_news</t>
  </si>
  <si>
    <t>pronavicolasa</t>
  </si>
  <si>
    <t>grupodimolk</t>
  </si>
  <si>
    <t>flouds_</t>
  </si>
  <si>
    <t>agenciamiscorp</t>
  </si>
  <si>
    <t>consejocoapi</t>
  </si>
  <si>
    <t>cricocaro</t>
  </si>
  <si>
    <t>fernandovitolo</t>
  </si>
  <si>
    <t>ferrendonx</t>
  </si>
  <si>
    <t>loquetemotiva</t>
  </si>
  <si>
    <t>abranoticias</t>
  </si>
  <si>
    <t>contenidos_y</t>
  </si>
  <si>
    <t>sinnafta</t>
  </si>
  <si>
    <t>grsilengenharia</t>
  </si>
  <si>
    <t>juliolozoya</t>
  </si>
  <si>
    <t>rangelwebsite</t>
  </si>
  <si>
    <t>andreluis_vsw</t>
  </si>
  <si>
    <t>grigopeca</t>
  </si>
  <si>
    <t>quinaribeiro</t>
  </si>
  <si>
    <t>luisedwinn38606</t>
  </si>
  <si>
    <t>up_btl</t>
  </si>
  <si>
    <t>ideassinlimite</t>
  </si>
  <si>
    <t>felitosmp</t>
  </si>
  <si>
    <t>karinpedezert</t>
  </si>
  <si>
    <t>raquel69454086</t>
  </si>
  <si>
    <t>sonora969</t>
  </si>
  <si>
    <t>helder_willian</t>
  </si>
  <si>
    <t>carlossantosven</t>
  </si>
  <si>
    <t>binterchallenge</t>
  </si>
  <si>
    <t>feral_82</t>
  </si>
  <si>
    <t>sammuelfogaca</t>
  </si>
  <si>
    <t>elcucodigital</t>
  </si>
  <si>
    <t>renatinhomota</t>
  </si>
  <si>
    <t>atxbusiness</t>
  </si>
  <si>
    <t>recluitmx</t>
  </si>
  <si>
    <t>gustavodost</t>
  </si>
  <si>
    <t>flexibleos</t>
  </si>
  <si>
    <t>dvseditora</t>
  </si>
  <si>
    <t>sne_tam</t>
  </si>
  <si>
    <t>performandovida</t>
  </si>
  <si>
    <t>rogmoura</t>
  </si>
  <si>
    <t>rogeriomouraa</t>
  </si>
  <si>
    <t>elcariberd</t>
  </si>
  <si>
    <t>picaperumedios</t>
  </si>
  <si>
    <t>emmagonzalezrc</t>
  </si>
  <si>
    <t>advzimmermann</t>
  </si>
  <si>
    <t>interaccionhuma</t>
  </si>
  <si>
    <t>fgdecristo</t>
  </si>
  <si>
    <t>chemavich</t>
  </si>
  <si>
    <t>heromidiamkt</t>
  </si>
  <si>
    <t>luisfpfreitas</t>
  </si>
  <si>
    <t>diarioyaqui</t>
  </si>
  <si>
    <t>vexadooficial</t>
  </si>
  <si>
    <t>lsbusato</t>
  </si>
  <si>
    <t>festicopla</t>
  </si>
  <si>
    <t>torcadul</t>
  </si>
  <si>
    <t>evovendsho</t>
  </si>
  <si>
    <t>chapintv_</t>
  </si>
  <si>
    <t>vanessa21br</t>
  </si>
  <si>
    <t>tveocanal41</t>
  </si>
  <si>
    <t>notibolivia</t>
  </si>
  <si>
    <t>pamplin60079201</t>
  </si>
  <si>
    <t>diegocandi</t>
  </si>
  <si>
    <t>choby03</t>
  </si>
  <si>
    <t>varolaura</t>
  </si>
  <si>
    <t>rafalui</t>
  </si>
  <si>
    <t>diana_va_ar</t>
  </si>
  <si>
    <t>recorrentep</t>
  </si>
  <si>
    <t>humanoendesarro</t>
  </si>
  <si>
    <t>gomezcarlos79</t>
  </si>
  <si>
    <t>rodrigo_diario</t>
  </si>
  <si>
    <t>joseluisgodoyph</t>
  </si>
  <si>
    <t>lmneuquen</t>
  </si>
  <si>
    <t>dutrilla</t>
  </si>
  <si>
    <t>actionclient</t>
  </si>
  <si>
    <t>divasto</t>
  </si>
  <si>
    <t>yez_col</t>
  </si>
  <si>
    <t>danielponceg</t>
  </si>
  <si>
    <t>riomaframix</t>
  </si>
  <si>
    <t>josue_delrio</t>
  </si>
  <si>
    <t>vaga_sua</t>
  </si>
  <si>
    <t>radiovendas</t>
  </si>
  <si>
    <t>karite70243384</t>
  </si>
  <si>
    <t>keepgrowing_</t>
  </si>
  <si>
    <t>asefarma</t>
  </si>
  <si>
    <t>trabajodesdcasa</t>
  </si>
  <si>
    <t>fastcommercebr</t>
  </si>
  <si>
    <t>dgstreinamentos</t>
  </si>
  <si>
    <t>jordidiceofici1</t>
  </si>
  <si>
    <t>pilarmiral90552</t>
  </si>
  <si>
    <t>analucianicolau</t>
  </si>
  <si>
    <t>emoes73</t>
  </si>
  <si>
    <t>hulajop</t>
  </si>
  <si>
    <t>claudel_vlogs</t>
  </si>
  <si>
    <t>vendedortodo</t>
  </si>
  <si>
    <t>diarioelvistazo</t>
  </si>
  <si>
    <t>madavicompany</t>
  </si>
  <si>
    <t>innovadorasv</t>
  </si>
  <si>
    <t>rubyy_studios</t>
  </si>
  <si>
    <t>p_enfoque</t>
  </si>
  <si>
    <t>liberalyarjona</t>
  </si>
  <si>
    <t>filiperosan</t>
  </si>
  <si>
    <t>romulo_of</t>
  </si>
  <si>
    <t>legal_cap</t>
  </si>
  <si>
    <t>unidho</t>
  </si>
  <si>
    <t>jonatanbrl</t>
  </si>
  <si>
    <t>lmchirino</t>
  </si>
  <si>
    <t>hunteehr</t>
  </si>
  <si>
    <t>chucho_lemus1</t>
  </si>
  <si>
    <t>valpere54616519</t>
  </si>
  <si>
    <t>javi_v7</t>
  </si>
  <si>
    <t>portavisa</t>
  </si>
  <si>
    <t>daniela78903757</t>
  </si>
  <si>
    <t>olimpiaavila1</t>
  </si>
  <si>
    <t>iberonat</t>
  </si>
  <si>
    <t>internetagencia</t>
  </si>
  <si>
    <t>lcrnmx</t>
  </si>
  <si>
    <t>cadubraganca</t>
  </si>
  <si>
    <t>chemapapupro</t>
  </si>
  <si>
    <t>nextthouse</t>
  </si>
  <si>
    <t>andrespb1981</t>
  </si>
  <si>
    <t>blogpdnoticia</t>
  </si>
  <si>
    <t>empleosdeleje</t>
  </si>
  <si>
    <t>loc_adalberto</t>
  </si>
  <si>
    <t>mundo_pauta</t>
  </si>
  <si>
    <t>cheparaguay</t>
  </si>
  <si>
    <t>sol_wong</t>
  </si>
  <si>
    <t>midimashup</t>
  </si>
  <si>
    <t>edomexred</t>
  </si>
  <si>
    <t>telecentral</t>
  </si>
  <si>
    <t>payagar_sm</t>
  </si>
  <si>
    <t>migranoticiasla</t>
  </si>
  <si>
    <t>esiceditorial</t>
  </si>
  <si>
    <t>venezianolopes</t>
  </si>
  <si>
    <t>motorvirtualgt</t>
  </si>
  <si>
    <t>jornadaweb</t>
  </si>
  <si>
    <t>comuemprego</t>
  </si>
  <si>
    <t>costenses</t>
  </si>
  <si>
    <t>gob_guerrero</t>
  </si>
  <si>
    <t>sedenamx</t>
  </si>
  <si>
    <t>gn_mexico_</t>
  </si>
  <si>
    <t>fgeguerrero</t>
  </si>
  <si>
    <t>sspgro</t>
  </si>
  <si>
    <t>tarcisiogdf</t>
  </si>
  <si>
    <t>carlazucoloto</t>
  </si>
  <si>
    <t>ml_chile</t>
  </si>
  <si>
    <t>ml_ayuda</t>
  </si>
  <si>
    <t>fernandarocha</t>
  </si>
  <si>
    <t>fotocasapro</t>
  </si>
  <si>
    <t>ml_mexico</t>
  </si>
  <si>
    <t>mercadolibre</t>
  </si>
  <si>
    <t>wallapop</t>
  </si>
  <si>
    <t>spreaker</t>
  </si>
  <si>
    <t>nacionalsalta</t>
  </si>
  <si>
    <t>pablokosiner</t>
  </si>
  <si>
    <t>mostazaok</t>
  </si>
  <si>
    <t>angelesantiago</t>
  </si>
  <si>
    <t>libreriasdezgz</t>
  </si>
  <si>
    <t>libreriaslt</t>
  </si>
  <si>
    <t>libreriaslac</t>
  </si>
  <si>
    <t>libreriasl</t>
  </si>
  <si>
    <t>cegal</t>
  </si>
  <si>
    <t>todostuslibros_</t>
  </si>
  <si>
    <t>abcommbrasil</t>
  </si>
  <si>
    <t>tumundo_cl</t>
  </si>
  <si>
    <t>movistarchile</t>
  </si>
  <si>
    <t>pinterest</t>
  </si>
  <si>
    <t>leopiccioli</t>
  </si>
  <si>
    <t>augustocury</t>
  </si>
  <si>
    <t>elogiou</t>
  </si>
  <si>
    <t>gaalocego</t>
  </si>
  <si>
    <t>galocegoof</t>
  </si>
  <si>
    <t>fran</t>
  </si>
  <si>
    <t>lassoguillermo</t>
  </si>
  <si>
    <t>juventud_mdc</t>
  </si>
  <si>
    <t>ayuntamientomdc</t>
  </si>
  <si>
    <t>empleojcyl</t>
  </si>
  <si>
    <t>santiagotorre</t>
  </si>
  <si>
    <t>lulaoficial</t>
  </si>
  <si>
    <t>roxmo</t>
  </si>
  <si>
    <t>damadeferroofic</t>
  </si>
  <si>
    <t>rmotta2</t>
  </si>
  <si>
    <t>gmw</t>
  </si>
  <si>
    <t>ciaresultados</t>
  </si>
  <si>
    <t>romansanchezz</t>
  </si>
  <si>
    <t>radiobuap</t>
  </si>
  <si>
    <t>radiounam</t>
  </si>
  <si>
    <t>laredcincoradio</t>
  </si>
  <si>
    <t>atencionprofeco</t>
  </si>
  <si>
    <t>profeco</t>
  </si>
  <si>
    <t>buapoficial</t>
  </si>
  <si>
    <t>tvbuap</t>
  </si>
  <si>
    <t>rommynciudadano</t>
  </si>
  <si>
    <t>mineiro</t>
  </si>
  <si>
    <t>parcbrilhantes</t>
  </si>
  <si>
    <t>sovaquinhaboa</t>
  </si>
  <si>
    <t>bimbomx</t>
  </si>
  <si>
    <t>grupo_bimbo</t>
  </si>
  <si>
    <t>stpsslp</t>
  </si>
  <si>
    <t>solarkenia</t>
  </si>
  <si>
    <t>youtube</t>
  </si>
  <si>
    <t>ameericastore</t>
  </si>
  <si>
    <t>henriquepc</t>
  </si>
  <si>
    <t>yvacantes</t>
  </si>
  <si>
    <t>la_de_rh</t>
  </si>
  <si>
    <t>loscazavacantes</t>
  </si>
  <si>
    <t>empresasempleo</t>
  </si>
  <si>
    <t>tierrasdelcid</t>
  </si>
  <si>
    <t>pavinatto</t>
  </si>
  <si>
    <t>rogeriomorgado</t>
  </si>
  <si>
    <t>gob_tlalne</t>
  </si>
  <si>
    <t>lfuenmayortoro</t>
  </si>
  <si>
    <t>parejahotwifex</t>
  </si>
  <si>
    <t>danielalvarezro</t>
  </si>
  <si>
    <t>reporteya</t>
  </si>
  <si>
    <t>samuel</t>
  </si>
  <si>
    <t>consejodeestado</t>
  </si>
  <si>
    <t>urbansketchers</t>
  </si>
  <si>
    <t>biespana</t>
  </si>
  <si>
    <t>grupoaje</t>
  </si>
  <si>
    <t>senadorkajuru</t>
  </si>
  <si>
    <t>hbarbeiro</t>
  </si>
  <si>
    <t>russellbrunson</t>
  </si>
  <si>
    <t>felipe09051997</t>
  </si>
  <si>
    <t>diegoiturralde_</t>
  </si>
  <si>
    <t>constanzaibiet2</t>
  </si>
  <si>
    <t>orrego</t>
  </si>
  <si>
    <t>carolina_toha</t>
  </si>
  <si>
    <t>gabrielboric</t>
  </si>
  <si>
    <t>jeannette_jara</t>
  </si>
  <si>
    <t>eleconomista</t>
  </si>
  <si>
    <t>luisitocomunica</t>
  </si>
  <si>
    <t>retailactual</t>
  </si>
  <si>
    <t>raquel_davo</t>
  </si>
  <si>
    <t>jcj360</t>
  </si>
  <si>
    <t>cruzroja_mx</t>
  </si>
  <si>
    <t>Mentions</t>
  </si>
  <si>
    <t>Retweet</t>
  </si>
  <si>
    <t>Replies to</t>
  </si>
  <si>
    <t>MentionsInReplyTo</t>
  </si>
  <si>
    <t>Quote</t>
  </si>
  <si>
    <t>Ejecutan a comerciante en el mercado de #Iguala 🌐 👉🏼 https://t.co/5q62IQkMVY a través de @LaPlazaDiario #Policíaca 🚨 #violencia #vendedor #disparos @SSPGro @FGEGuerrero @GN_MEXICO_ @SEDENAmx @Gob_Guerrero @CruzRoja_MX https://t.co/hLyRgR4Uyl</t>
  </si>
  <si>
    <t>¿Estás en el mundo de las Ventas? Motivación y Energía en este video muy visto y polémico en mi canal de #Youtube...
https://t.co/R4AGL7iV5X
#ventas #motivación #energía #alwaysbeclosing #vendedor #coachpepevillacis #ActionCOACH</t>
  </si>
  <si>
    <t>En ventas, ABC es un acrónimo de "Always Be Closing", un mantra motivacional para impulsar a los equipos de ventas a prospectar con energía y usar venta profesional para cerrar los negocios.
#ventas #técnicadeventas #vendedor #comercial #coachpepevillacis #ActionCOACH https://t.co/ac1me7NtsA</t>
  </si>
  <si>
    <t>¡Únete al equipo!
Si es de tu interés, envía tu curriculum a la Mtra. Mireya Luna al correo: mireya@acsiresearch.mx
.
.
.
#OfertaLaboral #Empleo #ACSIResearch #Ventas #InvestigaciondeMercados #Vendedor #Clientes https://t.co/CbCHDp5tW6</t>
  </si>
  <si>
    <t>🔑🛍️ Este es el secreto en las ventas, recuérdalo: no se trata de 'vender'. En lugar de eso, sé empático con tus clientes y envuelve tu producto o servicio en la solución a sus problemas.
-
-
-
#ventas #vendedor #vendedora #secretos #consejos #vendemas #emprendedor #emprendedora https://t.co/IAfM2vwrVb</t>
  </si>
  <si>
    <t>#busquedalaboral #vendedor #indumentaria 
Me ayudan a compartir ? 🙏🏻 https://t.co/gAOoduEkSc</t>
  </si>
  <si>
    <t>Sempre caminhe com pessoas que fazem a diferença … 
Querido amigo @cidinhosantosoficial e @tarcisiogdf nosso futuro presidente e atual governador de São Paulo ! 
#amigos #referencias #governador #vendedor https://t.co/KnZvH7jdWq</t>
  </si>
  <si>
    <t>Comecei a reparar isso é è a mais pura verdade!!!
Não existe segredo , existe fracassos pra depois vir o sucesso !
#vendedor #malaquias em Alphaville Conde II, Barueri https://t.co/KSegXFa44m</t>
  </si>
  <si>
    <t>Aprendi que a humildade é uma característica nas pessoas de sucesso!!
#humildade #vendedor #malaquias em Balneario Camboriu, SC, Brazil https://t.co/aZR08pNI9O</t>
  </si>
  <si>
    <t>Simples assim….
#fé #malaquias #vendedor em Alphaville Conde II, Barueri https://t.co/PSoC906aR2</t>
  </si>
  <si>
    <t>Você já recebeu esse abraço? Já deu esse “amor”…
Uma das maiores declarações de amor é feita por este meio…
#malaquias #vendedor #reflexao em Balneário Camboriú https://t.co/sJevqXAVLu</t>
  </si>
  <si>
    <t>Firma o pulso e viva o impossível para muitos em todos os sentidos da vida!
Boas vendas!
#malaquias #vendedor #reflexao em Balneário Camboriú https://t.co/L7yWZNgHCM</t>
  </si>
  <si>
    <t>Quem nunca passou por isso? 
Nada melhor que lembrar dos nãos para valorizarmos o sim!
#vendedor #malaquias #resiliencia em Iguatemi Alphaville https://t.co/uU82iZb7kh</t>
  </si>
  <si>
    <t>Lechería Tv: La personalidad de un #vendedor. 10 rasgos vitales https://t.co/QrhsHx4hbr
#Ahora #Actualidad #Emprendimiento #Literatura #Noticias #Negocios #Empresas #Lecheria #Opinion #Radio</t>
  </si>
  <si>
    <t>#Tbt com nossa grande parceira @carlazucoloto da loja @carlazucolotobeauty no nosso Treinamento mais vendas 2.0 💜
#tbts #treinamento #mentoria #evento #vendas #maisvendas #make #maquiagem #linhares #loja #lojista #vendedor #vender #negocios #palestra https://t.co/tEsBVsQppU</t>
  </si>
  <si>
    <t>nesse vídeo eu cito as principais coisas que o seu PDV precisa. 
( Vídeo Completo no nosso canal no YouTube): INNET SOLUÇÕES 
#varejo #loja #lojaderoupas #gestaodeloja #vendamais #maisvenda #vendas #lojadecalcados #lojademaquiagem #lojainfantil #vendermais https://t.co/ajVSngGRk2</t>
  </si>
  <si>
    <t>Depoimento @usebrandaostore sobre a consultoria @maisvendass. 
#depoimento #mentoria #consultoria #maisvendas #vendamais #vendas #vender #vendedor #pdv #lojas https://t.co/J8LRbEZo1T</t>
  </si>
  <si>
    <t>Depoimento da Michele da loja @mastoreshowroom
#feedback #depoimento #loja #lojaderoupa #maisvendas #vendedor #sistema #pdv #comercio #negocios #empresa #lojista #loja #showroom #linhares #marketing https://t.co/PKT5MHhZgP</t>
  </si>
  <si>
    <t>Eu tenho certeza que você vendedor e até mesmo você gerente já passou por essa situação 😂😂
#Meme #vendedor #videoengracado #vendas #loja #maisvendas #marketing #lojas #meta https://t.co/ObED8SvZXO</t>
  </si>
  <si>
    <t>A importância do vendedor não pode ser ignorada!
#varejo #loja #lojaderoupas #gestaodeloja #vendamais #maisvenda #vendas #lojadecalcados #lojademaquiagem #lojainfantil #vendermais https://t.co/WZgbENzSAh</t>
  </si>
  <si>
    <t>Olá, lojistas!
Que tal aproveitar as dicas a seguir para vender mais na sua loja? Confira e me siga para receber mais dicas!
#varejo #loja #lojaderoupas #gestaodeloja #vendamais #maisvenda #vendas #lojadecalcados #lojademaquiagem #lojainfantil #vendermais #Dicas #Vender https://t.co/cJv52kvdm4</t>
  </si>
  <si>
    <t>😂😂😂😂
#memes #meme #memesbr #memesvenda #videosengracado #rells #engracado #sabado #gerente #vendedor #vendas #marketing #loja #lojista #comercio #comerciante #negocios https://t.co/qEnfbNcHF0</t>
  </si>
  <si>
    <t>Tenho certeza que todo vendedor já passou por isso 😂😂😂😂
#memes #meme #comedia #sabado #loja #lojista #lojas #vendedor #vendas #comercio #negocios #comercial #empresa #marketing #memesemimagem https://t.co/fTlglGlJgp</t>
  </si>
  <si>
    <t>Comenta aqui embaixo 👇
#varejo #loja #lojaderoupas #gestaodeloja #vendamais #maisvenda #vendas #lojadecalcados #lojademaquiagem #lojainfantil #vendermais https://t.co/O5UL1Xjz1o</t>
  </si>
  <si>
    <t>E ai lojista, você se garante com seus produtos ? 🤔
#Lojistas #loja #vendedor #vendamais #vendas #maisvendas #lojas https://t.co/eKZd1BAhoM</t>
  </si>
  <si>
    <t>😂😂😂😂😂😂😂
#meme #memes #comissao #vendedor #vender #maisvendas #lojas #lojista #comercio #comerciante #negocios #negocio https://t.co/gihBrIFc3I</t>
  </si>
  <si>
    <t>Esse é o verdadeiro vendedor sincero! 😂😂
#meme #vendas #vendedor #comercio #lojas #loja #negocios #marketing #comercial #reels #memes #Sabado https://t.co/Dhgv3mBSRu</t>
  </si>
  <si>
    <t>Depoimento @carlazucolotobeauty sobre a consultoria @maisvendass.  
#loja #lojaderoupas #gestaodeloja #vendamais #maisvenda #vendas #lojadecalcados #lojademaquiagem #lojainfantil #vendermais #Depoimento https://t.co/sNbTsvYKyR</t>
  </si>
  <si>
    <t>nesse vídeo eu cito as principais coisas que o seu PDV precisa.
( Vídeo Completo no nosso canal no YouTube): INNET SOLUÇÕES
#varejo #loja #lojaderoupas #gestaodeloja #vendamais #maisvenda #vendas #lojadecalcados #lojademaquiagem #lojainfantil #vendermais https://t.co/hK3gN06ZJQ</t>
  </si>
  <si>
    <t>#varejo #loja #lojaderoupas #gestaodeloja #vendamais #maisvenda #vendas #lojadecalcados #lojademaquiagem #lojainfantil #vendermais https://t.co/31pOcx621x</t>
  </si>
  <si>
    <t>Alinhe o midset para ser assertivo com seu e-commerce!
Na internet, seja o melhor!
#varejo #loja #lojaderoupas #gestaodeloja #ecommerce #vendamais #maisvenda #vendas #lojadecalcados #lojademaquiagem #lojainfantil #vendermais https://t.co/iKJjqTpYZY</t>
  </si>
  <si>
    <t>“Seja melhor em vendas, que eles não vão mais te ignorar”. 
#tbt Treinamento mais vendas 1.0 
#tbts #evento #treinamento #mentoria #maisvendas #vendas #vender #loja #lojista #empresa #empreender #negocios #negocio #marketing #midia #comercio #vendedor #linhares #frase https://t.co/tHG158PNQf</t>
  </si>
  <si>
    <t>É Desse jeito !! 😂😂😂😂😂
#meme #vendedor #vendas #memes #vendedores #lojas #lojistas #sabado #marketing #comercio #negocios https://t.co/VUNGN1HCoE</t>
  </si>
  <si>
    <t>Comenta aqui embaixo 👇
#varejo #loja #lojaderoupas #gestaodeloja #vendamais #maisvenda #vendas #lojadecalcados #lojademaquiagem #lojainfantil #vendermais https://t.co/oSxdfjoE3E</t>
  </si>
  <si>
    <t>#Tbt do nosso Treinamento Mais Vendas na qual nesse momento estávamos falando sobre “Prova social”.
#tbt #tbts #quinta-feira #evento #treinamento #mentoria #vendas #vendedor #maisvendas #vendamais #loja #lojistas #lojas #Marketing #comercio #negoocios https://t.co/gMcR5yJTXA</t>
  </si>
  <si>
    <t>A importância do vendedor não pode ser ignorada!
#varejo #loja #lojaderoupas #gestaodeloja #vendamais #maisvenda #vendas #lojadecalcados #lojademaquiagem #lojainfantil #vendermais https://t.co/vE8kDGgOe8</t>
  </si>
  <si>
    <t>Olá Lojistas ! Você sabia que vender mais em sua loja pode ser fácil, mesmo se você for um pequeno negócio? Aqui estão cinco dicas para ajudá-lo a aumentar suas vendas. 
#loja #lojaderoupas #gestaodeloja #vendamais #maisvenda #vendas #vendermais #Dicas https://t.co/QspI2Y3p6B</t>
  </si>
  <si>
    <t>#Busquedalaboral #empleovillaluro #villaluro
#vendedor #empleadoconcesionaria
Envíanos tu CV con foto - asunto: "VENDEDOR"
 y te contactaremos
infolaboral2018@gmail.com https://t.co/tucDd1UiVK</t>
  </si>
  <si>
    <t>📢¡Nueva búsqueda! #Vendedor de Materiales eléctricos y/o ferretería industrial. ¡Incorporación inmediata!
con experiencia comprobable en el rubro.
✔ Residir en zona o aledaños.
✔ L a V. de 8 a 17 hs (presencial)
Enviar CV a: blauro@bayton.com.ar - Asunto: Ref - Vendedor https://t.co/O8z3O2mtgf</t>
  </si>
  <si>
    <t>Buscamos Vendedor para Vía Publica.
Requisitos: Lic. En Comercialización, Técnico de ventas (pref).
2 años de Exp. en rubro telecomunicaciones (pref.). Beneficios: Salario competitivo y variables.
Envía tu CV por mail a: marancibia@bayton.com.ar
#BuscoEmpleo #Vendedor #Salta https://t.co/ZRZopmURBH</t>
  </si>
  <si>
    <t>Buscamos ASESOR DE VENTAS (VÍA PUBLICA)
Req.: Lic. En Comercialización, Técnico de ventas (deseable). 2 años de exp. en Telecomunicaciones (deseable). Residir en R. Hondo y Capital.
📩 Envía tu CV por mail a marancibia@bayton.com.ar
#BuscoTrabajo #Vendedor #SgoDelEstero https://t.co/GEKEQUqO9e</t>
  </si>
  <si>
    <t>📢 Atención Mar Del Plata!! Buscamos #vendedor viajante, pref. con exp. en alimentos (pollos y envasados).
Desarrollará zona del Gran Bs. As., Radicado en Mar del Plata.
con Movilidad propia y licencia de conducir B1.
📩 Envianos tu CV a aguariste@bayton.com.ar
#BuscoTrabajo https://t.co/aE3hy1b5r5</t>
  </si>
  <si>
    <t>Alguien sabe que hacer?
#mercadolibre no se hacen responsable por diferencias de productos enviados al servicio full @ML_Ayuda @ML_Chile 
El servicio de #colecta es de ellos y el #vendedor debe asumir las diferencias que no llegan.</t>
  </si>
  <si>
    <t>Native News Carajás: Vendedor de bíblias é preso por estuprar menina de... https://t.co/0nLHX2qmzF 
#nativenewscarajás
#vendedor #bíblias #preso #estupro #meninade4anos #Pinhalzinho #SC</t>
  </si>
  <si>
    <t>Vagas de vendedor para inicio Imediato.
#vendas #atendimento #atendimentoaocliente #vendedorinterno #vendedor https://t.co/NE95A1Xl1D</t>
  </si>
  <si>
    <t>RT @YoSoyOriginal_: 👜 ¿Quieres asegurarte de que tu #bolso es original?
👉 1º Revisa todas las opiniones del #vendedor
👉 2º Analiza las #cos…</t>
  </si>
  <si>
    <t>Ajudamos a manter a presença digital e a cadência de vendas ideal para crescer o seu negócio. Saiba mais 👇
https://t.co/6FQvYnx04J
DZN Project - Marketing Digital para Negócios, em Constantina/RS.
#MarketingDigital #AgênciaDeMarketing #VenderMais #DZNProject https://t.co/fHSzBPOlBU</t>
  </si>
  <si>
    <t>#díadeltendero #vendedor https://t.co/zCtC9SBa5j</t>
  </si>
  <si>
    <t>#ElDiarioDeUnVendedor Como cuando quieres empezar la semana bien 🦾🧔🏻‍♂
Madrugas para comenzar y terminar la ruta temprano pero...los clientes aún no están atendiendo.
#Diario #Lima #Peru
#rutamods #ruta #madrugar #ventas #vendedor #productos #Confesiones #sueño #Esperanza #fe https://t.co/sZsqyRNeNG</t>
  </si>
  <si>
    <t>🧠✍️ Cuando las personas sienten que un #vendedor los quiere ayudar de forma desinteresada, están mas expuestas a #comprar lo que en realidad mas adelante desea venderle. https://t.co/f46zOTDUpg</t>
  </si>
  <si>
    <t>El chiste se cuenta solo 📷 #vendedor #marketing #marketingdigital #sitiosweb #paginaweb #reforma222 https://t.co/pMoIQh2WZF</t>
  </si>
  <si>
    <t>👉🏻 PROPAGANDISTA GANHA HORAS EXTRAS
.
Confira esse caso em que o Colaborador ganhou por conseguir comprovar seu controle de jornada.
.
#gfsa #trabalhista #propagandista #horasextras #trabalhoexterno #direitotrabalhista #justicadotrabalho #TST #saopaulo #vendedor https://t.co/UYMBkTsioD</t>
  </si>
  <si>
    <t>Tudo de bom! 🥰🥰🥰
#personalizados #vendedor #vendasonline #vendas #empreendedorismo #emprendedores #emprendimiento #pix #clientes #cliente #pacientes https://t.co/hZmi6vM5xr</t>
  </si>
  <si>
    <t>Buscamos #vendedor #retail #comercio para ciudad de #riocuarto Envianos tu #cv https://t.co/GoCuDq1T7S</t>
  </si>
  <si>
    <t>Fazer a leitura de cada perfil de cliente e se conectar a ele é o que torna uma concretização de venda possível.
#vendas #empreendedorismo #sucesso #empreendedor #vendedor @fafitalopesp @fernandarocha.ss #joaonetocontador #profissaoempreendedorpodcast https://t.co/BYtEkHam1U</t>
  </si>
  <si>
    <t>En el campo de los negocios, debes ser multifacético. 😎 💯 En última instancia, deberás ir más allá del rol de vendedor que se utilizaba anteriormente 
#Ventas #Vendedor https://t.co/wPK0XpeJW0</t>
  </si>
  <si>
    <t>La #notificacion de venta es un trámite que ayuda al #vendedor de un vehículo a protegerse de cualquier responsabilidad sobre el vehículo, en el caso de que el comprador no realice el obligatorio #cambiodetitularidad   🚗🏍️
¡Te contamos cómo hacerlo! 
https://t.co/fhdQV0nOmU</t>
  </si>
  <si>
    <t>📌 Você pode passar a sua vida inteira reclamando disso ou daquilo, ou pode levantar a cabeça e brigar como um leão por aquilo que você quer. A escolha é  sua. 
#decisao #geraçãodevalor #geracaomilionaria #braip #vendermais #vendas https://t.co/TvFvOt0fLT</t>
  </si>
  <si>
    <t>https://t.co/Ll10GZ4sV7
#ventas #vendedor #empresas #empresa Seguirme es Gratuito. #recession https://t.co/BUaR4FyoPn</t>
  </si>
  <si>
    <t>#FelizSabado México, El18, #ventas #vendedor #empresa #Negocios #ingresos
https://t.co/Ll10GZ3V5z https://t.co/OIjlf6V6WX</t>
  </si>
  <si>
    <t>Importancia de los ciclos en nuestra vida personal y profesional.
https://t.co/PEtnytWfyv
#empresario #emprendedor #liderazgo #vendedor 
#FelizViernesATodos #ViernesBotanero</t>
  </si>
  <si>
    <t>#ElPaís | (#Video) #Vendedor de playa Rogelio en Villa Magante denuncia oficina Edenorte por cobrarle sin recibir servicios
#Telenoticias #Telesistema11 #PlayaRogelio #VillaMagante
https://t.co/14mlUlO72W</t>
  </si>
  <si>
    <t>#ElPaís | #Vendedor de Hot Dog mata a otro tras sostener una #Discusión.
#Telenoticias #Telesistema11 #HotDog #MataAOtro
https://t.co/UZgmds72jM</t>
  </si>
  <si>
    <t>#ElPaís | VIDEO: #Asesinan a "Chilo La Para", #Reconocido #Vendedor de #Drogas en #Moca
#Telenoticias #Telesistema11 #PN #Policia
https://t.co/SCNG7qRZar</t>
  </si>
  <si>
    <t>"¡Descubre el poder del vendedor camaleón para conquistar cualquier cliente!" Te invitamos a ver este episodio donde charlamos con nuestro invitado Germán Normandía en YouTube
https://t.co/JwnKWlQ0eV
#ventas #vendedor #vendedorcamaleon #practicasempresarialespodcast #podcast</t>
  </si>
  <si>
    <t>#onibus #vigia #vigilante #medico #consulta #provador #vendedor #loja</t>
  </si>
  <si>
    <t>👋👋 ¡¡Hola!! HIT Latam te está buscando 🕵🕵 #Vendedor #B2B #Servicios #Integrados #Telecomunicaciones 😎 revisa su #ofertatic 👉https://t.co/6g9U2W5C7E 🆗 Sí cumples con el perfil 💪 aplica 📍modalidad de trabajo #hibrido 🤖
#trabajosihay #VendedorB2B #Networking #ticjob https://t.co/rZcfnnBF2h</t>
  </si>
  <si>
    <t>👋👋 HIT Latam te está buscando 👀🕵 #Vendedor #B2B #Servicios #Integrados #Telecomunicaciones 😎 revisa su #ofertatic y si cumples ✅ aplica ➡https://t.co/6g9U2W5C7E 📍trabajo #híbrido.
#trabajosihay #B2B #Networking #Conectividad #Ciberseguridad #Wifi #Omnicanalidad #Ticjob https://t.co/imIKbMkb11</t>
  </si>
  <si>
    <t>👋👋 HIT Latam te está buscando 🕵👀 #Vendedor #B2B #Servicios #Integrados #Telecomunicaciones 🚀 con más de dos (2) años de experiencia ➡https://t.co/6g9U2W5C7E 🔉revisa su #ofertatic y aplica 😉 #trabajosihay #networking #ciberseguridad #SASE #omnicanalidad #wifi #ticjob https://t.co/CgzSRSlOqN</t>
  </si>
  <si>
    <t>¡YA NO PIERDAS VENTAS!
https://t.co/GoHHsXtF1e es más que un CRM.
@GrupoPerseo
#ventas #gestióndeventas #crm #vendedor #empresa https://t.co/peOxtXAcAG</t>
  </si>
  <si>
    <t>The absolutely non toxic urge to stop at every single rainbow umbrella. #vendedor https://t.co/HryQFow0km</t>
  </si>
  <si>
    <t>Interesados en aplica enviado tu hoja de vida al correo: talentos@apsdr.com (Colocar en el “asunto” el nombre de la vacante).
#vacantes #vacantesrd #vendedor #comercial https://t.co/ieX1VLd0FQ</t>
  </si>
  <si>
    <t>Imagina só?! 
A esposa querendo comprar e o marido chamando para ir embora.
Você já passou por isso? 😅😂
#clientes #lojas #compras #atendimento #atendimentoaocliente #lojasdesapatos #lojasdesapatosfemininos #sapataria #vendedor #vendedora #vendedores https://t.co/73tIqyuC7s</t>
  </si>
  <si>
    <t>Minha comissão não vem em folha. #comissao #vendedor #premio #advogadotrabalhista #direitodotrabalho #direitostrabalhistas #trabalhador #advocacia #trabalho #dicastrabalhistas #direitotrabalhista #advogado https://t.co/f4iD3czjGq</t>
  </si>
  <si>
    <t>Minha comissão não aparece no holerite. #comissao #premio #holerite #trabalho #emprego #vendedor #comissionado #direitodotrabalho #contracheque #pagamento #salario #dinheiro #advogadotrabalhista #direitos https://t.co/wGKL4lshRo</t>
  </si>
  <si>
    <t>Minha comissão pode ser reduzida? Empresa quer fazer isso depois de anos. #comissao #vendedor #ferias #trabalho #trabalhador #dinheiro #emprego #salario #pis #fgts #sp #saopaulo #advogado #sampa #direitodotrabalho #clt #inss #variavel https://t.co/IS66y7zz6A</t>
  </si>
  <si>
    <t>We are #hiring! Know anyone who might be interested? We need salesperson with experience in the corporate health and insurance industry.
#health #insuranceindustry #vendedores #vendedor https://t.co/IePGLSMF4x</t>
  </si>
  <si>
    <t>Invitó a su casa a #vendedor ambulante que estaba bajo la lluvia y le dio una sorpresa
➡ https://t.co/ai1DCCJSze</t>
  </si>
  <si>
    <t>Oferta laboral #trabajo #vendedor En La Teja  Kapan Mueblería https://t.co/BOr0RPQxIV</t>
  </si>
  <si>
    <t>Un #contratoforward significa básicamente que el #vendedor ha fijado un tipo de cambio #forex futuro sin tener que incurrir por anticipado en ningún coste
#evaluacionbroker #aprende #blog #bolsa #broker #estafa #cripto #criptotech #crypto #cryptomonedas #denuncia #brokers https://t.co/Tef81QNFDr</t>
  </si>
  <si>
    <t>En el #contratodefuturos el #vendedor es el que mantiene la posición corta, mientras que el #comprador mantiene la posición larga
#evaluacionbroker #aprende #blog #bolsa #broker #estafa #cripto #criptotech #crypto #cryptomonedas #denuncia #brokers #denunciabrokers #dinero https://t.co/8haxPusSda</t>
  </si>
  <si>
    <t>El #Ask hace referencia a un #preciodeoferta. Concretamente se refiere al precio que el #vendedor está dispuesto a establecer
#evaluacionbrokers #aprende #blog #bolsa #broker #estafa #cripto #criptotech #crypto #cryptomonedas #denuncia #brokers #denunciabrokers #dinero https://t.co/r2zzG5t1f8</t>
  </si>
  <si>
    <t>Los #intermediariospuros o #ECN son exclusivamente #comisionistas; no nos dan la #contrapartida en nuestras #operaciones ya que si nos darán acceso al mercado para encontrar un #comprador o #vendedor para nuestras operaciones
#evaluacionbrokers #aprende #blog #bolsa #broker https://t.co/NLa4BY0Yr7</t>
  </si>
  <si>
    <t>El #broker es el encargado de buscar un #vendedor que quiera vender el #activo que nosotros queremos #comprar. Lo mismo en caso de que en vez de comprar ese #activo, queramos es #venderlo
 #evaluacionbrokers #aprende #blog #bolsa #broker #estafa #cripto #criptotech #crypto https://t.co/VifMZquYj1</t>
  </si>
  <si>
    <t>Em busca de oportunidades como #Vendedor (a)
Prepare-se agora mesmo:
👉 Acesse aqui https://t.co/tDxdJBppK8 ✅</t>
  </si>
  <si>
    <t>Cuando tratamos de venderle a un cliente, es necesario hacerle las preguntas necesarias para conocer las necesidades de nuestro cliente. Esto nos ayudará a cerrar las ventas de una manera más sencilla, donde el cliente se sentirá satisfecho.
#inversiones #vender #vendedor https://t.co/Zqidy0Aqm2</t>
  </si>
  <si>
    <t>Quem nunca fracassou em uma meta de vendas? 🤣
#metadevendas #vender #vendedor #podcast https://t.co/dUiiondpr2</t>
  </si>
  <si>
    <t>Hoy quiero hablaros de las razones por las que debemos presentar el plan de #marketing de la #vivienda al #vendedor en el #blog de @fotocasapro👇
https://t.co/0MW1ZxK8mj
#agenteinmobiliario #formacioninmobiliaria #sectorinmobiliario #FotocasaProAcademy https://t.co/i5eVcPSNhM</t>
  </si>
  <si>
    <t>#Escucha
En Conocimiento y Desarrollo Empresarial te traemos recomendaciones que todo empresario debería escuchar al menos una vez en su vida.
Link del curso👇👇
https://t.co/aFQuqMdHwW
#ventas #vendedor #curso https://t.co/mVsJg25HCm</t>
  </si>
  <si>
    <t>@ML_Ayuda @ML_Ayuda @Mercadolibre @ML_Mexico #problema #vendedor #robo para uds puede ser solo una venta más o una mediación más pero no pueden respaldar solo al comprador</t>
  </si>
  <si>
    <t>🟢🟡 ANDRÉS PARRA y CÍA. busca #VENDEDOR A #CAMPO para #SAENZPEÑA (CHACO)
1️⃣ Registrate en: https://t.co/cmqY8Fay8l 
2️⃣ Ingresá al aviso: https://t.co/yGFvGQzxTr
3️⃣ Seguí las indicaciones para enviar tu currículum
#TNOA #empleoar #trabajoar https://t.co/p4ekj7i5ah</t>
  </si>
  <si>
    <t>🟢🔴 Empresa Nacional rubro Salud busca el MEJOR #VENDEDOR #HOSPITALARIO de #TUCUMÁN
👉 Si cumplís con los requisitos, te esperamos urgente!
Enviá tu CV a: 📧 ventasconsultora2023@gmail.com
#TNOA #Tucumán #empleoar #trabajoar https://t.co/MP6kFawXK5</t>
  </si>
  <si>
    <t>🔵⚪️ #SALTACAPITAL - SALTA PLAST S.R.L. selecciona #VENDEDOR DE #SALÓN
👉 Los interesados deberán enviar C.V. con foto y referencia a: 📧 recursoshumanos@saltaplast.com.ar Asunto de e-mail: ▪️VENDEDOR DE SALON (Masculino)▪️
#TNOA #Salta #empleoar #trabajoar https://t.co/WtLFfZ0zq9</t>
  </si>
  <si>
    <t>🔵⚪️ #SALTACAPITAL - SALTA PLAST S.R.L. selecciona #VENDEDOR DE #SALÓN
👉 Los interesados deberán enviar C.V. con foto y referencia a: 📧 recursoshumanos@saltaplast.com.ar Asunto de e-mail: ▪️VENDEDOR DE SALON (Masculino)▪️
#TNOA #Salta #empleoar #trabajoar https://t.co/PVYMO1icJG</t>
  </si>
  <si>
    <t>🟢🔴 Empresa Nacional rubro Salud busca el MEJOR #VENDEDOR #HOSPITALARIO de #TUCUMÁN
👉 Si cumplís con los requisitos, te esperamos urgente! Enviá tu CV a: 📧 ventasconsultora2023@gmail.com
#TNOA #Tucumán #empleoar #trabajoar https://t.co/Ye8i13cIcF</t>
  </si>
  <si>
    <t>🟢🔴 Empresa Nacional rubro Salud busca al Mejor #VENDEDOR #HOSPITALARIO de #Tucumán, #Salta y #JujuyElige 
👉 Enviar CV a: rrhhybusquedas@gmail.com con Asunto: “Comercial Tucumán, Salta, Jujuy”
#TNOA #empleoar #trabajoar https://t.co/iwzOpuAAdQ</t>
  </si>
  <si>
    <t>🟢🔴 Empresa Nacional rubro Salud busca el MEJOR #VENDEDOR #HOSPITALARIO de #TUCUMÁN
👉 Si cumplís con los requisitos, te esperamos urgente!
Enviá tu CV a: 📧 ventasconsultora2023@gmail.com
#TNOA #Tucumán #empleoar #trabajoar https://t.co/Jcr9OJjWds</t>
  </si>
  <si>
    <t>🔵⚪️ #BELÉN (Catamarca) - Crecer Consultora busca #VENDEDOR/A
1️⃣ Registrate en: https://t.co/cmqY8Fay8l
2️⃣ Ingresá al aviso: https://t.co/8ZJYxKiEVg
3️⃣ Seguí las indicaciones para enviar tu currículum
#TNOA #Catamarca #empleoar #trabajoar https://t.co/fkpn0vvVDc</t>
  </si>
  <si>
    <t>🟢🔴 #VENDEDOR #HOSPITALARIO de #Tucumán, #Salta y #Jujuy
👉 Enviar CV a: rrhhybusquedas@gmail.com con Asunto: ▪Comercial Tucumán, Salta, Jujuy▪
#TNOA #Tucumán #Salta #Jujuy #empleoar #trabajoar https://t.co/DeVRvmuGm7</t>
  </si>
  <si>
    <t>⚫⚪️ #SANTIAGODELESTERO - #VENDEDOR #VIAJANTE 
1️⃣ Registrate en: https://t.co/cmqY8Fay8l 
2️⃣ Ingresá al aviso: https://t.co/ep9Rymg0k9
3️⃣ Seguí las indicaciones para enviar tu currículum
#TNOA #SantiagodelEstero #empleoar #trabajoar https://t.co/pN2DBekZQW</t>
  </si>
  <si>
    <t>#plataformasdigitales #timbralofacil conoce lo sencillo de especificar un #vendedor en la #remision de nuestro #puntodeventa https://t.co/NRxsuosaL5</t>
  </si>
  <si>
    <t>Se você também celebra as vitórias da equipe assim, parabéns, você é um excelente Líder e/ou Mentor! 🚀🚀🚀​
​
Agora, se você não sabe o que estou falando, dê uma olhada no meu perfil!
#líder #liderança #mentor #mentoria #vendas #vendedor #RH #recursoshu…https://t.co/esnlJ9aCqR</t>
  </si>
  <si>
    <t>¡Feliz Día del #Vendedor! 💰💸🤑
#vendedor #vendedora #vendedores #vendo #vender #pasteleria #pastelerias #pasteleriaartesanal #galleta #galletas #cookie #cookies #galletaglaseada #galletasglaseadas #glazedcookie #glazedcookies #cookiesofinstagram #bakery #bakerys https://t.co/6bqSFNBA2k</t>
  </si>
  <si>
    <t>Cómo determinar si un #comprador está cualificado para comprar una #vivienda? Aunque no existe una respuesta exacta, hay algunas pistas que, como #vendedor, pueden guiarte a la hora de evaluar su capacidad.
https://t.co/UvvSIo5nK5</t>
  </si>
  <si>
    <t>🔴Echaron a golpes de un #restaurante a un #vendedor ambulante en #LaPlata
👉El momento quedó registrado por un #cliente
https://t.co/r2oJpTMKv8
#zonasur #conurbano #elbonateinforma https://t.co/IY3v1PPp2o</t>
  </si>
  <si>
    <t>🔴La #inseguridad no cesa en #Pergamino: #robaron en la misma cuadra de la #Comisaría Segunda
👉Un #vendedor ambulante ingresó a un #local de #venta de #celulares y #robó varios equipos en avenida Juan B. Justo y Lavalle
👇Leé la nota
https://t.co/KOtQaI1hz1</t>
  </si>
  <si>
    <t>Eres tu propio obstáculo para lograr las metas que te propongas. 
#Educacionfinanciera #inspiracion #vendedor #vender #Menteexitosa https://t.co/YmsIw0u3Gt</t>
  </si>
  <si>
    <t>SMART é a sigla em inglês para: Specific (Específico), Measurable (Mensurável), Achievable (Alcançável), Realistic (Realista) e Time based (Temporal).🎯
#guiase #smart #metas #objetivos #vendas #empreendedorismo #vendermais #marketing #marketingdigital https://t.co/KTfkIbn6bN</t>
  </si>
  <si>
    <t>¡#EdSheeran trabajando en un Food Truck! 
https://t.co/obM4lCOKAG
#foodtruck #carrito #carro #comidarapida #vendedor https://t.co/kHY2RNuKJ7</t>
  </si>
  <si>
    <t>No es lo que vendes, es cómo lo vendes.
#Ventas #vendedor https://t.co/leFpW7bM8B</t>
  </si>
  <si>
    <t>#Vendedor evita que retiren su puesto en #PlazaPrincipal de Apan.
https://t.co/i1orgSzTga</t>
  </si>
  <si>
    <t>BUSCO VENDEDORES 
Está oportunidad es para ti !! 
5 VACANTES DISPONIBLES 
•Sueldo base mas comisiones 
•Contratación inmediata
•Horario flexible 
•Capacitación pagada 
Pide informes al 55-88-18-54-35 vía WhatsApp
#Tlalpan #TrabajoSiHay #Trabajo #emprendedores #vendedor</t>
  </si>
  <si>
    <t>#TrabajoSiHay #trabajo #emprendedores #vendedor #Tlalpan https://t.co/w0ZRFH3JvU</t>
  </si>
  <si>
    <t>#Seguridad | Ejecut@n a #vendedor de miches cuando se echaba unas quesadilla con su #esposa
Al puesto arribó un individuo de playera blanca, sacó una pist0la y disp@ró de manera directa  -&amp;gt; https://t.co/za7b2gAlX5 https://t.co/nuJZouE51m</t>
  </si>
  <si>
    <t>Imagina só?! 
A esposa querendo comprar e o marido chamando para ir embora.
Você já passou por isso? 😅😂
#clientes #lojas #compras #atendimento #atendimentoaocliente #lojasdesapatos #lojasdesapatosfemininos #sapataria #vendedor #vendedora #vendedores https://t.co/ENVIb058NH</t>
  </si>
  <si>
    <t>¿COMO CIERRO UNA VENTA?
Esto es lo que nos separa entre el exito o el fracaso.
Lo que puede hacer que ganemos dinero o no
Lo que nos va a permitir poder ayudar a las personas.
-
-
-
-
-
#vendesoayudas
#vendedores
#vendedor
#Negocios https://t.co/lZYe3PAw7U</t>
  </si>
  <si>
    <t>¡Vender está MAL!
En pleno siglo 21 seguimos vendiendo y por eso no estamos ganando la cantidad de dinero que podríamos estar ganando
Si quieres aprender más sobre cómo ayudar personas y ganar dinero por ello.
VISITA MI PERFIL
#VENDESOAYUDAS
#VENDEDOR
#Economia 
#negocio https://t.co/0pLnidGLJM</t>
  </si>
  <si>
    <t>¿Qué hago con las objeciones?
¡¡¡¡¡¡¡¡¡¡¡¡¡¡¡¡¡¡¡NADA!!!!!!!!!!!!!!!!!
Si quieres aprender más sobre cómo ayudar personas y ganar dinero.
VISITA MI PERFIL PARA MAS CONTENIDO.
-
-
-
-
-
-
-
-
-
-
#vendesoayudas 
#vendedor 
#negocio 
#economia 
#finance https://t.co/bO94ofJeDg</t>
  </si>
  <si>
    <t>5 Ações Para #VenderMais nos negócios digitais https://t.co/81pjgAeCif https://t.co/6SFK2MtYGc</t>
  </si>
  <si>
    <t>VEND SMART - NOT HARD | #vendolite
#vendingmachine #smart #business #touch #onlinepayment #vendedor #businessowner #picoftheday #snacksonsnacks #colddrink #snackslover https://t.co/qdlFgMtn6M</t>
  </si>
  <si>
    <t>El cruce de Verón fue el lugar ideal que Juan Carlos vio para empezar este trabajo, que se ha convertido en el sustento de él y su familia.
https://t.co/snBT8BLsgZ
#Frutas #Frutero #JuanCarlosGrullón #Vendedor #Verón #Bávaro #PuntaCana https://t.co/E7Hv9NJIj1</t>
  </si>
  <si>
    <t>Recuerda siempre representar una buena calidad. 
#marketing #RD #marketingdigital  #networking #vendedor #inmobiliario #medicos #visitador #musicos #politicos</t>
  </si>
  <si>
    <t>Pide tu diseño, innova, crear tu propia tarjeta de Presentación Digital, con tu logo y enlaces. 
Olvida imprimir más tarjetas de papel. 
#marketing #graphicdesign #marketingdigital #marketingstrategy #networking #vendedor #inmobiliario #medicos #visitador #musicos #politicos https://t.co/Fqv1sBGK1O</t>
  </si>
  <si>
    <t>Próximamente.
#marketing #graphicdesign #marketingdigital #marketingstrategy #networking #vendedor #inmobiliario #medicos https://t.co/FiPz4TY6Zv</t>
  </si>
  <si>
    <t>Hola! 😀 Comparto una de nuestras búsquedas activas en 
@info_clicktime
Vendedor Asesor Provincia de Córdoba (Ciudad de Córdoba). Postulate! 
https://t.co/kfLWVNkb5m
#busquedalaboral #trabajo #clicktime #Cordoba #vendedor #ventas https://t.co/re0M3mcz7J</t>
  </si>
  <si>
    <t>@wallapop 
#timo @wallapop he sido #engañada con una #venta por medio de un mensaje #falso recibido en su nombre, #miedo como #vendedor #reclamacion #opiniones #denuncia Quien me #devuelve el #dinero?</t>
  </si>
  <si>
    <t>"¡Descubre el poder del vendedor camaleón para conquistar cualquier cliente!" Te invitamos a ver este episodio donde charlamos con nuestro invitado Germán Normandía en YouTube
https://t.co/GVjkNYSght
#ventas #vendedor #vendedorcamaleon #practicasempresarialespodcast #podcast</t>
  </si>
  <si>
    <t>Vendas 2.0 já está morrendo, e você está ligado nas novas tendências?
Confira o e-book de vendas que fiz - Link no meu perfil
#vendas #b2b #vendedor https://t.co/Y3nlBGpYqK</t>
  </si>
  <si>
    <t>"Quer ter sucesso em vendas? Não foque no dinheiro, foque em SERVIR COM EXCELÊNCIA! O dinheiro é consequência". 
Eduardo Tevah
#vendedor #consorcio</t>
  </si>
  <si>
    <t>Vende tu #móvil rápidamente en #Aliqindoi 🤩
Además, nuestro test de funcionalidad garantiza que el móvil está en perfecto estado. 🌟
 ¡Conviértete en #vendedor de nuestra app! 🚀 https://t.co/HLxJVKBHs3</t>
  </si>
  <si>
    <t>¿Compras en #Aliqindoi? ¡Tu dinero está seguro! 🔒💵
Con los pagos en #escrow, el dinero se ingresa al #vendedor después de que hayas confirmado el buen funcionamiento de tu #móvil 👍 https://t.co/JW1wMs266u</t>
  </si>
  <si>
    <t>Os presentamos este 🎯#CASOPRÁCTICO🎯 sobre la problemática que surge acerca de la naturaleza del contrato que vincula a las #AgenciasInmobiliarias como #mediadoras entre #comprador y #vendedor.
https://t.co/pVqT9VOAXn</t>
  </si>
  <si>
    <t>Los moros@$ paguen sus deudas... #Tatuador #Emplead@Pública #Vendedor@deVestidos #Medica</t>
  </si>
  <si>
    <t>⚠️Encuentra los detalles de ésta oferta de #EmpleoVerde en: https://t.co/xV0DPZ8ym2
☘️ #EmpleaVerde @GaiaAmbiente #SostenibilidadAmbiental #FuturoV #DesarrolloSostenible #trabajosihay #buscoempleo #vendedor</t>
  </si>
  <si>
    <t>Não existe crise que resista a 10 ligações por dia!
Vende mais, quem liga mais!
#empreendedorismo #business #motivacional #vendas #vendedor</t>
  </si>
  <si>
    <t>¡A plena luz del día! atracadores ultiman vendedor de café en Pantoja  
#atracadores #vendedor #disparo #pantoja #sumundodigital
https://t.co/u1bFzEyCGO</t>
  </si>
  <si>
    <t>#grantcardone #ventas #vender #vendedor #ventaonline #sales #insidesales #vendermas #soyvendedor #comunidadsoyvendedor #motivacion #vendesporquevendes #empresas #empresa #negocios #emprendimiento #motivacion #venderesayudar #elmomentoesahora #siempreeshoy #invierte https://t.co/9HM71XYMxL</t>
  </si>
  <si>
    <t>Clube das 5:30 da manhã. Não porque os outros dizem fazer mas porque o dever nos chama! #clubedas5 #vendedor</t>
  </si>
  <si>
    <t>📣 Novo Podcast! "Desligue o Piloto Automático na sua Empresa" no @Spreaker #atendermelhor #atendimentoaocliente #comercial #comoatendermelhor #comovendermais #live #melhoraroatencimento #vendermais https://t.co/NuriFlB2sR</t>
  </si>
  <si>
    <t>Um motorista vendedor que cumpria jornadas de trabalho superiores a 13h
diárias e mais de 75h semanais deverá receber indenização por dano moral
existencial... 
Fonte: TRT-RS
#direitosindical #sindicato #advogadotrabalhista #vendedor #motorista
https://t.co/Sa4Z6RIZzf</t>
  </si>
  <si>
    <t>MERCADO DE TRABALHO
Decathlon prevê abertura da primeira loja da marca na cidade em junho; veja como se candidatar. 
#uberlandia #emprego #mercadodetrabalho #declathon #vagas #vendedor #empregouberlandia 
https://t.co/OEancNO0dC</t>
  </si>
  <si>
    <t>#FocoInformativo || Sucesos ➡️ Capturan a vendedor de drogas en Sabaneta 
#6marzo #capturan #Vendedor #Drogas  #sabaneta #Maracaibo #Venezuela   #Cpez 
https://t.co/ERoSfDeFAd</t>
  </si>
  <si>
    <t>RT @Torcadul: ⚠ ¡OFERTA DE TRABAJO!
✅ Experiencia en el sector de dulces
✅ Disponibilidad de lunes a domingo
✅ Campaña navideña
Envía tu…</t>
  </si>
  <si>
    <t>🚶🏾‍♂️ ¿Hacia dónde creéis que transita el vendedor/a en la actualidad? 
🤯¿Conocéis algún vendedor de "mente rígida"?
#vendedor #comercial
#gestión #comercial de #ventas
#certificado de #profesionalidad https://t.co/yuqey0AZBg</t>
  </si>
  <si>
    <t>📍 Bolsa de #trabajo, ¡Conoce la #vacante del día!
🕘 Horario de atención: Lunes a viernes de 9:00 a.m. a 6:00 p.m.
☎️ Oficinas Centrales: 222 232 55 13
☎️ CIS Angelópolis: 222 303 46 00 ext. 292140
📧bolsa.trabajo@puebla.gob.mx
#VacanteDelDía #Vendedor #Comercio #Empleo #Puebla https://t.co/CMn69n7UFv</t>
  </si>
  <si>
    <t>📍 Bolsa de #trabajo, ¡Conoce la #vacante del día!
🕘 Horario de atención: Lunes a viernes de 9:00 am. a 6:00 pm.
☎️ Oficinas Centrales: 222 232 55 13
☎️ CIS Angelópolis: 222 303 46 00 ext. 292140
📧bolsa.trabajo@puebla.gob.mx
#VacanteDelDía #Chofer #Empleo #Puebla #Vendedor https://t.co/lQx8U2zt8I</t>
  </si>
  <si>
    <t>🔸 ¡Atención #Tehuacán! Conoce la #vacante regional del día.
➡️Oficinas Centrales: 222 232 55 13
➡️CIS Angelópolis: 222 303 46 00 Ext. 292140
➡️Unidad Regional Tehuacán: 222 303 46 00 Ext. 6330 y 6328
📧 bolsa.trabajo@puebla.gob.mx
#Tehuacán #Chofer #Vendedor #Puebla https://t.co/lrV5XDRCT5</t>
  </si>
  <si>
    <t>🗓️ 28 de julio de 1939
👉🏼 Rafael Martínez Sánchez, 29 años, #vendedor ambulante, de #València
☠️ ASESINADO por #Franco en 'El Terrer' de #Paterna
#MemoriaHistórica</t>
  </si>
  <si>
    <t>🗓️ 27 de julio de 1940
👉🏼 Enrique Requena Cases, 45 años, #vendedor ambulante, de #Manises
☠️ ASESINADO por #Franco en 'El Terrer' de #Paterna
#MemoriaHistórica</t>
  </si>
  <si>
    <t>🗓️ 15 de julio de 1939
👉🏼 Leopoldo Verdú Monerris, 44 años, #vendedor ambulante, de #Bocairent
☠️ ASESINADO por #Franco en 'El Terrer' de #Paterna
#MemoriaHistórica</t>
  </si>
  <si>
    <t>🗓️ 31 de enero de 1944
👉🏼 Serafín Alameda Alcaide, 32 años, #vendedor de prensa, de #València
☠️ ASESINADO por #Franco en 'El Terrer' de #Paterna
#MemoriaHistórica</t>
  </si>
  <si>
    <t>🗓️ 17 de julio de 1940
👉🏼 Blas Miñana Donet, 44 años, #vendedor ambulante, de #Anna
☠️ ASESINADO por #Franco en 'El Terrer' de #Paterna
#MemoriaHistórica</t>
  </si>
  <si>
    <t>🗓️ 27 de marzo de 1940
👉🏼 Francisco Cabrelles Mona, 35 años, #vendedor ambulante, de #Torrent
☠️ ASESINADO por #Franco en 'El Terrer' de #Paterna
#MemoriaHistórica</t>
  </si>
  <si>
    <t>🗓️ 17 de agosto de 1939
👉🏼 Pelegrín Grau Boluda, 52 años, #vendedor ambulante, de L' #Olleria
☠️ ASESINADO por #Franco en 'El Terrer' de #Paterna
#MemoriaHistórica</t>
  </si>
  <si>
    <t>🗓️ 18 de enero de 1940
👉🏼 José Esteve Gimeno, 44 años, #vendedor ambulante, de #Manises
☠️ ASESINADO por #Franco en 'El Terrer' de #Paterna
#MemoriaHistórica</t>
  </si>
  <si>
    <t>📣 Nuevo Podcast! "Inmopodcast 11 - Comprador: haz los deberes" en @Spreaker #bancos #bienesraices #casas #comprador #comprar #fotocasa #hipotecas #idealista #inmobiliaria #realestate #vendedor #visitar #vivienda https://t.co/H6GI2h7QXd</t>
  </si>
  <si>
    <t>📣 Nuevo Podcast! "Inmopodcast 8 - Vende mejor tu casa vendiendo su vida, no la tuya" en @Spreaker #agente #casas #homestaging #inmobiliaria #realtor #vendedor #vender #vida https://t.co/gf04GO2zlg</t>
  </si>
  <si>
    <t>📣 Nuevo Podcast! "Inmopodcast 43 - Cómo hacer un contrato de arras" en @Spreaker #alquilar #arras #bienesraices #comprador #contratos #idealista #inmobiliaria #ley #realestate #tribunales #vendedor #vender https://t.co/zX7FR2N07t</t>
  </si>
  <si>
    <t>📣 Nuevo Podcast! "Inmopodcast 55 - Cómo elegir bien a la agencia inmobiliaria" en @Spreaker #bienesraices #casas #decisiones #dinero #errorescomunes #inmobiliaria #inmobiliarias #manuariasrealtor #negocios #realestate #rentabilidad #vendedor https://t.co/TtgNjcmhY4</t>
  </si>
  <si>
    <t>📣 Nuevo Podcast! "Inmopodcast 30 - Qué es una MLS" en @Spreaker #agentesinmobiliarios #bienesraices #comprador #exclusiva #inmobiliaria #inquilino #mls #propietario #realestate #realtors #vendedor https://t.co/xBu5YmOnvj</t>
  </si>
  <si>
    <t>Ser #Vendedor https://t.co/wpfrjBcbBs</t>
  </si>
  <si>
    <t>#VideosLaJornada Un #vendedor de cemitas del #MercadoIndependencia golpeó en más de cinco ocasiones a su subordinada. El hecho quedó grabado en una de las cámaras de #vigilancia del lugar. 
Más información https://t.co/GTGDmBN9ly https://t.co/HLkcaRDwPF</t>
  </si>
  <si>
    <t>#DíaEnImágenes Un #vendedor de dulces aguarda clientes mientras su #perro descansa sobre un colchón, en Paseo de la Reforma, #CDMX.
Foto: Luis Castillo https://t.co/FVGOADmCTB</t>
  </si>
  <si>
    <t>Os vendedores da Palma são implacáveis quando o assunto é solucionar os problemas, dúvidas e também pra fazer aquele marketing bacana, né?!🤩
Então, vem pra Palma e hasta la vista baby! 😎
#venda #napalmatem #vendedor #hastalavistababy #meme #meta #bomhumor #recife #cabo https://t.co/2nu5iW3c6I</t>
  </si>
  <si>
    <t>@Pablokosiner @NacionalSalta Ud fué el mentor de estos movimientos, vive armando coaliciones alianzas y lo único que logran es ubicar alguna bendición en un cargo de asesor en planta permanente dentro del gobierno o poder judicial
Sr basta del cuento Ud nunca será salvador es un simple oportunista
#Vendedor</t>
  </si>
  <si>
    <t>En @mostazaok te están buscando!
#empleos
#primerempleo
#trabajo
#busquedalaboral 
#vendedor
#empleado
#sebusca
#pyme
#negocio
#empleoscaba
#empleosargentina en Ciudad Autónoma de Buenos Aires https://t.co/MAQdyaatkd</t>
  </si>
  <si>
    <t>Llegan datos por todos lados!
Gracias 
#empleos
#primerempleo
#trabajo
#busquedalaboral 
#vendedor
#empleado
#sebusca
#pyme
#negocio
#empleoscaba
#empleosargentina https://t.co/bHEPIalluq</t>
  </si>
  <si>
    <t>Atenti laborantes gastronómicos
#empleos
#primerempleo
#trabajo
#busquedalaboral 
#vendedor
#empleado
#sebusca
#pyme
#negocio
#empleoscaba
#empleosargentina en Ciudad Autónoma de Buenos Aires https://t.co/0R3LYtf2HS</t>
  </si>
  <si>
    <t>Atención #pilar #tortuguitas #avellenda #abasto
#empleos
#primerempleo
#trabajo
#busquedalaboral 
#vendedor
#empleado
#sebusca
#pyme
#negocio
#empleoscaba
#empleosargentina https://t.co/2UuFjBtfOk</t>
  </si>
  <si>
    <t>Datazo en #zonaoeste 
#empleos
#primerempleo
#trabajo
#busquedalaboral 
#vendedor
#empleado
#sebusca
#pyme
#negocio
#empleoscaba
#empleosargentina https://t.co/Okechgk3kK</t>
  </si>
  <si>
    <t>Gracias Cande por este dato! 
#empleos
#primerempleo
#trabajo
#busquedalaboral 
#vendedor
#empleado
#sebusca
#pyme
#negocio
#empleoscaba
#empleosargentina en Temperley https://t.co/ufKXxJyS2V</t>
  </si>
  <si>
    <t>Datazo! No te lo pierdas!
#empleos
#primerempleo
#trabajo
#busquedalaboral 
#vendedor
#empleado
#sebusca
#pyme
#negocio
#empleoscaba
#empleosargentina https://t.co/SATK7fGS1S</t>
  </si>
  <si>
    <t>Te están buscando Bro!
#empleos
#primerempleo
#trabajo
#busquedalaboral 
#vendedor
#empleado
#sebusca
#pyme
#negocio
#empleoscaba
#empleosargentina https://t.co/UT6ouNtnXo</t>
  </si>
  <si>
    <t>Heladería te está buscando!
#empleos
#primerempleo
#trabajo
#busquedalaboral 
#vendedor
#empleado
#sebusca
#pyme
#negocio
#empleoscaba
#empleosargentina en Ciudad Autónoma de Buenos Aires https://t.co/3vfnYdTXMA</t>
  </si>
  <si>
    <t>En #avecesar te están buscando:
#ayudantedecocina 
#parrillero
#depedientedemostrador
#empleos
#primerempleo
#trabajo
#busquedalaboral 
#vendedor
#empleado
#sebusca
#pyme
#negocio
#empleoscaba
#empleosargentina https://t.co/iEv8ywoUA0</t>
  </si>
  <si>
    <t>Gracias a todos los que colaboran! 
Vamos por 2023! Se vienen grandes proyectos.
#empleos
#primerempleo
#trabajo
#busquedalaboral 
#vendedor
#empleado
#sebusca
#pyme
#negocio
#empleoscaba
#empleosargentina https://t.co/HSHM7TYpqJ</t>
  </si>
  <si>
    <t>Volvimos! Después de un receso por diferentes motivos, acá estamos
En mi tierra natal #lomasdelmirador, te están buscando:
#vendedoresdesalon 
#vendedor #redes en Lomas Del Mirador, Buenos Aires, Argentina https://t.co/C6k2DFeWds</t>
  </si>
  <si>
    <t>#Guatemala 
#empleos 
#VENDEDOR AL DETALLE PARA LA LIBERTAD (#PETEN) - LICENCIA TIPO A o B - 1 de todas las plazas publicadas.  
Aplica👉 https://t.co/x6lK2wY2XY
El proceso es directo con el reclutador de cada empresa. https://t.co/Ul0wRKe1Ap</t>
  </si>
  <si>
    <t>#Guatemala
#empleos
AGENCIAS WAY, S.A.
#VENDEDOR - #ELESTOR Q3,077 - Q3,327 #Izabal #ServicioalCliente #Ventas- 1 de todas las plazas publicadas.
Aplica👉https://t.co/T7c0ZEhLBm
El proceso es directo con el reclutador de cada empresa. https://t.co/s1UXxkTuQq</t>
  </si>
  <si>
    <t>#Guatemala
#empleos
SUPER VITAMINAS, S.A
#ASESOR #VENDEDOR - GNC Q3,200 - Q3,500 #ServicioalCliente #Ventas #Guatemala- 1 de todas las plazas publicadas.
Aplica👉 https://t.co/NrLt4f0Ukw
El proceso es directo con el reclutador de cada empresa. https://t.co/JIwaw9GiJC</t>
  </si>
  <si>
    <t>#Guatemala
#empleos
#VENDEDOR AL DETALLE PARA #HUEHUETENANGO - LICENCIA TIPO A o B- 1 de todas las plazas publicadas.
Aplica👉https://t.co/M5Aos7cHqT
El proceso es directo con el reclutador de cada empresa. https://t.co/JLKzPzW44p</t>
  </si>
  <si>
    <t>#Guatemala
#empleos
PEPSICO ALIMENTOS
#VENDEDOR AL DETALLE PARA #XELA - LICENCIA TIPO A o B- 1 de todas las plazas publicadas.
Aplica👉https://t.co/K3JHVjQpIm
El proceso es directo con el reclutador de cada empresa. https://t.co/u8le7YUksu</t>
  </si>
  <si>
    <t>#Guatemala
#empleos
GRUPO LC
#VENDEDOR MULTIMARCA (VEHICULO) CIUDAD CAPITAL- 1 de todas las plazas publicadas.
Aplica👉https://t.co/9R1FTs1k7o
El proceso es directo con el reclutador de cada empresa. https://t.co/HEBwp8mKAy</t>
  </si>
  <si>
    <t>Traçamos a estratégia certa para decolar seu negócio. 
Quer vender mais??? 
Fale conosco!!!
.
.
.
.
#trafegopago #trafego #trafegopagoads #trafegopagofacebook #trafegoparanegocioslocais #trafegopagoinstagram #vendermais https://t.co/1O2C5OvhoX</t>
  </si>
  <si>
    <t>Oracle Sales es una herramienta más de Oracle CX puedes obtener muchos beneficios al implementar esta solución. Visita nuestro sitio web: https://t.co/5VcQKSIqE5 Y contáctanos: 5530980398
#vendedor #historia #historiadeexito #sales #software #cx #oracle https://t.co/f5MhQqDUEB</t>
  </si>
  <si>
    <t>📣 Oportunidad de Empleo: Se necesita Vendedores/as para verano en CC Miramar de Fuengirola, jornada de 20 horas.
#Oportunidad #EMPLEO #Trabajo #Fuengirola #Mijas #Málaga #Vendedor@s #CCMiramar
Echa un vistazo a este empleo en Rituals: https://t.co/OXL0RqPqDu</t>
  </si>
  <si>
    <t>Entender o fluxo de vendas do seu negócio é determinante para uma boa estratégia
Por isso no nosso blog explicamos a importância de se ter uma controle de vendas.
Acesse em https://t.co/iy0pt6UFaN
#controledevendas #vendermais #relatorios #frameticket #plataformadevendas https://t.co/Edzht2X3c7</t>
  </si>
  <si>
    <t>A utilização de um sistema inteligente de gestão de ingressos e controle de acesso é primordial para o sucesso do negócio.
Acesse o link do blog: https://t.co/BPNXuqT1ry
#controledevendas #vendermais #relatorios #frameticket #plataformadevendas #gestãointeligente #sucesso https://t.co/aLwDIuketP</t>
  </si>
  <si>
    <t>¡Como cuando te toca el vendedor intenso! 😁👟✅
#ecuador #calzado #vendedor #humor https://t.co/qQONTDb18A</t>
  </si>
  <si>
    <t>Marca aqui uma pessoa que você acha que precisa ver esse post! 💚
#vendas #MEI #canela #cravosdaindia #noz #boasvibrações #boasenergias #baralhocigano #tarotdabruxa #oráculodadeusa #tarotbrasil #leiturasbrasil #rj #riodejaneiro #autonomo #vendedora #vendedor #conselho #lua</t>
  </si>
  <si>
    <t>Hoy repasamos con @angelesantiago los 4 acuerdos a los que llegas contigo mismo para ser mejor comunicador, mejor vendedor.
Entra aquí para conocer más: https://t.co/6kW6Mvggot
#ventas #liderazgo #cliente #actitud #comunicador #vendedor #producto https://t.co/MN9uv7E2NK</t>
  </si>
  <si>
    <t>Como andam suas vendas? #vendas #oportunidade #inovacao #vendedor 
https://t.co/YKB6426zvA</t>
  </si>
  <si>
    <t>Rafael Beltrán es uno de los primeros vendedores de máscaras, si aún no ha escuchado su historia acá dejó el link 🤼‍♂️👊🏽💥 &amp;gt; https://t.co/wvAg5IPnod
.
.
.
.
#ArteyLuchaLibre #LuchayArte #Luchalibremexicana
#LuchaLibre #Lucha #mascarero #Vendedor #México #DL3C #podcast https://t.co/HRybxArMcp</t>
  </si>
  <si>
    <t>🚨 LIQUIDAÇÃO RESERVA 🚨
40% OFF + DESCONTO EXTRA 
Use os cupons e aproveite!!
Cupom de vendedora: RSV4576
Cupom de desconto: SAUDADE20
🔗 https://t.co/0wPbT25e7G
#promocao #CupomDeDesconto #reserva #cupomreserva #roupamasculina #reservacupom #vendedor https://t.co/pOOt1ZBtHP</t>
  </si>
  <si>
    <t>#vagas #projetista #vendedor  #pinheiros https://t.co/IQh4UftrOa</t>
  </si>
  <si>
    <t>Algumas técnicas que podem ajudar a aumentar a suas vendas onlines. Siga-as e seu negócio decolará.
.
.
.
 #dicas #vendas #vendermais #empreender #online #AhazouVendas #MISBRITO
#subida
#gestoradetrafego em Juruaia https://t.co/qHpgg1JJL3</t>
  </si>
  <si>
    <t>Essas sãos apenas algumas das dicas que podem ajudar a crescer nas vendas onlines.
Me siga para mais dicas!
.
.
.
#MISBRITO #gestoradetrafego #subida #dicas #vendas #vendermais #empreender #online #AhazouVendas https://t.co/yPhCUBBmfg</t>
  </si>
  <si>
    <t>Hoy sale a la venta el #libro que te ayudará a ser el mejor #vendedor
Disponible en @todostuslibros_ @cegal @libreriasl @LibreriasLAC @LibreriasLt @libreriasdezgz 
https://t.co/vnVTo02PHi https://t.co/MHsqF9f5IR</t>
  </si>
  <si>
    <t>Técnica aplicada na venda de refrigerantes, mas contém uma técnica muito interessante. Aposto que você não sabia😉
#vendas #tecnicas #vendedor #sucesso https://t.co/tITMordsaO</t>
  </si>
  <si>
    <t>Estos últimos tiempos tan revueltos requieren nuevas formas de trabajar. Para evitar perder cuota de #mercado y afianzar la relación con los #clientes, aquí te dejamos algunos consejos que todo buen #vendedor debe poner en práctica. https://t.co/fIHDnmoAWi #correduriainteligente https://t.co/bQmls9FMuh</t>
  </si>
  <si>
    <t>Estos últimos tiempos tan revueltos requieren nuevas formas de trabajar. Para evitar perder cuota de #mercado y afianzar la relación con los #clientes, aquí te dejamos algunos consejos que todo buen #vendedor debe poner en práctica. https://t.co/fIHDnmoAWi #correduriainteligente https://t.co/Z76w3UTMzn</t>
  </si>
  <si>
    <t>Estos últimos tiempos tan revueltos requieren nuevas formas de trabajar. Para evitar perder cuota de #mercado y afianzar la relación con los #clientes, aquí te dejamos algunos consejos que todo buen #vendedor debe poner en práctica. https://t.co/fIHDnmoAWi #correduriainteligente https://t.co/mTaNavvNmH</t>
  </si>
  <si>
    <t>Estos últimos tiempos tan revueltos requieren nuevas formas de trabajar. Para evitar perder cuota de #mercado y afianzar la relación con los #clientes, aquí te dejamos algunos consejos que todo buen #vendedor debe poner en práctica. https://t.co/fIHDnmoAWi #correduriainteligente https://t.co/MAsSN4HWk7</t>
  </si>
  <si>
    <t>Estos últimos tiempos tan revueltos requieren nuevas formas de trabajar. Para evitar perder cuota de #mercado y afianzar la relación con los #clientes, aquí te dejamos algunos consejos que todo buen #vendedor debe poner en práctica. https://t.co/fIHDnmoAWi #correduriainteligente https://t.co/bxKho78RK6</t>
  </si>
  <si>
    <t>Estos últimos tiempos tan revueltos requieren nuevas formas de trabajar. Para evitar perder cuota de #mercado y afianzar la relación con los #clientes, aquí te dejamos algunos consejos que todo buen #vendedor debe poner en práctica. https://t.co/fIHDnmoAWi #correduriainteligente https://t.co/MCCGGCHGUG</t>
  </si>
  <si>
    <t>Estos últimos tiempos tan revueltos requieren nuevas formas de trabajar. Para evitar perder cuota de #mercado y afianzar la relación con los #clientes, aquí te dejamos algunos consejos que todo buen #vendedor debe poner en práctica. https://t.co/fIHDnmoAWi #correduriainteligente https://t.co/Z616e9eSTU</t>
  </si>
  <si>
    <t>Estos últimos tiempos tan revueltos requieren nuevas formas de trabajar. Para evitar perder cuota de #mercado y afianzar la relación con los #clientes, aquí te dejamos algunos consejos que todo buen #vendedor debe poner en práctica. https://t.co/fIHDnmoAWi #correduriainteligente https://t.co/AJnWlFsIEx</t>
  </si>
  <si>
    <t>Estos últimos tiempos tan revueltos requieren nuevas formas de trabajar. Para evitar perder cuota de #mercado y afianzar la relación con los #clientes, aquí te dejamos algunos consejos que todo buen #vendedor debe poner en práctica. https://t.co/fIHDnmoAWi #correduriainteligente https://t.co/8WzlFHbEj4</t>
  </si>
  <si>
    <t>💲 COMO VENDER MAIS COM INTELIGÊNCIA EMOCIONAL 🧠 Informações:
➡️ https://t.co/4zNrjLYXj2    ⭐  ⭐  ⭐ #palestraonline #vendas #vendermais #vendamais #palestra #inteligenciaemocional #palestranterogeriomartins</t>
  </si>
  <si>
    <t>!Estamos en búsqueda del mejor talento¡ puedes postularte enviando tu Hoja de Vida al correo: estefania.prieto@weareuman.com
#trabajo #trabajaconnosotros #trabajosihay #busquedalaboral #FelizJuevesATodos #empleo #vendedor #aeropuerto #empleobogota https://t.co/80J1ZwYo6N</t>
  </si>
  <si>
    <t>Ética necesaria en los negocios #Gerencia #Vendedor https://t.co/fBknJ3wW0J https://t.co/snyTcdjvEn</t>
  </si>
  <si>
    <t>Usando culturas milenarias para vender #Vendedor https://t.co/nHT5jdoOHu</t>
  </si>
  <si>
    <t>Nenhuma loja física é obriga a trocar produto, exceto em caso de defeito!
#roupa #troca #cliente #direitodoconsumidor #festa #aniversario #vendedor https://t.co/8INvHPgD4K</t>
  </si>
  <si>
    <t>1. ¡No te pierdas nuestro último catálogo de #Hiroshima! ¡La mejor selección de productos para todos tus proyectos de ventas! #Vendedor 
- via https://t.co/kK15qu2m6E</t>
  </si>
  <si>
    <t>#SamirNews: 
ANÚNCIO FALSO DE PS5 BARATO DÁ PREJUÍZO A VENDEDOR NO MERCADO LIVRE
 https://t.co/kc2seuH0M0 
 #bolhadev #anúncio #falso #de #ps5 #barato #dá #prejuízo #a #vendedor #no #mercado #livre</t>
  </si>
  <si>
    <t>#SamirNews: 
 VENDEDOR DO MERCADOLIVRE É HACKEADO E GOLPISTAS FATURAM R$300 MIL
 https://t.co/WYIggFBrSP 
 #bolhadev # #vendedor #do #mercadolivre #é #hackeado #e #golpistas #faturam #r$300 #mil</t>
  </si>
  <si>
    <t>#Vendedor: &amp;amp;#92'Canelo&amp;amp;#92' Álvarez recuerda el día en que lo quisieron secuestrar. https://t.co/pvV6Ve27Zt</t>
  </si>
  <si>
    <t>@bezudo_ #vendedor</t>
  </si>
  <si>
    <t>¿Vos crees que todos los leads están listos para comprar? Obvio que no!
Tenemos que entender en qué parte del viaje se encuentra cada uno y darle exacto lo que necesita.
#ventas #vendedor #tipsdeventas #vendedores #clientes #ventadigital #vendermas</t>
  </si>
  <si>
    <t>🎯Antes de salir a buscar nuevos clientes, enfocate en cuidar a los que ya te compraron! 
#ventas #vendedor #tipsdeventas #clientes</t>
  </si>
  <si>
    <t>👨🏻‍💻 La venta es una consecuencia. 
Es el resultado de ganarse la confianza de los clientes todos los dias!🎯
#ventas #vendedor #vendermas #tipsdeventas #marketing</t>
  </si>
  <si>
    <t>👨🏻‍💻  Estudiar a la competencia es clave para analizar las fortalezas y debilidades de nuestro producto o servicio. 
#ventas #vendedor #vender #Negocios</t>
  </si>
  <si>
    <t>🎯 Para explotar en ventas, tenes que conocer al máximo tus fortalezas y debilidades!
#ventas #vendedor #emprendedoresexitosos #emprendedor #fortalezastdebilidades</t>
  </si>
  <si>
    <t>⭐ Dejá de hacerle seguimiento a gente que nunca te va a comprar, y enfocate en venderle a los contactos calificados AHORA!😎👌🏼
#ventas #vendedor #tipsdeventas #marketing #vendedores #clientes</t>
  </si>
  <si>
    <t>🎯 Valor no es solo lo que entrego, sino lo que el otro percibe que estoy entregando! 😎👌🏼
#ventas #vendedor #tipsdeventas #marketing</t>
  </si>
  <si>
    <t>🎯 Es clave que el vendedor esté enamorado y convencido del producto o servicio que esté vendiéndo.😎👌🏼 Y crea realmente que aporta valor y pueda resolver una necesidad. #ventas #vendedor #clientes #Negocios</t>
  </si>
  <si>
    <t>🎯 Siempre ofrecele al cliente más de lo que pide y da valor en la primera interacción. No esperes a último momento para contarle como lo podes ayudar! #ventas #vendedor #tipsdeventas #vendedores #clientes #ventadigital #vendermas</t>
  </si>
  <si>
    <t>🎯 Cuanto más conozcamos a nuestros clientes, más geniales van a ser nuestras campañas y más ventas vamos a realizar 👨🏻‍💻💥
#ventas #vendedor #tipsdeventas #marketing #clientes</t>
  </si>
  <si>
    <t>📢 Los #clientes satisfechos son tu mejor promoción!😎👌🏼
#ventas #vendedor #tipsdeventas</t>
  </si>
  <si>
    <t>🚀 Los consumidores quieren más que solo la entrega de productos y servicios, esperan que sea una experiencia positiva y memorable.
#ventas
#ventasonline #vendedor #clientes</t>
  </si>
  <si>
    <t>🎯 El vendedor del nuevo paradigma debe pasar el 80% escuchando y solo el 20% hablando. 👨🏻‍💻👩‍💻
Y cuando hablamos es solo para preguntar y dar respuestas. #ventas #vendedor #tipsdeventas #vendedores #clientes #ventadigital #vendermas</t>
  </si>
  <si>
    <t>📢Debemos aprender a preguntar e indagar como parte del proceso de escuchar 👨🏻‍💻
#ventas #vendedor #tipsdeventas #vendedores #clientes #ventadigital</t>
  </si>
  <si>
    <t>🎯Un gran vendedor debe ser creíble y demostrarlo. Debe presentar una imagen impecable y tiene que tener su inteligencia emocional super desarrollada. ⭐
#vendedor #tipsdeventas #ventas #vender #ventasexitosas</t>
  </si>
  <si>
    <t>🎯 Los mejores vendedores no son los que ponen mas energía que otros, sino los que lo hacen con estrategia!😎👌🏼
#ventas #vendedor #clientes #Negocios</t>
  </si>
  <si>
    <t>✍️ Jamás descartes un cliente por una objeción. 
La objeción es la muestra de que el cliente SI te quiere comprar!💪
#ventas #vendedor #marketing #clientes</t>
  </si>
  <si>
    <t>👨🏻‍💻 Para tener ventas exitosas es clave la actitud del vendedor! 
#ventas #negocios #vendedor</t>
  </si>
  <si>
    <t>🌎👨🏻‍💻Los datos tienen la gran ventaja de ahorrarle a los vendedores tiempo y energia, así como hacer que su negocio sea más rentable 🤑 #ventas #vendedor #tipsdeventas #negocios #vendedores</t>
  </si>
  <si>
    <t>Oportunidad Laboral: VENDEDOR INDUSTRIAL INTERNO
Ciudad de Córdoba
https://t.co/IzO0x308Ry
#industria #ventas #comercial #cliente #vendedor #comercializacion
#Cordoba
#Trabajo #empleo #TrabajoAr #OportunidadLaboral https://t.co/rQGgEO6Dyn</t>
  </si>
  <si>
    <t>Oportunidad Laboral: VENDEDOR INDUSTRIAL INTERNO
Ciudad de Córdoba
https://t.co/IzO0x308Ry
#industria #ventas #comercial #cliente #vendedor #comercializacion
#Cordoba
#Trabajo #empleo #TrabajoAr #OportunidadLaboral https://t.co/uzeDVq2V13</t>
  </si>
  <si>
    <t>Oportunidad Laboral: VENDEDOR INDUSTRIAL INTERNO
Ciudad de Córdoba
https://t.co/IzO0x308Ry
#industria #ventas #comercial #cliente #vendedor #comercializacion
#Cordoba
#Trabajo #empleo #TrabajoAr #OportunidadLaboral https://t.co/TixvlXptEB</t>
  </si>
  <si>
    <t>Oportunidad Laboral: REPARTIDOR
Venado Tuerto - Santa Fe
Importante Empresa de Nutrición Animal
https://t.co/hjJbKwgqVO
#Vendedor #Ventas #Comercial #NutricionAnimal #Reparto #Repartidor
#VenadoTuerto #SantaFe
#Trabajo #Empleo #TrabajoAr #TrabajoAgro #OportunidadLaboral https://t.co/UbzffeA7EA</t>
  </si>
  <si>
    <t>Oportunidad Laboral: VENDEDOR INDUSTRIAL INTERNO
Ciudad de Córdoba
https://t.co/IzO0x308Ry
#industria #ventas #comercial #cliente #vendedor #comercializacion
#Cordoba
#Trabajo #empleo #TrabajoAr #OportunidadLaboral https://t.co/5I6ja6lc6Y</t>
  </si>
  <si>
    <t>Oportunidad Laboral: VENDEDOR INDUSTRIAL INTERNO
Ciudad de Córdoba
https://t.co/IzO0x308Ry
#industria #ventas #comercial #cliente #vendedor #comercializacion
#Cordoba
#Trabajo #empleo #TrabajoAr #OportunidadLaboral https://t.co/giMkqar2Ne</t>
  </si>
  <si>
    <t>Oportunidad Laboral: VENDEDOR INDUSTRIAL INTERNO
Ciudad de Córdoba
https://t.co/YTH0WeBDT3
#industria #ventas #comercial #cliente #vendedor #comercializacion
#Cordoba
#Trabajo #empleo #TrabajoAr #OportunidadLaboral https://t.co/SUendCOGaw</t>
  </si>
  <si>
    <t>Oportunidad Laboral: VENDEDOR / REPARTIDOR
San Francisco - Córdoba
Importante Empresa de Nutrición Animal
https://t.co/woYmFO7Wwd
#Vendedor #Ventas #Comercial #NutricionAnimal #Reparto #Repartidor
#SanFrancisco #Cordoba
#Trabajo #Empleo #TrabajoAr #TrabajoAgro #OportunidadLaboral https://t.co/pbFSOMPtot</t>
  </si>
  <si>
    <t>Oportunidad Laboral: VENDEDOR INDUSTRIAL INTERNO
Ciudad de Córdoba
https://t.co/YTH0WeBDT3
#industria #ventas #comercial #cliente #vendedor #comercializacion
#Cordoba
#Trabajo #empleo #TrabajoAr #OportunidadLaboral https://t.co/jhbjWoAElR</t>
  </si>
  <si>
    <t>Oportunidad Laboral: VENDEDOR / REPARTIDOR
San Francisco - Córdoba
Importante Empresa de Nutrición Animal
https://t.co/woYmFO7Wwd
#Vendedor #Ventas #Comercial #NutricionAnimal #Reparto #Repartidor
#SanFrancisco #Cordoba
#Trabajo #Empleo #TrabajoAr #TrabajoAgro #OportunidadLaboral https://t.co/WaY9MQzlG8</t>
  </si>
  <si>
    <t>Oportunidad Laboral: VENDEDOR INDUSTRIAL INTERNO
Ciudad de Córdoba
https://t.co/YTH0WeBDT3
#industria #ventas #comercial #cliente #vendedor #comercializacion
#Cordoba
#Trabajo #empleo #TrabajoAr #OportunidadLaboral https://t.co/uFiHc4yK8z</t>
  </si>
  <si>
    <t>Oportunidad Laboral: VENDEDOR / REPARTIDOR
San Francisco - Córdoba
Importante Empresa de Nutrición Animal
https://t.co/woYmFO7Wwd
#Vendedor #Ventas #Comercial #NutricionAnimal #Reparto #Repartidor
#SanFrancisco #Cordoba
#Trabajo #Empleo #TrabajoAr #TrabajoAgro #OportunidadLaboral https://t.co/rXUAKz0ZfY</t>
  </si>
  <si>
    <t>Oportunidad Laboral: EJECUTIVO DE VENTA INDUSTRIALES
Ciudad de Córdoba
https://t.co/lbrk0vTljd
#ventas #vendedor #comercializacion #industria #industrial
#producto #cotizacion #cliente
#Cordoba
#trabajo #trabajoAr #empleo #oportunidadlaboral https://t.co/zGjMFXleaN</t>
  </si>
  <si>
    <t>Oportunidad Laboral: VENDEDOR INDUSTRIAL INTERNO
Ciudad de Córdoba
https://t.co/YTH0WeBDT3
#industria #ventas #comercial #cliente #vendedor #comercializacion
#Cordoba
#Trabajo #empleo #TrabajoAr #OportunidadLaboral https://t.co/CVpBwX2LLl</t>
  </si>
  <si>
    <t>Oportunidad Laboral: REPARTIDOR
Venado Tuerto - Santa Fe
Importante Empresa de Nutrición Animal
https://t.co/hjJbKwgqVO
#Vendedor #Ventas #Comercial #NutricionAnimal #Reparto #Repartidor
#VenadoTuerto #SantaFe
#Trabajo #Empleo #TrabajoAr #TrabajoAgro #OportunidadLaboral https://t.co/yA7IhL51KW</t>
  </si>
  <si>
    <t>Oportunidad Laboral: VENDEDOR / REPARTIDOR
San Francisco - Córdoba
Importante Empresa de Nutrición Animal
https://t.co/woYmFO7Wwd
#Vendedor #Ventas #Comercial #NutricionAnimal #Reparto #Repartidor
#SanFrancisco #Cordoba
#Trabajo #Empleo #TrabajoAr #TrabajoAgro #OportunidadLaboral https://t.co/c16oFZIb64</t>
  </si>
  <si>
    <t>Oportunidad Laboral: VENDEDOR INDUSTRIAL INTERNO
Ciudad de Córdoba
https://t.co/IzO0x308Ry
#industria #ventas #comercial #cliente #vendedor #comercializacion
#Cordoba
#Trabajo #empleo #TrabajoAr #OportunidadLaboral https://t.co/DRn5zuZDFk</t>
  </si>
  <si>
    <t>Oportunidad Laboral: EJECUTIVO DE VENTA INDUSTRIALES
Ciudad de Córdoba
https://t.co/Q4C54870Sd
#ventas #vendedor #comercializacion #industria #industrial
#producto #cotizacion #cliente
#Cordoba
#trabajo #trabajoAr #empleo #oportunidadlaboral https://t.co/HUXLsAl6YK</t>
  </si>
  <si>
    <t>Oportunidad Laboral: VENDEDOR INDUSTRIAL INTERNO
Ciudad de Córdoba
https://t.co/IzO0x308Ry
#industria #ventas #comercial #cliente #vendedor #comercializacion
#Cordoba
#Trabajo #empleo #TrabajoAr #OportunidadLaboral https://t.co/e8E9qAgXVI</t>
  </si>
  <si>
    <t>Oportunidad Laboral: REPARTIDOR
Venado Tuerto - Santa Fe
Importante Empresa de Nutrición Animal
https://t.co/hjJbKwgqVO
#Vendedor #Ventas #Comercial #NutricionAnimal #Reparto #Repartidor
#VenadoTuerto #SantaFe
#Trabajo #Empleo #TrabajoAr #TrabajoAgro #OportunidadLaboral https://t.co/8dGjzTW6wt</t>
  </si>
  <si>
    <t>Oportunidad Laboral: REPARTIDOR
Venado Tuerto - Santa Fe
Importante Empresa de Nutrición Animal
https://t.co/hjJbKwgqVO
#Vendedor #Ventas #Comercial #NutricionAnimal #Reparto #Repartidor #VenadoTuerto #SantaFe #Trabajo #Empleo #TrabajoAr #TrabajoAgro #OportunidadLaboral https://t.co/7gXWbKVmFD</t>
  </si>
  <si>
    <t>Oportunidad Laboral: REPARTIDOR
Venado Tuerto - Santa Fe
Importante Empresa de Nutrición Animal
https://t.co/hjJbKwgqVO
#Vendedor #Ventas #Comercial #NutricionAnimal #Reparto #Repartidor
#VenadoTuerto #SantaFe
#Trabajo #Empleo #TrabajoAr #TrabajoAgro #OportunidadLaboral https://t.co/CRZkQ99rgk</t>
  </si>
  <si>
    <t>Oportunidad Laboral: EJECUTIVO DE VENTA INDUSTRIALES
Ciudad de Córdoba
https://t.co/lbrk0vTljd
#ventas #vendedor #comercializacion #industria #industrial
#producto #cotizacion #cliente
#Cordoba
#trabajo #trabajoAr #empleo #oportunidadlaboral https://t.co/KITWIn8mix</t>
  </si>
  <si>
    <t>Oportunidad Laboral: VENDEDOR INDUSTRIAL INTERNO
Ciudad de Córdoba
https://t.co/YTH0WeBDT3
#industria #ventas #comercial #cliente #vendedor #comercializacion
#Cordoba
#Trabajo #empleo #TrabajoAr #OportunidadLaboral https://t.co/4KqNOWUmBm</t>
  </si>
  <si>
    <t>Oportunidad Laboral: VENDEDOR / REPARTIDOR
San Francisco - Córdoba
Importante Empresa de Nutrición Animal
https://t.co/ojaHzvq7jn
#Vendedor #Ventas #Comercial #NutricionAnimal #Reparto #Repartidor
#SanFrancisco #Cordoba
#Trabajo #Empleo #TrabajoAr #TrabajoAgro #OportunidadLaboral https://t.co/DbPIBqebx6</t>
  </si>
  <si>
    <t>Oportunidad Laboral: VENDEDOR INDUSTRIAL INTERNO
Ciudad de Córdoba
https://t.co/YTH0WeBDT3
#industria #ventas #comercial #cliente #vendedor #comercializacion
#Cordoba
#Trabajo #empleo #TrabajoAr #OportunidadLaboral https://t.co/2jkWScTR8m</t>
  </si>
  <si>
    <t>Oportunidad Laboral: VENDEDOR / REPARTIDOR
San Francisco - Córdoba
Importante Empresa de Nutrición Animal
https://t.co/woYmFO7Wwd
#Vendedor #Ventas #Comercial #NutricionAnimal #Reparto #Repartidor
#SanFrancisco #Cordoba
#Trabajo #Empleo #TrabajoAr #TrabajoAgro #OportunidadLaboral https://t.co/RUsfRMVDpg</t>
  </si>
  <si>
    <t>Oportunidad Laboral: VENDEDOR INDUSTRIAL INTERNO
Ciudad de Córdoba
https://t.co/IzO0x308Ry
#industria #ventas #comercial #cliente #vendedor #comercializacion
#Cordoba
#Trabajo #empleo #TrabajoAr #OportunidadLaboral https://t.co/32ytGHiqeQ</t>
  </si>
  <si>
    <t>Oportunidad Laboral: VENDEDOR / REPARTIDOR
San Francisco - Córdoba
Importante Empresa de Nutrición Animal
https://t.co/woYmFO7Wwd
#Vendedor #Ventas #Comercial #NutricionAnimal #Reparto #Repartidor
#SanFrancisco #Cordoba
#Trabajo #Empleo #TrabajoAr #TrabajoAgro #OportunidadLaboral https://t.co/YWqaLa4CCg</t>
  </si>
  <si>
    <t>Oportunidad Laboral: VENDEDOR INDUSTRIAL INTERNO
Ciudad de Córdoba
https://t.co/YTH0WeBDT3
#industria #ventas #comercial #cliente #vendedor #comercializacion
#Cordoba
#Trabajo #empleo #TrabajoAr #OportunidadLaboral https://t.co/ZJ8pUCUJ9M</t>
  </si>
  <si>
    <t>🔴En la carretera a Oaxaca, en #Izúcar de Matamoros, a un costado de la #gasolinera⛽ de Antorcha Campesina, un #vendedor de autos🚗 fue ejecutado de 5 #balazos🔫. El occiso solo está identificado como Adalberto N. https://t.co/mAdOMFgKSv</t>
  </si>
  <si>
    <t>BÚSQUEDA LABORAL PARA JUNIN, BUENOS AIRES.
POSTULATE!
TE ESTAMOS BUSCANDO!
SOMOS MACTRE CONSULTORA
#vendedor #redactor #secretaria #desarrolladordeventos https://t.co/U73Tx3GNaM</t>
  </si>
  <si>
    <t>Fiquei para trás: como posso vender mais? https://t.co/mQHqJU3mXp #vendermais @abcommbrasil</t>
  </si>
  <si>
    <t>ME ABURRIERON LOS WEONES DE @tumundo_cl... algun #captador, #vendedor o #trabajador de @MovistarChile para cambiarme de compañia???</t>
  </si>
  <si>
    <t>#vender #vendermais #venderonline #venderonlinetransforma #vendedor #vendas #HOTVendas https://t.co/dtBIsjnagl via @pinterest</t>
  </si>
  <si>
    <t>#venderarte ,#vender #vendas #vendasonline #vendasonlineparatodobrasil #vendas #vendedor #vndedordigital | Instagram https://t.co/kEhCrJUBre via @pinterest</t>
  </si>
  <si>
    <t>Se você representante comercial está em busca de conhecimento para aumentar e qualificar seus vendas click no link abaixo:
https://t.co/YkiwbiMqJL
#vendas #vendedor #representante #representantes #zuleir #tyrculsultoria #mentor #consultoria #empreendedorismo #empreender https://t.co/DyeUQSvOF8</t>
  </si>
  <si>
    <t>Ser um profissional excelente é ter a obrigação como ponto de partida e não como  ponto de chegada...
#vendas #vendedor #representante #representantes #zuleir #tyrculsultoria #mentor #consultoria #empreendedorismo #empreender #reflexao #reflexão #representantecomercial https://t.co/2iI2z1DDGb</t>
  </si>
  <si>
    <t>Não ignore o seu potencial! 
Os seus resultados dependem somente de VOCÊ! 
Qualquer dúvida estou aqui para te ajudar a trilhar pelos melhores caminhos e evitar que cometa os mesmos erros que cometi!
#vendas #vendedor #representante #representantes #zuleir #tyrculsultoria https://t.co/pPOpotAZzI</t>
  </si>
  <si>
    <t>Criatividade: a chave para o sucesso de qualquer negócio. 
Seja nas vendas, no trato com os clientes, faça diferente e INOVE! 
#vendas #vendedor #representante #representantes #zuleir #tyrculsultoria #mentor #consultoria #empreendedorismo #empreender #reflexao #reflexão https://t.co/ou7Jd2mFo0</t>
  </si>
  <si>
    <t>Soy #vendedor desde hace más años que la tana y me las he visto de mil colores. He sufrido colon irritable durante 2 años a causa de estrés del día a día con clientes en mis inicios como #comercial "de cosas" (de todo)... 🧵👇</t>
  </si>
  <si>
    <t>#empleo 
#córdoba
#energíarenovable
#autoconsumo
#fotovoltaica
#ventas
#vendedor
#proyecto
#mejoracontinua https://t.co/3RZ4iC4IrY</t>
  </si>
  <si>
    <t>Sin control, la potencia sirve de poco !
#ventas #personas #equipos #personas #autoliderazgo #objetivos #metas #vendedor #mejoracontinua #eficiencia https://t.co/ak5kwCDotB</t>
  </si>
  <si>
    <t>Las escusas, las justificaciones... los famosos "es que..."
#liderazgo #autoliderazgo #desarrolloprofesional #mejoracontinua #crecimiento #credibilidad #profesionalidad #metas #ventas #objetivos #meritocracia #futuro #presente #pymes #vendedor #equipo https://t.co/4tR55wUMRP</t>
  </si>
  <si>
    <t>@LeoPiccioli Cuál de todos, he sido #vendedor, #chófer, #cocinero , #PINTOR , #guardia, #aseo, #electricista, #profesor #musico y hasta #político 😅, todo para llegar hasta lo que más me gusta #Arquitetura</t>
  </si>
  <si>
    <t>Ele comprou o produto com defeito  por 50 reais e depois que consertou o vendedor pediu o produto de volta kkk #TikTok #mercadolivre #vendedor https://t.co/0U5QgQD7bJ</t>
  </si>
  <si>
    <t>Vendedor Externo e Interno: Você conhece as diferenças? #vendas #vendasconsultivas #vendasb2b #representantecomercial #processocomercial #vendedor
https://t.co/XwULe4Z9dj</t>
  </si>
  <si>
    <t>RT @portavisa: El vendedor efectivo con su cliente.👀🤓👍
.
.
.
#ventas #vendedor #portavisa https://t.co/vS1NMddecT</t>
  </si>
  <si>
    <t>Adoro trabalhar com venda 🫠…
Tenho a melhor equipe 🫠
Tudo lindo …. 
#vendedor #MoonlightChicken #Turkey</t>
  </si>
  <si>
    <t>Estamos en la búsqueda de Ejecutivo de Ventas 
– Sucursal Quito (1 vacantes)
Para postular ingrese al siguiente link: https://t.co/G5rQj6d5fm
#ZCMayoristas #TodosSomosZC #Empleo #BolsaDeTrabajo #Ventas #Vendedor https://t.co/2bJvw7dBrw</t>
  </si>
  <si>
    <t>Estamos en la búsqueda de Ejecutivo de Ventas 
– Matriz Guayaquil (2 vacantes)
Para postular ingrese al siguiente link: https://t.co/G5rQj6d5fm
#ZCMayoristas #TodosSomosZC #Empleo #BolsaDeTrabajo #Ventas #Vendedor https://t.co/uN4RFs9N49</t>
  </si>
  <si>
    <t>Faça a diferença! Form7!
 #lucro #vendermais #maisvendas #vendas #leads #clientes #dinheiro #maisclientes #vender https://t.co/XszrscW4g2</t>
  </si>
  <si>
    <t>El vendedor tiene horario. Pero si le encanta lo hace todo el tiempo.
El negociante; es negociante en el trabajo y en cada minutos de su vida.
Un emprendedor no tiene horario. Un emprendedor real no tiene un segundo de descanso!
#emprendedor #Entrevista #vendedor</t>
  </si>
  <si>
    <t>Daniela es una Mamá tranquila, porque ya compro los #útilesescolares de sus 3 hijos, gracias al trabajo realizado como #vendedor #independiente, llevando felicidad a sus clientes y vendiendo productos de las empresas legales y autorizadas de #ventadirecta. https://t.co/LG5bYdsbCf</t>
  </si>
  <si>
    <t>Gracias a la sincronía dinámica entre el #consumidor y el #vendedor independiente se ha logrado un avance en el incremento en la confianza de los productos registrados, certificados y con ventajas demostrativas a la hora del consumo general. #EmprendemosconÉtica https://t.co/dHjVzSFOOX</t>
  </si>
  <si>
    <t>🔥Recuerda que...🔥
Las empresas de #VentaDirecta en su compromiso con el #vendedor #independiente, te informan de manera debida y oportuna cualquier modificación al plan de compensación, con esto también ratificamos que conservas tu derecho de retiro en cualquier momento. https://t.co/4g6bUkKbR3</t>
  </si>
  <si>
    <t>📌Te presentamos 4⃣ ítems que tienes que tener en cuenta al iniciar tu camino como vendedor independiente en el sector de #VentaDirecta #Colombia #Independiente #Vendedor
-Abrimos Hilo- https://t.co/dxdq4Ropss</t>
  </si>
  <si>
    <t>Decálogo para alcanzar ese efecto Wow de marca y producto. #VentaDirecta #Calidad #producto #Vendedor #consumidor https://t.co/ZbQRfLYiJi</t>
  </si>
  <si>
    <t>La #VentaDirecta es un modo de vida, que implica un comportamiento ético, cívico y socialmente responsable. Es una actividad lúdica y creativa, donde el elemento activo es el #vendedor y su principal instrumento de trabajo es el #catálogo. https://t.co/Z04BPbXGOT</t>
  </si>
  <si>
    <t>Cada doença pertence a um doente. Cada doente tem uma mente. Cada mente é um universo infinito. do livro O Vendedor de Sonhos  #augustocury #augusto #cury #cada #doente #mente #doena #pertence #universo #infinito #livro #vendedor #sonhos @augustocury https://t.co/2JK9tCJRrL</t>
  </si>
  <si>
    <t>Exigen justicia por la muerte de Don Juanito, el vendedor de paletas que atropelló la Ruta 13.🧐🧐🧐👉👉👉https://t.co/AGnfohPaKa
#Vendedor #Accidente https://t.co/rbABbAeVys</t>
  </si>
  <si>
    <t>#vendedor</t>
  </si>
  <si>
    <t>⚠️Encuentra los detalles de ésta oferta de #EmpleoVerde en: https://t.co/jNPXCeYejx
☘️ #EmpleaVerde @GaiaAmbiente #SostenibilidadAmbiental #FuturoV #DesarrolloSostenible #trabajosihay #buscoempleo #vendedor</t>
  </si>
  <si>
    <t>⚠️Encuentra los detalles de ésta oferta de  #EmpleoVerde en: https://t.co/33XpCQRhik
🌱#EmpleaVerde @twoglasscol #SostenibilidadAmbiental #DesarrolloSostenible #FuturoV #trabajosíhay #Buscoempleo #vendedor #freelance #economiacircular♻️</t>
  </si>
  <si>
    <t>Hemos visto muchas opiniones sobre si un #vendedor nace o se hace. Hoy Daniel Lozano nos respondió esta pregunta con la plena convicción que un vendedor SE HACE. No te pierdas la respuesta completa aquí: https://t.co/jsBpcC2eeb https://t.co/YSr7GE9nbb</t>
  </si>
  <si>
    <t>Que tus clientes confíen en ti es tu mejor asset siendo abogado. Que confíen lo suficiente en ti para ayudarlos a tomar las decisiones difíciles que igual tienen miedo de tomar 🤝. Todos los tips de Santiago en el siguiente enlace https://t.co/DWpdaKmMBz 
#DealClosers #Vendedor https://t.co/1v51tRcWPC</t>
  </si>
  <si>
    <t>#vacantes cubiertas: #almacen #chofer . Gracias por postularte.
Seguimos #estamoscontratando #auxiliarcontable  #intendencia #vendedor Informes reclutamiento@calfer.com.mx   rhumanos@calfer.com.mx    Tel. 5550781200    Cel. 5548302991 https://t.co/WI5lfbHJb2</t>
  </si>
  <si>
    <t>#OportunidadLaboral 📣📣
Ciudad: #Guayaquil
Cargo: PREVENDEDOR
Envía tu cv a: echavez@moore.ec
.
.
.
#vendedor #ventas #ofertasdetrabajo https://t.co/UCaHkhxkjp</t>
  </si>
  <si>
    <t>#OportunidadLaboral 📣📣
Ciudad: #Guayaquil 
Cargo: VENDEDOR CANAL TRADICIONAL
Envía tu cv a: echavez@moore.ec
.
.
.
#vendedor #ventas #ofertasdetrabajo https://t.co/ICmIcDHY6T</t>
  </si>
  <si>
    <t>#ElDiarioViral
Todo inició cuando el tiktoker se le acercó al hombre vendedor de fruta, quien estaba con su hijo, y les preguntó sobre si en algún momento habían entrado al lugar de diversiones
#Disneylandia #Vendedor 😮👉👉 
‼️ENTÉRATE AQUÍ: ⤵️⤵️
https://t.co/TnRawwrmA4</t>
  </si>
  <si>
    <t>O pior atendimento é aquele que subestima seu colega, seu concorrente e até seu cliente.
#cliente #atendimento #relacionamento #pósvenda #vendedor</t>
  </si>
  <si>
    <t>#Quote #PublicitasTalks del #libro "El Manual del #Vendedor Institucional": Cómo llevar a cabo un Proceso de #Venta #B2B Exitoso. #salesprofs https://t.co/NjCtzDTMLs</t>
  </si>
  <si>
    <t>Murió un vendedor ambulante atropellado en Tolosa
#laplata #muerte #vendedor
https://t.co/Fyhqs3cxA0</t>
  </si>
  <si>
    <t>Estou otimizando as campanhas do #GoogleAds da @Elogiou, como de costume todo domingo. A quantidade de palavras chaves que eu removi do tipo: (Simpatia, Mandinga, Trabalho, Oração, Arquétipo, Reza) atrelado a #vendermais, não tá escrito.
Brasileiro busca muito atalho, pqp 😂</t>
  </si>
  <si>
    <t>Um bom CRM - intuitivo, prático e pensado para o seu negócio - oferece mais poder gerencial ao líder de vendas, auxilia na gestão de tempo e aumenta o ticket médio de clientes ativos.
#vendas #equipe #b2b #líder #industria #vendasb2b
#vendedor #EquipeDeVendas #empreendedor https://t.co/mmEKZyrKdn</t>
  </si>
  <si>
    <t>PROGRAMA DE FORMACIÓN PARA VENDEDORES 🛍️ AEGD
👉🏼 Vendedor Profesional con orientación en Alimentos.
👉🏼 Vendedor Profesional con orientación en Productos.
___
📱 #RegionNET | @RegionNET_ar
💻 https://t.co/ViCf1kkGYv #vendedor #curso #taller #aegd #generaldeheza #formacion https://t.co/CgMpA5mDUz</t>
  </si>
  <si>
    <t>𝗤𝗨𝗘 𝗘𝗦 𝗨𝗡𝗔 𝗩𝗘𝗡𝗧𝗔 𝗗𝗘 𝗔𝗟𝗧𝗢 𝗩𝗔𝗟𝗢𝗥
Conoce los componentes de un proceso de #venta compleja y que requiere el #vendedor para cerrarla.
👉 https://t.co/Z8v7buPJLj
#ecuador #guayaquil #guayas #quito #marketing #perfilcomercial #mexico #colombia https://t.co/8oKFaeE3CE</t>
  </si>
  <si>
    <t>¿𝐂𝐎𝐌𝐎 𝐌𝐀𝐍𝐄𝐉𝐀𝐑 𝐋𝐀𝐒 𝐎𝐁𝐉𝐄𝐂𝐈𝐎𝐍𝐄𝐒 𝐃𝐄 𝐕𝐄𝐍𝐓𝐀𝐒 𝐃𝐄𝐋 𝐂𝐋𝐈𝐄𝐍𝐓𝐄?
𝗜𝗻𝗴𝗿𝗲𝘀𝗮 𝗮𝗹 𝗲𝗻𝗹𝗮𝗰𝗲 👉 👉 https://t.co/a19DClyChe
#objeciones #ventas #exito #vendedor #profesional #vendedor https://t.co/huxQVKOOqb</t>
  </si>
  <si>
    <t>O Ministério Público requereu a homologação da prisão e a concessão da liberdade provisória, mediante a aplicação de medidas cautelares.  https://t.co/UQTWtJ6d2k #teresinense #vendedor #macaco #teresinense #presa #bahia</t>
  </si>
  <si>
    <t>Qué es ser un #vendedor?
Mira lo que dice #Victorkuppers https://t.co/mXknpqysWc</t>
  </si>
  <si>
    <t>"A los 41 años y con experiencia en ventas, busco trabajo #freelance como vendedor. Si necesitas alguien con habilidades de comunicación y ventas, ¡contáctame! #trabajo #ventas #oportunidad #vendedor #freelance"</t>
  </si>
  <si>
    <t>En las #ventas hay que adaptarse al cliente y a sus necesidades… Debes ser como los actores… Sé tu mismo pero adáptate… 
#vender #vendedor #vendedores #clients https://t.co/r1jCleuloa</t>
  </si>
  <si>
    <t>La vida es cómo es... y quien lo dice: ¡polloooo! 
#pollo #polloorganico #orgánico #miércoles #tendencias #ventas #vendedor #emprendedor https://t.co/Ej92MBK9L1</t>
  </si>
  <si>
    <t>Vender é algo relativamente simples, mas exige do profissional algumas habilidades, OUVIR, certamente é uma das importantes!
#mercado #brasil #vendas #negócios #hábitos #comportamento #empreendedorismo #vendedor #conexões #orobertovilelaoficial https://t.co/vVU3JLUpSg</t>
  </si>
  <si>
    <t>#AsesorDeVentas #Vendedor #EjecutivoDeVentas #Empleo #EmpleoSV #Contratando #BuscoEmpleo #Joven360 #ElSalvador</t>
  </si>
  <si>
    <t>📍📍📍Aplica aquí ➡️ https://t.co/fjcWCTXoIT 🌐
#Vendedor #upervisor #Empleo #EmpleoSV #Contratando #BuscoEmpleo #Joven360 #ElSalvador</t>
  </si>
  <si>
    <t>Vacantes del día! 
 #vacantes #panama #laborales #correo #contrataciones #contactos #empleo #profesional #crecimientoprofesional #oportunidadeslaborales #capitalhumano 
#secretaria #vendedor #automotriz #capataz #ingeniero https://t.co/JcKlN4jMY1</t>
  </si>
  <si>
    <t>✔️ Te gustan las ventas y el servicio al cliente?
✔️ Estás en busca de empleo?
SEARS ALTARIA,  solicita Vendedores (as) para el departamento de CABALLEROS.
#VacanteLaboral #OfertaDeEmpleo #Sears #VacantesSears #empleo #vacantes #Trabajo #vendedora #vendedor #empleosaguascalientes https://t.co/SpcGIaEklZ</t>
  </si>
  <si>
    <t>Como vender mais, sem se matar de trabalhar. #vendedora #varejo #vendas #vender #vendermais https://t.co/abIEmXqxJA</t>
  </si>
  <si>
    <t>Oportunidade de emprego para Anápolis e Goiânia.
Inicio imediato.
#vagasdeemprego #vagas #vendedor #Anápolis #Goiania #emprego #auxiliardecozinha #domestica #garçom #roupas #engenhariacivil #engenharia #chefedefila #querovagas https://t.co/IOjdr7QDp5</t>
  </si>
  <si>
    <t>Oportunidade de emprego para Goiânia. 
Inicio imediato. 
#vagasdeemprego #vagas #vendedor #empregos  #Goiania #emprego #vendas https://t.co/svT5QEpRtj</t>
  </si>
  <si>
    <t>Oportunidade de emprego para Anápolis e Goiânia. Inicio imediato. #vagasdeemprego #vagas #vendedor #Anápolis #Goiania #emprego #auxiliardecozinha #domestica #garçom #roupas #engenhariacivil #engenharia #chefedefila #querovagas #empregos https://t.co/d6IRkOC2lE</t>
  </si>
  <si>
    <t>Oportunidade de emprego para Anápolis e Goiânia. Inicio imediato. #vagasdeemprego #vagas #vendedor #Anápolis #Goiania #emprego #auxiliardecozinha #domestica #garçom #roupas #engenhariacivil #engenharia #chefedefila #querovagas #empregos https://t.co/VeC1f44fYl</t>
  </si>
  <si>
    <t>#Ole✋ Siguen la voces de solidaridad y de tristeza, por el fallecimiento de Pedro Elías Duarte, más conocido como "Habitas", quien a sus 73 años y luego de meses con fuertes reconocido vendedor quebrantos de salud, dejó este mundo. #qepd 🙋‍♂️❌️😔
#Bucaramanga 🙋‍♂️
#Vendedor 😔 https://t.co/DMvlecVvPt</t>
  </si>
  <si>
    <t>Aniversário do nosso menino! 
#vendedor #misterparana https://t.co/7dKABYZfIc</t>
  </si>
  <si>
    <t>En #materiainmobiliaria cuando das a conocer las bondades de una zona en específico, le permites al futuro #comprador decidir más rápido y al #vendedor, poder mostrar su #propiedad con las mejores cualidades. 🏡🔑 #urbanizacionesvenezuela   #estrategiasocialmedia https://t.co/SAG9ogU6W1</t>
  </si>
  <si>
    <t>Conteúdo nas redes sociais. Acesse e acompanhe.
#vendas #vendedor #vendedora #corretor #corretordeimoveis #corretordesucesso #corretoradeimoveis #empreendedorismofeminino #mercadoimobiliario https://t.co/3WixfmVh1g</t>
  </si>
  <si>
    <t>Só na RE/MAX você conta com um plano de carreira para você se consolidar como especialista em imóveis e ter comissões acima da média.
Na Universidade RE/MAX você recebe treinamentos e conta com suporte e apoio do nosso time de especialistas.
#corretor #vendedor #empreendedor https://t.co/KnLOcQVhhi</t>
  </si>
  <si>
    <t>Empreender Transforma!
Vem ser RE/MAX!
#remax #carreira #vagas #vendas #vendedor #corretor #corretordeimoveis #corretordesucesso #corretoradeimoveis #empreendedorismo #transicaodecarreira https://t.co/v1EoWgl77a</t>
  </si>
  <si>
    <t>🌳 «Hay que practicar el arte de la paciencia, porque en la naturaleza nada se hace apresuradamente.« Og Mandino, en El #vendedor más grande del mundo.
👉 Genera confianza en tus #clientes   https://t.co/s7pDdcnLce
#tecnologia #crm #comercial #growth #erpcloud</t>
  </si>
  <si>
    <t>Dato de trabajo para #vendedor #vendedortecnico #antofagasta #bombas #sellos 
:// https://t.co/vPHCaiCQWp</t>
  </si>
  <si>
    <t>#antofagasta #vendedor https://t.co/BxT6MrUc8G</t>
  </si>
  <si>
    <t>Buscamos #antofagasta #vendedor https://t.co/eGrUykkK7r</t>
  </si>
  <si>
    <t>La suerte le llega a quien la busca, no dejes de trabajar y buscar el éxito 🔥💪🏻
.
#coach #coaching #coachingcomercial #coachdeventas #coachingdeventas #vendedores #ventas #negocios #aprende #ponencias #cursos #vendedor #empresas #empresarios #directordeventas #directorcomercial https://t.co/yVJgkA7Fme</t>
  </si>
  <si>
    <t>Série "O PERFIL DO VENDEDOR DE SUCESSO"
Assista: 
https://t.co/fu2tgKcAzo
#vendas #vendedor #sucesso #heliocouto #profheliocouto https://t.co/oO2VSoQi9D</t>
  </si>
  <si>
    <t>Série
 "O PERFIL DO VENDEDOR DE SUCESSO"
Assista: 
https://t.co/fu2tgKcAzo
#vendas #vendedor #sucesso #heliocouto #profheliocouto https://t.co/zo2MCDFIUq</t>
  </si>
  <si>
    <t>📹Aula: "O PERFIL DO VENDEDOR DE SUCESSO - PARTE 1""
🔗 Assista aqui: https://t.co/Rxbl3a7SFS
#prosperidade #sucesso #vendas #vendedordesucesso #vender #vendedor #venda #perfil #tecnicas #tecnicadevendas #tecnicasdevenda #heliocouto #héliocouto https://t.co/gmPMGTR6VM</t>
  </si>
  <si>
    <t>Marca aí aquele @ que deve comprar essa pomada... 
.
.
.
.
.
#mucão #comedia #rir #humor #vendedor #pomada #juazeirodonorte #pracapadrecicero #videosengracados #mucaoaovivo @tiagoanaao @joceliopaporeto @galocegoof  @gaalocego https://t.co/f613jAMGvn</t>
  </si>
  <si>
    <t>#mx
Mujer fulminada por rayo en playa de Michoacán era de Guanajuato y estaba casada
👇🏽
https://t.co/HG5mhqADTf…-y-estaba-casada/
#seguridad #inseguridad #muertos #rayo #playa #matrimonio #accidente #maruata #michoacán #vendedor #comerciante #mujer #Decálogo https://t.co/82n9LiKgei</t>
  </si>
  <si>
    <t>CONQUISTE A CONFIANÇA DO SEU CLIENTE COM A ESCUTA ATIVA.
#vendas #vendedor #marketing #negócios #business
https://t.co/sH1rt3VmBD</t>
  </si>
  <si>
    <t>Essa é a minha definição, qual é a sua?
V+TSD - Venda Mais Todo Santo Dia
#vendas #neuromarketing #motivacao #marketing #empreendedorismo #vendas #vendedor #sucesso https://t.co/cW1bzm0tMh</t>
  </si>
  <si>
    <t>QUERES VENDER MAIS?
Bora lá? Assista Agora!!!
 #empreendedorismo #negocios #empreenda #empreender #lucro #vendas #marketing #marketingdigital
 #empreededorismofeminino #empresas #empreendendo #loja #lojaonline  #vendas #vendedor https://t.co/GSxzimnsgZ</t>
  </si>
  <si>
    <t>Nada é por acaso, é com mentalidade forte e muito suor.
#empreendedorismo #negocios #empreenda #empreender #lucro #vendas #marketing #marketingdigital
 #empreededorismofeminino #empresas #empreendendo #loja #lojaonline #vendas #vendedor https://t.co/8T6POisjMs</t>
  </si>
  <si>
    <t>E por que não aproveitar HOJE SEGUNDDA-FEIRA, para reforçar uma das primeiras coisas que falo sempre!? O tempo passa, mas certas coisas estão gravadas na nossa essência.
 O que acha?✨
#vendas #neuromarketing #motivacao #marketing #empreendedorismo #vendas #vendedor #sucesso https://t.co/mJmXM7sfIO</t>
  </si>
  <si>
    <t>NÃO HÁ ATALHO PARA O SUCESSO.
"Somos o que repetidamente fazemos. A excelência, portanto, não é um feito, mas um hábito." Aristóteles
#neuromarketing #marketing #vendas #vendedor #sucesso #mentoria #empreendedorismo #motivacao #treinamento #vitoria #trafegopago #V+TSD #carreira https://t.co/TwR0VQdfvS</t>
  </si>
  <si>
    <t>A SUA forma de comunicação impacta brutalmente no seu resultado. PARE de ser chato e CAUSE VOLÚPIA.
#nerimarmendes #neuromarketing #marketing #vendas #vendedor #sucesso #mentoria #empreendedorismo #motivacao #treinamento #vitoria #trafegopago #V+TSD #carreira https://t.co/j93VvMabpU</t>
  </si>
  <si>
    <t>🌟🌟Muy satisfechos de conseguir una #sentencia  que #condena al #vendedor a devolver a nuestro cliente el dinero de 21.400 € pagado por la compra de un #vehículo con graves #viciosocultos 🎯 ☎️648634583☎️#España #leonesp #consumidor https://t.co/IVzR7F8hSX https://t.co/IPcAmXOvun</t>
  </si>
  <si>
    <t>Bora começa a segunda-feira!  DEUS abençoe a todos.
#bebidas #cerveja #promoção #vendedor #representantecomercial  #corretordebebidas #distribuidora  #adega #depositodebebidas https://t.co/Loqt1h7icv</t>
  </si>
  <si>
    <t>Não VALE! Na hora de vender o seu serviço ou produto, o Lucro real vem de ter 1 cliente satisfeito, que vai confiar em você 🫵 não importa oque você venda! #vendas #vendedor #dividas #nomesujo #nomelimpo #credito https://t.co/QpQ4b8ToUM</t>
  </si>
  <si>
    <t>📚 Live proibida em 27 Países https://t.co/LQFkIFg9dl
#vendas #vendedor #empreendedor #caiocarneiro #joeljota https://t.co/8NpHRp9c6Q</t>
  </si>
  <si>
    <t>#SUGA_AgustD_TOUR #viral #vendedor #lucianioapvs #carros #protegidos https://t.co/8X7PE28uRe</t>
  </si>
  <si>
    <t>#vendedor #Bucaramanga</t>
  </si>
  <si>
    <t>Puedes ser un muy buen vendedor pero si no sabes nada acerca del dinero entonces seguirás siendo solo un muy buen vendedor #ventas #EducacionFinanciera #vendedor</t>
  </si>
  <si>
    <t>VENDER.
#Vender no es un asunto de insistencia o persistencia. Esos conceptos, son erróneos y al practicarlos y no obtener los resultados esperados, el #Vendedor queda desconcertado 
Capacitar correctamente es misión de la #PymesUnidas 
https://t.co/E7hVUG2F1d</t>
  </si>
  <si>
    <t>Lebes abre vagas para Vendedores de Móveis e Moda em Guaíba 
https://t.co/fgS1hhzyEK
#vagas #vagasrs #riograndedosul #oportunidades #empregos  #guaíba #vendedor #moda #móveis #lebes https://t.co/Rst2Ol6735</t>
  </si>
  <si>
    <t>https://t.co/fs4w0VBHmB
#vagas #vagasrs #riograndedosul #oportunidades #empregos #mosmann #alimentos #parobe #vendedor #atendente https://t.co/hKBNTxXDWi</t>
  </si>
  <si>
    <t>https://t.co/QtpRX4khd1
Empresas em Tramandaí e Imbé estão selecionando funcionários para as vagas de #motorista #jovemaprendiz #vendedor #padeiro #confeitaria #atendente #alarme 
#vagas #tramandai #imbé #litoral #vagasrs #riograndedosul https://t.co/pS0jKiisKo</t>
  </si>
  <si>
    <t>https://t.co/fZUpFuumtg
Lojas Quero-Quero S.A.está selecionando Auxiliar de estoque e Vendedores em Capão da Canoa
#vagas #capaodacanoa #litoral #vendedor #auxiliardeestoque #estoque #loja #queroquero https://t.co/FXJp6kV758</t>
  </si>
  <si>
    <t>https://t.co/HCmSfVlHAs
Atacadão Fort Móveis abre vagas para Vendedores e Estoquista em Gravataí e Cachoeirinha
#estoque #vendedor #cachoeirinha #moveis https://t.co/RtD4Sq12dM</t>
  </si>
  <si>
    <t>Lojas Colombo S/A seleciona Vendedores em Tramandaí. 
https://t.co/d6ZwyTgKU4
#vendedor #vendedora #colombo #loja #móveis #tramandai #litoral https://t.co/vx0vjhF5Pv</t>
  </si>
  <si>
    <t>Lojas Renner abre nova loja em Taquara https://t.co/ji1d7qDWyH
#renner #taquara #loja #vagas #vagasrs #emprego #oportunidades #assistentedeloja #atendente #vendedor https://t.co/sOGZWnUx4b</t>
  </si>
  <si>
    <t>Oportunidades nas lojas Leroy Merlin em Porto Alegre e São Leopoldo
#oportunidades https://t.co/EEdeqRZYsb
#loja #leroymerlin #sãoleopoldo #portoalegre #atendente #caixaoperador #vendedor #empregos https://t.co/SkjqMUC0f5</t>
  </si>
  <si>
    <t>Vagas na Deltasul para Servente, Vendedores, Caixa Crediarista e outros no RS https://t.co/QXHwMaTVVi
#vagas #vagasrs #emprego #oportunidade #deltasul #servente #vendedor #caixa #crediário https://t.co/DrsiNp29Ay</t>
  </si>
  <si>
    <t>Colombo abre vagas para Operador de Loja (vendedor) em porto Alegre https://t.co/WSfiLzqJSS
#colombo #loja #operadordeloja #vendedor #portoalegre #vagas #vagasrs #empregos #oportunidades https://t.co/kVNJKo5PLx</t>
  </si>
  <si>
    <t>Mais de 700 vagas em Canoas e região. Confira aqui&amp;gt;&amp;gt;&amp;gt; https://t.co/wQwE8KaqMG
#vagas #canoas #regiao #vagasrs #oportunidades #logistica #vendedor #empregos https://t.co/n0IHQPBXq9</t>
  </si>
  <si>
    <t>Tok&amp;amp;Stok abre vagas para Vendedor e Consultor de Vendas em Porto Alegre https://t.co/dIQu3ZLHQ0 #vagas #vagasrs #portoalegre #consultordevendas #vendedor #decorador https://t.co/NtffHg7Ts9</t>
  </si>
  <si>
    <t>Coca-Cola FEMSA está selecionando vendedores em Cachoeirinha, Canoas, Esteio e Sapucaia do Sul
https://t.co/1kJUt7o9LQ 
#vagas #sapucaia #esteio #cachoeirinha #canoas #cocacolafemsa #cocacola #vendedor https://t.co/seYTyLntFD</t>
  </si>
  <si>
    <t>https://t.co/jVekYgU1Yj EixoSul Broker Nestlé está selecionando Vendedores, Recepcionista e Ass. logística. As vagas são para porto Alegre, litoral Norte e Eldorado do Sul
#vagas #portoalegre #eldoradodosul #litoral #nestlé #vendedor #recepcionista #logistica https://t.co/EhplmZe0Bi</t>
  </si>
  <si>
    <t>Fruki Bebidas está várias oportunidades em Canoas e Lajeado. Confira https://t.co/cwRBx7S4PF 
#empresas #oportunidades #vaga #vagas #vagassa #oportunidades #empresas #vaga #oportunidades #empregos #oportunidadedeemprego #vagasdeemprego #fruki  #auxiliardeprodução #vendedor https://t.co/5ZZMVO9g7J</t>
  </si>
  <si>
    <t>Você já conheceu sobre nossa sede de Blumenau mas conhece todos os serviços da nossa sede de Brusque?
Venha conferir todas nossas soluções!
Entre em contato e descubra mais!
#asv #tecnologia #sistemas #consultoria #erp #bi #portaldovendedor #vendedor #forçadevendas #gestão https://t.co/jEPjqVU4QL</t>
  </si>
  <si>
    <t>Ser vendedor profissional é o ato de estabelecer tarefas e aceitar os “nãos” de forma receptiva!
Foco e determinação são ótimos atributos da profissão!
Você que tá querendo trabalhar, vá vender algo e se surpreenda!!!
#vendedor</t>
  </si>
  <si>
    <t>PAT Santana de Parnaíba realiza processo seletivo para auxiliar de logística e vendedor nesta quarta-feira (30)
#AuxiliarDeLogística #PiraporaDoBomJesus #ProcessoSeletivo #SantanaDeParnaíba #vagas #vendedor 
https://t.co/uVEQt18KZJ</t>
  </si>
  <si>
    <t>Gostou desse conteúdo?! Envie para uma empresária do ramo de loja infanto juvenil!
#maternidade #mãe #filho #filha #criança #emprego #vendedor #vendedora #vendas #empatia #cliente #rh #trabalho #contrato #documento #responsabilidade #advogado #escritório #contrato #justiça https://t.co/MPuSITQoRU</t>
  </si>
  <si>
    <t>Por ampliación de plantilla, buscamos vendedor de muebles, preferiblemente con experiencia:
https://t.co/ApSSLCYQ6t
#empleo #vendedor #muebles #Mallorca #Palma #moblescanbarato #jobs #hiring</t>
  </si>
  <si>
    <t>Vendedor callejero ofreciendo al público interesado un novedoso tónico contra la caspa. 1918.
#vendedor #caspa #mendozantigua
https://t.co/5ljKyACbuT https://t.co/gv54CfxX88</t>
  </si>
  <si>
    <t>Qué es un buen #vendedor #picoftheday #trendingvideo #formula1 #ventas #ventasonline https://t.co/5aeTB2bvuy</t>
  </si>
  <si>
    <t>📍 Conheça um pouco do nosso Sócio / Vendedor Guilherme Francisco ! 
@fran.guii 
Obrigado por fazer a VTG SOLAR caminhar 👏🏼
.
.
.
.
#energiasolar #vendedor #arquitetura #imóveis https://t.co/bDQbpc7IMO</t>
  </si>
  <si>
    <t>🔎 Importante Mayorista se encuentra en la búsqueda de Vendedores/ Preventistas para la zona de Luján/ Rodríguez. 
Si te interesa, no dudes en postularte adjuntando tu CV con foto ingresando en este enlace 📲 https://t.co/HyEc0SRS3x
#EmpleoCerca #Luján #OfertaLaboral #Vendedor https://t.co/GqBwEW9WO5</t>
  </si>
  <si>
    <t>🔎 Importante Mayorista se encuentra en la búsqueda de Vendedores/ Preventistas para la zona de Luján/ Rodríguez. 
Si te interesa, no dudes en postularte adjuntando tu CV con foto ingresando en este enlace 📲 https://t.co/HyEc0SRS3x
#EmpleoCerca #Luján #OfertaLaboral #Vendedor https://t.co/6klz5gyOuA</t>
  </si>
  <si>
    <t>Em Santa Helena de Goiás, homem furta carro após fazer test-drive
https://t.co/ZdcrMtYNkb
#furto #carro #testdrive #vendedor #goiás https://t.co/q4LUIdvPNL</t>
  </si>
  <si>
    <t>Muerte de #migrantes en costas de #Italia. #ArabiaSaudita dona 400 millones de $ a #Ucrania. En #Mexico protestan contra #AMLO. #China mayor #vendedor de #armas. #Ecuador comisaria #UE se reune con  @LassoGuillermo #26Febrero #27Feb #noticiasrapidasec #noticias #ULTIMAHORA https://t.co/1ZlWTakZ7y</t>
  </si>
  <si>
    <t>Sem clareza do papel do vendedor todos perdem: o vendedor, a empresa e o cliente que não tem a solução que poderia resolver o problema dele.
 #businesscoach #vendasb2b #estrategia #vendedor#negocioefetivo #Oportunidade 🚀🚀🚀 https://t.co/3YkZ6jIP78</t>
  </si>
  <si>
    <t>Vendedor, gestor e empreendedor, quando você decide não investir em si, você está fazendo uma escolha consciente que limitará seus ganhos e seu crescimento.
#vendas #vendedor #investimento #desenvolvimento #desenvolvimentopessoal #treinamento</t>
  </si>
  <si>
    <t>SMART é a sigla em inglês para: Specific (Específico), Measurable (Mensurável), Achievable (Alcançável), Realistic (Realista) e Time based (Temporal). 🎯
#guiase #smart #metas #objetivos #vendas #empreendedorismo #vendermais #marketing #marketingdigital https://t.co/AHUqDvsZNn</t>
  </si>
  <si>
    <t>“THEY CALL ME PALETERO MAN.” ❤️‍🔥
#paletero #paleteroman #streetvendor #vendedor #poem #poetry #poems #song #songwriter #tejuino #musical #musicaltheatre https://t.co/IGKvOATW42</t>
  </si>
  <si>
    <t>Oportunidade para aprender com pessoas experientes, Vend. Loja e Aux. Loja sem experiência p loja no Xaxim/Curitiba.
Cadastre-se e participe:
-Vend.: https://t.co/6lUvNVNXZO
- Aux. Loja: https://t.co/Aw1WlKrWny
#vagas #vagascuritiba #dicaagnesrh #vendas #vendedor #atendimento https://t.co/KvMeiPnrX0</t>
  </si>
  <si>
    <t>Vend.(ª) de Loja, no bairro Hauer de Curitiba, boa remuneração. 
Cadastre-se https://t.co/u38qhExaXD e participe! 
#vagas #vagascuritiba #dicaagnesrh #vendas #vendedor #atendimento https://t.co/wL61iU3sQd</t>
  </si>
  <si>
    <t>Ass. Vendas em Indústria no CIC/Curitiba, boa remuneração e somente de 2ª a 6ª feira. 
Cadastre-se: https://t.co/ffXFP81IIX e participe! 
#vagas #vagascuritiba #dicaagnesrh #vendas #vendedor #comercial https://t.co/ObO53ALJeo</t>
  </si>
  <si>
    <t>📣📣📣 Tú puedes ser parte de la pastelería más familiar de México. 
Por crecimiento tenemos vacantes de VENDEDORA.
Contáctanos vía Whatsapp 55 2499 4700 
#Montparlover #empleo #ventas #vendedor #pastel #ÚneteALaFamilia https://t.co/wm6hBY09tc</t>
  </si>
  <si>
    <t>📣📣📣 Tú puedes ser parte de la pastelería más familiar de México. 
Por crecimiento tenemos vacantes de VENDEDORA disponibles.
Si vives cerca de la sucursal mencionada por favor contáctanos vía Whatsapp.
#Montparlover #empleo #ventas #vendedor #pastel #ÚneteALaFamilia https://t.co/WxA98rWMHN</t>
  </si>
  <si>
    <t>#trabajosihay si eres apasionado (a) por las ventas y te gusta trabajar en equipo esta puede ser tu oportunidad..
https://t.co/Hf4YP4JA70 #trabajobogota #vendedor #ventas https://t.co/dqut0oxPdu</t>
  </si>
  <si>
    <t>#Vaga #Vendedor #Interno
Envie seu currículo:
💻 https://t.co/OQnsJJzpFS
📧 curriculos.recrutadora@gmail.com
📍 Rua 14, 1462 - entre Avs 6 e 8 - Santa Cruz - Rio Claro/SP
#compartilhe #marque #recrutadora #curriculo #vaga #emprego #rioclaro https://t.co/nmi9sGF44G</t>
  </si>
  <si>
    <t>#Vaga #Vendedor #Interno
Envie seu currículo:
💻 https://t.co/OQnsJJzpFS
📧 curriculos.recrutadora@gmail.com
📍 Rua 14, 1462 - entre Avs 6 e 8 - Santa Cruz - Rio Claro/SP
#compartilhe #marque #recrutadora #curriculo #vaga #emprego #rioclaro https://t.co/3iQBM8BVER</t>
  </si>
  <si>
    <t>#Vaga #Vendedor #Interno
Envie seu currículo:
💻 https://t.co/OQnsJJzpFS
📧 curriculos.recrutadora@gmail.com
📍 Rua 14, 1462 - entre Avs 6 e 8 - Santa Cruz - Rio Claro/SP
#compartilhe #marque #recrutadora #curriculo #vaga #emprego #rioclaro https://t.co/ogYfFu7GIF</t>
  </si>
  <si>
    <t>#Vaga #Vendedor #Interno
Envie seu currículo:
💻 https://t.co/OQnsJJzpFS
📧 curriculos.recrutadora@gmail.com
📍 Rua 14, 1462 - entre Avs 6 e 8 - Santa Cruz - Rio Claro/SP
#compartilhe #marque #recrutadora #curriculo #vaga #emprego #rioclaro https://t.co/NN7IToAYDl</t>
  </si>
  <si>
    <t>#Vaga #Vendedor #Interno
Envie seu currículo:
💻 https://t.co/OQnsJJzpFS
📧 curriculos.recrutadora@gmail.com
📍 Rua 14, 1462 - entre Avs 6 e 8 - Santa Cruz - Rio Claro/SP
#compartilhe #marque #recrutadora #curriculo #vaga #emprego #rioclaro https://t.co/YW3VXXDyio</t>
  </si>
  <si>
    <t>#Vaga #Vendedor #Shopping
Envie seu currículo:
💻 https://t.co/OQnsJJzpFS
📧 curriculos.recrutadora@gmail.com
📍 Rua 14, 1462 - entre Avs 6 e 8 - Santa Cruz - Rio Claro/SP
#compartilhe #marque #recrutadora #curriculo #vaga #emprego #rioclaro https://t.co/toFDmFLSaV</t>
  </si>
  <si>
    <t>#Vaga #Balconista #Vendedor
Envie seu currículo:
💻 https://t.co/OQnsJJzpFS
📧 curriculos.recrutadora@gmail.com
#compartilhe #marque #recrutadora #curriculo #vaga #emprego #limeira https://t.co/ApbQfP59FV</t>
  </si>
  <si>
    <t>#Vaga #Vendedor #Interno
Envie seu currículo:
💻 https://t.co/OQnsJJzpFS
📧 araras.recrutadora@gmail.com
#compartilhe #marque #recrutadora #curriculo #vaga #emprego #araras
Confira nossas vagas também pelo grupo no WhatsApp:https://t.co/ONbybiN3ch https://t.co/Kogkqic6ve</t>
  </si>
  <si>
    <t>#Vaga #Vendedor
Envie seu currículo:
💻 https://t.co/OQnsJJzpFS
📧 curriculos.recrutadora@gmail.com
📍 Rua 14, 1462 - entre Avs 6 e 8 - Santa Cruz - Rio Claro/SP
#compartilhe #marque #recrutadora #curriculo #vaga #emprego #rioclaro https://t.co/3r79P8E2xE</t>
  </si>
  <si>
    <t>#Vaga #Vendedor #Externo
Envie seu currículo:
💻 https://t.co/OQnsJJzpFS
📧 curriculos.recrutadora@gmail.com
📍 Rua 14, 1462 - entre Avs 6 e 8 - Santa Cruz - Rio Claro/SP
#compartilhe #marque #recrutadora #curriculo #vaga #emprego #rioclaro https://t.co/QRxdleLSpx</t>
  </si>
  <si>
    <t>#Vaga #Vendedor #Shopping
Envie seu currículo:
💻 https://t.co/OQnsJJzpFS
📧 curriculos.recrutadora@gmail.com
📍 Rua 14, 1462 - entre Avs 6 e 8 - Santa Cruz - Rio Claro/SP
#compartilhe #marque #recrutadora #curriculo #vaga #emprego #rioclaro https://t.co/P518MvJrke</t>
  </si>
  <si>
    <t>#Vaga #Vendedor #Interno
Envie seu currículo:
💻 https://t.co/OQnsJJzpFS
📧 curriculos.recrutadora@gmail.com
📍 Rua 14, 1462 - entre Avs 6 e 8 - Santa Cruz - Rio Claro/SP
#compartilhe #marque #recrutadora #curriculo #vaga #emprego #rioclaro https://t.co/oGQpxPGAHh</t>
  </si>
  <si>
    <t>#Vaga #Vendedor #Interno
Envie seu currículo:
💻 https://t.co/OQnsJJzpFS
📧 curriculos.recrutadora@gmail.com
📍 Rua 14, 1462 - entre Avs 6 e 8 - Santa Cruz - Rio Claro/SP
#compartilhe #marque #recrutadora #curriculo #vaga #emprego #rioclaro https://t.co/ozWJVuHplH</t>
  </si>
  <si>
    <t>#Vaga #Vendedor #Balconista
Envie seu currículo:
💻 https://t.co/OQnsJJzpFS
📧 curriculos.recrutadora@gmail.com
📍 Rua 14, 1462 - entre Avs 6 e 8 - Santa Cruz - Rio Claro/SP
#compartilhe #marque #recrutadora #curriculo #vaga #emprego #rioclaro https://t.co/BjvOOXaT7p</t>
  </si>
  <si>
    <t>#Vaga #Vendedor #Balconista
Envie seu currículo:
💻 https://t.co/OQnsJJzpFS
📧 curriculos.recrutadora@gmail.com
📍 Rua 14, 1462 - entre Avs 6 e 8 - Santa Cruz - Rio Claro/SP
#compartilhe #marque #recrutadora #curriculo #vaga #emprego #rioclaro https://t.co/MLHQfpdGUm</t>
  </si>
  <si>
    <t>#Vaga #Balconista #Vendedor
Envie seu currículo:
💻 https://t.co/OQnsJJzpFS
📧 curriculos.recrutadora@gmail.com
#compartilhe #marque #recrutadora #curriculo #vaga #emprego #limeira https://t.co/n4mqsMKESK</t>
  </si>
  <si>
    <t>#Vaga #Vendedor #ServicosAutomotivos
Envie seu currículo:
💻 https://t.co/OQnsJJzpFS
📧 curriculos.recrutadora@gmail.com
📍 Rua 14, 1462 - entre Avs 6 e 8 - Santa Cruz - Rio Claro/SP
#compartilhe #marque #recrutadora #curriculo #vaga #emprego #rioclaro https://t.co/KLwMn4lGrD</t>
  </si>
  <si>
    <t>#Vaga #Vendedor #Externo
Envie seu currículo:
💻 https://t.co/OQnsJJzpFS
📧 curriculos.recrutadora@gmail.com
📍 Rua 14, 1462 - entre Avs 6 e 8 - Santa Cruz - Rio Claro/SP
#compartilhe #marque #recrutadora #curriculo #vaga #emprego #rioclaro https://t.co/QljFnYEHwO</t>
  </si>
  <si>
    <t>#Vaga #vendedor
Envie seu currículo:
💻 https://t.co/OQnsJJzpFS
📧 curriculos.recrutadora@gmail.com
📍 Rua 14, 1462 - entre Avs 6 e 8 - Santa Cruz - Rio Claro/SP
#compartilhe #marque #recrutadora #curriculo #vaga #emprego #rioclaro https://t.co/OINN93X4No</t>
  </si>
  <si>
    <t>#Vaga #vendedor
Envie seu currículo:
💻 https://t.co/OQnsJJzpFS
📧 curriculos.recrutadora@gmail.com
📍 Rua 14, 1462 - entre Avs 6 e 8 - Santa Cruz - Rio Claro/SP
#compartilhe #marque #recrutadora #curriculo #vaga #emprego #rioclaro https://t.co/BrLR7yBIUl</t>
  </si>
  <si>
    <t>#Vaga #Vendedor #Balconista
Envie seu currículo:
💻 https://t.co/OQnsJJzpFS
📧 curriculos.recrutadora@gmail.com
📍 Rua 14, 1462 - entre Avs 6 e 8 - Santa Cruz - Rio Claro/SP
#compartilhe #marque #recrutadora #curriculo #vaga #emprego #rioclaro https://t.co/8jiAGUjYVH</t>
  </si>
  <si>
    <t>#Vaga #Vendedor #Balconista
Envie seu currículo:
💻 https://t.co/OQnsJJzpFS
📧 curriculos.recrutadora@gmail.com
📍 Rua 14, 1462 - entre Avs 6 e 8 - Santa Cruz - Rio Claro/SP
#compartilhe #marque #recrutadora #curriculo #vaga #emprego #rioclaro https://t.co/X74W3GM7PV</t>
  </si>
  <si>
    <t>#Vaga #Vendedor
Envie seu currículo:
💻 https://t.co/OQnsJJzpFS
📧 curriculos.recrutadora@gmail.com
📍 Rua 14, 1462 - entre Avs 6 e 8 - Santa Cruz - Rio Claro/SP
#compartilhe #marque #recrutadora #curriculo #vaga #emprego #rioclaro https://t.co/UUZ0C3Tc17</t>
  </si>
  <si>
    <t>#Vaga #Vendedor #Interno
Envie seu currículo:
💻 https://t.co/OQnsJJzpFS
📧 curriculos.recrutadora@gmail.com
📍 Rua 14, 1462 - entre Avs 6 e 8 - Santa Cruz - Rio Claro/SP
#compartilhe #marque #recrutadora #curriculo #vaga #emprego #rioclaro https://t.co/SUnlGaT1Ff</t>
  </si>
  <si>
    <t>#Vaga #Vendedor #Interno
Envie seu currículo:
💻 https://t.co/OQnsJJzpFS
📧 curriculos.recrutadora@gmail.com
📍 Rua 14, 1462 - entre Avs 6 e 8 - Santa Cruz - Rio Claro/SP
#compartilhe #marque #recrutadora #curriculo #vaga #emprego #rioclaro https://t.co/p7vgGzwzD2</t>
  </si>
  <si>
    <t>#Vaga #Vendedor #Shopping
Envie seu currículo:
💻 https://t.co/OQnsJJzpFS
📧 curriculos.recrutadora@gmail.com
📍 Rua 14, 1462 - entre Avs 6 e 8 - Santa Cruz - Rio Claro/SP
#compartilhe #marque #recrutadora #curriculo #vaga #emprego #rioclaro https://t.co/F4e3jAcLB1</t>
  </si>
  <si>
    <t>#Vaga #Vendedor #Interno
Envie seu currículo:
💻 https://t.co/OQnsJJzpFS
📧 curriculos.recrutadora@gmail.com
📍 Rua 14, 1462 - entre Avs 6 e 8 - Santa Cruz - Rio Claro/SP
#compartilhe #marque #recrutadora #curriculo #vaga #emprego #rioclaro https://t.co/9JbhFfBUuQ</t>
  </si>
  <si>
    <t>#Vaga #Vendedor #Externo
Envie seu currículo:
💻 https://t.co/OQnsJJzpFS
📧 curriculos.recrutadora@gmail.com
📍 Rua 14, 1462 - entre Avs 6 e 8 - Santa Cruz - Rio Claro/SP
#compartilhe #marque #recrutadora #curriculo #vaga #emprego #rioclaro https://t.co/gHvnhg21YO</t>
  </si>
  <si>
    <t>#Vaga #Vendedor #Interno
Envie seu currículo:
💻 https://t.co/OQnsJJzpFS
📧 curriculos.recrutadora@gmail.com
📍 Rua 14, 1462 - entre Avs 6 e 8 - Santa Cruz - Rio Claro/SP
#compartilhe #marque #recrutadora #curriculo #vaga #emprego #rioclaro https://t.co/5JluHJNC2Y</t>
  </si>
  <si>
    <t>#Vaga #Vendedor #Loja
Envie seu currículo:
💻 https://t.co/OQnsJJzpFS
📧 curriculos.recrutadora@gmail.com
📍 Rua 14, 1462 - entre Avs 6 e 8 - Santa Cruz - Rio Claro/SP
#compartilhe #marque #recrutadora #curriculo #vaga #emprego #rioclaro https://t.co/RQhK6jGWMn</t>
  </si>
  <si>
    <t>#Vaga #Vendedor #Interno
Envie seu currículo:
💻 https://t.co/OQnsJJzpFS
📧 curriculos.recrutadora@gmail.com
📍 Rua 14, 1462 - entre Avs 6 e 8 - Santa Cruz - Rio Claro/SP
#compartilhe #marque #recrutadora #curriculo #vaga #emprego #rioclaro https://t.co/mIcuj8A6Qg</t>
  </si>
  <si>
    <t>#Vaga #Vendedor #Loja
Envie seu currículo:
💻 https://t.co/OQnsJJzpFS
📧 curriculos.recrutadora@gmail.com
📍 Rua 14, 1462 - entre Avs 6 e 8 - Santa Cruz - Rio Claro/SP
#compartilhe #marque #recrutadora #curriculo #vaga #emprego #rioclaro https://t.co/kIQDcBwPi7</t>
  </si>
  <si>
    <t>#Vaga #Vendedor #Interno #Shopping
Envie seu currículo:
💻 https://t.co/OQnsJJzpFS
📧 curriculos.recrutadora@gmail.com
📍 Rua 14, 1462 - entre Avs 6 e 8 - Santa Cruz - Rio Claro/SP
#compartilhe #marque #recrutadora #curriculo #vaga #emprego #rioclaro https://t.co/KLwhs2oB4a</t>
  </si>
  <si>
    <t>#Vaga #Vendedor #Interno #Shopping
Envie seu currículo:
💻 https://t.co/OQnsJJzpFS
📧 curriculos.recrutadora@gmail.com
📍 Rua 14, 1462 - entre Avs 6 e 8 - Santa Cruz - Rio Claro/SP
#compartilhe #marque #recrutadora #curriculo #vaga #emprego #rioclaro https://t.co/aAO0aviCTX</t>
  </si>
  <si>
    <t>#Vaga #Vendedor #Balconista
Envie seu currículo:
💻 https://t.co/OQnsJJzpFS
📧 curriculos.recrutadora@gmail.com
📍 Rua 14, 1462 - entre Avs 6 e 8 - Santa Cruz - Rio Claro/SP
#compartilhe #marque #recrutadora #curriculo #vaga #emprego #rioclaro https://t.co/uW4wFwCWaY</t>
  </si>
  <si>
    <t>#Vaga #Vendedor #Balconista
Envie seu currículo:
💻 https://t.co/OQnsJJzpFS
📧 curriculos.recrutadora@gmail.com
📍 Rua 14, 1462 - entre Avs 6 e 8 - Santa Cruz - Rio Claro/SP
#compartilhe #marque #recrutadora #curriculo #vaga #emprego #rioclaro https://t.co/dGYxYJXdTC</t>
  </si>
  <si>
    <t>#Vaga #Vendedor #Balconista
Envie seu currículo:
💻 https://t.co/OQnsJJzpFS
📧 curriculos.recrutadora@gmail.com
📍 Rua 14, 1462 - entre Avs 6 e 8 - Santa Cruz - Rio Claro/SP
#compartilhe #marque #recrutadora #curriculo #vaga #emprego #rioclaro https://t.co/RKxbACG9Ui</t>
  </si>
  <si>
    <t>#Vaga #Vendedor #Balconista
Envie seu currículo:
💻 https://t.co/OQnsJJzpFS
📧 curriculos.recrutadora@gmail.com
📍 Rua 14, 1462 - entre Avs 6 e 8 - Santa Cruz - Rio Claro/SP
#compartilhe #marque #recrutadora #curriculo #vaga #emprego #rioclaro https://t.co/MNFpRfhfAF</t>
  </si>
  <si>
    <t>#Vaga #Vendedor
Envie seu currículo:
💻 https://t.co/OQnsJJzpFS
📧 curriculos.recrutadora@gmail.com
📍 Rua 14, 1462 - entre Avs 6 e 8 - Santa Cruz - Rio Claro/SP
#compartilhe #marque #recrutadora #curriculo #vaga #emprego #rioclaro https://t.co/ZQBmVy3QiV</t>
  </si>
  <si>
    <t>#Vaga #Vendedor #B2B #Prospeccoes
Envie seu currículo:
💻 https://t.co/OQnsJJzpFS
📧 curriculos.recrutadora@gmail.com
📍 Rua 14, 1462 - entre Avs 6 e 8 - Santa Cruz - Rio Claro/SP
#compartilhe #marque #recrutadora #curriculo #vaga #emprego #rioclaro https://t.co/HDjuNrPbjv</t>
  </si>
  <si>
    <t>🛍 ¿Cómo encontrar a los mejores vendedores en la industria logística de México?
Descubre las características que se deben buscar en un Ejecutivo Comercial para asegurar sus resultados 👉
https://t.co/baYmpghW2r
#thelogisticsworld #talentohumano #vendedor #ejecutivocomercial https://t.co/a91QFo5EJ3</t>
  </si>
  <si>
    <t>¿Cuáles son los beneficios de la debida diligencia? /vía @CyberSecurityES 
 #debidadiligencia #tipos #Leyes #Comprador #Vendedor #osint https://t.co/dUN3fBjC69</t>
  </si>
  <si>
    <t>¿Aceptarse o resignarse?🤨
#Sales #RealEstate #MartaMarci #Ventas #Vendedor #WomenEmpowerment #WomenInBusiness https://t.co/ApoFEo19zx</t>
  </si>
  <si>
    <t>🔴⚪️ #POSADAS (Misiones) - #VENDEDOR DE #SALÓN para Prestigiosa Empresa de Servicios Multinacional
👉 Enviar CV con foto a: 📧 rrhhcomercialmg@gmail.com Asunto: ▪Vendedor de Salón Posadas▪
#TNEA #Misiones #empleoar #trabajoar https://t.co/DIfVQzKpkk</t>
  </si>
  <si>
    <t>🟠⚪️ #RESISTENCIA (Chaco) - #CAJERO/A y #VENDEDOR para Empresa rubro repuestos y equipamiento para refrigeración
👉 Para postularte enviá CV a:
CAJERO/A:
- 📧 abconsulting.ok@gmail.com Asunto: Cajero/a
VENDEDOR:
- 📧 abconsulting.ok@gmail.com Asunto: Vendedor
#TNEA #Chaco https://t.co/A7nFRb3fCi</t>
  </si>
  <si>
    <t>⚫🔴 #CORRIENTESCAPITAL - #VENDEDOR DE #SALÓN y #CONTROL DE #STOCK
👉 Enviar CV a: 📧 rrhhcomercialmg@gmail.com Asunto: ▪Vendedor de salón Corrientes▪
#TNEA #Corrientes #empleoar #trabajoar https://t.co/EtXVe9Ep6A</t>
  </si>
  <si>
    <t>🔵🟡 #JUANJOSÉCASTELLI (Chaco) - #VENDEDOR DE #SALÓN para Importante Cadena Minorista
👉 remitir CV a: 📧 consultorarrhhlitoral@gmail.com Asunto: ▪VENDEDOR SALÓN CASTELLI▪
#TNEA #Chaco #jjcastelli #empleoar #trabajoar https://t.co/YOZRzX6Clw</t>
  </si>
  <si>
    <t>⚫🔴 #CORRIENTESCAPITAL - #VENDEDOR DE #SALÓN y #CONTROL DE #STOCK
👉 Enviar CV a: 📧 rrhhcomercialmg@gmail.com Asunto: ▪Vendedor de salón Corrientes▪
#TNEA #Corrientes #empleoar #trabajoar https://t.co/U386fnWLGZ</t>
  </si>
  <si>
    <t>🔵⚪️ #CORRIENTESCAPITAL - #VENDEDOR/A #TELEFÓNICO/A para CALL CENTER
👉 Enviar CV con foto actualizada a: 📧 rrhhcentralmg@gmail.com  indicando en el Asunto: CALL CENTER CORRIENTES
#TNEA #Corrientes #empleoar #trabajoar https://t.co/DsfHuNvFaO</t>
  </si>
  <si>
    <t>📷📷 #MOCORETÁ (Corrientes) - #VENDEDOR DE #DISTRIBUCIÓN para Importante empresa regional
📷 Enviar CV a: 📷 rrhhdistribucionmg@gmail.com Ref. 📷VENDEDOR DISTRIBUCIÓN MOCORETÁ📷
#TNEA #Corrientes #empleoar #trabajoar https://t.co/2gUXCIXh3z</t>
  </si>
  <si>
    <t>🔵🟠 SENSEI busca #VENDEDOR DE #SUCURSAL para #MONTECASEROS (Corrientes)
👉 Envianos tu CV con foto actualizada a: 📧 rrhh@sensei.com.ar indicando en el Asunto: ▪Vendedor MC▪ o por WhatsApp al número: 📲 3772 46-2660 &amp;gt; https://t.co/CBlbCHnBsW
#TNEA #Corrientes #empleoar https://t.co/O9MVxWeLHj</t>
  </si>
  <si>
    <t>⚫🔵 Norte Bebé S.R.L. busca #VENDEDOR para el #interior de #CHACO
👉 Enviar CV a: 📧 hola@nortebebe.com.ar indicando en el Asunto: ▪VENDEDOR CHACO▪
#TNEA #Chaco #empleoar #trabajoar https://t.co/i60AuK2wee</t>
  </si>
  <si>
    <t>🟢🟡 #RESISTENCIA - SMP Descartables busca #VENDEDOR/A 
👉 Interesados/as completar el siguiente formulario: 📝 https://t.co/TtuhoII6a0
#TNEA #Chaco #empleoar #trabajoar https://t.co/mAUDUK7tsr</t>
  </si>
  <si>
    <t>🟤⚪️ #RESISTENCIA - #VENDEDOR para #GRANDES #CUENTAS p/fabricante de materiales p/la construcción
👉 Indicar pretensión económica y enviar CV con referencias a: 📧  busquedasrrhhnea@gmail.com Asunto del mail: ▪️Vendedor grandes cuentas▪️
#TNEA #Chaco #empleoar #trabajoar https://t.co/sQAKN78AQ4</t>
  </si>
  <si>
    <t>🔴⚪ #RESISTENCIA - #VENDEDOR DE #FARMACIA para EL INDIO Farmacia y Perfumería
👉 Enviar CV a: 📧 eifarmacia.recepciondecv@gmail.com indicando en el asunto: ▪VENDEDOR FARMACIA RESISTENCIA▪
#TNEA #Chaco #empleoar #trabajoar https://t.co/tMmLnmDfzh</t>
  </si>
  <si>
    <t>🔵⚪️ #RESISTENCIA - EFE Uniformes busca #VENDEDOR para #LOCAL #COMERCIAL    
👉 Enviar currículum con foto a: 📧 efe.textilsrl@gmail.com indicando en el Asunto: VENDEDOR LOCAL COMERCIAL
#TNEA #Chaco #empleoar #trabajoar https://t.co/kSBGX6axom</t>
  </si>
  <si>
    <t>⚫⚪ #CORRIENTESCAPITAL - #VENDEDOR/A DE #SALÓN con experiencia para Importante Empresa de la región
👉 Enviar CV a: 📧 rrhhcomercialmg@gmail.com Asunto: VENDEDOR/A DE SALÓN CORRIENTES
#TNEA #Corrientes #empleoar #trabajoar https://t.co/NnPpF7VQ1U</t>
  </si>
  <si>
    <t>🟣⚪️ #PASODELOSLIBRES - #VENDEDOR DE #DISTRIBUCIÓN para Importante empresa de servicios
👉 Enviar CV a: 📧 rrhhdistribucionmg@gmail.com Ref. "VENDEDOR DE DISTRIBUCIÓN LIBRES"
#TNEA #Corrientes #empleoar #trabajoar https://t.co/ZTeLgGyoWg</t>
  </si>
  <si>
    <t>🔴⚫ #POSADAS - Distribuidora de bebidas busca #VENDEDOR/ #VIAJANTE 
👉 Si cumplís con los requisitos y estás preparado para el desafío, por favor envianos tu CV a: 📧 m_bracamonte@hotmail.com Asunto: VENDEDOR/VIAJANTE POSADAS
#TNEA #Misiones #empleoar #trabajoar https://t.co/ELjtnV7AeW</t>
  </si>
  <si>
    <t>[#Corrientes] Che Camba busca #VENDEDOR
1️⃣ Registrate en: https://t.co/PwT58PdWqU
2️⃣ Ingresá aquí: https://t.co/TnmRqWpll2
3️⃣ Seguí las indicaciones para postularte
#TNEA #empleoar #trabajoar #Ventas https://t.co/6k56tsWeux</t>
  </si>
  <si>
    <t>⚪⚫ #RESISTENCIA (Chaco) - MUSA Diseño Inspirado busca #VENDEDOR DE #SALÓN
👉 Enviar currículum a: 📧 musa.mueblesydeco@gmail.com indicando en el Asunto: ▪️VENDEDOR DE SALÓN▪️
#TNEA #Chaco #empleoar #trabajoar https://t.co/kGFvfy4Yaf</t>
  </si>
  <si>
    <t>🟢🔵 #RESISTENCIA (Chaco) - #VENDEDOR/A DE #SALÓN para Importante Industria de la región
👉 Envianos tu CV a: 📧 curriculumvitae4@hotmail.com Asunto: ▪VENDEDOR/A SALÓN▪
#TNEA #Chaco #empleoar #trabajoar https://t.co/4OcoYkNaIW</t>
  </si>
  <si>
    <t>🧱 #RESISTENCIA (Chaco) - #VENDEDOR con #experiencia para Empresa #rubro #construcción
👉 Enviar CV con remuneración pretendida a: 📧 mawindigital@gmail.com Asunto: ▪VENDEDOR▪ o por Whatsapp al: 📲 362 4886093 &amp;gt; https://t.co/Rc5HWbJElT
#TNEA #Chaco #empleoar #trabajoar https://t.co/EwUpP1wcHL</t>
  </si>
  <si>
    <t>⚫⚪ #RESISTENCIA (Chaco) - METZ Concesionario Oficial Peugeot incorpora #VENDEDOR/A
👉 Interesados/as enviar CV a: 📧 alejandro.zacaria@peugeot-metz.com.ar
#TNEA #Chaco #empleoar #trabajoar https://t.co/Z0Fq1oWho9</t>
  </si>
  <si>
    <t>🔵⚪️ #SANVICENTE (Misiones) - #VENDEDOR/A para Importante Empresa de distribución de productos de consumo masivo
👉 Enviar CV a: 📧 rrhh@dln-logistica.com.ar Asunto: ▪VENDEDOR/A SAN VICENTE▪
#TNEA #Misiones #empleoar #trabajoar https://t.co/Uo9pzBa63E</t>
  </si>
  <si>
    <t>🔵⚫ #RESISTENCIA (Chaco) - #VENDEDOR con #experiencia para Empresa #rubro #Construcción
👉 Enviar CV con remuneración pretendida a: 📧 mawindigital@gmail.com indicando en el Asunto: ▪️VENDEDOR rubro Construcción▪️
#TNEA #Chaco #empleoar #trabajoar https://t.co/JSxyrW2yxT</t>
  </si>
  <si>
    <t>🔴⚪️ #POSADAS (Misiones) - #VENDEDOR DE #SALÓN para Prestigiosa Empresa de Servicios Multinacional
👉 Enviar CV con foto a: 📧 rrhhcomercialmg@gmail.com Asunto: ▪Vendedor de Salón Posadas▪
#TNEA #Misiones #empleoar #trabajoar https://t.co/u9fxHIExtG</t>
  </si>
  <si>
    <t>🔴⚪️ #POSADAS (Misiones) - #VENDEDOR DE #SALÓN para Prestigiosa Empresa de Servicios Multinacional
👉 Enviar CV con foto a: 📧 rrhhcomercialmg@gmail.com Asunto: ▪Vendedor de Salón Posadas▪
#TNEA #Misiones #empleoar #trabajoar https://t.co/bl6i6TFYjd</t>
  </si>
  <si>
    <t>🟠⚪️ #RESISTENCIA (Chaco) - #VENDEDOR #GRANDES #CUENTAS para Importante Empresa fabricante de materiales para la construcción
👉 Indicar pretensión económica y enviar CV con referencias a: 📧 busquedasrrhhnea@gmail.com Asunto: ▪Vendedor▪
#TNEA #Chaco #empleoar #trabajoar https://t.co/4GYsRtPpYj</t>
  </si>
  <si>
    <t>🟠⚪ #RESISTENCIA (Chaco) - #VENDEDOR DE #MOSTRADOR para Empresa rubro repuestos y equipamiento para refrigeración
👉 Enviar CV a: 📧 abconsulting.ok@gmail.com Asunto: ▪Vendedor mostrador▪
#TNEA #Chaco #empleoar #trabajoar https://t.co/uKrbwxB72q</t>
  </si>
  <si>
    <t>📷📷 #MOCORETÁ (Corrientes) - #VENDEDOR DE #DISTRIBUCIÓN para Importante empresa regional
📷 Enviar CV a: 📷 rrhhdistribucionmg@gmail.com Ref. 📷VENDEDOR DISTRIBUCIÓN MOCORETÁ📷
#TNEA #Corrientes #empleoar #trabajoar https://t.co/SML7RdX6vU</t>
  </si>
  <si>
    <t>📷📷 NORDEMAQ busca #VENDEDOR DE #MAQUINARIA #AGRÍCOLA zona #Chaco / #Corrientes
📷 Enviar CV a: 📷 rrhh@nordemaq.com con la referencia 📷Vendedor de maquinarias📷
#TNEA #Chaco #Corrientes #empleoar #trabajoar https://t.co/uD25JvmkV9</t>
  </si>
  <si>
    <t>📷📷 #GOYA (Corrientes) - ELECTRO MISIONES S.A. selecciona #VENDEDOR DE #SALÓN
📷 Enviar CV a: 📷 busqueda@electromisiones.com.ar indicando en el Asunto: 📷GOYA📷
#TNEA #Corrientes #empleoar #trabajoar https://t.co/axCbqc4Q8n</t>
  </si>
  <si>
    <t>📷📷 #SÁENZPEÑA (Chaco) - ELECTRO MISIONES S.A. selecciona #VENDEDOR DE #SALÓN
📷 Enviar CV a: 📷 busqueda@electromisiones.com.ar indicando en el Asunto: 📷SÁENZ PEÑA📷
#TNEA #Chaco #empleoar #trabajoar https://t.co/tgA7zLSThc</t>
  </si>
  <si>
    <t>[#Resistencia, #Chaco] - Se busca #VENDEDOR para empresa óptica
1️⃣ Registrate en: https://t.co/PwT58PdWqU
2️⃣ Ingresá aquí: https://t.co/6ZizsarIKH
3️⃣ Seguí las indicaciones para postularte
#TNEA #empleoar #trabajoar https://t.co/cX0QzgNf65</t>
  </si>
  <si>
    <t>[#CORRIENTES] - Buscamos #VENDEDOR
1️⃣ Registrate en: https://t.co/PwT58PdWqU
2️⃣ Ingresá aquí: https://t.co/87mWunIL81
3️⃣ Seguí las indicaciones para postularte
#TNEA #empleoar #trabajoar #Ventas https://t.co/sE0dVsXu4b</t>
  </si>
  <si>
    <t>🟡🟢 #CORRIENTESCAPITAL - Maia Arzuaga busca #VENDEDOR - #REPARTIDOR para Empresa rubro Panificados 
👉 POSTULATE en: 📝 https://t.co/fYSikWRlOl 
#TNEA #Corrientes #empleoar #trabajoar https://t.co/ia2QoztaBI</t>
  </si>
  <si>
    <t>🔴⚫️ #POSADAS - Las Camelias seleccionará #VENDEDOR/ #CHOFER 
👉 Enviar CV a: 📧 lc.recepciondecv@gmail.com indicando en el Asunto: ▪VENDEDOR/CHOFER POSADAS▪
#TNEA #Misiones #empleoar #trabajoar https://t.co/y2awCKW1Rm</t>
  </si>
  <si>
    <t>⚫⚪ #CORRIENTESCAPITAL - Empresa Regional incorpora #VENDEDOR #CON #MOTO
👉 Enviar CV a: 📧 rrhhdistribucionmg@gmail.com indicando en el Asunto: ▪VENDEDOR CON MOTO CORRIENTES▪
#TNEA #Corrientes #empleoar #trabajoar https://t.co/tsjADyZ1oA</t>
  </si>
  <si>
    <t>🟡🟢 #CORRIENTESCAPITAL - Maia Arzuaga busca #VENDEDOR - #REPARTIDOR para Empresa rubro Panificados
👉 POSTULATE en: 📝 https://t.co/fYSikWRlOl
#TNEA #Corrientes #empleoar #trabajoar https://t.co/8T2SJedEUL</t>
  </si>
  <si>
    <t>🔵🟠 SENSEI busca #VENDEDOR MASCULINO para #VILLAGUAY (#EntreRíos)  
👉 CV c/foto actualizada a: 📧 rrhh@sensei.com.ar Asunto: Vendedor VI o WhatsApp:
📲 3794-711038 &amp;gt; https://t.co/hQBqK3VZX7 
📲 3772 46-2660 &amp;gt; https://t.co/VlubGhTniz 
#TNEA #EntreRíos #empleoar #trabajoar https://t.co/eXgowJmFUC</t>
  </si>
  <si>
    <t>🟢⚫️ #CORRIENTESCAPITAL - #VENDEDOR #TELEFÓNICO para Empresa regional
👉 Postulate enviando tu CV con foto actual a: 📧 rrhhcentralmg@gmail.com
#TNEA #Corrientes #empleoar #trabajoar https://t.co/Ld1iXscOhO</t>
  </si>
  <si>
    <t>🔵🟢 #CORRIENTESCAPITAL - BRÍO Consultoría selecciona #VENDEDOR/A para Importante Droguería
👉 Enviar CV a: 📧 cv@brioconsultoria.com.ar hasta 20-03-2023 indicando Asunto: ▪Vendedor▪
#TNEA #Corrientes #empleoar #trabajoar https://t.co/Uih1mOcqfT</t>
  </si>
  <si>
    <t>🧱 #RESISTENCIA (Chaco) - #VENDEDOR con #experiencia para Empresa #rubro #construcción
👉 Enviar CV con remuneración pretendida a: 📧 mawindigital@gmail.com Asunto: ▪VENDEDOR▪ o por Whatsapp al: 📲 362 4886093 &amp;gt; https://t.co/Rc5HWbJElT
#TNEA #Chaco #empleoar #trabajoar https://t.co/kgTLWaguNC</t>
  </si>
  <si>
    <t>🟢🔵 #RESISTENCIA (Chaco) - #VENDEDOR/A DE #SALÓN para Importante Industria de la región
👉 Envianos tu CV a: 📧 curriculumvitae4@hotmail.com Asunto: ▪VENDEDOR/A SALÓN▪
#TNEA #Chaco #empleoar #trabajoar https://t.co/l4B3av0AFr</t>
  </si>
  <si>
    <t>⚠️Atención! #GOYA, #MERCEDES y alrededores.
🔵🟠 #VENDEDOR/A zona #interior de #Corrientes para Empresa #rubro #alimenticio
👉 Enviar CV a: 📧 abconsulting.ok@gmail.com Asunto: ▪Venta Corrientes▪
#TNEA #Corrientes #empleoar #trabajoar https://t.co/6HaEO8Fwps</t>
  </si>
  <si>
    <t>🟠⚪️ #CORRIENTESCAPITAL - #VENDEDOR para Empresa rubro refrigeración
👉 Enviar CV a: 📧 abconsulting.ok@gmail.com Asunto: ▪VENDEDOR CORRIENTES▪
#TNEA #Corrientes #empleoar #trabajoar https://t.co/EIhZRpQaI0</t>
  </si>
  <si>
    <t>🟢🟠 #SÁENZPEÑA (Chaco) - ELECTRO MISIONES S.A. selecciona #VENDEDOR DE #SALÓN
👉 Enviar CV a: 📧 busqueda@electromisiones.com.ar indicando en el Asunto: ▪️SÁENZ PEÑA▪️
#TNEA #Chaco #empleoar #trabajoar https://t.co/XKM3uX60dH</t>
  </si>
  <si>
    <t>🟢🟠 #GOYA (Corrientes) - ELECTRO MISIONES S.A. selecciona #VENDEDOR DE #SALÓN
👉 Enviar CV a: 📧 busqueda@electromisiones.com.ar indicando en el Asunto: ▪️GOYA▪️
#TNEA #Corrientes #empleoar #trabajoar https://t.co/Bgqiff0VpJ</t>
  </si>
  <si>
    <t>📷📷 #SÁENZPEÑA (Chaco) - ELECTRO MISIONES S.A. selecciona #VENDEDOR DE #SALÓN
📷 Enviar CV a: 📷 busqueda@electromisiones.com.ar indicando en el Asunto: 📷SÁENZ PEÑA📷
#TNEA #Chaco #empleoar #trabajoar https://t.co/WlKKsUKDyh</t>
  </si>
  <si>
    <t>🟢🟠 #SÁENZPEÑA (Chaco) - ELECTRO MISIONES S.A. selecciona #VENDEDOR DE #SALÓN
👉 Enviar CV a: 📧 busqueda@electromisiones.com.ar Asunto: ▪️SÁENZ PEÑA▪️
#TNEA #Chaco #empleoar #trabajoar https://t.co/5hGmm1hJJy</t>
  </si>
  <si>
    <t>¿Tenés conocimientos en #electricidad #industrial, #informática, #señales de #datos y fuerte perfil #comercial?
🟢🟠 #GOYA - ELECTRO MISIONES SA busca #VENDEDOR DE #SALÓN
👉 Enviar CV a: 📧 busqueda@electromisiones.com.ar Asunto: GOYA
#TNEA #Corrientes #empleoar #trabajoar https://t.co/pPLQIdakmy</t>
  </si>
  <si>
    <t>📷📷 #RESISTENCIA - #VENDEDOR para #GRANDES #CUENTAS para Importante empresa fabricante de materiales para la construcción
📷 Indicar pret. económica y enviar CV con referencias a: 📷 busquedasrrhhnea@gmail.com Asunto: 📷Vendedor grandes cuentas📷
#TNEA #Chaco #empleoar https://t.co/ccqqvOKiQC</t>
  </si>
  <si>
    <t>📷📷 #RESISTENCIA - SMP Descartables busca #VENDEDOR/A
📷 Interesados/as completar el siguiente formulario: 📷 https://t.co/TtuhoIHyks
#TNEA #Chaco #empleoar #trabajoar https://t.co/btcyU9WUjh</t>
  </si>
  <si>
    <t>📷📷 Norte Bebé S.R.L. busca #VENDEDOR para el #interior de #CHACO
📷 Enviar CV a: 📷 hola@nortebebe.com.ar indicando en el Asunto: 📷VENDEDOR CHACO📷
#TNEA #Chaco #empleoar #trabajoar https://t.co/XSH9pZpGjc</t>
  </si>
  <si>
    <t>📷📷 SENSEI busca #VENDEDOR DE #SUCURSAL para #MONTECASEROS (Corrientes)
📷 Envianos tu CV con foto actualizada a: 📷 rrhh@sensei.com.ar  Asunto: 📷Vendedor MC📷 o por WhatsApp al número: 📷 3772 46-2660 &amp;gt; https://t.co/CBlbCHnBsW
#TNEA #Corrientes #empleoar #trabajoar https://t.co/qcoKrBl4Bu</t>
  </si>
  <si>
    <t>📷📷 #CORRIENTESCAPITAL - Empresa Regional incorpora #VENDEDOR #CON #MOTO
📷 Enviar CV a: 📷 rrhhdistribucionmg@gmail.com indicando en el Asunto: 📷VENDEDOR CON MOTO CORRIENTES📷
#TNEA #Corrientes #empleoar #trabajoar https://t.co/bK6ylMXt60</t>
  </si>
  <si>
    <t>🔴⚫ #POSADAS - Distribuidora de bebidas busca #VENDEDOR/ #VIAJANTE 
👉Si cumplís con los requisitos y estás preparado para el desafío, por favor envianos tu CV a: 📧 m_bracamonte@hotmail.com indicando en el Asunto: VENDEDOR/VIAJANTE POSADAS
#TNEA #Misiones #empleoar #trabajoar https://t.co/bpU1YTJNAj</t>
  </si>
  <si>
    <t>🟣⚪️ #PASODELOSLIBRES - #VENDEDOR DE #DISTRIBUCIÓN para Importante empresa de servicios
👉 Enviar CV a: 📧 rrhhdistribucionmg@gmail.com Ref. "VENDEDOR DE DISTRIBUCIÓN LIBRES"
#TNEA #Corrientes #empleoar #trabajoar https://t.co/CuGwkA5Emt</t>
  </si>
  <si>
    <t>⚫⚪ #CORRIENTESCAPITAL - #VENDEDOR/A DE #SALÓN con experiencia para Importante Empresa de la región
👉 Enviar CV a: 📧 rrhhcomercialmg@gmail.com Asunto: VENDEDOR/A DE SALÓN CORRIENTES
#TNEA #Corrientes #empleoar #trabajoar https://t.co/mkHwXQzdWr</t>
  </si>
  <si>
    <t>[#Corrientes] Se incorpora #VENDEDOR 
1️⃣ Registrate en: https://t.co/PwT58Peugs
2️⃣ Ingresá aquí: https://t.co/KBlwu8ffbY
3️⃣ Seguí las indicaciones para postularte
#TNEA #empleoar #trabajoar #Ventas #Salud https://t.co/NOX9Xvq1OI</t>
  </si>
  <si>
    <t>[#CorrientesCapital] Se busca #VENDEDOR o #COORDINADOR 
1️⃣ Registrate en: https://t.co/PwT58PdWqU
2️⃣ Ingresá aquí: https://t.co/Z7BOpxnQPx
3️⃣ Seguí las indicaciones para postularte
#TNEA #empleoar #trabajoar #Ventas #Coordinación #GerenteComercial #Telemarketing https://t.co/cvJa0vIc3V</t>
  </si>
  <si>
    <t>🔴🔵 #CORRIENTESCAPITAL - Importante Empresa de la región busca #VENDEDOR/A DE #SALÓN y #CONTROL DE #STOCK con experiencia
👉 Enviar CV a: 📧 rrhhcomercialmg@gmail.com Asunto: ▪VENDEDOR/A DE SALÓN CORRIENTES▪
#TNEA #Corrientes #empleoar #trabajoar https://t.co/EO6IazrwIm</t>
  </si>
  <si>
    <t>⚠️Atención! #GOYA, #MERCEDES y alrededores.
🔵🟠 #VENDEDOR/A zona #interior de #Corrientes para Empresa #rubro #alimenticio
👉 Enviar CV a: 📧 abconsulting.ok@gmail.com Asunto: ▪Venta Corrientes▪
#TNEA #Corrientes #empleoar #trabajoar https://t.co/9MCpG8Lr7H</t>
  </si>
  <si>
    <t>🟠⚪ #RESISTENCIA (Chaco) - #VENDEDOR DE #MOSTRADOR para Empresa rubro repuestos y equipamiento para refrigeración
👉 Enviar CV a: 📧 abconsulting.ok@gmail.com Asunto: ▪Vendedor mostrador▪
#TNEA #Chaco #empleoar #trabajoar https://t.co/wdc5ZsZXUt</t>
  </si>
  <si>
    <t>🟠⚪️ #CORRIENTESCAPITAL - #VENDEDOR para Empresa rubro refrigeración
👉 Enviar CV a: 📧 abconsulting.ok@gmail.com Asunto: ▪VENDEDOR CORRIENTES▪
#TNEA #Corrientes #empleoar #trabajoar https://t.co/f3xtGWTtrq</t>
  </si>
  <si>
    <t>🟢⚫️ Empresa Nacional rubro Salud busca al Mejor #REPRESENTANTE/ #VENDEDOR #HOSPITALARIO del #NEA
👉Enviar CV al mail: 📧 ventasconsultora2023@gmail.com con Asunto: ▪VENDEDOR NEA▪
#TNEA #Corrientes #Chaco #Formosa #Misiones #empleoar #trabajoar https://t.co/9xNssOFKl8</t>
  </si>
  <si>
    <t>🟢🔵 #RESISTENCIA (Chaco) - Personal #ADMINISTRATIVO - #VENDEDOR
👉 Enviar curriculum con foto a: 📧 selecadmventa@gmail.com
#TNEA #Chaco #empleoar #trabajoar https://t.co/upMcZMBITI</t>
  </si>
  <si>
    <t>⚪⚫ #RESISTENCIA (Chaco) - MUSA Diseño Inspirado busca #VENDEDOR DE #SALÓN
👉 Enviar currículum a: 📧 musa.mueblesydeco@gmail.com indicando en el Asunto: ▪️VENDEDOR DE SALÓN▪️
#TNEA #Chaco #empleoar #trabajoar https://t.co/0fgn4P04Ld</t>
  </si>
  <si>
    <t>🟢🔵 #RESISTENCIA (Chaco) - Personal #ADMINISTRATIVO - #VENDEDOR
👉 Enviar curriculum con foto a: 📧 selecadmventa@gmail.com
#TNEA #Chaco #empleoar #trabajoar https://t.co/uyzIRMMshD</t>
  </si>
  <si>
    <t>🔵⚫ #RESISTENCIA (Chaco) - #VENDEDOR con #experiencia para Empresa #rubro #Construcción
👉 Enviar CV con remuneración pretendida a: 📧 mawindigital@gmail.com indicando en el Asunto: ▪️VENDEDOR rubro Construcción▪️
#TNEA #Chaco #empleoar #trabajoar https://t.co/z9KJiw5ZJb</t>
  </si>
  <si>
    <t>🔵🟡 #JUANJOSÉCASTELLI (Chaco) - #VENDEDOR DE #SALÓN para Importante Cadena Minorista
👉 Quienes deseen postularse como candidatos al puesto deberán remitir CV a: 📧 consultorarrhhlitoral@gmail.com Asunto:▪VENDEDOR SALÓN CASTELLI▪
#TNEA #Chaco #jjcastelli #empleoar #trabajoar https://t.co/58j79UoyhN</t>
  </si>
  <si>
    <t>🟠⚪ #RESISTENCIA (Chaco) - #VENDEDOR DE #MOSTRADOR para Empresa rubro repuestos y equipamiento para refrigeración
👉 Enviar CV a: 📧 abconsulting.ok@gmail.com Asunto: ▪Vendedor mostrador▪
#TNEA #Chaco #empleoar #trabajoar https://t.co/nvm9waaR0o</t>
  </si>
  <si>
    <t>🟠⚪️ #RESISTENCIA (Chaco) - #VENDEDOR #GRANDES #CUENTAS para Importante Empresa fabricante de materiales para la construcción
👉 Indicar pretensión económica y enviar CV con referencias a: 📧 busquedasrrhhnea@gmail.com Asunto del mail: Vendedor
#TNEA #Chaco #empleoar #trabajoar https://t.co/jlTNzFf7ku</t>
  </si>
  <si>
    <t>🟠⚪ #RESISTENCIA (Chaco) - #VENDEDOR DE #MOSTRADOR para Empresa rubro repuestos y equipamiento para refrigeración
👉 Enviar CV a: 📧 abconsulting.ok@gmail.com Asunto: ▪Vendedor mostrador▪
#TNEA #Chaco #empleoar #trabajoar https://t.co/GvjZMvmxA2</t>
  </si>
  <si>
    <t>🟠⚪️ #RESISTENCIA (Chaco) - #VENDEDOR #GRANDES #CUENTAS para Importante Empresa fabricante de materiales para la construcción
👉 Indicar pretensión económica y enviar CV con referencias a: 📧 busquedasrrhhnea@gmail.com Asunto: ▪Vendedor▪
#TNEA #Chaco #empleoar #trabajoar https://t.co/qsFGGvLwsh</t>
  </si>
  <si>
    <t>🔴⚪️ #POSADAS (Misiones) - #VENDEDOR DE #SALÓN para Prestigiosa Empresa de Servicios Multinacional
👉 Enviar CV con foto a: 📧 rrhhcomercialmg@gmail.com Asunto: ▪Vendedor de Salón Posadas▪
#TNEA #Misiones #empleoar #trabajoar https://t.co/MJOWwq8Jfh</t>
  </si>
  <si>
    <t>🔵⚪️ #CORRIENTESCAPITAL - #VENDEDOR/A #TELEFÓNICO/A para CALL CENTER 
👉 Enviar CV con foto actualizada a: 📧 rrhhcentralmg@gmail.com  indicando en el Asunto: CALL CENTER CORRIENTES
#TNEA #Corrientes #empleoar #trabajoar https://t.co/OjxVYHtmQE</t>
  </si>
  <si>
    <t>📷📷 #POSADAS - Las Camelias seleccionará #VENDEDOR/ #CHOFER
📷 Enviar CV a: 📷 lc.recepciondecv@gmail.com indicando en el Asunto: 📷VENDEDOR/CHOFER POSADAS📷
#TNEA #Misiones #empleoar #trabajoar https://t.co/AnXzRo69MC</t>
  </si>
  <si>
    <t>📷📷 #CORRIENTESCAPITAL - Maia Arzuaga busca #VENDEDOR - #REPARTIDOR para Empresa rubro Panificados
📷 POSTULATE en: 📷 https://t.co/fYSikWRlOl
#TNEA #Corrientes #empleoar #trabajoar https://t.co/uy84XQJP11</t>
  </si>
  <si>
    <t>🔵🟠 SENSEI busca #VENDEDOR DE #SUCURSAL para #MONTECASEROS (Corrientes)  
👉 Envianos tu CV con foto actualizada a: 📧 rrhh@sensei.com.ar Asunto: ▪Vendedor MC▪ o por WhatsApp al número: 📲 3772 46-2660 &amp;gt; https://t.co/CBlbCHnBsW
#TNEA #Corrientes #empleoar #trabajoar https://t.co/yRePZqzyb4</t>
  </si>
  <si>
    <t>⚫🔵 Norte Bebé S.R.L. busca #VENDEDOR para el #interior de #CHACO   
👉 Enviar CV a: 📧 hola@nortebebe.com.ar indicando en el Asunto: ▪VENDEDOR CHACO▪
#TNEA #Chaco #empleoar #trabajoar https://t.co/OfF3S96CuD</t>
  </si>
  <si>
    <t>🟢🟡 #RESISTENCIA - SMP Descartables busca #VENDEDOR/A 
👉 Interesados/as completar el siguiente formulario: 📝 https://t.co/TtuhoIHyks
#TNEA #Chaco #empleoar #trabajoar https://t.co/VnYgVJupa8</t>
  </si>
  <si>
    <t>🟤⚪️ #RESISTENCIA - #VENDEDOR para #GRANDES #CUENTAS para Importante empresa fabricante de materiales para la construcción
👉Indicar pretensión económica y enviar CV a:📧  busquedasrrhhnea@gmail.com Asunto del mail: ▪️Vendedor grandes cuentas▪️
#TNEA #Chaco #empleoar #trabajoar https://t.co/WUOMe6KFAr</t>
  </si>
  <si>
    <t>🔵🟠 SENSEI busca #VENDEDOR MASCULINO para #VILLAGUAY (#EntreRíos)  
👉 Envianos tu CV a: 📧 rrhh@sensei.com.ar indicando en el Asunto: ▪Vendedor VI▪ o por WhatsApp a los números:
📲 3794-711038 &amp;gt; https://t.co/hQBqK3Vs7z o
📲 3772 46-2660 &amp;gt; https://t.co/VlubGhSPt1 
#TNEA https://t.co/D7RtwKK15m</t>
  </si>
  <si>
    <t>🔵🟢 #CORRIENTESCAPITAL - BRÍO Consultoría selecciona #VENDEDOR/A para Importante Droguería
👉 Enviar CV a: 📧 cv@brioconsultoria.com.ar hasta 20-03-2023 indicando Asunto: ▪Vendedor▪
#TNEA #Corrientes #empleoar #trabajoar https://t.co/DBZSX12WVm</t>
  </si>
  <si>
    <t>🟢⚫️ #CORRIENTESCAPITAL - #VENDEDOR #TELEFÓNICO para Empresa regional
👉 Postulate enviando tu CV con foto actual a: 📧 rrhhcentralmg@gmail.com
#TNEA #Corrientes #empleoar #trabajoar https://t.co/px8BThaS9i</t>
  </si>
  <si>
    <t>🔵🟠 #RESISTENCIA - #VENDEDOR/A y #CAJERO/A para Prestigiosa Empresa Comercial
👉 Es imprescindible enviar a casilla de correo: 📧 rrhh.integrante@gmail.com (indicando en el asunto ▪️VENDEDOR/A RCIA.▪️ o ▪️CAJERO/A RCIA.▪️):
#TNEA #Chaco #empleoar #trabajoar https://t.co/n9CYGthP0Y</t>
  </si>
  <si>
    <t>🔵⚪️ #RESISTENCIA - DRIUSSI Automóviles Concesionario multimarca incorpora #VENDEDOR/A DE #SALÓN
👉 Si cumplís con los requisitos enviar CV a: 📧 seleccion.ventasnea@gmail.com y en Asunto indicar: ▪Vendedor/a de Salón Resistencia▪
#TNEA #Chaco #empleoar #trabajoar https://t.co/CmqGqwyjjS</t>
  </si>
  <si>
    <t>⚫🔴 #POSADAS - #VENDEDOR DE #DISTRIBUCIÓN para Importante empresa de la región
👉 Enviar CV a: 📧 agenciarrhhps@gmail.com Ref. ▪VENDEDOR DE DISTRIBUCIÓN POSADAS▪
#TNEA #Misiones #empleoar #trabajoar https://t.co/wjFNCVbffE</t>
  </si>
  <si>
    <t>🟣⚪️ #PASODELOSLIBRES - #VENDEDOR DE #DISTRIBUCIÓN para Importante empresa de servicios
👉 Enviar CV a: 📧 rrhhdistribucionmg@gmail.com Ref. "VENDEDOR DE DISTRIBUCIÓN LIBRES"
#TNEA #Corrientes #empleoar #trabajoar https://t.co/jIoP4qvbSj</t>
  </si>
  <si>
    <t>🟣⚪️ #PASODELOSLIBRES - #VENDEDOR DE #DISTRIBUCIÓN para Importante empresa de servicios
👉 Enviar CV a: 📧 rrhhdistribucionmg@gmail.com Ref. "VENDEDOR DE DISTRIBUCIÓN LIBRES"
#TNEA #Corrientes #empleoar #trabajoar https://t.co/4F9XSFP8Z9</t>
  </si>
  <si>
    <t>⚫⚪ #CORRIENTESCAPITAL - #VENDEDOR/A DE #SALÓN con experiencia para Importante Empresa de la región
👉 Enviar CV a: 📧 rrhhcomercialmg@gmail.com Asunto: VENDEDOR/A DE SALÓN CORRIENTES
#TNEA #Corrientes #empleoar #trabajoar https://t.co/jxPEZQ04NI</t>
  </si>
  <si>
    <t>🔵⚪️ #RESISTENCIA - EFE Uniformes busca #VENDEDOR para #LOCAL #COMERCIAL    
👉 Enviar currículum con foto a: 📧 efe.textilsrl@gmail.com indicando en el Asunto: VENDEDOR LOCAL COMERCIAL
#TNEA #Chaco #empleoar #trabajoar https://t.co/TPonGcwr1U</t>
  </si>
  <si>
    <t>⚫️⚪️ #CORRIENTESCAPITAL - EMMAP Consultora busca #VENDEDOR #COMISIONISTA para productos publicitarios  
👉 Enviá tu CV a: 📧 seleccion@consultoradepymes.com indicando en el Asunto: Vendedor comisionista Corrientes
#TNEA #Corrientes #empleoar #trabajoar https://t.co/SDSuyT7VBp</t>
  </si>
  <si>
    <t>⚫🔴 #CURUZÚCUATIÁ - Importante Empresa de Telecomunicaciones busca #VENDEDOR/A DE #SALÓN con experiencia 
👉 Enviar CV a: 📧 rrhhcomercialmg@gmail.com Asunto: VENDEDOR/A DE SALÓN CURUZÚ
#TNEA #Corrientes #empleoar #trabajoar https://t.co/ovrlgJJqgj</t>
  </si>
  <si>
    <t>🔴⚪️ #CORRIENTESCAPITAL - Empresa Líder en Telecomunicaciones busca #VENDEDOR/A #TELEFÓNICO/A para #CALLCENTER
👉 Enviar CV con foto actualizada a: 📧 rrhhmovilgroup@outlook.com indicando en el asunto: Ref. CALL CENTER CORRIENTES
#TNEA #Corrientes #empleoar #trabajoar https://t.co/2epOufj7Xv</t>
  </si>
  <si>
    <t>🟠⚪️ #VENDEDOR/A zona #FormosaCapital para Empresa rubro alimenticio
👉 Enviar CV a: 📧 abconsulting.ok@gmail.com Asunto: ▪Venta Formosa▪
#TNEA #Formosa #empleoar #trabajoar https://t.co/J8FoqhZhOp</t>
  </si>
  <si>
    <t>🔵⚪️ #SANVICENTE (Misiones) - #VENDEDOR/A para Importante Empresa de distribución de productos de consumo masivo
👉 Enviar CV a: 📧 rrhh@dln-logistica.com.ar Asunto: ▪VENDEDOR/A SAN VICENTE▪
#TNEA #Misiones #empleoar #trabajoar https://t.co/SXpc9reNTb</t>
  </si>
  <si>
    <t>🟠⚪️ #RESISTENCIA (Chaco) - #VENDEDOR para Empresa rubro refrigeración
👉 Enviar CV a: 📧 abconsulting.ok@gmail.com Asunto: ▪️Vendedor Resistencia▪️
#TNEA #Chaco #empleoar #trabajoar https://t.co/Zpkvty4GRL</t>
  </si>
  <si>
    <t>⚪⚫ #RESISTENCIA (Chaco) - MUSA Diseño Inspirado busca #VENDEDOR DE #SALÓN
👉 Enviar currículum a: 📧 musa.mueblesydeco@gmail.com indicando en el Asunto: ▪️VENDEDOR DE SALÓN▪️
#TNEA #Chaco #empleoar #trabajoar https://t.co/tlHdZqnm1e</t>
  </si>
  <si>
    <t>🟢🔵 #RESISTENCIA (Chaco) - Personal #ADMINISTRATIVO - #VENDEDOR
👉 Enviar curriculum con foto a: 📧 selecadmventa@gmail.com
#TNEA #Chaco #empleoar #trabajoar https://t.co/S0mG3alP6m</t>
  </si>
  <si>
    <t>🔴⚪️ #POSADAS (Misiones) - #VENDEDOR DE #SALÓN para Prestigiosa Empresa de Servicios Multinacional
👉 Enviar CV con foto a: 📧 rrhhcomercialmg@gmail.com Asunto: ▪Vendedor de Salón Posadas▪
#TNEA #Misiones #empleoar #trabajoar https://t.co/r4SsDIVqcD</t>
  </si>
  <si>
    <t>🟠⚪️ #RESISTENCIA (Chaco) - #VENDEDOR #GRANDES #CUENTAS para Importante Empresa fabricante de materiales para la construcción
👉 Enviar CV con referencias a: 📧 busquedasrrhhnea@gmail.com Asunto del mail: ▪Vendedor▪
#TNEA #Chaco #empleoar #trabajoar https://t.co/VptJG2Mx04</t>
  </si>
  <si>
    <t>🟠⚪️ #RESISTENCIA (Chaco) - #VENDEDOR para Empresa rubro refrigeración
👉 Enviar CV a: 📧 abconsulting.ok@gmail.com Asunto: ▪️Vendedor Resistencia▪️
#TNEA #Chaco #empleoar #trabajoar https://t.co/pmxEqjHiIV</t>
  </si>
  <si>
    <t>🟠⚪️ #RESISTENCIA / #CORRIENTESCAPITAL - Alianza NEA selecciona #VENDEDOR/A para prestigiosa empresa de la zona
👉 Los interesados/as deberán enviar Curriculum Vitae con foto a: 📧 vendedores@alianza-nea.com.ar
#TNEA #Chaco #Corrientes #empleoar #trabajoar https://t.co/Irmdmz6wBm</t>
  </si>
  <si>
    <t>⚫⚪ #RESISTENCIA (Chaco) - METZ Concesionario Oficial Peugeot incorpora #VENDEDOR/A
👉 Interesados/as enviar CV a: 📧 alejandro.zacaria@peugeot-metz.com.ar
#TNEA #Chaco #empleoar #trabajoar https://t.co/KNPINVOsmA</t>
  </si>
  <si>
    <t>🧱 #RESISTENCIA (Chaco) - #VENDEDOR con #experiencia para Empresa #rubro #construcción
👉 Enviar CV con remuneración pretendida a: 📧 mawindigital@gmail.com Asunto: ▪VENDEDOR▪ o por Whatsapp al: 📲 362 4886093 &amp;gt; https://t.co/Rc5HWbJElT
#TNEA #Chaco #empleoar #trabajoar https://t.co/8PbxWW8cBO</t>
  </si>
  <si>
    <t>🟠⚪️ #CORRIENTESCAPITAL - #VENDEDOR para Empresa rubro refrigeración
👉 Enviar CV a: 📧 abconsulting.ok@gmail.com Asunto: ▪VENDEDOR CORRIENTES▪
#TNEA #Corrientes #empleoar #trabajoar https://t.co/IaOe4HQroL</t>
  </si>
  <si>
    <t>🔴⚪️ #CORRIENTESCAPITAL - Empresa de telecomunicaciones selecciona #VENDEDOR DE #CALLE
👉 Enviá tu CV con foto a: 📧 recursoshumanos032017@gmail.com
#TNEA #Corrientes #empleoar #trabajoar https://t.co/7NHEmSBKTo</t>
  </si>
  <si>
    <t>🟢⚪️ #CURUZÚCUATIÁ (Corrientes) - Previsora del Paraná busca #VENDEDOR DE #ELECTRODOMÉSTICOS
👉 Postulate en: ✏️ https://t.co/bWz9cpMTuv o enviá tu Currículum a: 📧 rrhh@previsoradelparana.com Asunto: ▪️VENDEDOR CURUZÚ▪️
#TNEA #Corrientes #empleoar #trabajoar https://t.co/EywqtqwznH</t>
  </si>
  <si>
    <t>🔴⚪️ #RESISTENCIA (Chaco) - EL INDIO Farmacia y Perfumería seleccionará #VENDEDOR/A DE #FARMACIA
👉 Enviar CV con foto y teléfono para contacto a: 📧 eifarmacia.recepciondecv@gmail.com REF.: ▪️VENDEDOR/A FARMACIA RESISTENCIA▪️
#TNEA #Chaco #empleoar #trabajoar https://t.co/sRCCEXYWjm</t>
  </si>
  <si>
    <t>🔵⚫ #RESISTENCIA (Chaco) - #VENDEDOR con #experiencia para Empresa #rubro #Construcción
👉 Enviar CV con remuneración pretendida a: 📧 mawindigital@gmail.com indicando en el Asunto: ▪️VENDEDOR rubro Construcción▪️
#TNEA #Chaco #empleoar #trabajoar https://t.co/pejdGu0BEw</t>
  </si>
  <si>
    <t>🟠⚪️ #RESISTENCIA (Chaco) - #CAJERO/A y #VENDEDOR p/Empresa rubro repuestos y equipamiento p/refrigeración
👉 CAJERO/A: CV a: abconsulting.ok@gmail.com Asunto: Cajero/a
👉 VENDEDOR: CV a: abconsulting.ok@gmail.com Asunto: Vendedor
#TNEA #Chaco #empleoar #trabajoar https://t.co/c0XqG2rK1y</t>
  </si>
  <si>
    <t>🔴⚪️ #RESISTENCIA (Chaco) - EL INDIO Farmacia y Perfumería seleccionará #VENDEDOR/A DE #FARMACIA
👉 Enviar CV con foto y teléfono para contacto a: 📧 eifarmacia.recepciondecv@gmail.com REF.: ▪️VENDEDOR/A FARMACIA RESISTENCIA▪️
#TNEA #Chaco #empleoar #trabajoar https://t.co/RkVyyErw50</t>
  </si>
  <si>
    <t>[#Posadas] El Edén busca #VENDEDOR
📷 Registrate en: https://t.co/PwT58PdWqU
📷 Ingresá aquí: https://t.co/ScfanTmSgd
📷 Seguí las indicaciones para postularte
#TNEA #Misiones #empleoar #trabajoar #Ventas #AtenciónAlCliente https://t.co/H4uBZ3to6I</t>
  </si>
  <si>
    <t>⚫🔴 #CORRIENTESCAPITAL - #VENDEDOR DE #SALÓN y #CONTROL DE #STOCK
👉 Enviar CV a: 📧 rrhhcomercialmg@gmail.com Asunto: ▪Vendedor de salón Corrientes▪
#TNEA #Corrientes #empleoar #trabajoar https://t.co/sTWrFgobTe</t>
  </si>
  <si>
    <t>🔴⚪️ #POSADAS (Misiones) - #VENDEDORES/AS 
👉 Si querés postularte para #VENDEDOR/A #DISTRIBUIDOR o #VENDEDOR/A #PUERTA A #PUERTA:
📧 rrhhdistribucionmg@gmail.com Ref. ▪️VENDEDOR/A DISTRIBUCIÓN POSADAS▪️
📧 terrenoagencia@gmail.com Ref. ▪️VENDEDOR/A EN TERRENO POSADAS▪️
#TNEA https://t.co/9GPXyC6x73</t>
  </si>
  <si>
    <t>🟢⚪️ #CURUZÚCUATIÁ (Corrientes) - Previsora del Paraná busca #VENDEDOR DE #ELECTRODOMÉSTICOS
👉 Postulate en: ✏️ https://t.co/bWz9cpMTuv o enviá tu Currículum a: 📧 rrhh@previsoradelparana.com indicando en el Asunto: ▪️VENDEDOR CURUZÚ▪️
#TNEA #Corrientes #empleoar #trabajoar https://t.co/KggI5migmR</t>
  </si>
  <si>
    <t>🔴⚪️ #CORRIENTESCAPITAL - Empresa de telecomunicaciones selecciona #VENDEDOR DE #CALLE
👉 Enviá tu CV con foto a: 📧 recursoshumanos032017@gmail.com
#TNEA #Corrientes #empleoar #trabajoar https://t.co/50mxQUyiPu</t>
  </si>
  <si>
    <t>🔴⚫ Maquinagro S.A. busca #ASESOR DE #VENTAS (#VENDEDOR/ #VIAJANTE) para la provincia de #FORMOSA
👉 Envianos tu CV actualizado a: 📧 info@maquinagro.com.ar indicando en el Asunto: ▪ASESOR DE VENTAS FORMOSA▪
#TNEA #Formosa #empleoar #trabajoar https://t.co/gA7k4VPxmZ</t>
  </si>
  <si>
    <t>⚠Residir en #RoqueSáenzPeña o alrededores (Chaco).
🟠🔵 Norte Bebé S.R.L. busca #VENDEDOR para el #interior del #CHACO
👉 Enviar CV a: 📧 hola@nortebebe.com.ar
#TNEA #Chaco #empleoar #trabajoar https://t.co/U5VPGROixs</t>
  </si>
  <si>
    <t>[#Corrientes] DEPOT Express busca #VENDEDOR
1️⃣ Registrate en: https://t.co/PwT58PdWqU
2️⃣ Ingresá aquí: https://t.co/nwVFzxHyxw
3️⃣ Seguí las indicaciones para postularte
#TNEA #empleoar #trabajoar #Ventas https://t.co/aifg8VNZaV</t>
  </si>
  <si>
    <t>[#Corrientes] Se busca #VENDEDOR / #PROMOTOR #COMERCIAL
1️⃣ Registrate en: https://t.co/PwT58PdWqU
2️⃣ Ingresá aquí: https://t.co/6lO3KKtYiM
3️⃣ Seguí las indicaciones para postularte
#TNEA #empleoar #trabajoar #Ventas #AtenciónAlCliente https://t.co/lTt5x2imvG</t>
  </si>
  <si>
    <t>⚫🟡 NORDEMAQ busca #VENDEDOR DE #MAQUINARIA #AGRÍCOLA zona #Chaco / #Corrientes
👉 Enviar CV a: 📧 rrhh@nordemaq.com con la referencia ▪Vendedor de maquinarias▪
#TNEA #Chaco #Corrientes #empleoar #trabajoar https://t.co/krZUOdYtF2</t>
  </si>
  <si>
    <t>🟤🟣 #MOCORETÁ (Corrientes) - #VENDEDOR DE #DISTRIBUCIÓN para Importante empresa regional
👉 Enviar CV a: 📧 rrhhdistribucionmg@gmail.com Ref. ▪️VENDEDOR DISTRIBUCIÓN MOCORETÁ▪️
#TNEA #Corrientes #empleoar #trabajoar https://t.co/RpuN67QrIM</t>
  </si>
  <si>
    <t>📷📷 #CORRIENTESCAPITAL - Maia Arzuaga busca #VENDEDOR - #REPARTIDOR para Empresa rubro Panificados
📷 POSTULATE en: 📷 https://t.co/fYSikWRlOl
#TNEA #Corrientes #empleoar #trabajoar https://t.co/TzPNs97bo4</t>
  </si>
  <si>
    <t>📷📷 #RESISTENCIA - #VENDEDOR/A DE #PERFUMERÍA para EL INDIO Farmacia y Perfumería
📷 Enviar CV a: 📷 eiperfumeria.recepciondecv@gmail.com indicando en el asunto: Ref. 📷VENDEDOR/A PERFUMERÍA RESISTENCIA📷
#TNEA #Chaco #empleoar #trabajoar https://t.co/eF2QRLkrEX</t>
  </si>
  <si>
    <t>📷📷 #RESISTENCIA - EL INDIO Farmacia y Perfumería busca #VENDEDOR/A DE #FARMACIA
📷 Enviar CV a: 📷 eifarmacia.recepciondecv@gmail.com indicando en el asunto: Ref. 📷VENDEDOR/A FARMACIA RESISTENCIA📷
#TNEA #Chaco #empleoar #trabajoar https://t.co/qh1wbvDjIL</t>
  </si>
  <si>
    <t>[#VillaAngela] FL Gestión y Recursos busca #VENDEDOR de #insumosagropecuarios
1️⃣ Registrate en: https://t.co/PwT58PdWqU
2️⃣ Ingresá aquí: https://t.co/pm1NwyhZ2R
3️⃣ Seguí las indicaciones para postularte
#TNEA #Chaco #empleoar #trabajoar #Ventas #Agro #TécnicoForestal https://t.co/EcbrhuAeuA</t>
  </si>
  <si>
    <t>[#Resistencia] CV Óptimo busca #VENDEDOR/A de indumentaria masculina
1️⃣ Registrate en: https://t.co/PwT58PdWqU
2️⃣ Ingresá aquí: https://t.co/mYWpvacwBh
3️⃣ Seguí las indicaciones para postularte
#TNEA #Chaco #empleoar #trabajoar #Ventas https://t.co/HRK88hXCLg</t>
  </si>
  <si>
    <t>⚪️🔴 #RESISTENCIA - #VENDEDOR/A DE #PERFUMERÍA para EL INDIO Farmacia y Perfumería
👉 Enviar CV a: 📧 eiperfumeria.recepciondecv@gmail.com indicando en el asunto: Ref. ▪VENDEDOR/A PERFUMERÍA RESISTENCIA▪
#TNEA #Chaco #empleoar #trabajoar https://t.co/8o2hO0J1iK</t>
  </si>
  <si>
    <t>🔴⚪️ #RESISTENCIA - EL INDIO Farmacia y Perfumería busca #VENDEDOR/A DE #FARMACIA
👉 Enviar CV a: 📧 eifarmacia.recepciondecv@gmail.com indicando en el asunto: Ref. ▪VENDEDOR/A FARMACIA RESISTENCIA▪
#TNEA #Chaco #empleoar #trabajoar https://t.co/NwRt2CWGvr</t>
  </si>
  <si>
    <t>[#SantaFe] Se busca #VENDEDOR #PREVENTISTA
1️⃣ Registrate en: https://t.co/PwT58Peugs
2️⃣ Ingresá aquí: https://t.co/k8j0sTHYS4
3️⃣ Seguí las indicaciones para postularte
#TNEA #empleoar #trabajoar #Ventas https://t.co/yovxjVgfXU</t>
  </si>
  <si>
    <t>[#Posadas] Se busca #VENDEDOR #PREVENTISTA 
1️⃣ Registrate en: https://t.co/PwT58PdWqU
2️⃣ Ingresá aquí: https://t.co/8LqTD6VPvH
3️⃣ Seguí las indicaciones para postularte
#TNEA #Misiones #empleoar #trabajoar #Ventas https://t.co/bjchgPnEM0</t>
  </si>
  <si>
    <t>[#SantoTome, #LaCruz, #Virasoro] Se busca #VENDEDOR #PREVENTISTA 
1️⃣ Registrate en: https://t.co/PwT58PdWqU
2️⃣ Ingresá aquí: https://t.co/E56QENEBke
3️⃣ Seguí las indicaciones para postularte
#TNEA #Corrientes #empleoar #trabajoar #Ventas https://t.co/O42RAfMRE1</t>
  </si>
  <si>
    <t>[#Iguazu/ #PuertoEsperanza/ #Wanda] Se busca #VENDEDOR #PREVENTISTA 
1️⃣ Registrate en: https://t.co/PwT58PdWqU
2️⃣ Ingresá aquí: https://t.co/CvgvwdRsj4
3️⃣ Seguí las indicaciones para postularte
#TNEA #Misiones #empleoar #trabajoar #Ventas https://t.co/lUTnua3908</t>
  </si>
  <si>
    <t>🔵🟠 #RESISTENCIA - #VENDEDOR/A y #CAJERO/A para Prestigiosa Empresa Comercial
👉 Es imprescindible enviar a casilla de correo: 📧 rrhh.integrante@gmail.com (indicando en el asunto ▪️VENDEDOR/A RCIA.▪️ o ▪️CAJERO/A RCIA.▪️):
#TNEA #Chaco #empleoar #trabajoar https://t.co/TMqNGwSLXP</t>
  </si>
  <si>
    <t>🔴⚪ #RESISTENCIA - #VENDEDOR DE #FARMACIA para EL INDIO Farmacia y Perfumería
👉 Enviar CV a: 📧 eifarmacia.recepciondecv@gmail.com indicando en el asunto: ▪VENDEDOR FARMACIA RESISTENCIA▪
#TNEA #Chaco #empleoar #trabajoar https://t.co/XHCfuL1Xwq</t>
  </si>
  <si>
    <t>⚫🔴 #POSADAS - #VENDEDOR DE #DISTRIBUCIÓN para Importante empresa de la región
👉 Enviar CV a: 📧 agenciarrhhps@gmail.com Ref. ▪VENDEDOR DE DISTRIBUCIÓN POSADAS▪
#TNEA #Misiones #empleoar #trabajoar https://t.co/rcUzmocNJ4</t>
  </si>
  <si>
    <t>🔵⚪️ #RESISTENCIA - DRIUSSI Automóviles Concesionario multimarca incorpora #VENDEDOR/A DE #SALÓN
👉 Si cumplís con los requisitos enviar CV a: 📧 seleccion.ventasnea@gmail.com y en Asunto indicar: ▪Vendedor/a de Salón Resistencia▪
#TNEA #Chaco #empleoar #trabajoar https://t.co/fUAKAr42L0</t>
  </si>
  <si>
    <t>🔵🟠 #RESISTENCIA - #VENDEDOR/A y #CAJERO/A p/Prestigiosa Empresa Comercial
👉 enviar a: rrhh.integrante@gmail.com (asunto ▪️VENDEDOR/A RCIA.▪️ o ▪️CAJERO/A RCIA.▪️):
1️⃣ CV c/foto carnet
2️⃣ Nota Presentación manuscrita escaneada
3️⃣ Teléfono/s p/contacto
#TNEA #Chaco #empleoar https://t.co/1tos45r9Dr</t>
  </si>
  <si>
    <t>🔴⚫ #POSADAS - Distribuidora de bebidas busca #VENDEDOR/ #VIAJANTE 
👉 Si cumplís con los requisitos y estás preparado para el desafío, por favor envianos CV a: 📧 m_bracamonte@hotmail.com indicando en el Asunto: VENDEDOR/VIAJANTE POSADAS
#TNEA #Misiones #empleoar #trabajoar https://t.co/oDtLYofyZA</t>
  </si>
  <si>
    <t>⚫🔴 #CURUZÚCUATIÁ - Importante Empresa de Telecomunicaciones busca #VENDEDOR/A DE #SALÓN con experiencia 
👉 Enviar CV a: 📧 rrhhcomercialmg@gmail.com Asunto: VENDEDOR/A DE SALÓN CURUZÚ
#TNEA #Corrientes #empleoar #trabajoar https://t.co/CDyMeVwLCd</t>
  </si>
  <si>
    <t>⚫️⚪️ #CORRIENTESCAPITAL - EMMAP Consultora busca #VENDEDOR #COMISIONISTA para productos publicitarios  
👉 Enviá tu CV a: 📧 seleccion@consultoradepymes.com indicando en el Asunto: Vendedor comisionista Corrientes
#TNEA #Corrientes #empleoar #trabajoar https://t.co/EiHVJr4Lf8</t>
  </si>
  <si>
    <t>🔵⚪️ #RESISTENCIA - EFE Uniformes busca #VENDEDOR para #LOCAL #COMERCIAL    
👉 Enviar currículum con foto a: 📧 efe.textilsrl@gmail.com indicando en el Asunto: VENDEDOR LOCAL COMERCIAL
#TNEA #Chaco #empleoar #trabajoar https://t.co/CMeo9YRk9p</t>
  </si>
  <si>
    <t>⚫⚪ #CORRIENTESCAPITAL - #VENDEDOR/A DE #SALÓN con experiencia para Importante Empresa de la región
👉 Enviar CV a: 📧 rrhhcomercialmg@gmail.com Asunto: VENDEDOR/A DE SALÓN CORRIENTES
#TNEA #Corrientes #empleoar #trabajoar https://t.co/b9wGsaNrkB</t>
  </si>
  <si>
    <t>🟣⚪️ #PASODELOSLIBRES - #VENDEDOR DE #DISTRIBUCIÓN para Importante empresa de servicios
👉 Enviar CV a: 📧 rrhhdistribucionmg@gmail.com Ref. "VENDEDOR DE DISTRIBUCIÓN LIBRES"
#TNEA #Corrientes #empleoar #trabajoar https://t.co/6rR9CDFsWM</t>
  </si>
  <si>
    <t>🟢⚪️ #RESISTENCIA (Chaco) - Campagnola Muebles busca #VENDEDOR/A DE #SALÓN
👉 Interesados/as enviar CV a: 📧 nicolas@campagnolamuebles.com.ar
#TNEA #Chaco #empleoar #trabajoar https://t.co/SfU9Yt759M</t>
  </si>
  <si>
    <t>🟠⚪️ #VENDEDOR/A zona #FormosaCapital para Empresa rubro alimenticio
👉 Enviar CV a: 📧 abconsulting.ok@gmail.com Asunto: ▪Venta Formosa▪
#TNEA #Formosa #empleoar #trabajoar https://t.co/lPMzZVIodb</t>
  </si>
  <si>
    <t>🔴🔵 #CORRIENTESCAPITAL - Empresa rubro construcción busca #INGENIERO para el puesto de #VENDEDOR #EJECUTIVO
👉 Enviá tu CV a: 📧 seleccjk@gmail.com indicando en el Asunto: ▪VENDEDOR EJECUTIVO▪
#TNEA #Corrientes #empleoar #trabajoar https://t.co/JXzXAbVcT8</t>
  </si>
  <si>
    <t>🔴🔵 #CORRIENTESCAPITAL - Importante Empresa de la región busca #VENDEDOR/A DE #SALÓN y #CONTROL DE #STOCK con experiencia
👉 Enviar CV a: 📧 rrhhcomercialmg@gmail.com Asunto: ▪VENDEDOR/A DE SALÓN CORRIENTES▪
#TNEA #Corrientes #empleoar #trabajoar https://t.co/nMc4gSwW6B</t>
  </si>
  <si>
    <t>⚠️Atención! #GOYA, #MERCEDES y alrededores.
🔵🟠 #VENDEDOR/A zona #interior de #Corrientes para Empresa #rubro #alimenticio
👉 Enviar CV a: 📧 abconsulting.ok@gmail.com Asunto: ▪Venta Corrientes▪
#TNEA #Corrientes #empleoar #trabajoar https://t.co/3Y0Tfr3H2d</t>
  </si>
  <si>
    <t>🔵⚪️ #SANVICENTE (Misiones) - #VENDEDOR/A para Importante Empresa de distribución de productos de consumo masivo
👉 Enviar CV a: 📧 rrhh@dln-logistica.com.ar Asunto: ▪VENDEDOR/A SAN VICENTE▪
#TNEA #Misiones #empleoar #trabajoar https://t.co/1ZUnH2mIUl</t>
  </si>
  <si>
    <t>🟠⚪️ #RESISTENCIA (Chaco) - #VENDEDOR para Empresa rubro refrigeración
👉 Enviar CV a: 📧 abconsulting.ok@gmail.com Asunto: ▪️Vendedor Resistencia▪️
#TNEA #Chaco #empleoar #trabajoar https://t.co/MdGOmZvhqP</t>
  </si>
  <si>
    <t>🟠⚪️ #RESISTENCIA / #CORRIENTESCAPITAL - Alianza NEA selecciona #VENDEDOR/A para prestigiosa empresa de la zona
👉 Los interesados/as deberán enviar Curriculum Vitae con foto a: 📧 vendedores@alianza-nea.com.ar
#TNEA #Chaco #Corrientes #empleoar #trabajoar https://t.co/qngt0ucfQJ</t>
  </si>
  <si>
    <t>⚫⚪ #RESISTENCIA (Chaco) - METZ Concesionario Oficial Peugeot incorpora #VENDEDOR/A
👉 Interesados/as enviar CV a: 📧 alejandro.zacaria@peugeot-metz.com.ar
#TNEA #Chaco #empleoar #trabajoar https://t.co/8fPT6v7lJq</t>
  </si>
  <si>
    <t>🧱 #RESISTENCIA (Chaco) - #VENDEDOR con #experiencia para Empresa #rubro #construcción
👉 Enviar CV con remuneración pretendida a: 📧 mawindigital@gmail.com Asunto: ▪VENDEDOR▪ o por Whatsapp al: 📲 362 4886093 &amp;gt; https://t.co/Rc5HWbJElT
#TNEA #Chaco #empleoar #trabajoar https://t.co/EQ3kmcyA27</t>
  </si>
  <si>
    <t>🟢🔵 #RESISTENCIA (Chaco) - #VENDEDOR/A DE #SALÓN para Importante Industria de la región
👉 Envianos tu CV a: 📧 curriculumvitae4@hotmail.com Asunto: ▪VENDEDOR/A SALÓN▪
#TNEA #Chaco #empleoar #trabajoar https://t.co/cjD4heIuqK</t>
  </si>
  <si>
    <t>⚪⚫ #RESISTENCIA (Chaco) - MUSA Diseño Inspirado busca #VENDEDOR DE #SALÓN
👉 Enviar currículum a: 📧 musa.mueblesydeco@gmail.com indicando en el Asunto: ▪️VENDEDOR DE SALÓN▪️
#TNEA #Chaco #empleoar #trabajoar https://t.co/mZhOZZU7ap</t>
  </si>
  <si>
    <t>🟢🔵 #RESISTENCIA (Chaco) - Personal #ADMINISTRATIVO - #VENDEDOR
👉 Enviar curriculum con foto a: 📧 selecadmventa@gmail.com
#TNEA #Chaco #empleoar #trabajoar https://t.co/ccWXFXABnl</t>
  </si>
  <si>
    <t>🟢⚫️ Empresa Nacional rubro Salud busca al Mejor #REPRESENTANTE/ #VENDEDOR #HOSPITALARIO del #NEA
👉 Enviar CV al mail: 📧 ventasconsultora2023@gmail.com con Asunto: ▪VENDEDOR NEA▪
#TNEA #Corrientes #Chaco #Formosa #Misiones #empleoar #trabajoar https://t.co/TmXCK3GnFb</t>
  </si>
  <si>
    <t>🟢⚪️ #RESISTENCIA (Chaco) - Campagnola Muebles busca #VENDEDOR/A DE #SALÓN
👉 Interesados/as enviar CV a: 📧 nicolas@campagnolamuebles.com.ar
#TNEA #Chaco #empleoar #trabajoar https://t.co/TwE1iZ5vOP</t>
  </si>
  <si>
    <t>🟢⚫️ Empresa Nacional rubro Salud busca al Mejor #REPRESENTANTE/ #VENDEDOR #HOSPITALARIO del #NEA
👉 Enviar CV al mail: 📧 ventasconsultora2023@gmail.com con Asunto: ▪VENDEDOR NEA▪
#TNEA #Corrientes #Chaco #Formosa #Misiones #empleoar #trabajoar https://t.co/CLfNC6TWSc</t>
  </si>
  <si>
    <t>🔵🟡 #JUANJOSÉCASTELLI (Chaco) - #VENDEDOR DE #SALÓN para Importante Cadena Minorista
👉 Quienes deseen postularse como candidatos al puesto deberán remitir CV a: 📧 consultorarrhhlitoral@gmail.com Asunto: VENDEDOR SALÓN CASTELLI
#TNEA #Chaco #jjcastelli #empleoar #trabajoar https://t.co/37iCFznITU</t>
  </si>
  <si>
    <t>🟠⚪️ #CORRIENTESCAPITAL - #VENDEDOR para Empresa rubro refrigeración
👉 Enviar CV a: 📧 abconsulting.ok@gmail.com Asunto: ▪VENDEDOR CORRIENTES▪
#TNEA #Corrientes #empleoar #trabajoar https://t.co/7BYaztmUFP</t>
  </si>
  <si>
    <t>🟠⚪ #RESISTENCIA (Chaco) - #VENDEDOR DE #MOSTRADOR para Empresa rubro repuestos y equipamiento para refrigeración
👉 Enviar CV a: 📧 abconsulting.ok@gmail.com Asunto: ▪Vendedor mostrador▪
#TNEA #Chaco #empleoar #trabajoar https://t.co/kU4OWId68b</t>
  </si>
  <si>
    <t>🟠⚪️ #RESISTENCIA (Chaco) - #VENDEDOR #GRANDES #CUENTAS para Importante Empresa fabricante de materiales para la construcción
👉 Indicar pretensión económica y enviar CV con referencias a: 📧 busquedasrrhhnea@gmail.com Asunto del mail: Vendedor
#TNEA #Chaco #empleoar #trabajoar https://t.co/KHcN6s6mUR</t>
  </si>
  <si>
    <t>🔴⚪️ #POSADAS (Misiones) - #VENDEDOR DE #SALÓN para Prestigiosa Empresa de Servicios Multinacional
👉 Enviar CV con foto a: 📧 rrhhcomercialmg@gmail.com Asunto: ▪Vendedor de Salón Posadas▪
#TNEA #Misiones #empleoar #trabajoar https://t.co/e4hzeKNAAD</t>
  </si>
  <si>
    <t>🔵⚫ #RESISTENCIA (Chaco) - #VENDEDOR con #experiencia para Empresa #rubro #Construcción
👉 Enviar CV con remuneración pretendida a: 📧 mawindigital@gmail.com indicando en el Asunto: ▪️VENDEDOR rubro Construcción▪️
#TNEA #Chaco #empleoar #trabajoar https://t.co/Iu8zb8vvl9</t>
  </si>
  <si>
    <t>🟠⚪️#RESISTENCIA (Chaco) - #CAJERO/A y #VENDEDOR para Empresa rubro repuestos y equipamiento para refrigeración
👉 Si querés postularte para 
CAJERO/A: Enviar CV a: 📧 abconsulting.ok@gmail.com Asunto: Cajero/a
VENDEDOR: Enviar CV a: 📧 abconsulting.ok@gmail.com Asunto: Vendedor https://t.co/I3bhf7QK1O</t>
  </si>
  <si>
    <t>⚫🔴 #CORRIENTESCAPITAL - #VENDEDOR DE #SALÓN y #CONTROL DE #STOCK
👉 Enviar CV a: 📧 rrhhcomercialmg@gmail.com Asunto: ▪Vendedor de salón Corrientes▪
#TNEA #Corrientes #empleoar #trabajoar https://t.co/iE6mkEVsv6</t>
  </si>
  <si>
    <t>🔴⚫ Maquinagro S.A. busca #ASESOR DE #VENTAS (#VENDEDOR/ #VIAJANTE) para la provincia de #FORMOSA
👉 Envianos tu CV actualizado a: 📧 info@maquinagro.com.ar indicando en el Asunto: ▪ASESOR DE VENTAS FORMOSA▪
#TNEA #Formosa #empleoar #trabajoar https://t.co/A2OinPd8eI</t>
  </si>
  <si>
    <t>🔴⚪️ #CORRIENTESCAPITAL - Empresa de telecomunicaciones selecciona #VENDEDOR DE #CALLE
👉 Enviá tu CV con foto a: 📧 recursoshumanos032017@gmail.com
#TNEA #Corrientes #empleoar #trabajoar https://t.co/6V1VRMnX9l</t>
  </si>
  <si>
    <t>🟢⚪️ #CURUZÚCUATIÁ (Corrientes) - Previsora del Paraná busca #VENDEDOR DE #ELECTRODOMÉSTICOS
👉 Postulate en: ✏️ https://t.co/bWz9cpMTuv o enviá tu Currículum a: 📧 rrhh@previsoradelparana.com indicando en el Asunto: ▪️VENDEDOR CURUZÚ▪️
#TNEA #Corrientes #empleoar #trabajoar https://t.co/vDvZpaUOm9</t>
  </si>
  <si>
    <t>⚫🔴 #CORRIENTESCAPITAL - #VENDEDOR DE #SALÓN y #CONTROL DE #STOCK
👉 Enviar CV a: 📧 rrhhcomercialmg@gmail.com Asunto: ▪Vendedor de salón Corrientes▪
#TNEA #Corrientes #empleoar #trabajoar https://t.co/w7xRnBBzRF</t>
  </si>
  <si>
    <t>🔴⚪️ #RESISTENCIA (Chaco) - EL INDIO Farmacia y Perfumería seleccionará #VENDEDOR/A DE #FARMACIA
👉 Enviar CV con foto y teléfono para contacto a: 📧 eifarmacia.recepciondecv@gmail.com REF.: ▪️VENDEDOR/A FARMACIA RESISTENCIA▪️
#TNEA #Chaco #empleoar #trabajoar https://t.co/U9JGVXzDsh</t>
  </si>
  <si>
    <t>🟠⚪️ #RESISTENCIA (Chaco) - #CAJERO/A y #VENDEDOR 
👉 Si querés postularte para CAJERO/A:
Enviar CV a: 📧 abconsulting.ok@gmail.com Asunto: ▪️Cajero/a▪️
👉 Si querés postularte para VENDEDOR:
Enviar CV a: 📧 abconsulting.ok@gmail.com Asunto: ▪️Vendedor▪️
#TNEA #Chaco #empleoar https://t.co/fMN6XieWqx</t>
  </si>
  <si>
    <t>🔵⚫ #RESISTENCIA (Chaco) - #VENDEDOR con #experiencia para Empresa #rubro #Construcción
👉 Enviar CV con remuneración pretendida a: 📧 mawindigital@gmail.com indicando en el Asunto: ▪️VENDEDOR rubro Construcción▪️
#TNEA #Chaco #empleoar #trabajoar https://t.co/IZeB0YftFP</t>
  </si>
  <si>
    <t>🔵⚫ #RESISTENCIA (Chaco) - #VENDEDOR con #experiencia para Empresa #rubro #Construcción
👉 Enviar CV con remuneración pretendida a: 📧 mawindigital@gmail.com indicando en el Asunto: ▪️VENDEDOR rubro Construcción▪️
#TNEA #Chaco #empleoar #trabajoar https://t.co/exQSXJjL9k</t>
  </si>
  <si>
    <t>🟢🟠 #SÁENZPEÑA (Chaco) - ELECTRO MISIONES S.A. selecciona #VENDEDOR DE #SALÓN
👉 Enviar CV a: 📧 busqueda@electromisiones.com.ar indicando en el Asunto: ▪️SÁENZ PEÑA▪️
#TNEA #Chaco #empleoar #trabajoar https://t.co/1d1PVhntbH</t>
  </si>
  <si>
    <t>🟢🟠 #GOYA (Corrientes) - ELECTRO MISIONES S.A. selecciona #VENDEDOR DE #SALÓN
👉 Enviar CV a: 📧 busqueda@electromisiones.com.ar indicando en el Asunto: ▪️GOYA▪️
#TNEA #Corrientes #empleoar #trabajoar https://t.co/BHojRaxKvj</t>
  </si>
  <si>
    <t>🟡🟢 #CORRIENTESCAPITAL - Maia Arzuaga busca #VENDEDOR - #REPARTIDOR para Empresa rubro Panificados 
👉 POSTULATE en: 📝 https://t.co/fYSikWRlOl 
#TNEA #Corrientes #empleoar #trabajoar https://t.co/sOchwWSHZo</t>
  </si>
  <si>
    <t>🔴⚫️ #POSADAS - Las Camelias seleccionará #VENDEDOR/ #CHOFER 
👉 Enviar CV a: 📧 lc.recepciondecv@gmail.com indicando en el Asunto: ▪VENDEDOR/CHOFER POSADAS▪
#TNEA #Misiones #empleoar #trabajoar https://t.co/haeAt7XUHt</t>
  </si>
  <si>
    <t>⚫⚪ #CORRIENTESCAPITAL - Empresa Regional incorpora #VENDEDOR #CON #MOTO
👉 Enviar CV a: 📧 rrhhdistribucionmg@gmail.com indicando en el Asunto: ▪VENDEDOR CON MOTO CORRIENTES▪
#TNEA #Corrientes #empleoar #trabajoar https://t.co/mnzcnmwUlr</t>
  </si>
  <si>
    <t>🔵🟢 #CORRIENTESCAPITAL - BRÍO Consultoría selecciona #VENDEDOR/A para Importante Droguería
👉 Enviar CV a: 📧 cv@brioconsultoria.com.ar hasta 20-03-2023 indicando Asunto: ▪Vendedor▪
#TNEA #Corrientes #empleoar #trabajoar https://t.co/SpgBxBj3vB</t>
  </si>
  <si>
    <t>[#SáenzPeña] Estética Profesional busca #VENDEDOR/A de salón
1️⃣ Registrate en: https://t.co/PwT58PdWqU
2️⃣ Ingresá aquí: https://t.co/WkXsxUFRRf
3️⃣ Seguí las indicaciones para postularte
#TNEA #Chaco #empleoar #trabajoar #Ventas https://t.co/rUrAId3PQh</t>
  </si>
  <si>
    <t>🟢⚫️ #CORRIENTESCAPITAL - #VENDEDOR #TELEFÓNICO para Empresa regional
👉 Postulate enviando tu CV con foto actual a: 📧 rrhhcentralmg@gmail.com
#TNEA #Corrientes #empleoar #trabajoar https://t.co/OAGd1WG1aQ</t>
  </si>
  <si>
    <t>🟢⚫️ #CORRIENTESCAPITAL - #VENDEDOR #TELEFÓNICO para Empresa regional
👉 Postulate enviando tu CV con foto actual a: 📧 rrhhcentralmg@gmail.com 
#TNEA #Corrientes #empleoar #trabajoar https://t.co/FVNWu4iLWt</t>
  </si>
  <si>
    <t>🔴⚫ #POSADAS (Misiones) - #VENDEDOR CON #MOTO para Empresa regional
👉 Enviar CV a: 📧 rhventasposadas@gmail.com Ref. ▪VENDEDOR CON MOTO POSADAS▪
#TNEA #Misiones #empleoar #trabajoar https://t.co/3THuXdzTUW</t>
  </si>
  <si>
    <t>⚠️Atención! profesionales de #IngenieríaCivil, #IngenieríaenConstrucción
🔴🔵 #CORRIENTESCAPITAL - Empresa rubro construcción busca #INGENIERO p/ #VENDEDOR #EJECUTIVO
👉 Enviá CV a: 📧 seleccjk@gmail.com Asunto: ▪VENDEDOR EJECUTIVO▪
#TNEA #Corrientes #empleoar #trabajoar https://t.co/SyKfFaQh1X</t>
  </si>
  <si>
    <t>🟠⚪️ #RESISTENCIA / #CORRIENTESCAPITAL - Alianza NEA selecciona #VENDEDOR/A para prestigiosa empresa de la zona
👉 Los interesados/as deberán enviar Curriculum Vitae con foto a: 📧 vendedores@alianza-nea.com.ar
#TNEA #Chaco #Corrientes #empleoar #trabajoar https://t.co/5e7hJlu6RF</t>
  </si>
  <si>
    <t>⚫⚪ #RESISTENCIA (Chaco) - METZ Concesionario Oficial Peugeot incorpora #VENDEDOR/A
👉 Interesados/as enviar CV a: 📧 alejandro.zacaria@peugeot-metz.com.ar
#TNEA #Chaco #empleoar #trabajoar https://t.co/ZH3M0n7fNH</t>
  </si>
  <si>
    <t>🟢⚫️ Empresa Nacional rubro Salud busca al Mejor #REPRESENTANTE/ #VENDEDOR #HOSPITALARIO del #NEA
👉 Enviar CV al mail: 📧 ventasconsultora2023@gmail.com con Asunto: ▪VENDEDOR NEA▪
#TNEA #Corrientes #Chaco #Formosa #Misiones #empleoar #trabajoar https://t.co/2n6K0qHdkV</t>
  </si>
  <si>
    <t>🟠⚪️ #RESISTENCIA / #CORRIENTESCAPITAL - Alianza NEA selecciona #VENDEDOR/A para prestigiosa empresa de la zona
👉 Los interesados/as deberán enviar Curriculum Vitae con foto a: 📧 vendedores@alianza-nea.com.ar
#TNEA #Chaco #Corrientes #empleoar #trabajoar https://t.co/ttH1udLGCQ</t>
  </si>
  <si>
    <t>🟠⚪️ #RESISTENCIA (Chaco) - #VENDEDOR para Empresa rubro refrigeración
👉 Enviar CV a: 📧 abconsulting.ok@gmail.com Asunto: ▪️Vendedor Resistencia▪️
#TNEA #Chaco #empleoar #trabajoar https://t.co/32tv4Tpyme</t>
  </si>
  <si>
    <t>🔵⚪️ #SANVICENTE (Misiones) - #VENDEDOR/A para Importante Empresa de distribución de productos de consumo masivo
👉 Enviar CV a: 📧 rrhh@dln-logistica.com.ar Asunto: ▪VENDEDOR/A SAN VICENTE▪
#TNEA #Misiones #empleoar #trabajoar https://t.co/3jYUIpmnei</t>
  </si>
  <si>
    <t>🟢🔵 #RESISTENCIA (Chaco) - #VENDEDOR/A DE #SALÓN para Importante Industria de la región
👉 Envianos tu CV a: 📧 curriculumvitae4@hotmail.com Asunto: ▪VENDEDOR/A SALÓN▪
#TNEA #Chaco #empleoar #trabajoar https://t.co/vhBl2LqbGr</t>
  </si>
  <si>
    <t>🟠⚪️ #RESISTENCIA (Chaco) - #VENDEDOR #GRANDES #CUENTAS para Importante Empresa fabricante de materiales para la construcción
👉 Enviar CV con referencias a: 📧 busquedasrrhhnea@gmail.com Asunto del mail: ▪Vendedor▪
#TNEA #Chaco #empleoar #trabajoar https://t.co/FjoQrHESux</t>
  </si>
  <si>
    <t>🟠⚪️ #CORRIENTESCAPITAL - #VENDEDOR para Empresa rubro refrigeración
👉 Enviar CV a: 📧 abconsulting.ok@gmail.com Asunto: ▪VENDEDOR CORRIENTES▪
#TNEA #Corrientes #empleoar #trabajoar https://t.co/yCpWPml3Zu</t>
  </si>
  <si>
    <t>🔵🟡 #JUANJOSÉCASTELLI (Chaco) - #VENDEDOR DE #SALÓN para Importante Cadena Minorista
👉 Deberán remitir CV a: 📧 consultorarrhhlitoral@gmail.com Asunto: ▪VENDEDOR SALÓN CASTELLI▪
#TNEA #Chaco #jjcastelli #empleoar #trabajoar https://t.co/fF3RvNXs8M</t>
  </si>
  <si>
    <t>🟢🔵 #RESISTENCIA (Chaco) - Personal #ADMINISTRATIVO - #VENDEDOR
👉 Enviar curriculum con foto a: 📧 selecadmventa@gmail.com
#TNEA #Chaco #empleoar #trabajoar https://t.co/T1ZA5Wdagv</t>
  </si>
  <si>
    <t>⚪⚫ #RESISTENCIA (Chaco) - MUSA Diseño Inspirado busca #VENDEDOR DE #SALÓN
👉 Enviar currículum a: 📧 musa.mueblesydeco@gmail.com indicando en el Asunto: ▪️VENDEDOR DE SALÓN▪️
#TNEA #Chaco #empleoar #trabajoar https://t.co/iQJxUmAvoW</t>
  </si>
  <si>
    <t>🔴⚫ Maquinagro S.A. busca #ASESOR DE #VENTAS (#VENDEDOR/ #VIAJANTE) para la provincia de #FORMOSA
👉 Envianos tu CV actualizado a: 📧 info@maquinagro.com.ar indicando en el Asunto: ▪ASESOR DE VENTAS FORMOSA▪
#TNEA #Formosa #empleoar #trabajoar https://t.co/7eR7jvdNNp</t>
  </si>
  <si>
    <t>🔴⚪️ #CORRIENTESCAPITAL - Empresa de telecomunicaciones selecciona #VENDEDOR DE #CALLE
👉 Enviá tu CV con foto a: 📧 recursoshumanos032017@gmail.com
#TNEA #Corrientes #empleoar #trabajoar https://t.co/0NNd5mHrua</t>
  </si>
  <si>
    <t>🟢⚪️ #CURUZÚCUATIÁ (Corrientes) - Previsora del Paraná busca #VENDEDOR DE #ELECTRODOMÉSTICOS
👉 Postulate en: ✏️ https://t.co/bWz9cpMTuv o enviá tu Currículum a: 📧 rrhh@previsoradelparana.com indicando en el Asunto: ▪️VENDEDOR CURUZÚ▪️
#TNEA #Corrientes #empleoar #trabajoar https://t.co/3UyOsAOoh1</t>
  </si>
  <si>
    <t>#POSADAS - #VENDEDORES/AS 
👉 Si te postulas para #VENDEDOR/A #DISTRIBUIDOR o vendedor #PUERTA A #PUERTA:
Enviá CV a: 📧 rrhhdistribucionmg@gmail.com Ref. ▪️VENDEDOR/A DISTRIBUCIÓN POSADAS▪️
📧 terrenoagencia@gmail.com Ref. ▪️VENDEDOR/A EN TERRENO POSADAS▪️
#TNEA #Misiones https://t.co/jBFKQcPLmz</t>
  </si>
  <si>
    <t>🔴⚪️ #CORRIENTESCAPITAL - Empresa de telecomunicaciones selecciona #VENDEDOR DE #CALLE
👉 Enviá tu CV con foto a: 📧 recursoshumanos032017@gmail.com
#TNEA #Corrientes #empleoar #trabajoar https://t.co/2y0D1t2Zxe</t>
  </si>
  <si>
    <t>🔴⚫ Maquinagro S.A. busca #ASESOR DE #VENTAS (#VENDEDOR/ #VIAJANTE) para la provincia de #FORMOSA
👉 Envianos tu CV actualizado a: 📧 info@maquinagro.com.ar indicando en el Asunto: ▪ASESOR DE VENTAS FORMOSA▪
#TNEA #Formosa #empleoar #trabajoar https://t.co/pSEU4NGFHm</t>
  </si>
  <si>
    <t>⚠Residir en #RoqueSáenzPeña o alrededores (Chaco).
🟠🔵 Norte Bebé S.R.L. busca #VENDEDOR para el #interior del #CHACO
👉 Enviar CV a: 📧 hola@nortebebe.com.ar
#TNEA #Chaco #empleoar #trabajoar https://t.co/yNyBWVe9fi</t>
  </si>
  <si>
    <t>🔵⚪️ #CORRIENTESCAPITAL - #VENDEDOR/A #TELEFÓNICO/A para CALL CENTER
👉 Enviar CV con foto actualizada a: 📧 rrhhcentralmg@gmail.com indicando en el Asunto: CALL CENTER CORRIENTES
#TNEA #Corrientes #empleoar #trabajoar https://t.co/6DzBQqEf3X</t>
  </si>
  <si>
    <t>⚠Residir en #RoqueSáenzPeña o alrededores (Chaco).
🟠🔵 Norte Bebé S.R.L. busca #VENDEDOR para el #interior del #CHACO
👉 Enviar CV a: 📧 hola@nortebebe.com.ar
#TNEA #Chaco #empleoar #trabajoar https://t.co/yWz7POOmqA</t>
  </si>
  <si>
    <t>🔵⚪️ #CORRIENTESCAPITAL - #VENDEDOR/A #TELEFÓNICO/A para CALL CENTER
👉 Enviar CV con foto actualizada a: 📧 rrhhcentralmg@gmail.com  indicando en el Asunto: CALL CENTER CORRIENTES
#TNEA #Corrientes #empleoar #trabajoar https://t.co/SVph31R4g6</t>
  </si>
  <si>
    <t>[#Chaco] Bolsa de Trabajo UNCAUS busca #VENDEDOR
📷 Registrate en: https://t.co/PwT58PdWqU
📷 Ingresá aquí: https://t.co/pXy1SVmSo8
📷 Seguí las indicaciones para postularte
#TNEA #Chaco #empleoar #trabajoar #Ventas https://t.co/jPsYVZq1eK</t>
  </si>
  <si>
    <t>[#Chaco] FL Gestión y Recursos busca #VENDEDOR para METALFOR S.A.
1️⃣ Registrate en: https://t.co/PwT58PdWqU
2️⃣ Ingresá aquí: https://t.co/nUqbHF9kXL
3️⃣ Seguí las indicaciones para postularte
#TNEA #empleoar #trabajoar #Ventas #AtenciónAlCliente https://t.co/i5d8jpL6BN</t>
  </si>
  <si>
    <t>[#Resistencia] Bolsa de Trabajo UNCAUS busca #VENDEDOR/A
1️⃣ Registrate en: https://t.co/PwT58Peugs
2️⃣ Ingresá aquí: https://t.co/LEORvFGt7T
3️⃣ Seguí las indicaciones para postularte
#TNEA #Chaco #empleoar #trabajoar #Ventas https://t.co/UFhHrbaVoz</t>
  </si>
  <si>
    <t>[#Barranqueras] Se busca #PREVENTISTA/ #VENDEDOR #COMISIONISTA
1️⃣ Registrate en: https://t.co/PwT58Peugs
2️⃣ Ingresá aquí: https://t.co/xx2VzOEuxp
3️⃣ Seguí las indicaciones para postularte
#TNEA #Chaco #empleoar #trabajoar #Ventas https://t.co/MpMf89X6Ti</t>
  </si>
  <si>
    <t>[#Corrientes] Consultora NEA busca #VENDEDOR #ÓPTICO para importante empresa óptica
1️⃣ Registrate en: https://t.co/PwT58Peugs
2️⃣ Ingresá aquí: https://t.co/hKkj6vRS53
3️⃣ Seguí las indicaciones para postularte
#TNEA #empleoar #trabajoar #Ventas https://t.co/frRmrEcRpM</t>
  </si>
  <si>
    <t>[#Corrientes] Alucinna busca #VENDEDOR/A
1️⃣ Registrate en: https://t.co/PwT58Peugs
2️⃣ Ingresá aquí: https://t.co/IclS3mK1rU
3️⃣ Seguí las indicaciones para postularte
#TNEA #empleoar #trabajoar #Ventas https://t.co/BS2ATbO3oI</t>
  </si>
  <si>
    <t>⚫🟡 NORDEMAQ busca #VENDEDOR DE #MAQUINARIA #AGRÍCOLA zona #Chaco / #Corrientes 
👉 Enviar CV a: 📧 rrhh@nordemaq.com con la referencia ▪Vendedor de maquinarias▪
#TNEA #Chaco #Corrientes #empleoar #trabajoar https://t.co/qXj807Tw26</t>
  </si>
  <si>
    <t>🟤🟣 #MOCORETÁ (Corrientes) - #VENDEDOR DE #DISTRIBUCIÓN para Importante empresa regional
👉 Enviar CV a: 📧 rrhhdistribucionmg@gmail.com Ref. ▪️VENDEDOR DISTRIBUCIÓN MOCORETÁ▪️
#TNEA #Corrientes #empleoar #trabajoar https://t.co/YLviVtiKen</t>
  </si>
  <si>
    <t>📷📷 #CORRIENTESCAPITAL - BRÍO Consultoría selecciona #VENDEDOR/A para Importante Droguería
📷 Enviar CV a: 📷 cv@brioconsultoria.com.ar hasta 20-03-2023 indicando Asunto: 📷Vendedor📷
#TNEA #Corrientes #empleoar #trabajoar https://t.co/mmMImy8tTq</t>
  </si>
  <si>
    <t>📷📷 SENSEI busca #VENDEDOR MASCULINO para #VILLAGUAY #EntreRíos
📷 Envianos tu CV con foto actualizada a: 📷 rrhh@sensei.com.ar Asunto: 📷Vendedor VI📷 o por Wpp a:
📷 3794-711038 &amp;gt; https://t.co/hQBqK3Vs7z o
📷 3772 46-2660 &amp;gt; https://t.co/VlubGhSPt1
#TNEA #empleoar #trabajoar https://t.co/EG1MzcvoPW</t>
  </si>
  <si>
    <t>📷📷 #RESISTENCIA - #VENDEDOR para #GRANDES #CUENTAS para Importante empresa fabricante de materiales para la construcción
📷 Indicar pretensión económica y enviar CV con referencias a: 📷 busquedasrrhhnea@gmail.com Asunto: 📷Vendedor grandes cuentas📷
#TNEA #Chaco #empleoar https://t.co/Sl7whQtWos</t>
  </si>
  <si>
    <t>📷📷 #RESISTENCIA - SMP Descartables busca #VENDEDOR/A
📷 Interesados/as completar el siguiente formulario: 📷 https://t.co/TtuhoIHyks
#TNEA #Chaco #empleoar #trabajoar https://t.co/NHK2lAZ3va</t>
  </si>
  <si>
    <t>📷📷 Norte Bebé S.R.L. busca #VENDEDOR para el #interior de #CHACO
📷 Enviar CV a: 📷 hola@nortebebe.com.ar indicando en el Asunto: 📷VENDEDOR CHACO📷
#TNEA #Chaco #empleoar #trabajoar https://t.co/RAofz04IdE</t>
  </si>
  <si>
    <t>📷📷 SENSEI busca #VENDEDOR DE #SUCURSAL para #MONTECASEROS (Corrientes)
📷 Envianos tu CV con foto actualizada a: 📷 rrhh@sensei.com.ar Asunto: 📷Vendedor MC📷 o por WhatsApp al número: 📷 3772 46-2660 &amp;gt; https://t.co/CBlbCHnBsW
#TNEA #Corrientes #empleoar #trabajoar https://t.co/ckZjETPEmA</t>
  </si>
  <si>
    <t>📷📷 #CORRIENTESCAPITAL - Empresa Regional incorpora #VENDEDOR #CON #MOTO
📷 Enviar CV a: 📷 rrhhdistribucionmg@gmail.com indicando en el Asunto: 📷VENDEDOR CON MOTO CORRIENTES📷
#TNEA #Corrientes #empleoar #trabajoar https://t.co/TMIUlzesNT</t>
  </si>
  <si>
    <t>[#Corrientescapital] Corralon y Ferreteria Mauri busca #VENDEDOR 
1️⃣ Registrate en: https://t.co/PwT58PdWqU
2️⃣ Ingresá aquí: https://t.co/3KFv0uXwHr
3️⃣ Seguí las indicaciones para postularte
#TNEA #Corrientes #empleoar #trabajoar #Ventas #AtenciónAlCliente https://t.co/TN5fwdmxID</t>
  </si>
  <si>
    <t>⚫⚪ #CORRIENTESCAPITAL - Empresa Regional incorpora #VENDEDOR #CON #MOTO 
👉 Enviar CV a: 📧 rrhhdistribucionmg@gmail.com indicando en el Asunto: ▪VENDEDOR CON MOTO CORRIENTES▪
#TNEA #Corrientes #empleoar #trabajoar https://t.co/CeHkkDJzHA</t>
  </si>
  <si>
    <t>🔵🟠 SENSEI busca #VENDEDOR DE #SUCURSAL para #MONTECASEROS (Corrientes)  
👉 Envianos tu CV con foto actualizada a: 📧 rrhh@sensei.com.ar indicando en el Asunto: ▪Vendedor MC▪ o por WhatsApp al número: 📲 3772 46-2660 &amp;gt; https://t.co/CBlbCHnBsW
#TNEA #Corrientes #empleoar https://t.co/O3jGV1RuJu</t>
  </si>
  <si>
    <t>⚫🔵 Norte Bebé S.R.L. busca #VENDEDOR para el #interior de #CHACO   
👉 Enviar CV a: 📧 hola@nortebebe.com.ar indicando en el Asunto: ▪VENDEDOR CHACO▪
#TNEA #Chaco #empleoar #trabajoar https://t.co/CNTayLjNFI</t>
  </si>
  <si>
    <t>🟢🟡 #RESISTENCIA - SMP Descartables busca #VENDEDOR/A 
👉 Interesados/as completar el siguiente formulario: 📝 https://t.co/TtuhoIHyks
#TNEA #Chaco #empleoar #trabajoar https://t.co/epBGcJ69z1</t>
  </si>
  <si>
    <t>🟤⚪️ #RESISTENCIA - #VENDEDOR para #GRANDES #CUENTAS para Importante empresa fabricante de materiales para la construcción
👉 Indicar pretensión económica y enviar CV con REF a: 📧  busquedasrrhhnea@gmail.com Asunto del mail: ▪️Vendedor grandes cuentas▪️
#TNEA #Chaco #empleoar https://t.co/WCuAfDdLWs</t>
  </si>
  <si>
    <t>🟤⚪️ #RESISTENCIA - #VENDEDOR para #GRANDES #CUENTAS para Importante empresa fabricante de materiales para la construcción
👉 Indicar pretensión económica y enviar CV con referencias a: 📧  busquedasrrhhnea@gmail.com Asunto del mail: ▪️Vendedor grandes cuentas▪️
#TNEA #Chaco https://t.co/OXWnSGPVOE</t>
  </si>
  <si>
    <t>🔵🟠 SENSEI busca #VENDEDOR MASCULINO para #VILLAGUAY (#EntreRíos)  
👉 Envianos tu CV con foto actualizada a: 📧 rrhh@sensei.com.ar REF: ▪Vendedor VI▪ o a los números:
📲 3794-711038 &amp;gt; https://t.co/hQBqK3Vs7z o
📲 3772 46-2660 &amp;gt; https://t.co/VlubGhSPt1 
#TNEA #EntreRíos https://t.co/EDZEAscg2D</t>
  </si>
  <si>
    <t>🔵🟢 #CORRIENTESCAPITAL - BRÍO Consultoría selecciona #VENDEDOR/A para Importante Droguería
👉 Enviar CV a: 📧 cv@brioconsultoria.com.ar hasta 20-03-2023 indicando Asunto: ▪Vendedor▪
#TNEA #Corrientes #empleoar #trabajoar https://t.co/EoyRJJcOtl</t>
  </si>
  <si>
    <t>🟢⚫️ #CORRIENTESCAPITAL - #VENDEDOR #TELEFÓNICO para Empresa regional
👉 Postulate enviando tu CV con foto actual a: 📧 rrhhcentralmg@gmail.com
#TNEA #Corrientes #empleoar #trabajoar https://t.co/0qlBxA7UXz</t>
  </si>
  <si>
    <t>🔵⚪️ #RESISTENCIA - DRIUSSI Automóviles Concesionario multimarca incorpora  #VENDEDOR/A DE #SALÓN 
👉 Si cumplís con los requisitos enviar CV a: 📧 seleccion.ventasnea@gmail.com y en Asunto indicar: ▪Vendedor/a de Salón Resistencia▪
#TNEA #Chaco #empleoar #trabajoar https://t.co/V2qmoravia</t>
  </si>
  <si>
    <t>🔴⚫ #POSADAS - Distribuidora de bebidas busca #VENDEDOR/#VIAJANTE 
👉 Si cumplís con los requisitos y estás preparado para el desafío, por favor envianos tu CV a: 📧 m_bracamonte@hotmail.com indicando en el Asunto: VENDEDOR/VIAJANTE POSADAS
#TNEA #Misiones #empleoar #trabajoar https://t.co/vG30eYI4u2</t>
  </si>
  <si>
    <t>🟣⚪️ #PASODELOSLIBRES - #VENDEDOR DE #DISTRIBUCIÓN para Importante empresa de servicios
👉 Enviar CV a: 📧 rrhhdistribucionmg@gmail.com Ref. "VENDEDOR DE DISTRIBUCIÓN LIBRES"
#TNEA #Corrientes #empleoar #trabajoar https://t.co/dcxISa3inb</t>
  </si>
  <si>
    <t>🔵⚪️ #RESISTENCIA - DRIUSSI Automóviles Concesionario multimarca incorpora  #VENDEDOR/A DE #SALÓN 
👉 Si cumplís con los requisitos enviar CV a: 📧 seleccion.ventasnea@gmail.com y en Asunto indicar: ▪Vendedor/a de Salón Resistencia▪
#TNEA #Chaco #empleoar #trabajoar https://t.co/ma8vuALc9r</t>
  </si>
  <si>
    <t>[#Resistencia] Consultoras NEA busca #CAJERO #VENDEDOR
◉Registrate en: https://t.co/PwT58PdWqU
◉Ingresá aquí: https://t.co/0lr6AYb0oU
◉Seguí las indicaciones para postularte
#TNEA #Chaco #empleoar #trabajoar #Ventas #AtenciónAlCliente https://t.co/VIzxbDV6Xz</t>
  </si>
  <si>
    <t>⚠Residir en #RoqueSáenzPeña o alrededores (Chaco).
🟠🔵 Norte Bebé S.R.L. busca #VENDEDOR para el #interior del #CHACO
👉 Enviar CV a: 📧 hola@nortebebe.com.ar
#TNEA #Chaco #empleoar #trabajoar https://t.co/Jo5mBqCSqs</t>
  </si>
  <si>
    <t>🔴⚪️ #POSADAS (Misiones) - #VENDEDORES/AS p/Empresa de servicios
👉#VENDEDOR/A #DISTRIBUIDOR
CV a: rrhhdistribucionmg@gmail.com Ref VENDEDOR/A DISTRIBUCIÓN POSADAS
👉#VENDEDOR/A #PUERTA-#PUERTA: CV a: terrenoagencia@gmail.com Ref VENDEDOR/A EN TERRENO POSADAS
#TNEA #Misiones https://t.co/3OdnFvz3kN</t>
  </si>
  <si>
    <t>❗️GRAN INAUGURACIÓN❗️ Suc. Curuzú Cuatiá
🟢⚪️ #CURUZÚCUATIÁ (Corrientes) - Previsora del Paraná busca #VENDEDOR DE #ELECTRODOMÉSTICOS
👉 Postulate en: https://t.co/bWz9cpNrk3 o enviá CV a: rrhh@previsoradelparana.com Asunto: ▪️VENDEDOR CURUZÚ▪️
#TNEA #Corrientes #empleoar https://t.co/IKdPuKOgEK</t>
  </si>
  <si>
    <t>🔴⚫ Maquinagro S.A. busca #ASESOR DE #VENTAS (#VENDEDOR/ #VIAJANTE) para la provincia de #FORMOSA
👉 Envianos tu CV actualizado a: 📧 info@maquinagro.com.ar indicando en el Asunto: ▪ASESOR DE VENTAS FORMOSA▪
#TNEA #Formosa #empleoar #trabajoar https://t.co/PhDK92WhQK</t>
  </si>
  <si>
    <t>⚠Residir en #RoqueSáenzPeña o alrededores (Chaco).
🟠🔵 Norte Bebé S.R.L. busca #VENDEDOR para el #interior del #CHACO
👉 Enviar CV a: 📧 hola@nortebebe.com.ar
#TNEA #Chaco #empleoar #trabajoar https://t.co/wFdgIRlVMP</t>
  </si>
  <si>
    <t>🔵⚪️ #CORRIENTESCAPITAL - #VENDEDOR/A #TELEFÓNICO/A para CALL CENTER
👉 Enviar CV con foto actualizada a: 📧 rrhhcentralmg@gmail.com indicando en el Asunto: CALL CENTER CORRIENTES
#TNEA #Corrientes #empleoar #trabajoar https://t.co/QuHt4ZE6El</t>
  </si>
  <si>
    <t>🔴⚫ Maquinagro S.A. busca #ASESOR DE #VENTAS (#VENDEDOR/ #VIAJANTE) para la provincia de #FORMOSA
👉 Envianos tu CV actualizado a: 📧 info@maquinagro.com.ar indicando en el Asunto: ▪ASESOR DE VENTAS FORMOSA▪
#TNEA #Formosa #empleoar #trabajoar https://t.co/Grq4NN5o6B</t>
  </si>
  <si>
    <t>📷📷 #CORRIENTESCAPITAL - #VENDEDOR/A #TELEFÓNICO/A para CALL CENTER
📷 Enviar CV con foto actualizada a: 📷 rrhhcentralmg@gmail.com indicando en el Asunto: CALL CENTER CORRIENTES
#TNEA #Corrientes #empleoar #trabajoar https://t.co/eD1vhlz2Lx</t>
  </si>
  <si>
    <t>[#Corrientes / #Resistencia] - Se busca #VENDEDOR #CONVENCIONAL
1️⃣ Registrate en: https://t.co/PwT58PdWqU
2️⃣ Ingresá aquí: https://t.co/yDmsW8EUhj
3️⃣ Seguí las indicaciones para postularte
#TNEA #empleoar #trabajoar https://t.co/UqOjim78GW</t>
  </si>
  <si>
    <t>⚫🟡 NORDEMAQ busca #VENDEDOR DE #MAQUINARIA #AGRÍCOLA zona #Chaco / #Corrientes 
👉 Enviar CV a: 📧 rrhh@nordemaq.com con la referencia ▪Vendedor de maquinarias▪
#TNEA #Chaco #Corrientes #empleoar #trabajoar https://t.co/WmxXYMB34I</t>
  </si>
  <si>
    <t>🟤🟣 #MOCORETÁ (Corrientes) - #VENDEDOR DE #DISTRIBUCIÓN para Importante empresa regional
👉 Enviar CV a: 📧 rrhhdistribucionmg@gmail.com Ref. ▪️VENDEDOR DISTRIBUCIÓN MOCORETÁ▪️
#TNEA #Corrientes #empleoar #trabajoar https://t.co/rmmToRTp1C</t>
  </si>
  <si>
    <t>⚪️🔴 #RESISTENCIA - #VENDEDOR/A DE #PERFUMERÍA para EL INDIO Farmacia y Perfumería
👉 Enviar CV a: 📧 eiperfumeria.recepciondecv@gmail.com indicando en el asunto: Ref. ▪VENDEDOR/A PERFUMERÍA RESISTENCIA▪
#TNEA #Chaco #empleoar #trabajoar https://t.co/xMQCgIWZBZ</t>
  </si>
  <si>
    <t>🔴⚪️ #RESISTENCIA - EL INDIO Farmacia y Perfumería busca #VENDEDOR/A DE #FARMACIA
👉 Enviar CV a: 📧 eifarmacia.recepciondecv@gmail.com indicando en el asunto: Ref. ▪VENDEDOR/A FARMACIA RESISTENCIA▪
#TNEA #Chaco #empleoar #trabajoar https://t.co/5sNAJ5aLUn</t>
  </si>
  <si>
    <t>🟡🟢 #CORRIENTESCAPITAL - Maia Arzuaga busca #VENDEDOR - #REPARTIDOR para Empresa rubro Panificados
👉 POSTULATE en: 📝 https://t.co/fYSikWRlOl
#TNEA #Corrientes #empleoar #trabajoar https://t.co/v2TUzaCmJ0</t>
  </si>
  <si>
    <t>🔴⚫️ #POSADAS - Las Camelias seleccionará #VENDEDOR/ #CHOFER
👉 Enviar CV a: 📧 lc.recepciondecv@gmail.com indicando en el Asunto: ▪VENDEDOR/CHOFER POSADAS▪
#TNEA #Misiones #empleoar #trabajoar https://t.co/kKym4MDy7n</t>
  </si>
  <si>
    <t>🔴⚫️ #POSADAS - Las Camelias seleccionará #VENDEDOR/ #CHOFER
👉 Enviar CV a: 📧 lc.recepciondecv@gmail.com indicando en el Asunto: ▪VENDEDOR/CHOFER POSADAS▪
#TNEA #Misiones #empleoar #trabajoar https://t.co/FSklbV6XtO</t>
  </si>
  <si>
    <t>🔵🟠 #RESISTENCIA - #VENDEDOR/A y #CAJERO/A para Prestigiosa Empresa Comercial
👉 Es imprescindible enviar a casilla de correo: 📧 rrhh.integrante@gmail.com (indicando en el asunto ▪️VENDEDOR/A RCIA.▪️ o ▪️CAJERO/A RCIA.▪️):
#TNEA #Chaco #empleoar #trabajoar https://t.co/tXYBLGIlPb</t>
  </si>
  <si>
    <t>🔴⚪ #RESISTENCIA - #VENDEDOR DE #FARMACIA para EL INDIO Farmacia y Perfumería
👉 Enviar CV a: 📧 eifarmacia.recepciondecv@gmail.com indicando en el asunto: ▪VENDEDOR FARMACIA RESISTENCIA▪
#TNEA #Chaco #empleoar #trabajoar https://t.co/Nfaqq0AcIZ</t>
  </si>
  <si>
    <t>⚫🔴 #POSADAS - #VENDEDOR DE #DISTRIBUCIÓN para Importante empresa de la región
👉 Enviar CV a: 📧 agenciarrhhps@gmail.com Ref. ▪VENDEDOR DE DISTRIBUCIÓN POSADAS▪
#TNEA #Misiones #empleoar #trabajoar https://t.co/DBi9MuNJLf</t>
  </si>
  <si>
    <t>🔵⚪️ #RESISTENCIA - DRIUSSI Automóviles Concesionario multimarca incorpora #VENDEDOR/A DE #SALÓN
👉 Si cumplís con los requisitos enviar CV a: 📧 seleccion.ventasnea@gmail.com y en Asunto indicar: ▪Vendedor/a de Salón Resistencia▪
#TNEA #Chaco #empleoar #trabajoar https://t.co/Vy2FiO6Yr1</t>
  </si>
  <si>
    <t>[#Resistencia, #Chaco] - Se busca #VENDEDOR
1️⃣ Registrate en: https://t.co/PwT58PdWqU
2️⃣ Ingresá aquí: https://t.co/UcOIXxXcUz
3️⃣ Seguí las indicaciones para postularte
#TNEA #empleoar #trabajoar https://t.co/2Z5Sp3mRfB</t>
  </si>
  <si>
    <t>[#Corrientes] - Buscamos #VENDEDOR
1️⃣ Registrate en: https://t.co/PwT58PdWqU
2️⃣ Ingresá aquí: https://t.co/fXJ1hSHqnM
3️⃣ Seguí las indicaciones para postularte
#TNEA #empleoar #trabajoar https://t.co/NNnHgnvPyV</t>
  </si>
  <si>
    <t>[#Corrientes] Che Camba busca #VENDEDOR de mostrador
1️⃣ Registrate en: https://t.co/PwT58PdWqU
2️⃣ Ingresá aquí: https://t.co/JbqyZL9BV3
3️⃣ Seguí las indicaciones para postularte
#TNEA #Corrientes #empleoar #trabajoar #Ventas #AtenciónAlCliente https://t.co/nemWHvtPu0</t>
  </si>
  <si>
    <t>🟣⚪️ #PASODELOSLIBRES - #VENDEDOR DE #DISTRIBUCIÓN para Importante empresa de servicios
👉 Enviar CV a: 📧 rrhhdistribucionmg@gmail.com Ref. "VENDEDOR DE DISTRIBUCIÓN LIBRES"
#TNEA #Corrientes #empleoar #trabajoar https://t.co/KxQ0eyvqyd</t>
  </si>
  <si>
    <t>🔴⚫ #POSADAS - Distribuidora de bebidas busca #VENDEDOR/ #VIAJANTE
👉 Si cumplís con los requisitos y estás preparado para el desafío, envianos tu CV a: 📧 m_bracamonte@hotmail.com indicando en el Asunto: VENDEDOR/VIAJANTE POSADAS
#TNEA #Misiones #empleoar #trabajoar https://t.co/614PZ5z2FU</t>
  </si>
  <si>
    <t>🔵⚪️ #RESISTENCIA - DRIUSSI Automóviles Concesionario multimarca incorpora #VENDEDOR/A DE #SALÓN
👉 Si cumplís con los requisitos enviar CV a: 📧 seleccion.ventasnea@gmail.com y en Asunto indicar: ▪Vendedor/a de Salón Resistencia▪
#TNEA #Chaco #empleoar #trabajoar https://t.co/PJzoanjbnb</t>
  </si>
  <si>
    <t>⚫🔴 #POSADAS - #VENDEDOR DE #DISTRIBUCIÓN para Importante empresa de la región
👉 Enviar CV a: 📧 agenciarrhhps@gmail.com Ref. ▪VENDEDOR DE DISTRIBUCIÓN POSADAS▪
#TNEA #Misiones #empleoar #trabajoar https://t.co/yVE3hbB7O8</t>
  </si>
  <si>
    <t>[#Corrientes] - Buscamos #Vendedor/a para #Atención al #Cliente en comercio de indumentaria.
1️⃣ Registrate en: https://t.co/PwT58PdWqU
2️⃣ Ingresá aquí: https://t.co/uMyudM5iyD
3️⃣ Seguí las indicaciones para postularte
#TNEA #empleoar #trabajoar https://t.co/oBtgXPe84Y</t>
  </si>
  <si>
    <t>⚫🔴 #POSADAS - #VENDEDOR DE #DISTRIBUCIÓN para Importante empresa de la región
👉 Enviar CV a: 📧 agenciarrhhps@gmail.com Ref. ▪VENDEDOR DE DISTRIBUCIÓN POSADAS▪
#TNEA #Misiones #empleoar #trabajoar https://t.co/2PjKIyaY8N</t>
  </si>
  <si>
    <t>RT @tneaar: 🔴🔵 #CORRIENTESCAPITAL - Importante Empresa de la región busca #VENDEDOR/A DE #SALÓN y #CONTROL DE #STOCK con experiencia
👉 Env…</t>
  </si>
  <si>
    <t>RT @tneaar: [#Resistencia] Consultoras NEA busca #CAJERO #VENDEDOR
◉Registrate en: https://t.co/PwT58PdWqU
◉Ingresá aquí: https://t.co/0lr…</t>
  </si>
  <si>
    <t>A VENDA !!!  https://t.co/sQD87tYyvd... #venda #vendasonline #vendedor #sublimação #sublimacao #AmendoinsElmaChips #RiodeJaneiro #olx #DesapegueSeForCapazNoGNT https://t.co/mEnRwVCkf1</t>
  </si>
  <si>
    <t>Oferta de #Empleo: #Vendedor #Tienda de #Muebles en #MedinadelCampo
Se busca vendedor para tienda de muebles 
Jornada Completa
Incorporación inmediata
Salario según convenio
Envío de CV: hx@grupomillan.com 
@empleojcyl, @AyuntamientoMDC, @juventud_MdC 
#TierrasdeMedina https://t.co/JTOxSDCCCT</t>
  </si>
  <si>
    <t>Oportunidad Laboral: VENDEDOR / REPARTIDOR - San Francisco Córdoba
Importante Empresa de Nutrición Animal
https://t.co/DbgqfZpnuw
#TrabajoAr #Trabajo #Empleo #Vendedor #Ventas #Comercial #SanFrancisco #NutricionAnimal #Reparto #Repartidor #OFERTA #oportunidad https://t.co/X86IZHUPA6</t>
  </si>
  <si>
    <t>Oportunidad Laboral: VENDEDOR / REPARTIDOR - San Francisco Córdoba
Importante Empresa de Nutrición Animal
https://t.co/DbgqfZpnuw
#TrabajoAr #Trabajo #Empleo #Vendedor #Ventas #Comercial #SanFrancisco #NutricionAnimal #Reparto #Repartidor #OFERTA #Oportunidad https://t.co/hrlPSOPjvN</t>
  </si>
  <si>
    <t>Oportunidad Laboral: VENDEDOR / REPARTIDOR - San Francisco Córdoba
Importante Empresa de Nutrición Animal
https://t.co/DbgqfZpVk4
#TrabajoAr #Trabajo #Empleo #Vendedor #Ventas #Comercial #SanFrancisco #NutricionAnimal #Reparto #Repartidor #OFERTA #OportunidadLaboral https://t.co/ERyH8tRAtU</t>
  </si>
  <si>
    <t>Oportunidad Laboral: VENDEDOR / REPARTIDOR - San Francisco Córdoba
Importante Empresa de Nutrición Animal
https://t.co/DbgqfZpnuw
#TrabajoAr #Trabajo #Empleo #Vendedor #Ventas #Comercial #SanFrancisco #NutricionAnimal #Reparto #Repartidor #OFERTA #Oportunidad https://t.co/Y8cmHgp1Mk</t>
  </si>
  <si>
    <t>📖 &amp;gt; VENDER BIEN ES POSIBLE SI TIENES LAS HERRAMIENTAS de @santiagotorre hoy en #KindleFlash a 1,85€
🛒 &amp;gt;&amp;gt; https://t.co/LqvzCyLT9x
#guia #manual #ventas #consejos #herramientas #vendedor #leer #queleer #lectura #libro #ebook #kindle #kindlebook #amazon #FelizJueves</t>
  </si>
  <si>
    <t>📖 &amp;gt; VENDER BIEN ES POSIBLE SI TIENES LAS HERRAMIENTAS de @santiagotorre hoy en #KindleFlash a 1,85€
🛒 &amp;gt;&amp;gt; https://t.co/LqvzCyLljZ
#guia #manual #ventas #consejos #herramientas #vendedor #leer #queleer #lectura #libro #ebooks #kindle #kindlebooks #amazon #FelizViernes</t>
  </si>
  <si>
    <t>AMERICAN CALL CENTER esta buscando Asesores telefónicos con nivel de inglés. Aprovecha esta gran #Oporunidad #parati #sihaycamello #desempleados #desempleo #contratando #chambasihay #sihaychamba #trabajos #Guayaquil #Duran #Ecuador #vendedor https://t.co/HcEcjqm4xW</t>
  </si>
  <si>
    <t>https://t.co/cP13RsqCGM  #vendedor super atencioso, nota 1000 .#brinquedo #pra toda família # https://t.co/GDMztKcjOj</t>
  </si>
  <si>
    <t>#contrato #arras en #beneficio del #vendedor . #vivienda #piso #casa #propietario #comprador #compraventa #compraventainmuebles #contratoarras #inmuebles #inmueble #comprar #vender #vendercasa #clausulas #modelo #formulario #viciosocultos #vicios #ocultos https://t.co/wtYCLgiW1s https://t.co/QcgcNhaJpz</t>
  </si>
  <si>
    <t>¿Que hacer frente a #desperfectos en la #compraventa de una #vivienda ? #viciosocultos #comprador #vendedor #inmuebles #casa #piso #goteras #tuberias #carcoma #aluminosis #comprar #vender #abogadoinmobiliario #legal #legalmente #abogados https://t.co/4xD4Cx4thK</t>
  </si>
  <si>
    <t>¿Te quieren #echar del #piso que tienes #alquilado para poder #vender ? #alquiler #venta #inquilinos #propietario #casa #vivienda #inmueble #leydearrendamientosurbanos #ley #compraventa #comprador #vendedor #compraventainmuebles #comprar #comprarcasa #vendercasa #legalmente https://t.co/ckApucdIYN</t>
  </si>
  <si>
    <t>#contratoarras #arras #compraventa #derrama #comunidaddepropietarios #comunidaddevecinos #contrato #piso #casa #inmueble #propietario #comprador #vendedor #comprarcasa #vender #vendercasa #clausulas #modelo #plantillas #formulario #descargar #foryou #parati #legal #legalmente https://t.co/jz5fo8rL29</t>
  </si>
  <si>
    <t>#elige bien tu #inmobiliaria , #ahorra #dinero y evita #problemas #alquiler #compraventa #ventadecasas #vivienda #propietario #vendedor #comprador #inquilino #compradecasa #abogado #legalmente #legal https://t.co/v3BaZ2F6Bd</t>
  </si>
  <si>
    <t>¿Cómo #vender #vehiculos sin tener #problemas ? #ventas #contrato #compraventa #compraventacoches #coche #coches #comprador #vendedor #modelo #formulario #plantillas #foryou #parati #vehiculo #averia #viciosocultos #proteccion https://t.co/ZA2UyWAGMG</t>
  </si>
  <si>
    <t>#echar a tu #inquilino para #vender tu #casa . #vendercasa #piso #alquiler #venta #inquilinos #propietario #vivienda #inmuebles #leydearrendamientosurbanos #ley #compraventa #comprador #vendedor #compraventainmuebles #comprar #compracasa #vendercasa #legalmente #legal #abogados https://t.co/OnDD4srK5T</t>
  </si>
  <si>
    <t>A casa caiu pra @LulaOficial
Gostou do conteúdo?
Segue aê ➡️ @workshopdantas
#educacaofinanceira #empreendedor #dinheiro #finanças #reflexao #empreendedorismo #vendermais #organizacaofinanceira #rendaextra #marketingdigital #vendedor #direita #conservador #hugocarvajal https://t.co/JLBv6RNJnv</t>
  </si>
  <si>
    <t>Gostou do conteúdo?
Segue aê ➡️ @workshopdantas
#educacaofinanceira #empreendedor #dinheiro #finanças #reflexao #empreendedorismo #vendermais #organizacaofinanceira #rendaextra #rendaextraemcasa #marketingdigital #vendedor #direita #conservador @roxmo https://t.co/Q1ucx4Xvon</t>
  </si>
  <si>
    <t>Gostou do conteúdo?
Segue aê ➡️ @workshopdantas
@Damadeferroofic #empreendedor #dinheiro #finanças #reflexao #empreendedorismo #vendermais #organizacaofinanceira #rendaextra #rendaextraemcasa #marketingdigital #vendedor #direita #conservador #margaretthatcher https://t.co/YgWWLLQNFV</t>
  </si>
  <si>
    <t>Gostou do conteúdo?
Segue aê ➡️ @workshopdantas
#educacaofinanceira #empreendedor #dinheiro #finanças #reflexao #empreendedorismo #vendermais #organizacaofinanceira #rendaextra #rendaextraemcasa #marketingdigital #vendedor #santacruz #serieD https://t.co/mGZx1rbjbV</t>
  </si>
  <si>
    <t>Gostou do conteúdo?
Segue aê ➡️ @workshopdantas
#educacaofinanceira #empreendedor #dinheiro #finanças #reflexao #empreendedorismo #vendermais #organizacaofinanceira #rendaextra #rendaextraemcasa #marketingdigital #vendedor #direita #conservador #arthurschopenhauer https://t.co/FCGrdEF1HL</t>
  </si>
  <si>
    <t>Gostou do conteúdo?
Segue aê ➡️ @workshopdantas
#educacaofinanceira #empreendedor #dinheiro #finanças #reflexao #empreendedorismo #vendermais #organizacaofinanceira #rendaextra #rendaextraemcasa #marketingdigital #vendedor #direita #conservador #petralha https://t.co/pzdSPQPiTy</t>
  </si>
  <si>
    <t>Gostou do conteúdo?
Segue aê ➡️ @workshopdantas
#educacaofinanceira #empreendedor #dinheiro #finanças #reflexao #empreendedorismo #vendermais #organizacaofinanceira #rendaextra #rendaextraemcasa #marketingdigital #vendedor #direita #conservador #JanVanEllam https://t.co/HYrgcHys3x</t>
  </si>
  <si>
    <t>Gostou do conteúdo?
Segue aê ➡️ @workshopdantas
#educacaofinanceira #empreendedor #dinheiro #finanças #reflexao #empreendedorismo #vendermais #organizacaofinanceira #rendaextra #rendaextraemcasa #marketingdigital #vendedor #direita #conservador #alanwatts https://t.co/7ba0naLJQC</t>
  </si>
  <si>
    <t>Gostou do conteúdo?
Segue aê ➡️ @workshopdantas
#educacaofinanceira #empreendedor #dinheiro #finanças #reflexao #empreendedorismo #vendermais #organizacaofinanceira #rendaextra #rendaextraemcasa #marketingdigital #vendedor #direita #conservador #nom https://t.co/pv17et6z0Q</t>
  </si>
  <si>
    <t>Gostou do conteúdo?
Segue aê ➡️ @workshopdantas
#educacaofinanceira #empreendedor #dinheiro #finanças #reflexao #empreendedorismo #vendermais #organizacaofinanceira #rendaextra #rendaextraemcasa #marketingdigital #vendedor #direita #conservador #JimCaviezel https://t.co/yx7kaVzD8F</t>
  </si>
  <si>
    <t>Gostou do conteúdo?
Segue aê ➡️ @workshopdantas
#educacaofinanceira #empreendedor #dinheiro #finanças #reflexao #empreendedorismo #vendermais #organizacaofinanceira #rendaextra #rendaextraemcasa #marketingdigital #vendedor #direita #conservador #genfigueiredo https://t.co/9rMmEdzSt9</t>
  </si>
  <si>
    <t>Gostou do conteúdo?
Segue aê ➡️ @workshopdantas
#educacaofinanceira #empreendedor #dinheiro #finanças #reflexao #empreendedorismo #vendermais #organizacaofinanceira #rendaextra #rendaextraemcasa #marketingdigital #vendedor #direita #conservador #esquerdamaldita https://t.co/HbVKbLncHa</t>
  </si>
  <si>
    <t>Gostou do conteúdo?
Segue aê ➡️ @workshopdantas
#educacaofinanceira #empreendedor #dinheiro #finanças #reflexao #empreendedorismo #vendermais #organizacaofinanceira #rendaextra #rendaextraemcasa #marketingdigital #vendedor #direita #conservador #rodolfoabrantes https://t.co/phozslIZpe</t>
  </si>
  <si>
    <t>Gostou do conteúdo?
Segue aê ➡️ @workshopdantas
#educacaofinanceira #empreendedor #dinheiro #finanças #reflexao #empreendedorismo #vendermais #organizacaofinanceira #rendaextra #rendaextraemcasa #marketingdigital #vendedor #direita #conservador #stevenlawson https://t.co/mk7D9lamHX</t>
  </si>
  <si>
    <t>Gostou do conteúdo?
Segue aê ➡️ @workshopdantas
#educacaofinanceira #empreendedor #dinheiro #finanças #reflexao #empreendedorismo #vendermais #organizacaofinanceira #rendaextra #rendaextraemcasa #marketingdigital #vendedor #direita #conservador #olavotemrazao https://t.co/G8LmEkZWIQ</t>
  </si>
  <si>
    <t>"Vantagens de ter um IPTV"
Gostou do conteúdo?
Segue aê ➡️ @workshopdantas
#educacaofinanceira #empreendedor #dinheiro #finanças #reflexao #empreendedorismo #vendermais #organizacaofinanceira #rendaextra #rendaextraemcasa #marketingdigital #vendedor #IPTV https://t.co/PVF2LSsSrw</t>
  </si>
  <si>
    <t>Gostou do conteúdo?
Segue aê ➡️ @workshopdantas
#educacaofinanceira #empreendedor #dinheiro #finanças #reflexao #empreendedorismo #vendermais #organizacaofinanceira #rendaextra #rendaextraemcasa #marketingdigital #JohnnyDepp https://t.co/gzLoYiY7Zq</t>
  </si>
  <si>
    <t>Gostou do conteúdo?
Segue aê ➡️ @workshopdantas
#educacaofinanceira #empreendedor #dinheiro #finanças #reflexao #empreendedorismo #vendermais #organizacaofinanceira #rendaextra #rendaextraemcasa #marketingdigital #vendedor #direita #conservador #pilhado https://t.co/eXb61y5lGE</t>
  </si>
  <si>
    <t>FORÇAS ARMADAS
ESTA DORMINDO
NESSA PORRA.
ANULAÇÃO DAS
ELEIÇOES JÁ.
Gostou do conteúdo?
Segue aê ➡️ @workshopdantas
#educacaofinanceira #empreendedor #dinheiro #finanças #reflexao #empreendedorismo #vendermais   #marketingdigital #vendedor #direita #conservador #foralula https://t.co/onzICNYviI</t>
  </si>
  <si>
    <t>Gostou do conteúdo?
Segue aê ➡️ @workshopdantas
#educacaofinanceira #empreendedor #dinheiro #finanças #reflexao #empreendedorismo #vendermais #organizacaofinanceira #rendaextra #rendaextraemcasa #marketingdigital #vendedor #direita #conservador #SoundOfFreedom https://t.co/yJerz5PDMz</t>
  </si>
  <si>
    <t>Gostou do conteúdo?
Segue aê ➡️ @workshopdantas
#educacaofinanceira #empreendedor #dinheiro #finanças #reflexao #empreendedorismo #vendermais #organizacaofinanceira #rendaextra #rendaextraemcasa #marketingdigital #vendedor #direita #conservador #billmurray https://t.co/QWEhCvKbMf</t>
  </si>
  <si>
    <t>Gostou do conteúdo?
Segue aê ➡️ @workshopdantas
#educacaofinanceira #empreendedor #dinheiro #finanças #reflexao #empreendedorismo #vendermais #organizacaofinanceira #rendaextra #rendaextraemcasa #marketingdigital #vendedor #sportrecife #serieb #maiordonordeste https://t.co/0FR5hn7BHP</t>
  </si>
  <si>
    <t>Gostou do conteúdo?
Segue aê ➡️ @workshopdantas
#educacaofinanceira #empreendedor #dinheiro #finanças #reflexao #empreendedorismo #vendermais #organizacaofinanceira #rendaextra #rendaextraemcasa #marketingdigital #vendedor #sportrecife https://t.co/X4ZhSGxw7u</t>
  </si>
  <si>
    <t>Gostou do conteúdo?
Segue aê ➡️ @workshopdantas
#educacaofinanceira #empreendedor #dinheiro #finanças #reflexao #empreendedorismo #vendermais #organizacaofinanceira #rendaextra #rendaextraemcasa #marketingdigital #vendedor #direita #conservador #jairbolsonaro https://t.co/MSYQGHXQor</t>
  </si>
  <si>
    <t>Gostou do conteúdo?
Segue aê ➡️ @workshopdantas
#educacaofinanceira #empreendedor #dinheiro #finanças #reflexao #empreendedorismo #vendermais #organizacaofinanceira #rendaextra #rendaextraemcasa #marketingdigital #vendedor #direita #conservador #jimryun https://t.co/yQlK9Pfwdw</t>
  </si>
  <si>
    <t>DOMINGO: 23/07/23.
LOCAL: PRAÇA DA LIBERDADE.
HORA: 10 HORAS.
PAUTA: FORA LULA!!!
Gostou do conteúdo?
Segue aê ➡️ @workshopdantas
#educacaofinanceira #empreendedor #dinheiro #finanças #reflexao #empreendedorismo #marketingdigital #vendedor #direita #conservador #ForaLula https://t.co/CBEI5bLasz</t>
  </si>
  <si>
    <t>Gostou do conteúdo?
Segue aê ➡️ @workshopdantas
#educacaofinanceira #empreendedor #dinheiro #finanças #reflexao #empreendedorismo #vendermais #organizacaofinanceira #rendaextra #rendaextraemcasa #marketingdigital #vendedor #direita #conservador #robertadams https://t.co/qNCe3beKsP</t>
  </si>
  <si>
    <t>Gostou do conteúdo?
Segue aê ➡️ @workshopdantas
#educacaofinanceira #empreendedor #dinheiro #finanças #reflexao #empreendedorismo #vendermais #organizacaofinanceira #rendaextra #rendaextraemcasa #marketingdigital #vendedor #direita #conservador #frankshermanland https://t.co/qLp0p8Xgvn</t>
  </si>
  <si>
    <t>Gostou do conteúdo?
Segue aê ➡️ @workshopdantas
#educacaofinanceira #empreendedor #dinheiro #finanças #reflexao #empreendedorismo #vendermais #organizacaofinanceira #rendaextra #rendaextraemcasa #marketingdigital #vendedor #direita #conservador #EuSigoBolsonaro https://t.co/hI3pMbtUNM</t>
  </si>
  <si>
    <t>Gostou do conteúdo?
Segue aê ➡️ @workshopdantas
#educacaofinanceira #empreendedor #dinheiro #finanças #reflexao #empreendedorismo #vendermais #organizacaofinanceira #rendaextra #rendaextraemcasa #marketingdigital #vendedor #direita #conservador #napoleonhill https://t.co/QfJutJsScH</t>
  </si>
  <si>
    <t>Gostou do conteúdo?
Segue aê ➡️ @workshopdantas
#educacaofinanceira #empreendedor #dinheiro #finanças #reflexao #empreendedorismo #vendermais #organizacaofinanceira #rendaextra #rendaextraemcasa #marketingdigital #vendedor #direita #conservador #streaming https://t.co/39V33Y0wvI</t>
  </si>
  <si>
    <t>Gostou do conteúdo?
Segue aê ➡️ @workshopdantas
#educacaofinanceira #empreendedor #dinheiro #finanças #reflexao #empreendedorismo #vendermais #organizacaofinanceira #rendaextra #rendaextraemcasa #marketingdigital #direita #conservador #imprensa #corrupcao #josephpulitzer https://t.co/80ysJ9Ga0m</t>
  </si>
  <si>
    <t>Gostou do conteúdo?
Segue aê ➡️ @workshopdantas
#educacaofinanceira #empreendedor #dinheiro #finanças #reflexao #empreendedorismo #vendermais #organizacaofinanceira #rendaextra #rendaextraemcasa #marketingdigital #vendedor #direita #conservador https://t.co/uDs0hcEdKc</t>
  </si>
  <si>
    <t>Gostou do conteúdo?
Segue aê ➡️ @workshopdantas
#educacaofinanceira #empreendedor #dinheiro #finanças #reflexao #empreendedorismo #vendermais #organizacaofinanceira #rendaextra #rendaextraemcasa #marketingdigital #vendedor #direita #conservador @rmotta2 https://t.co/bMIoHTQCnE</t>
  </si>
  <si>
    <t>No Recife tudo é diferente.
Não há regras de trânsito/navegação precisas.
Gostou do conteúdo?
Segue aê ➡️ @workshopdantas
#educacaofinanceira #empreendedor #dinheiro #finanças #reflexao #empreendedorismo #vendermais  #marketingdigital #vendedor #direita #conservador https://t.co/vTfq9tvjZw</t>
  </si>
  <si>
    <t>Gostou do conteúdo?
Segue aê ➡️ @workshopdantas
#educacaofinanceira #empreendedor #dinheiro #finanças #reflexao #empreendedorismo #vendermais #organizacaofinanceira #rendaextra #rendaextraemcasa #marketingdigital #vendedor #direita #conservador #brucedickinson #ironmaiden https://t.co/iKIHJNmSA7</t>
  </si>
  <si>
    <t>Direita conservadora, vamos nos unir e derrotar essa esquerda que rouba nosso país!
Gostou do conteúdo?
Segue aê ➡️ @workshopdantas
#educacaofinanceira #reflexao #empreendedorismo #vendermais #organizacaofinanceira #rendaextraemcasa #marketingdigital 
 #direita #conservador https://t.co/rQvpgHi6vD</t>
  </si>
  <si>
    <t>Gostou do conteúdo?
Segue aê ➡️ @workshopdantas
#educacaofinanceira #empreendedor #dinheiro #finanças #reflexao #empreendedorismo #vendermais #organizacaofinanceira #rendaextra #rendaextraemcasa #marketingdigital #vendedor #direita #conservador #rogerscruton https://t.co/WwEr4p8MMp</t>
  </si>
  <si>
    <t>Gostou do conteúdo?
Segue aê ➡️ @workshopdantas
#educacaofinanceira #empreendedor #dinheiro #finanças #reflexao #empreendedorismo #vendermais #organizacaofinanceira #rendaextra #rendaextraemcasa #marketingdigital #vendedor #direita #conservador https://t.co/1VgJPPkbNY</t>
  </si>
  <si>
    <t>Gostou do conteúdo?
Segue aê ➡️ @workshopdantas
#educacaofinanceira #empreendedor #dinheiro #finanças #reflexao #empreendedorismo #vendermais #organizacaofinanceira #rendaextra #rendaextraemcasa #marketingdigital #vendedor #direita #conservador https://t.co/AHvfbl4sBc</t>
  </si>
  <si>
    <t>Gostou do conteúdo?
Segue aê ➡️ @workshopdantas
#educacaofinanceira #empreendedor #dinheiro #finanças #reflexao #empreendedorismo #vendermais #organizacaofinanceira #rendaextra #marketingdigital #vendedor #direita #conservador #pedofilia #CriancaEsperanca #FazoL https://t.co/wSVLk5ibYI</t>
  </si>
  <si>
    <t>Gostou do conteúdo?
Segue aê ➡️ @workshopdantas
#educacaofinanceira #empreendedor #dinheiro #finanças #reflexao #empreendedorismo #vendermais #organizacaofinanceira #rendaextra #rendaextraemcasa #marketingdigital #vendedor #direita #conservador #thomasedison https://t.co/LNDpkgoFgZ</t>
  </si>
  <si>
    <t>Gostou do conteúdo?
Segue aê ➡️ @workshopdantas
#educacaofinanceira #empreendedor #dinheiro #finanças #reflexao #empreendedorismo #vendermais #organizacaofinanceira #rendaextra #rendaextraemcasa #marketingdigital #vendedor #direita #conservador #josephpulitzer https://t.co/AgXvRGuFIX</t>
  </si>
  <si>
    <t>Gostou do conteúdo?
Segue aê ➡️ @workshopdantas
#educacaofinanceira #empreendedor #dinheiro #finanças #reflexao #empreendedorismo #vendermais #organizacaofinanceira #rendaextra #rendaextraemcasa #marketingdigital #vendedor #direita #conservador #napoleaobonaparte https://t.co/5FbUtjhRXk</t>
  </si>
  <si>
    <t>Gostou do conteúdo?
Segue aê ➡️ @workshopdantas
#educacaofinanceira #empreendedor #dinheiro #finanças #reflexao #empreendedorismo #vendermais #organizacaofinanceira #rendaextra #rendaextraemcasa #marketingdigital #vendedor #direita #conservador #martincooper https://t.co/6yfeGDGsNo</t>
  </si>
  <si>
    <t>Gostou do conteúdo?
Segue aê ➡️ @workshopdantas
#educacaofinanceira #empreendedor #dinheiro #finanças #reflexao #empreendedorismo #vendermais #organizacaofinanceira #rendaextra #rendaextraemcasa #marketingdigital #vendedor #direita #conservador https://t.co/nTW40XR362</t>
  </si>
  <si>
    <t>Gostou do conteúdo?
Segue aê ➡️ @workshopdantas
#educacaofinanceira #empreendedor #dinheiro #finanças #reflexao #empreendedorismo #vendermais #organizacaofinanceira #rendaextra #rendaextraemcasa #marketingdigital #vendedor #direita #conservador https://t.co/U7OfwrZvZp</t>
  </si>
  <si>
    <t>Gostou do conteúdo?
Segue aê ➡️ @workshopdantas
#educacaofinanceira #empreendedor #dinheiro #finanças #reflexao #empreendedorismo #vendermais #organizacaofinanceira #rendaextra #rendaextraemcasa #marketingdigital #vendedor #direita #conservador #elonmusk https://t.co/ZsOl04FZD0</t>
  </si>
  <si>
    <t>Gostou do conteúdo?
Segue aê ➡️ @workshopdantas
#educacaofinanceira #empreendedor #dinheiro #finanças #reflexao #empreendedorismo #vendermais #organizacaofinanceira #rendaextra #rendaextraemcasa #marketingdigital #vendedor #filosofia #freud https://t.co/olpgFNo4dR</t>
  </si>
  <si>
    <t>Gostou do conteúdo?
Segue aê ➡️ @workshopdantas
#educacaofinanceira #empreendedor #dinheiro #finanças #reflexao #empreendedorismo #vendermais #organizacaofinanceira #rendaextra #rendaextraemcasa #marketingdigital #vendedor #direita #conservador #fazueli https://t.co/brVp3APExQ</t>
  </si>
  <si>
    <t>Gostou do conteúdo?
Segue aê ➡️ @workshopdantas
#educacaofinanceira #empreendedor #dinheiro #finanças #reflexao #empreendedorismo #vendermais #organizacaofinanceira #rendaextra #rendaextraemcasa #marketingdigital #vendedor #direita #conservador #FAZOL #magazineluiza https://t.co/44MEbmkRoT</t>
  </si>
  <si>
    <t>Surreal!
Gostou do conteúdo?
Segue aê ➡️ @workshopdantas
#educacaofinanceira #empreendedor #dinheiro #finanças #reflexao #empreendedorismo #vendermais #organizacaofinanceira #rendaextra #rendaextraemcasa #marketingdigital #vendedor #direita #conservador #cuidadocomsuaface https://t.co/cC6hPViO2z</t>
  </si>
  <si>
    <t>Gostou do conteúdo?
Segue aê ➡️ @workshopdantas
#educacaofinanceira #empreendedor #dinheiro #finanças #reflexao #empreendedorismo #vendermais #organizacaofinanceira #rendaextra #rendaextraemcasa #marketingdigital #vendedor #direita #conservador #contradrogas https://t.co/bLlSGdUTrw</t>
  </si>
  <si>
    <t>Gostou do conteúdo?
Segue aê ➡️ @workshopdantas
#educacaofinanceira #empreendedor #dinheiro #finanças #reflexao #empreendedorismo #vendermais #organizacaofinanceira #rendaextra #rendaextraemcasa #marketingdigital #vendedor #direita #conservador #frankzappa https://t.co/QGidm7SUaC</t>
  </si>
  <si>
    <t>Gostou do conteúdo?
Segue aê ➡️ @workshopdantas
#educacaofinanceira #empreendedor #dinheiro #finanças #reflexao #empreendedorismo #vendermais #organizacaofinanceira #rendaextra #rendaextraemcasa #marketingdigital #vendedor #direita #conservador #SoundOfFreedom #Timballard https://t.co/8ygoC1WdQ9</t>
  </si>
  <si>
    <t>Gostou do conteúdo?
Segue aê ➡️ @workshopdantas
#educacaofinanceira #empreendedor #dinheiro #finanças #reflexao #empreendedorismo #vendermais #organizacaofinanceira #rendaextra #rendaextraemcasa #marketingdigital #vendedor #morpheus #matrix https://t.co/3gYllBrYbZ</t>
  </si>
  <si>
    <t>Gostou do conteúdo?
Segue aê ➡️ @workshopdantas
#educacaofinanceira #empreendedor #dinheiro #finanças #reflexao #empreendedorismo #vendermais #organizacaofinanceira #rendaextra #rendaextraemcasa #marketingdigital #vendedor #direita #conservador #flaviodinocomrabopreso https://t.co/M1axAkuVVR</t>
  </si>
  <si>
    <t>Gostou do conteúdo?
Segue aê ➡️ @workshopdantas
#educacaofinanceira #empreendedor #dinheiro #finanças #reflexao #empreendedorismo #vendermais #organizacaofinanceira #rendaextra #rendaextraemcasa #marketingdigital #vendedor #direita #conservador https://t.co/HBe3QMGOW6</t>
  </si>
  <si>
    <t>Gostou do conteúdo?
Segue aê ➡️ @workshopdantas
#educacaofinanceira #empreendedor #dinheiro #finanças #reflexao #empreendedorismo #vendermais #organizacaofinanceira #rendaextra #rendaextraemcasa #marketingdigital #vendedor #direita #conservador #flaviodinocomunista https://t.co/XfZPoGBbdQ</t>
  </si>
  <si>
    <t>Gostou do conteúdo?
Segue aê ➡️ @workshopdantas
#educacaofinanceira #empreendedor #dinheiro #finanças #reflexao #empreendedorismo #vendermais #organizacaofinanceira #rendaextra #rendaextraemcasa #marketingdigital #vendedor #sportrecife #maiordonordeste https://t.co/KZEUlt17Qz</t>
  </si>
  <si>
    <t>Gostou do conteúdo?
Segue aê ➡️ @workshopdantas
#educacaofinanceira #empreendedor #dinheiro #finanças #reflexao #empreendedorismo #vendermais #organizacaofinanceira #rendaextra #rendaextraemcasa #marketingdigital #vendedor #direita #conservador #olavotemrazao https://t.co/LLEz2CNBya</t>
  </si>
  <si>
    <t>Gostou do conteúdo?
Segue aê ➡️ @workshopdantas
#educacaofinanceira #empreendedor #dinheiro #finanças #reflexao #empreendedorismo #vendermais #organizacaofinanceira #rendaextra #rendaextraemcasa #marketingdigital #vendedor #direita #conservador #zedirceu #petêadmitiu https://t.co/BOgCe1KnUc</t>
  </si>
  <si>
    <t>Gostou do conteúdo?
Segue aê ➡️ @workshopdantas
#educacaofinanceira #empreendedor #dinheiro #finanças #reflexao #empreendedorismo #vendermais #organizacaofinanceira #rendaextra #rendaextraemcasa #marketingdigital #vendedor #direita #conservador #billygraham https://t.co/8MUedB9RJ9</t>
  </si>
  <si>
    <t>Gostou do conteúdo?
Segue aê ➡️ @workshopdantas
#educacaofinanceira #empreendedor #dinheiro #finanças #reflexao #empreendedorismo #vendermais #organizacaofinanceira #rendaextra #rendaextraemcasa #marketingdigital #vendedor #direita #conservador #8dejaneiro https://t.co/m1GM6gexab</t>
  </si>
  <si>
    <t>Gostou do conteúdo?
Segue aê ➡️ @workshopdantas
#educacaofinanceira #empreendedor #dinheiro #finanças #reflexao #empreendedorismo #vendermais #organizacaofinanceira #rendaextra #rendaextraemcasa #marketingdigital #vendedor #direita #conservador #brasil #santacruz #feminina https://t.co/H5bSnoCzZD</t>
  </si>
  <si>
    <t>Gostou do conteúdo?
Segue aê ➡️ @workshopdantas
#educacaofinanceira #empreendedor #dinheiro #finanças #reflexao #empreendedorismo #vendermais #organizacaofinanceira #rendaextra #rendaextraemcasa #marketingdigital #vendedor #direita #conservador #JidduKrishnamurti https://t.co/4sdslZVVN3</t>
  </si>
  <si>
    <t>Gostou do conteúdo?
Segue aê ➡️ @workshopdantas
#educacaofinanceira #empreendedor #dinheiro #finanças #reflexao #empreendedorismo #vendermais #organizacaofinanceira #rendaextra #rendaextraemcasa #marketingdigital #vendedor #direita #conservador #bolsonarosempretemrazao https://t.co/oNWeDRsO47</t>
  </si>
  <si>
    <t>Gostou do conteúdo?
Segue aê ➡️ @workshopdantas
#educacaofinanceira #empreendedor #dinheiro #finanças #reflexao #empreendedorismo #vendermais #organizacaofinanceira #rendaextra #rendaextraemcasa #marketingdigital #vendedor #direita #conservador #victorfasano https://t.co/T76eN7uZIK</t>
  </si>
  <si>
    <t>Gostou do conteúdo?
Segue aê ➡️ @workshopdantas
#educacaofinanceira #empreendedor #dinheiro #finanças #reflexao #empreendedorismo #vendermais #organizacaofinanceira #rendaextra #rendaextraemcasa #marketingdigital #vendedor #nom #iluminate #desperte https://t.co/wXI2khBtvt</t>
  </si>
  <si>
    <t>Gostou do conteúdo?
Segue aê ➡️ @workshopdantas
#educacaofinanceira #empreendedor #dinheiro #finanças #reflexao #empreendedorismo #vendermais #organizacaofinanceira #rendaextra #rendaextraemcasa #marketingdigital #vendedor #sportrecife https://t.co/z2rcPOWUvS</t>
  </si>
  <si>
    <t>Gostou do conteúdo?
Segue aê ➡️ Workshops Dantas 
#educacaofinanceira #empreendedor #dinheiro #finanças #reflexao #empreendedorismo #vendermais #organizacaofinanceira #rendaextra #marketingdigital #vendedor #direita #conservador #contranovaordemmundial #AgainstTheNewWorldOrder https://t.co/3U2tpOCGcs</t>
  </si>
  <si>
    <t>Gostou do conteúdo?
Segue aê ➡️ @workshopdantas
#educacaofinanceira #empreendedor #dinheiro #finanças #reflexao #empreendedorismo #vendermais #organizacaofinanceira #rendaextra #rendaextraemcasa #marketingdigital #vendedor #direita #conservador #Bolsonaro https://t.co/Md4h4tFasu</t>
  </si>
  <si>
    <t>Gostou do conteúdo?
Segue aê ➡️ @workshopdantas
#educacaofinanceira #empreendedor #dinheiro #finanças #reflexao #empreendedorismo #vendermais #organizacaofinanceira #rendaextra #rendaextraemcasa #marketingdigital #vendedor #direita #conservador #LuladraoDesgracaEDestruicao https://t.co/A11lLP9JrJ</t>
  </si>
  <si>
    <t>Gostou do conteúdo?
Segue aê ➡️ @workshopdantas
#educacaofinanceira #empreendedor #dinheiro #finanças #reflexao #empreendedorismo #vendermais #organizacaofinanceira #rendaextra #rendaextraemcasa #marketingdigital #vendedor  #tiagomedeiros #SantaCruz #SportRecife https://t.co/w22YiR058r</t>
  </si>
  <si>
    <t>Gostou do conteúdo?
Segue aê ➡️ @workshopdantas
#educacaofinanceira #empreendedor #dinheiro #finanças #reflexao #empreendedorismo #vendermais #organizacaofinanceira #rendaextra #rendaextraemcasa #marketingdigital #vendedor #direita #conservador #haddadposte https://t.co/Jo6RZLA8jS</t>
  </si>
  <si>
    <t>Gostou do conteúdo?
Segue aê ➡️ @workshopdantas
#educacaofinanceira #empreendedor #dinheiro #finanças #reflexao #empreendedorismo #vendermais #organizacaofinanceira #rendaextra #rendaextraemcasa #marketingdigital #vendedor #direita #conservador #FAZOL #casasbahia https://t.co/QgrVi6s1kc</t>
  </si>
  <si>
    <t>Hoje tem Sport!
Gostou do conteúdo?
Segue aê ➡️ @workshopdantas
#educacaofinanceira #empreendedor #dinheiro #finanças #reflexao #empreendedorismo #vendermais #organizacaofinanceira #rendaextra #rendaextraemcasa #marketingdigital #vendedor #crb #sport #serieb2023 https://t.co/3P9O2p6kce</t>
  </si>
  <si>
    <t>🛒 Adquira a maior grade de canais !
Gostou do conteúdo?
Segue aê ➡️ @workshopdantas
#educacaofinanceira #empreendedor #dinheiro #finanças #reflexao #empreendedorismo #vendermais #organizacaofinanceira #rendaextra #rendaextraemcasa #marketingdigital #vendedor #tvonline https://t.co/ZX0NO8bTfX</t>
  </si>
  <si>
    <t>Gostou do conteúdo?
Segue aê ➡️ @workshopdantas
#educacaofinanceira #empreendedor #dinheiro #finanças #reflexao #empreendedorismo #vendermais #organizacaofinanceira #rendaextra #rendaextraemcasa #marketingdigital #vendedor #epoca #guerra #winstonchurchill https://t.co/fsySUfWg3J</t>
  </si>
  <si>
    <t>Gostou do conteúdo?
Segue aê ➡️ @workshopdantas
#educacaofinanceira #empreendedor #dinheiro #finanças #reflexao #empreendedorismo #vendermais #organizacaofinanceira #rendaextra #rendaextraemcasa #marketingdigital #vendedor #direita #conservador #sergiomoro https://t.co/BdFaEeUQhe</t>
  </si>
  <si>
    <t>03 COISAS SOBRE VENDER NA INTERNET: 1 - É possível 2 - Não é fácil 3 - Você vai começar a vender em pelo menos 45 dias se for começar do absoluto zero. #vendas #marketingdigital #negocios #vendedor</t>
  </si>
  <si>
    <t>Tienda de ropa de playa busca promotor en venta, 2 años de experiencia; para para nuestra tienda en TULUM, Q.R., ofrecemos $8000 +P.L (IMSS, INFONAVIT, aguinaldo) #Retail #Ventas #trabajo #empleomoda #Vendedor #empleo #Ventas #QuintanaRoo #TULUM #RIVIERAMAYA #TRABAJOTULUM https://t.co/i2XosMhHR3</t>
  </si>
  <si>
    <t>Tienda de ropa de playa busca promotor en venta, 2 años de experiencia; para para nuestra tienda en TULUM, Q.R., ofrecemos $8000 +P.L (IMSS, INFONAVIT, aguinaldo) #Retail #Ventas #trabajo #empleomoda #Vendedor #empleo #Ventas #QuintanaRoo #TULUM #RIVIERAMAYA #TRABAJOTULUM https://t.co/HgYZNWb1S1</t>
  </si>
  <si>
    <t>Tienda de ropa busca promotor en ventas, 2 años exp; Tienda en TULUM Q.R. SB$11mil+Vale transporte$2mil+Bonos$1470+ Prestaciones Ley(IMSS, INFONAVIT) #Retail #Ventas #trabajo #empleomoda #Vendedor #empleo #Ventas #QuintanaRoo #TULUM #RIVIERAMAYA #TrabajoTulum https://t.co/R5UlBBA0Y9</t>
  </si>
  <si>
    <t>Tienda de ropa de playa busca promotor en venta, 2 años de experiencia; para para nuestra tienda en TULUM, Q.R., ofrecemos $8000 +P.L (IMSS, INFONAVIT, aguinaldo) #Retail #Ventas #trabajo #empleomoda #Vendedor #empleo #Ventas #QuintanaRoo #TULUM #RIVIERAMAYA #TrabajoTulum https://t.co/qgE7NtxuoK</t>
  </si>
  <si>
    <t>Tienda de ropa de playa busca promotor en venta, 2 años de experiencia; para para nuestra tienda en TULUM, Q.R., ofrecemos $8000 +P.L (IMSS, INFONAVIT, aguinaldo) #Retail #Ventas #trabajo #empleomoda #Vendedor #empleo #Ventas #QuintanaRoo #TULUM #RIVIERAMAYA #TrabajoTulum https://t.co/3Shvn8QeU4</t>
  </si>
  <si>
    <t>Tienda de ropa de playa busca promotor en venta, 2 años de experiencia; para para nuestra tienda en TULUM, Q.R., ofrecemos $8000 +P.L (IMSS, INFONAVIT, aguinaldo) #Retail #Ventas #trabajo #empleomoda #Vendedor #empleo #Ventas #QuintanaRoo #TULUM #RIVIERAMAYA #TrabajoTulum https://t.co/gFzsRi9f3d</t>
  </si>
  <si>
    <t>Tienda de ropa de playa busca promotor en venta, 2 años de experiencia; para para nuestra tienda en TULUM, Q.R., ofrecemos $8000 +P.L (IMSS, INFONAVIT, aguinaldo) #Retail #Ventas #trabajo #empleomoda #Vendedor #empleo #Ventas #QuintanaRoo #TULUM #RIVIERAMAYA #TrabajoTulum https://t.co/SQKMdGrKdX</t>
  </si>
  <si>
    <t>Tienda de ropa busca promotor en ventas, 2 años exp; Tienda en TULUM Q.R. SB$11mil+Vale transporte$2mil+Bonos$1470+ Prestaciones Ley(IMSS, INFONAVIT) #Retail #Ventas #trabajo #empleomoda #Vendedor #empleo #Ventas #QuintanaRoo #TULUM #RIVIERAMAYA #TrabajoTulum https://t.co/OxnAaAvS70</t>
  </si>
  <si>
    <t>Tienda de ropa de playa busca promotor en venta, 2 años de experiencia; para para nuestra tienda en TULUM, Q.R., ofrecemos $8000 +P.L (IMSS, INFONAVIT, aguinaldo) #Retail #Ventas #trabajo #empleomoda #Vendedor #empleo #Ventas #QuintanaRoo #TULUM #RIVIERAMAYA #TrabajoTulum https://t.co/IIwLv0qSdC</t>
  </si>
  <si>
    <t>Tienda de ropa busca promotor en ventas, 2 años exp; Tienda en TULUM Q.R. SB$8mil+Vale transporte$4500+Bonos$1470+ Prestaciones Ley(IMSS, INFONAVIT) #Retail #Ventas #trabajo #empleomoda #Vendedor #empleo #Ventas #QuintanaRoo #TULUM #RIVIERAMAYA #TrabajoTulum https://t.co/mJmEKe0BbH</t>
  </si>
  <si>
    <t>Tienda de ropa busca promotor en ventas, 2 años exp; Tienda en TULUM Q.R. SB$8mil+Vale transporte$4500+Bonos$1470+ Prestaciones Ley(IMSS, INFONAVIT) #Retail #Ventas #trabajo #empleomoda #Vendedor #empleo #Ventas #QuintanaRoo #TULUM #RIVIERAMAYA #TrabajoTulum https://t.co/AJ4w8r6QGO</t>
  </si>
  <si>
    <t>Empresa especialista en ropa de playa busca asesor en venta un mínimo de 2 años de experiencia (ventas Retail); es para para nuestra tienda en LOS CABOS, BAJA CALIFORNIA #trabajo #trabajoloscabos #empleomoda #empleomexico #Vendedor #Retail #LosCabos  #empleo #cabosanlucas #Ventas https://t.co/PvCIhPG7IL</t>
  </si>
  <si>
    <t>Tienda de ropa busca promotor en ventas, 2 años exp; Tienda en TULUM Q.R. SB$8mil+Vale transporte$2mil+Bonos$1470+Servicio comedor$2750+ Prestaciones Ley(IMSS, INFONAVIT) #Retail #Ventas #trabajo #empleomoda #Vendedor #empleo #Ventas #QuintanaRoo #TULUM #RIVIERAMAYA #TrabajoTulum https://t.co/RIdPLtbOnf</t>
  </si>
  <si>
    <t>Tienda de ropa de playa busca promotor en venta, 2 años de experiencia; para para nuestra tienda en TULUM, Q.R., ofrecemos $8000 +P.L (IMSS, INFONAVIT, aguinaldo) #Retail #Ventas #trabajo #empleomoda #Vendedor #empleo #Ventas #QuintanaRoo #TULUM #RIVIERAMAYA #TrabajoTulum https://t.co/DfIfDJZJV5</t>
  </si>
  <si>
    <t>Tienda de ropa de playa busca promotor en venta, 2 años de experiencia; para para nuestra tienda en TULUM, Q.R., ofrecemos $8000 +P.L (IMSS, INFONAVIT, aguinaldo) #Retail #Ventas #trabajo #empleomoda #Vendedor #empleo #Ventas #QuintanaRoo #TULUM #RIVIERAMAYA #TrabajoTulum https://t.co/DFv057sGgE</t>
  </si>
  <si>
    <t>Tienda de ropa busca promotor en ventas, 2 años exp; Tienda en TULUM Q.R. SB$11mil+Vale transporte$2mil+Bonos$1470+ Prestaciones Ley(IMSS, INFONAVIT) #Retail #Ventas #trabajo #empleomoda #Vendedor #empleo #Ventas #QuintanaRoo #TULUM #RIVIERAMAYA #TrabajoTulum https://t.co/JQUYrmKpNe</t>
  </si>
  <si>
    <t>Tienda de ropa de playa busca promotor en venta, 2 años de experiencia; para para nuestra tienda en TULUM, Q.R., ofrecemos $8000 +P.L (IMSS, INFONAVIT, aguinaldo) #Retail #Ventas #trabajo #empleomoda #Vendedor #empleo #Ventas #QuintanaRoo #TULUM #RIVIERAMAYA #TrabajoTulum https://t.co/p8VyYLudxZ</t>
  </si>
  <si>
    <t>Tienda de ropa de playa busca promotor en venta, 2 años de experiencia; para para nuestra tienda en TULUM, Q.R., ofrecemos $8000 +P.L (IMSS, INFONAVIT, aguinaldo) #Retail #Ventas #trabajo #empleomoda #Vendedor #empleo #Ventas #QuintanaRoo #TULUM #RIVIERAMAYA #TrabajoTulum https://t.co/l13q1SFGMn</t>
  </si>
  <si>
    <t>Tienda de ropa de playa busca promotor en venta, 2 años de experiencia; para para nuestra tienda en TULUM, Q.R., ofrecemos $8000 +P.L (IMSS, INFONAVIT, aguinaldo) #Retail #Ventas #trabajo #empleomoda #Vendedor #empleo #Ventas #QuintanaRoo #TULUM #RIVIERAMAYA #TrabajoTulum https://t.co/AD1PConShM</t>
  </si>
  <si>
    <t>Tienda de ropa playa busca Gerente de tienda, mínimo 3 años de experiencia; es para para nuestra tienda en TULUM Q.R, ofrecemos $11000 +PL (IMSS, INFONAVIT, aguinaldo) #Retail #Ventas #trabajo #empleomoda #Vendedor #empleo #Ventas #QuintanaRoo #TULUM #RIVIERAMAYA #TrabajoTulum https://t.co/RXAmslWIFu</t>
  </si>
  <si>
    <t>Tienda de ropa de playa busca promotor en venta, 2 años de experiencia; para para nuestra tienda en TULUM, Q.R., ofrecemos $8000 +P.L (IMSS, INFONAVIT, aguinaldo) #Retail #Ventas #trabajo #empleomoda #Vendedor #empleo #Ventas #QuintanaRoo #TULUM #RIVIERAMAYA #TrabajoTulum https://t.co/CajBOIDDmv</t>
  </si>
  <si>
    <t>Tienda de ropa playa busca Gerente de tienda, mínimo 3 años de experiencia; es para para nuestra tienda en TULUM Q.R, ofrecemos $11000 +PL (IMSS, INFONAVIT, aguinaldo) #Retail #Ventas #trabajo #empleomoda #Vendedor #empleo #Ventas #QuintanaRoo #TULUM #RIVIERAMAYA #TrabajoTulum https://t.co/Nv6rZiYDOt</t>
  </si>
  <si>
    <t>Tienda de ropa de playa busca promotor en venta, 2 años de experiencia; para para nuestra tienda en TULUM, Q.R., ofrecemos $8000 +P.L (IMSS, INFONAVIT, aguinaldo) #Retail #Ventas #trabajo #empleomoda #Vendedor #empleo #Ventas #QuintanaRoo #TULUM #RIVIERAMAYA #TrabajoTulum https://t.co/2Jbr5DivFH</t>
  </si>
  <si>
    <t>Tienda de ropa playa busca Gerente de tienda, mínimo 3 años de experiencia; es para para nuestra tienda en TULUM Q.R, ofrecemos $11000 +PL (IMSS, INFONAVIT, aguinaldo) #Retail #Ventas #trabajo #empleomoda #Vendedor #empleo #Ventas #QuintanaRoo #TULUM #RIVIERAMAYA #TrabajoTulum https://t.co/uXpzCJc4CO</t>
  </si>
  <si>
    <t>Tienda de ropa busca promotor en ventas, 2 años exp; Tienda en TULUM Q.R. SB$11mil+Vale transporte$2mil+Bonos$1470+ Prestaciones Ley(IMSS, INFONAVIT) #Retail #Ventas #trabajo #empleomoda #Vendedor #empleo #Ventas #QuintanaRoo #TULUM #RIVIERAMAYA #TrabajoTulum https://t.co/opGRyrOFIv</t>
  </si>
  <si>
    <t>Tienda de ropa de playa busca promotor en venta, 2 años de experiencia; para para nuestra tienda en TULUM, Q.R., ofrecemos $8000 +P.L (IMSS, INFONAVIT, aguinaldo) #Retail #Ventas #trabajo #empleomoda #Vendedor #empleo #Ventas #QuintanaRoo #TULUM #RIVIERAMAYA #TrabajoTulum https://t.co/6ytodvuBi9</t>
  </si>
  <si>
    <t>Tienda de ropa de playa busca promotor en venta, 2 años de experiencia; para para nuestra tienda en TULUM, Q.R., ofrecemos $8000 +P.L (IMSS, INFONAVIT, aguinaldo) #Retail #Ventas #trabajo #empleomoda #Vendedor #empleo #Ventas #QuintanaRoo #TULUM #RIVIERAMAYA #TrabajoTulum https://t.co/IxqkpB5YDZ</t>
  </si>
  <si>
    <t>Busco personal VENDEDOR DE CONSUMO MASIVO. ¿Tienes el perfil o conoces a alguien a quien podría interesarle?
¡Postúlate! #hiring #buscamostalento #vendedor #consumomasivo #empleomaracaibo #oportunidaddeempleo #triunotalenthum #cv https://t.co/a8XSwbjg30</t>
  </si>
  <si>
    <t>Hay algún otro #vendedor al que #mercadolibre le está cambiando el stock y no se hace cargo? Los invito a #denunciar a estos #chantas que lo único que dan es #verguenza porque respuesta ninguna.</t>
  </si>
  <si>
    <t>Si buscas un mapa para guiarte como #vendedor para captar #prospectos, te recomiendo LinkedIn #SalesNavigator.
Hoy os cuento por qué creo que es fundamental apoyarse en esta herramienta a día de hoy y cómo sacarle el máximo partido.
https://t.co/fuslyKXRjb https://t.co/0XvaKCyNw8</t>
  </si>
  <si>
    <t>¿Sobra el #vendedor ante un comprador que se sirve solo?😱 
Yo creo que no, que el #VendedorHíbrido es clave, pero su forma de interactuar y su acompañamiento ha cambiado.
👉El #vendedor de hoy debe ser un #consultor.
¿Qué opináis vosotros? https://t.co/JGuI4HImbO</t>
  </si>
  <si>
    <t>Como un atleta de alto #rendimiento que siempre busca #superarse a sí mismo, el #Vendedor Híbrido con #mentalidad ganadora vive siempre en proceso de #mejoracontinua. 🚀
¿Cómo potenciar esta actitud en el día a día? 💪 Lo explico en mi artículo de hoy:
https://t.co/XuKnJlpkxj https://t.co/GeAlYB6bUZ</t>
  </si>
  <si>
    <t>🚀 Actitud victima vs. Actitud responsable 🎯 ¿cuál eliges?
El #vendedor exitoso no se sienta a esperar a que las cosas sucedan, va y actúa para generar oportunidades. 💪
#ventahíbrida #omnicanalidad #vendedorhíbrido #oportunidades https://t.co/hBYJ5iZPSm</t>
  </si>
  <si>
    <t>¿Se han adaptado los líderes comerciales a este nuevo tipo de #vendedor?🤔
¿Qué opináis? 🙂💬 Os dejo con el artículo:
https://t.co/KJK5Bi4feo
#venta #vendedorhíbrido #ventahíbrida #omnicanalidad</t>
  </si>
  <si>
    <t>Así como un trampolín puede ayudar a impulsarse más después de un salto fallido, el #vendedor puede salir airoso de un error.
No os perdáis mi artículo sobre ello: https://t.co/fMrHJkJ1zr</t>
  </si>
  <si>
    <t>#Vacantes
#Vendedor</t>
  </si>
  <si>
    <t>#Empleo: Se buscan vendedores de muebles en zona centro de Madrid a jornada completa
#Madrid #Centro #Muebles #Vendedor #EmpleoEnMadrid #OfertadeEmpleo #BuscaEmpleoMadrid @GMW @buscaempleomad
https://t.co/0bqaBDIMmP</t>
  </si>
  <si>
    <t>#Empleo: Tienda de telefonía en Madrid busca 5 vendedores con contrato indefinido (1.700 euros al mes)
#Madrid #Tienda #Telefonía #Vendedor #Indefinido #EmpleoEnMadrid #OfertadeEmpleo #BuscaEmpleoMadrid @buscaempleomad
https://t.co/AtoGiokjee</t>
  </si>
  <si>
    <t>#Empleo: Se buscan vendedores de muebles y colchones al sur de Madrid (contrato indefinido y no necesaria experiencia)
#Madrid #Muebles #Colchones #Vendedor #Indefinido #EmpleoEnMadrid #OfertadeEmpleo #BuscaEmpleoMadrid @buscaempleomad
https://t.co/i0438PIN19</t>
  </si>
  <si>
    <t>#Empleo: Se buscan vendedores de muebles en zona centro de Madrid a jornada completa
#Madrid #Centro #Muebles #Vendedor #EmpleoEnMadrid #OfertadeEmpleo #BuscaEmpleoMadrid @buscaempleomad
https://t.co/wmDsQgmo12</t>
  </si>
  <si>
    <t>#Empleo: Se buscan vendedores para la primera tienda del Barça en Madrid (contrato indefinido)
#Madrid #FCBarcelona #Barça #Tienda #Vendedor #Indefinido #EmpleoEnMadrid #OfertadeEmpleo #BuscaEmpleoMadrid @buscaempleomad
https://t.co/wswOmxIrQC</t>
  </si>
  <si>
    <t>#Empleo: Se buscan vendedores para la primera tienda del Barça en Madrid (contrato indefinido)
#Madrid #Tienda #FCBarcelona #Barça #Vendedor #Indefinido #EmpleoEnMadrid #OfertadeEmpleo #BuscaEmpleoMadrid @buscaempleomad
https://t.co/JneFXQN8gC</t>
  </si>
  <si>
    <t>#Empleo: Se buscan vendedores de muebles y colchones al sur de Madrid (contrato indefinido y no necesaria experiencia)
#Madrid #Muebles #Colchones #Vendedor #Indefinido #EmpleoEnMadrid #OfertadeEmpleo #BuscaEmpleoMadrid #GMC @buscaempleomad
https://t.co/xViJpXSNl7</t>
  </si>
  <si>
    <t>#Empleo: Tienda de telefonía en Madrid busca 5 vendedores con contrato indefinido (1.700 euros al mes)
#Madrid #Tienda #Telefonía #Vendedor #Indefinido #EmpleoEnMadrid #OfertadeEmpleo #BuscaEmpleoMadrid #GMH @buscaempleomad
https://t.co/AcPQkfQcCn</t>
  </si>
  <si>
    <t>#Empleo: Se buscan vendedores de muebles y colchones al sur de Madrid (contrato indefinido y no necesaria experiencia)
#Madrid #Muebles #Colchones #Vendedor #Indefinido #EmpleoEnMadrid #OfertadeEmpleo #BuscaEmpleoMadrid #GMA @buscaempleomad
https://t.co/xViJpXSNl7</t>
  </si>
  <si>
    <t>#Empleo: Se buscan vendedores para la primera tienda del Barça en Madrid (contrato indefinido)
#Madrid #FCBarcelona #Barça #Tienda #Vendedor #Indefinido #EmpleoEnMadrid #OfertadeEmpleo #BuscaEmpleoMadrid #GMB @buscaempleomad
https://t.co/b77h2zM12Z</t>
  </si>
  <si>
    <t>CARRO FLEX VENDEDOR DE PSICOTRÓPICO KKKK #carroflex #vendedor #pscicotropico #carro #meme #zoeira #humor #primeiroimpacto #sbt #marcãodopovo https://t.co/H9j1PfKwbL</t>
  </si>
  <si>
    <t>UM VENDEDOR A FRENTE DO TEMPO KKKK #vendedor #dicadevenda #clientes #metro #saopaulo #meme #zoeira #humor https://t.co/kaRuTrstDL</t>
  </si>
  <si>
    <t>Te compartimos una serie de tips que harán que tu estrategia comercial alcance su máximo potencial.
No dudes en contactarnos para más información 📱
#Aliatec #ventas #empresas #mexico #tips #incrementodeventas #vendermas #vendedor #vendedores https://t.co/utzWg3Z3ez</t>
  </si>
  <si>
    <t>INDIGNANTE | Video: Policías municipales le arrebatan su mercancía a un niño vendedor y lo dejan llorando
Mira el momento aquí: https://t.co/OnhLzFvm4D
#Niño #Vendedor #Policía https://t.co/9j1JaYFDqc</t>
  </si>
  <si>
    <t>VIDEO| Vendedor de tamales es embestido por una camioneta; conductor se dio a la fuga
Más información aquí: https://t.co/K1dreLL1V7
#Vendedor #Tamales #Atropellado https://t.co/VuocwMk7Dc</t>
  </si>
  <si>
    <t>🚨El #Indecopi determinó que si un #vendedor #ambulante ingresa a un #restaurante, el establecimiento es responsable si sustrae bienes de los #consumidores
🖱️Clic aquí para más detalles
https://t.co/sqyQB1Ojxn</t>
  </si>
  <si>
    <t>Google Ads: Como Funciona e 8 Pontos Essenciais - Aprenda tudo sobre Google Ads e descubra como impulsionar o seu negócio ao máximo com esta poderosa ferramenta de marketing digital. 🤩🏆
#MarketingDigital #VenderMais #AtrairClientes #GoogleAds
https://t.co/Mu15pve9a6</t>
  </si>
  <si>
    <t>8 benefícios de contratar uma agência de marketing digital - Descubra os benefícios de contratar uma agência de marketing digital e impulsione o crescimento do seu negócio. 📲🌟
#MarketingDigital #AgenciadeMarketing #Vendermais
https://t.co/tNAk1PQjeW</t>
  </si>
  <si>
    <t>#empleo Importar Dental ofrece la #vacante de #vendedor email con CV a: importadoraDental@gmail.com https://t.co/NE1y3zh3x3</t>
  </si>
  <si>
    <t>Equipos TRT Chile®  #requiere de #vendedor enviar email: reclutamiento@equipostrt.com 
.
.
#jobs #crane #rigger https://t.co/LF0rTe8qv1</t>
  </si>
  <si>
    <t>Quem aqui é vendedor? #vendedor</t>
  </si>
  <si>
    <t>Vacante Laboral
Se necesita un vendedor con licencia de conducir comercial, carnet blanco y con experiencia para una empresa reconocida.
Enviar hoja de vida al correo electrónico
hojadevidachiriqui@gmail.com
#empresa #vida #hojadevida #vendedor #hoja https://t.co/kQ56RvfPCs</t>
  </si>
  <si>
    <t>Vacante Laboral
Se necesita un vendedor preferiblemente con auto, licencia de conducir comercial y con experiencia para una empresa reconocida.
Enviar hoja de vida al correo electrónico 
hojadevidachiriqui@gmail.com
#auto #empresa #vida #hojadevida #vendedor #hoja https://t.co/eiQ68d4PLg</t>
  </si>
  <si>
    <t>Vacante Laboral
Se necesita un vendedor con licencia de conducir comercial, carnet blanco y con experiencia para una empresa reconocida.
Enviar hoja de vida al correo electrónico
hojadevidachiriqui@gmail.com
#empresa #vida #hojadevida #vendedor #hoja https://t.co/dkjXGyVdsR</t>
  </si>
  <si>
    <t>Vacante Laboral
Se necesita un vendedor con licencia de conducir comercial, carnet blanco y con experiencia para una empresa reconocida.
Enviar hoja de vida al correo electrónico
hojadevidachiriqui@gmail.com
#empresa #vida #hojadevida #vendedor #hoja https://t.co/dK0QLhcjSa</t>
  </si>
  <si>
    <t>📅 Reserve o espaço na sua agenda: Neogrid Summit - 22 de agosto de 2023, das 8h às 20h, no WTC Events Center - São Paulo/SP
As vagas são limitadas! Garanta a sua pelo link:
https://t.co/34Sj7ykN3D
#vendermais #tecnologia #cadeiadeconsumo</t>
  </si>
  <si>
    <t>No blog da Neogrid, reunimos as principais informações sobre o perfil de consumidores omnichannel e como eles irão transformar o futuro do consumo.
👉 Acesse agora pelo link https://t.co/9E5UullOHI
#VenderMais #Tecnologia #CadeiadeConsumo #ConsumidorOmnichannel</t>
  </si>
  <si>
    <t>Foram 600 participantes, 10 palestras e 11 cases de sucesso apresentados!
Já imaginou vivenciar todas essas experiências, com opção presencial ou online? Então, inscreva-se já pelo link: https://t.co/l40NcL2CND
#vendermais #tecnologia #cadeiadeconsumo #eventosobretecnologia</t>
  </si>
  <si>
    <t>📝 15 habilidades de ventas según La Biblia del Vendedor
➖➖➖
✅ https://t.co/zGCVT9yfHD
➖➖➖
El vendedor competitivo es aquel que está enfocado en alcanzar sus metas y superar a su competencia......
#Liderazgo #Vendedor #Ventas #elsolucionario #blog #estudiantes #univ... https://t.co/uBNmPIYnnU</t>
  </si>
  <si>
    <t>📝 15 habilidades de ventas según La Biblia del Vendedor
➖➖➖
✅ https://t.co/vG3upLz0rz
➖➖➖
El vendedor competitivo es aquel que está enfocado en alcanzar sus metas y superar a su competencia......
#Liderazgo #Vendedor #Ventas #elsolucionario #blog #estudiantes #univ... https://t.co/bSqOGsYdlc</t>
  </si>
  <si>
    <t>¿Cuáles son los beneficios de la debida diligencia?
 #debidadiligencia #tipos #Leyes #Comprador #Vendedor
https://t.co/6IG7LouYPo</t>
  </si>
  <si>
    <t>E aí, compraria? 😂
#aradiorock #vivaorock #89fm #89aradiorock #rock #show #música #hotdog #meme #vendedor https://t.co/DfibE0t3fo</t>
  </si>
  <si>
    <t>Se você precisa de oportunidade para trabalhar e desenvolver suas competências, certamente a nossa empresa é o lugar ideal!
Topa esse desafio? Venha crescer com a gente!
https://t.co/b5Cyb8hPBw
#oportunidade #vendedor 
@CiaResultados</t>
  </si>
  <si>
    <t>⚡️Cuando veas este video, cambiará para siempre tu percepción hacia el #vendedor...
💥...el vendedor debe ser permeable ante la ira y al desprecio...
💥... siempre optimista ante los objetivos del mes, cargando la mochila del siguiente para volver a em…https://t.co/mvjSGMhxxb</t>
  </si>
  <si>
    <t>⚡️Cuando veas este video, cambiará para siempre tu percepción hacia el #vendedor...
💥...el vendedor debe ser permeable ante la ira y al desprecio...
💥... siempre optimista ante los objetivos del mes, cargando la mochila del siguiente para volver a em…https://t.co/nM1d2KqqIG</t>
  </si>
  <si>
    <t>@rommynciudadano @laredcincoradio @Profeco @AtencionProfeco @RadioUNAM @TVBUAP @radioBUAP @BUAPoficial @RomansanchezZ El sector social es uno en los cuales la procuraduría podrá llevar a cabo consultas. #NetamenteBuap #Rommyndice #ProyectoRommyn #Consumidor #Vendedor</t>
  </si>
  <si>
    <t>@rommynciudadano @laredcincoradio @Profeco @AtencionProfeco @RadioUNAM @TVBUAP @radioBUAP @BUAPoficial @RomansanchezZ Es importante conocer estas leyes, ya que así es como podemos conocer nuestros derechos y obligaciones. #NetamenteBuap #Rommyndice #Consumidor #Vendedor</t>
  </si>
  <si>
    <t>@rommynciudadano @laredcincoradio @Profeco @AtencionProfeco @RadioUNAM @TVBUAP @radioBUAP @BUAPoficial @RomansanchezZ Nos dice que el proveedor debe cumplir con el convenio en contrato con el consumidor. #Rommyndice #ProyectoRommyn #Consumidor #Vendedor</t>
  </si>
  <si>
    <t>@rommynciudadano @laredcincoradio @Profeco @AtencionProfeco @RadioUNAM @TVBUAP @radioBUAP @BUAPoficial @RomansanchezZ En cada producto en el cual tenga leyendas de”garantizado” o similar, deben indicar en qué consiste a los consumidores. #NetamenteBuap #Rommyndice #TVBuap #Consumidor #Vendedor</t>
  </si>
  <si>
    <t>@rommynciudadano @laredcincoradio @Profeco @AtencionProfeco @RadioUNAM @TVBUAP @radioBUAP @BUAPoficial @RomansanchezZ Este artículo nos dice en las situaciones en las cuales se sancionará mediante términos de esta ley. #NetamenteRommyn #ProyectoRommyn #Consumidor #Vendedor</t>
  </si>
  <si>
    <t>@rommynciudadano @laredcincoradio @Profeco @AtencionProfeco @RadioUNAM @TVBUAP @radioBUAP @BUAPoficial @RomansanchezZ Las tarífas de todos los productos y/o servicios deben de estar al alcance de todos los consumidores. #ProyectoRommyn #Rommyndice #Consumidor #Vendedor</t>
  </si>
  <si>
    <t>@rommynciudadano @laredcincoradio @Profeco @AtencionProfeco @RadioUNAM @TVBUAP @radioBUAP @BUAPoficial @RomansanchezZ Este artículo nos menciona uno de los requisitos que deben tener los proveedores en su establecimiento. #Rommyndice #ProyectoRommyn #Consumidor #Vendedor</t>
  </si>
  <si>
    <t>@rommynciudadano @laredcincoradio @Profeco @AtencionProfeco @RadioUNAM @TVBUAP @radioBUAP @BUAPoficial @RomansanchezZ En este artículo nos habla acerca de algunas de las obligaciones que los proveedores tienen con sus consumidores. #NetamenteBuap #Rommyndice #Consumidor #Vendedor</t>
  </si>
  <si>
    <t>@rommynciudadano @laredcincoradio @Profeco @AtencionProfeco @RadioUNAM @TVBUAP @radioBUAP @BUAPoficial @RomansanchezZ Hasta hace unos momentos no conocía este tipo de prestación de servicios, lo cual me parece de gran utilidad el aprender con Rommyn. #Rommyndice #NetamenteBuap #Consumidor #Vendedor</t>
  </si>
  <si>
    <t>@rommynciudadano @laredcincoradio @Profeco @AtencionProfeco @RadioUNAM @TVBUAP @radioBUAP @BUAPoficial @RomansanchezZ Una de las cosas que se deben especificar en las facturas que se expiden a los consumidores es el tipo de refacciones y materiales empleados. #NetamenteBuap #Rommyndice #ProyectoRommyn #Consumidor #Vendedor</t>
  </si>
  <si>
    <t>@rommynciudadano @laredcincoradio @Profeco @AtencionProfeco @RadioUNAM @TVBUAP @radioBUAP @BUAPoficial @RomansanchezZ Para cada producto se debe emplear partes apropiadas y nuevas. #NetamenteBuap #Rommyndice #ProyectoRommyn #Consumidor #Vendedor</t>
  </si>
  <si>
    <t>@rommynciudadano @laredcincoradio @Profeco @AtencionProfeco @RadioUNAM @TVBUAP @radioBUAP @BUAPoficial @RomansanchezZ Este artículo nos dice que la Procuraduría será la encargada de establecer delegaciones por todo el país. #Vendedor #Consumidor #Clientes #Rommyndice #NetamenteBuap</t>
  </si>
  <si>
    <t>@rommynciudadano @laredcincoradio @Profeco @AtencionProfeco @RadioUNAM @TVBUAP @radioBUAP @BUAPoficial @RomansanchezZ Al conocer con detalle el inmueble que va a adquirir, el consumidor puede tomar una decisión más informada y acertada. #NetamenteBuap #Rommyndice #ProyectoRommyn #consumidor #Vendedor</t>
  </si>
  <si>
    <t>@rommynciudadano @laredcincoradio @Profeco @AtencionProfeco @RadioUNAM @TVBUAP @radioBUAP @BUAPoficial @RomansanchezZ La protección de los derechos del consumidor es una prioridad. #Consumidor #Vendedor #Rommyndice</t>
  </si>
  <si>
    <t>@rommynciudadano @laredcincoradio @Profeco @AtencionProfeco @RadioUNAM @TVBUAP @radioBUAP @BUAPoficial @RomansanchezZ Una de las características que debe contener este tipo de ventas es que se debe identificar la operación. #Rommyndice #ProyectoRommyn #Consumidor #Vendedor</t>
  </si>
  <si>
    <t>@rommynciudadano @laredcincoradio @Profeco @AtencionProfeco @RadioUNAM @TVBUAP @radioBUAP @BUAPoficial @RomansanchezZ Este artículo nos habla acerca de las ventas a domicilio son las que se llevan a cabo fuera del local de los proveedores. #Rommyndice #ProyectoRommyn #Consumidor #Vendedor</t>
  </si>
  <si>
    <t>@rommynciudadano @laredcincoradio @Profeco @AtencionProfeco @RadioUNAM @TVBUAP @radioBUAP @BUAPoficial @RomansanchezZ Solo cuando exista consentimiento del consumidor, este pagara con tarjeta, antes de que reciba el bien o servicio. #Rommyndice #consumidor #vendedor #profeco</t>
  </si>
  <si>
    <t>@rommynciudadano @TVBUAP @BUAPoficial @Profeco @AtencionProfeco @laredcincoradio Este nos dice que todo consumidor al haber dejado un depósito de su mercancía está en todo su derecho de tenerla de vuelta cuando el trato no se cumpla. #consumidor #Buapoficial #Vendedor</t>
  </si>
  <si>
    <t>Importante Empresa busca #Vendedor en #Quito  #Ecuador        
Accede a la #Vacante para conocer los #Requisitos y enviar tu #CV 👇
https://t.co/PpKen577uq
.
.
.
#Jobomas #JobomasEmpleos #JobomasEcuador #EmpleosEcuador #Trabajo #Empleo #EmpleosEnTodoElMundo #TrabajoSíHay https://t.co/YmAxFSCXBL</t>
  </si>
  <si>
    <t>Mantenha contato com os clientes!
Não deixe a concorrência sair na frente.
Saiba mais com nossos consultores pelo (11) 91311 8482 ou acesse o link da bio.
#automafast #tecnoloia #gohiper #whatsapp #vendedor #varejo #comercio #stone #catalogodigital #vendasonline https://t.co/BOyjGJb1Rm</t>
  </si>
  <si>
    <t>Busco personal para nuestro departamento de Ventas en Peugeot Tumosa, #hiring. ¿Conoces a alguien a quien podría interesarle?
Inscripciones aquí: https://t.co/AzezLXaGdJ 
#ventas #vendedor #b2b #comercial #peugeot #stellantis #oportunidad #laboral https://t.co/e3KXHrLZsC</t>
  </si>
  <si>
    <t>#Oportunidade de #emprego de #Vendedor #Interno em #SaoCaetanodoSul #SP #prospeccao #engajamento #entrega #rh #vagasdeemprego #trabalho #contratando #temosvagas #recrutamento #jobsearch #vagassp https://t.co/ir2Xt6WWNS</t>
  </si>
  <si>
    <t>#Oportunidade de #emprego de #Vendedor #ECommerce em #DuquedeCaxias #RJ #rh #vagasdeemprego #trabalho #contratando #temosvagas #recrutamento #jobsearch #vagasrj https://t.co/LNteHf7CsL</t>
  </si>
  <si>
    <t>#Oportunidade de #emprego de #Vendedor #Externo em #SapucaiadoSul #RS #prospeccao #rh #vagasdeemprego #trabalho #contratando #temosvagas #recrutamento #jobsearch #vagasrs https://t.co/Htwn1sGi4t</t>
  </si>
  <si>
    <t>#Oportunidade de #emprego de #Vendedor #Internacional em #SaoLeopoldo #RS #carga #prospeccao #metas #viagens #rh #vagasdeemprego #trabalho #contratando #temosvagas #recrutamento #jobsearch #vagasrs https://t.co/aSy88omOJB</t>
  </si>
  <si>
    <t>#Oportunidade de #emprego de #Vendedor em #Florianopolis #SC #rh #vagasdeemprego #trabalho #contratando #temosvagas #recrutamento #jobsearch #vagassc https://t.co/dVHOtL4tgh</t>
  </si>
  <si>
    <t>#Oportunidade de #emprego de #Vendedor de #Material de #Construcao #Seco em #Guarulhos #SP #efetivo #atento #vale #rh #vagasdeemprego #trabalho #contratando #temosvagas #recrutamento #jobsearch #vagassp https://t.co/zn4tfScc2L</t>
  </si>
  <si>
    <t>#Oportunidade de #emprego de #Vendedor #Consultor em #Florianopolis #SC #captacao #rh #vagasdeemprego #trabalho #contratando #temosvagas #recrutamento #jobsearch #vagassc https://t.co/Iwj8ZYa7S1</t>
  </si>
  <si>
    <t>#Oportunidade de #emprego de #Vendedor #Autonomo #Imobiliario em #Florianopolis #SC #captacao #rh #vagasdeemprego #trabalho #contratando #temosvagas #recrutamento #jobsearch #vagassc https://t.co/Coj52sqdvO</t>
  </si>
  <si>
    <t>#Oportunidade de #emprego de #Consultor #Vendedor em #Florianopolis #SC #captacao #rh #vagasdeemprego #trabalho #contratando #temosvagas #recrutamento #jobsearch #vagassc https://t.co/KgazLz7kLM</t>
  </si>
  <si>
    <t>#Oportunidade de #emprego de #Vendedor em #SaoJosedosCampos #SP #efetivo #rh #vagasdeemprego #trabalho #contratando #temosvagas #recrutamento #jobsearch #vagassp https://t.co/kIb9h2T5nI</t>
  </si>
  <si>
    <t>#Oportunidade de #emprego de #Vendedor #Externo #Imobiliario em #Florianopolis #SC #captacao #rh #vagasdeemprego #trabalho #contratando #temosvagas #recrutamento #jobsearch #vagassc https://t.co/dhiLaIYO9g</t>
  </si>
  <si>
    <t>#Oportunidade de #emprego de #Vendedor #Autonomo #Lopes em #Florianopolis #SC #captacao #rh #vagasdeemprego #trabalho #contratando #temosvagas #recrutamento #jobsearch #vagassc https://t.co/kRXv1w37si</t>
  </si>
  <si>
    <t>#Oportunidade de #emprego de #Vendedor #Autonomo #Imobiliaro em #Florianopolis #SC #captacao #rh #vagasdeemprego #trabalho #contratando #temosvagas #recrutamento #jobsearch #vagassc https://t.co/9mRhoIPjFd</t>
  </si>
  <si>
    <t>#Oportunidade de #emprego de #Vendedor #Tecnico #Trainee em #Itapevi #SP #rh #vagasdeemprego #trabalho #contratando #temosvagas #recrutamento #jobsearch #vagassp https://t.co/VqXYxdTq5R</t>
  </si>
  <si>
    <t>#Oportunidade de #emprego de #Vendedor #Imobiliario em #Florianopolis #SC #creci #rh #vagasdeemprego #trabalho #contratando #temosvagas #recrutamento #jobsearch #vagassc https://t.co/tT9GoQFJoQ</t>
  </si>
  <si>
    <t>#Oportunidade de #emprego de #Vendedor em #Florianopolis #SC #captacao #rh #vagasdeemprego #trabalho #contratando #temosvagas #recrutamento #jobsearch #vagassc https://t.co/OXDvdRClbp</t>
  </si>
  <si>
    <t>#Oportunidade de #emprego de #Vendedor de #Imoveis em #Florianopolis #SC #creci #rh #vagasdeemprego #trabalho #contratando #temosvagas #recrutamento #jobsearch #vagassc https://t.co/04R6yNkMfo</t>
  </si>
  <si>
    <t>#Oportunidade de #emprego de #Vendedor #Externo em #Lages #SerraCatarinense #prospeccao #viagens #rh #vagasdeemprego #trabalho #contratando #temosvagas #recrutamento #jobsearch #vagassc https://t.co/9UlqD0tF2a</t>
  </si>
  <si>
    <t>#Oportunidade de #emprego de #Vendedor #Externo em #Joinville #SC #carga #prospeccao #viagens #rh #vagasdeemprego #trabalho #contratando #temosvagas #recrutamento #jobsearch #vagassc https://t.co/QAtpenbwCu</t>
  </si>
  <si>
    <t>#Oportunidade de #emprego de #Vendedor #Assistente em #Florianopolis #SC #captacao #rh #vagasdeemprego #trabalho #contratando #temosvagas #recrutamento #jobsearch #vagassc https://t.co/RBNpuXIAR5</t>
  </si>
  <si>
    <t>#Oportunidade de #emprego de #Vendedor #Autonomo em #Florianopolis #SC #captacao #rh #vagasdeemprego #trabalho #contratando #temosvagas #recrutamento #jobsearch #vagassc https://t.co/rdE6N6VXkf</t>
  </si>
  <si>
    <t>#Oportunidade de #emprego de #Vendedor em #Florianopolis #SC #rh #vagasdeemprego #trabalho #contratando #temosvagas #recrutamento #jobsearch #vagassc https://t.co/z4qZWG7mNi</t>
  </si>
  <si>
    <t>#Oportunidade de #emprego de #Vendedor #Externo #Florianopolis em #Florianopolis #SC #creci #rh #vagasdeemprego #trabalho #contratando #temosvagas #recrutamento #jobsearch #vagassc https://t.co/ns5oeUOBC0</t>
  </si>
  <si>
    <t>#Oportunidade de #emprego de #Vendedor #Imobiliario em #Florianopolis #SC #creci #rh #vagasdeemprego #trabalho #contratando #temosvagas #recrutamento #jobsearch #vagassc https://t.co/bocBLxNKox</t>
  </si>
  <si>
    <t>#Oportunidade de #emprego de #Vendedor #Externo em #Itajai #SC #viagens #rh #vagasdeemprego #trabalho #contratando #temosvagas #recrutamento #jobsearch #vagassc https://t.co/HEMsZikoU6</t>
  </si>
  <si>
    <t>#Oportunidade de #emprego de #Vendedor #Externo em #Goiania #GO #viagens #multinacional #rh #vagasdeemprego #trabalho #contratando #temosvagas #recrutamento #jobsearch #vagasgo https://t.co/mV8EHBJlwf</t>
  </si>
  <si>
    <t>#Oportunidade de #emprego de #Vendedor de #Reservas em #CaboFrio #RJ #viagens #rh #vagasdeemprego #trabalho #contratando #temosvagas #recrutamento #jobsearch #vagasrj https://t.co/YSy0admSqE</t>
  </si>
  <si>
    <t>dia 59 de 365 novas oportunidades em 2023
"Até seu último suspiro, viva uma vida de tirar o fôlego."
#ederzardin #sucesso #motivacaodiaria #passosparaosucesso #motivacao #vendedor #palestrante #geracaodevalor #negocios #vendas #atendimento #atitude #meusucesso #boravender https://t.co/tIRG8Y6jb1</t>
  </si>
  <si>
    <t>dia 31 de 365 novas oportunidades em 2023
"Não podemos recuperar o ontem, mas podemos ganhar ou perder o amanhã."
Lyndon B. Johnson
#ederzardin #sucesso #motivacaodiaria #passosparaosucesso #motivacao #vendedor #palestrante #geracaodevalor #negocios #vendas #atendimento https://t.co/njbjcRyKlx</t>
  </si>
  <si>
    <t>dia 30 de 365 novas oportunidades em 2023
"Encontre um jeito, não uma desculpa."
Autor desconhecido
#ederzardin #sucesso #motivacaodiaria #passosparaosucesso #motivacao #vendedor #palestrante #geracaodevalor #negocios #vendas #atendimento #atitude #meusucesso #meusucessocom https://t.co/Ewu4TpWPnE</t>
  </si>
  <si>
    <t>dia 29 de 365 novas oportunidades em 2023
"O pessimismo leva à fraqueza, o otimismo ao poder."
William James
#ederzardin #sucesso #motivacaodiaria #passosparaosucesso #motivacao #vendedor #palestrante #geracaodevalor #negocios #vendas #atendimento #atitude #meusucesso https://t.co/1fLyLCb3R1</t>
  </si>
  <si>
    <t>dia 28 de 365 novas oportunidades em 2023
"Em cada dia, existem 1440 minutos. Isso significa que temos 1440 oportunidades diárias de causar um impacto positivo."
Les Brown
#ederzardin #sucesso #motivacaodiaria #passosparaosucesso #motivacao #vendedor #palestrante https://t.co/ZWHVCQdmyy</t>
  </si>
  <si>
    <t>dia 27 de 365 novas oportunidades em 2023
"A positividade sempre vence!"
Autor desconhecido
#ederzardin #sucesso #motivacaodiaria #passosparaosucesso #motivacao #vendedor #palestrante #geracaodevalor #negocios #vendas #atendimento #atitude #meusucesso #meusucessocom https://t.co/85dNwIXF3q</t>
  </si>
  <si>
    <t>dia 26 de 365 novas oportunidades em 2023
"O otimismo perpétuo é uma força multiplicadora."
Colin Powell
#ederzardin #sucesso #motivacaodiaria #passosparaosucesso #motivacao #vendedor #palestrante #geracaodevalor #negocios #vendas #atendimento #atitude #meusucesso https://t.co/UIv9TJJnJr</t>
  </si>
  <si>
    <t>dia 25 de 365 novas oportunidades em 2023
"Viva como se suas orações estivessem sendo atendidas."
Autor desconhecido
#ederzardin #sucesso #motivacaodiaria #passosparaosucesso #motivacao #vendedor #palestrante #geracaodevalor #negocios #vendas #atendimento #atitude #meusucesso https://t.co/I8Q3eSSyF7</t>
  </si>
  <si>
    <t>dia 24 de 365 novas oportunidades em 2023
"Depois que você escolhe a esperança, tudo é possível."
Christopher Reeve
#ederzardin #sucesso #motivacaodiaria #passosparaosucesso #motivacao #vendedor #palestrante #geracaodevalor #negocios #vendas #atendimento #atitude #meusucesso https://t.co/uKY7kAZG7R</t>
  </si>
  <si>
    <t>dia 44 de 365 novas oportunidades em 2023
"A jornada é longa, mas a fé é infinita."
#ederzardin #sucesso #motivacaodiaria #passosparaosucesso #motivacao #vendedor #palestrante #geracaodevalor #negocios #vendas #atendimento #atitude #meusucesso #meusucessocom #boravender https://t.co/I4QlLOKS3S</t>
  </si>
  <si>
    <t>dia 43 de 365 novas oportunidades em 2023
"Você deve a si o ato de tentar."
#ederzardin #sucesso #motivacaodiaria #passosparaosucesso #motivacao #vendedor #palestrante #geracaodevalor #negocios #vendas #atendimento #atitude #meusucesso #meusucessocom #boravender https://t.co/tWXk1uUNj0</t>
  </si>
  <si>
    <t>dia 42 de 365 novas oportunidades em 2023
"Tentativas falhadas nos ensinam o caminho certo."
#ederzardin #sucesso #motivacaodiaria #passosparaosucesso #motivacao #vendedor #palestrante #geracaodevalor #negocios #vendas #atendimento #atitude #meusucesso #meusucessocom https://t.co/Jv6ZHPG6MJ</t>
  </si>
  <si>
    <t>dia 41 de 365 novas oportunidades em 2023
"Persistir sempre, desistir nunca!"
#ederzardin #sucesso #motivacaodiaria #passosparaosucesso #motivacao #vendedor #palestrante #geracaodevalor #negocios #vendas #atendimento #atitude #meusucesso #meusucessocom #boravender https://t.co/fs6zAvEZ6p</t>
  </si>
  <si>
    <t>dia 40 de 365 novas oportunidades em 2023
"Duvide do que vem fácil. E não desista do que é difícil."
#ederzardin #sucesso #motivacaodiaria #passosparaosucesso #motivacao #vendedor #palestrante #geracaodevalor #negocios #vendas #atendimento #atitude #meusucesso #meusucessocom https://t.co/HwgfA7va1U</t>
  </si>
  <si>
    <t>dia 39 de 365 novas oportunidades em 2023
"Não sabendo que era impossível, foi lá e fez."
Jean Cocteau
#ederzardin #sucesso #motivacaodiaria #passosparaosucesso #motivacao #vendedor #palestrante #geracaodevalor #negocios #vendas #atendimento #atitude #meusucesso #meusucessocom https://t.co/fNsokShYou</t>
  </si>
  <si>
    <t>dia 38 de 365 novas oportunidades em 2023
"Você até pode escolher não plantar, mas com certeza vai colher!."
Autor desconhecido
#ederzardin #sucesso #motivacaodiaria #passosparaosucesso #motivacao #vendedor #palestrante #geracaodevalor #negocios #vendas #atendimento #atitude https://t.co/RCXu1oHf0V</t>
  </si>
  <si>
    <t>dia 51 de 365 novas oportunidades em 2023
"Seu maior medo também pode ser sua maior motivação."
#ederzardin #sucesso #motivacaodiaria #passosparaosucesso #motivacao #vendedor #palestrante #geracaodevalor #negocios #vendas #atendimento #atitude #meusucesso #meusucessocom https://t.co/wxSCpZPRyK</t>
  </si>
  <si>
    <t>dia 50 de 365 novas oportunidades em 2023
"Tome as rédeas da sua vida e faça valer a pena!"
#ederzardin #sucesso #motivacaodiaria #passosparaosucesso #motivacao #vendedor #palestrante #geracaodevalor #negocios #vendas #atendimento #atitude #meusucesso #meusucessocom #boravender https://t.co/Rre6exwu2d</t>
  </si>
  <si>
    <t>dia 49 de 365 novas oportunidades em 2023
"Mais que uma escolha, uma prioridade: ser feliz."
#ederzardin #sucesso #motivacaodiaria #passosparaosucesso #motivacao #vendedor #palestrante #geracaodevalor #negocios #vendas #atendimento #atitude #meusucesso #meusucessocom https://t.co/7hOulIlpht</t>
  </si>
  <si>
    <t>dia 48 de 365 novas oportunidades em 2023
"Você é forte, você é capaz, você pode!"
#ederzardin #sucesso #motivacaodiaria #passosparaosucesso #motivacao #vendedor #palestrante #geracaodevalor #negocios #vendas #atendimento #atitude #meusucesso #meusucessocom #boravender https://t.co/dh5MtfTxFF</t>
  </si>
  <si>
    <t>dia 47 de 365 novas oportunidades em 2023
"Dor para crescer, persistência para vencer."
#ederzardin #sucesso #motivacaodiaria #passosparaosucesso #motivacao #vendedor #palestrante #geracaodevalor #negocios #vendas #atendimento #atitude #meusucesso #meusucessocom #boravender https://t.co/rQUEYBDBzc</t>
  </si>
  <si>
    <t>dia 46 de 365 novas oportunidades em 2023
"São as metas elevadas que nos fazem voar mais alto."
#ederzardin #sucesso #motivacaodiaria #passosparaosucesso #motivacao #vendedor #palestrante #geracaodevalor #negocios #vendas #atendimento #atitude #meusucesso #meusucessocom https://t.co/QAvpl4wQvY</t>
  </si>
  <si>
    <t>dia 45 de 365 novas oportunidades em 2023
"A sua felicidade pode estar no próximo passo."
#ederzardin #sucesso #motivacaodiaria #passosparaosucesso #motivacao #vendedor #palestrante #geracaodevalor #negocios #vendas #atendimento #atitude #meusucesso #meusucessocom #boravender https://t.co/cJ0XuUyI8s</t>
  </si>
  <si>
    <t>dia 54 de 365 novas oportunidades em 2023
"A fé não é a estrada, mas pode ser a força que nos faz caminhar."
#ederzardin #sucesso #motivacaodiaria #passosparaosucesso #motivacao #vendedor #palestrante #geracaodevalor #negocios #vendas #atendimento #atitude #meusucesso https://t.co/4SCjlxs9Bg</t>
  </si>
  <si>
    <t>dia 53 de 365 novas oportunidades em 2023
"A beleza de viver consiste na força de amar e na fé em vencer."
#ederzardin #sucesso #motivacaodiaria #passosparaosucesso #motivacao #vendedor #palestrante #geracaodevalor #negocios #vendas #atendimento #atitude #meusucesso #boravender https://t.co/4oXPHz9Z3E</t>
  </si>
  <si>
    <t>dia 52 de 365 novas oportunidades em 2023
"Recomeçar é estar mais forte a cada nova tentativa."
#ederzardin #sucesso #motivacaodiaria #passosparaosucesso #motivacao #vendedor #palestrante #geracaodevalor #negocios #vendas #atendimento #atitude #meusucesso #boravender https://t.co/8TdYANrXHx</t>
  </si>
  <si>
    <t>dia 23 de 365 novas oportunidades em 2023
"Milagres acontecem com aqueles que acreditam neles."
Bernhard Berenson
#ederzardin #sucesso #motivacaodiaria #passosparaosucesso #motivacao #vendedor #palestrante #geracaodevalor #negocios #vendas #atendimento #atitude #meusucesso https://t.co/0LrPMhiuAC</t>
  </si>
  <si>
    <t>dia 21 de 365 novas oportunidades em 2023
"Tenha grandes pensamentos, mas aprecie os pequenos prazeres."
H. Jackson Brown
#ederzardin #sucesso #motivacaodiaria #passosparaosucesso #motivacao #vendedor #palestrante #geracaodevalor #negocios #vendas #atendimento #atitude https://t.co/cUCwn9wzEI</t>
  </si>
  <si>
    <t>dia 21 de 365 novas oportunidades em 2023
"Tenha grandes pensamentos, mas aprecie os pequenos prazeres."
H. Jackson Brown
#ederzardin #sucesso #motivacaodiaria #passosparaosucesso #motivacao #vendedor #palestrante #geracaodevalor #negocios #vendas #atendimento #atitude https://t.co/qrkLlrZ5n7</t>
  </si>
  <si>
    <t>dia 58 de 365 novas oportunidades em 2023
"Se o desafio é grande, a recompensa será ainda maior."
#ederzardin #sucesso #motivacaodiaria #passosparaosucesso #motivacao #vendedor #palestrante #geracaodevalor #negocios #vendas #atendimento #atitude #meusucesso #boravender https://t.co/nIvdWbQaC0</t>
  </si>
  <si>
    <t>dia 57 de 365 novas oportunidades em 2023
"E sempre que quiser desistir, relembre os motivos que o fizeram lutar."
#ederzardin #sucesso #motivacaodiaria #passosparaosucesso #motivacao #vendedor #palestrante #geracaodevalor #negocios #vendas #atendimento #atitude #meusucesso https://t.co/d2x76rq9Y1</t>
  </si>
  <si>
    <t>dia 56 de 365 novas oportunidades em 2023
"E quando você tem fé, o impossível começa a acontecer."
#ederzardin #sucesso #motivacaodiaria #passosparaosucesso #motivacao #vendedor #palestrante #geracaodevalor #negocios #vendas #atendimento #atitude #meusucesso #boravender https://t.co/bWm46369kl</t>
  </si>
  <si>
    <t>dia 55 de 365 novas oportunidades em 2023
"Esquece, levanta a cabeça. Segue em frente. Amanhã é um novo dia"
#ederzardin #sucesso #motivacaodiaria #passosparaosucesso #motivacao #vendedor #palestrante #geracaodevalor #negocios #vendas #atendimento #atitude #meusucesso https://t.co/tTOjSeZLI6</t>
  </si>
  <si>
    <t>dia 37 de 365 novas oportunidades em 2023
"Não importa o que você decidiu. O que importa é que isso te faz feliz."
Autor desconhecido
#ederzardin #sucesso #motivacaodiaria #passosparaosucesso #motivacao #vendedor #palestrante #geracaodevalor #negocios #vendas #atendimento https://t.co/HquFADqHVV</t>
  </si>
  <si>
    <t>dia 36 de 365 novas oportunidades em 2023
"Você é a força criadora na sua vida. Nada lhe acontece sem a sua participação."
Autor desconhecido
#ederzardin #sucesso #motivacaodiaria #passosparaosucesso #motivacao #vendedor #palestrante #geracaodevalor #negocios #vendas https://t.co/OLMC17wnoK</t>
  </si>
  <si>
    <t>dia 35 de 365 novas oportunidades em 2023
"É muito fácil conhecer palavras de motivação, o difícil é aplicá-las na sua vida."
Autor desconhecido
#ederzardin #sucesso #motivacaodiaria #passosparaosucesso #motivacao #vendedor #palestrante #geracaodevalor #negocios #vendas https://t.co/tEvo7op4pF</t>
  </si>
  <si>
    <t>dia 34 de 365 novas oportunidades em 2023
"A vontade de se preparar tem que ser maior que a vontade de vencer. Vencer será consequência da boa preparação."
Bernardinho
#ederzardin #sucesso #motivacaodiaria #passosparaosucesso #motivacao #vendedor #palestrante #geracaodevalor https://t.co/x0qBOjnxk8</t>
  </si>
  <si>
    <t>dia 33 de 365 novas oportunidades em 2023
"Antes que diga que não consegue fazer alguma coisa, experimente."
Sakichi Toyoda
#ederzardin #sucesso #motivacaodiaria #passosparaosucesso #motivacao #vendedor #palestrante #geracaodevalor #negocios #vendas #atendimento #atitude https://t.co/pTeJaZmAkg</t>
  </si>
  <si>
    <t>dia 32 de 365 novas oportunidades em 2023
"Tudo o que você sempre quis está do outro lado do medo."
George Addair
#ederzardin #sucesso #motivacaodiaria #passosparaosucesso #motivacao #vendedor #palestrante #geracaodevalor #negocios #vendas #atendimento #atitude #meusucesso https://t.co/0nCKpP3a0F</t>
  </si>
  <si>
    <t>Te voy a encontrar #vendedor ambulante!!!! 😡🤬 https://t.co/YFN88F7NUa</t>
  </si>
  <si>
    <t>#Share 📲| ¿Se salvaron los elotes?😢 Un #video muestra cómo una camioneta🛻 rescata a un #vendedor y su puesto de elotes🌽 después de que quedará atrapado en una inundación☔
https://t.co/WOpYEMJi9U</t>
  </si>
  <si>
    <t>A técnica é tão poderosa que é capaz de induzir a ação das pessoas!
#provasocial #venda #gatilhosmentais #marketing 
#empreendedorismo #vendasonline #vendas #vendedor #sucesso #motivacao #motivation #trafegopago #gestordetrafego https://t.co/QCiVYxb5WJ</t>
  </si>
  <si>
    <t>Bem simpático😅
#vendedor #vendedora #vendas #empreendedor #empeendedorismo #gestordetrafego #trafegopago #marketingdigital #marketing https://t.co/ItZ2wryHXS</t>
  </si>
  <si>
    <t>Já nasceu sabendo as técnicas de persuasão 😅
#marketingdigital #memes #memesbrasil #meme #instagood #fy #gestordetrafefo #trafegopago #vendedor #engraçado https://t.co/BcOIdPzmHs</t>
  </si>
  <si>
    <t>Ficou complexo? Lembre-se disso!
#vendas #vendedor #empreendedorismo 
#empreender #vendaonline #dicasdevendas #marketing #marketigdigital #ecommerce #basicobemfeito #gestordetrafego https://t.co/IKjS6e2RfK</t>
  </si>
  <si>
    <t>Vender é entender necessidades e solucionar problemas 🚀
#trafegopago #vendas #vendasonline #marketing #marketingdigital #vendedor https://t.co/FAqsa7yolw</t>
  </si>
  <si>
    <t>RT @LauraCantizano: Las personas olvidarán lo que dijiste, pero no olvidarán lo que sintieron contigo.
Feliz día😍
#motivación #motivacion…</t>
  </si>
  <si>
    <t>La suerte le llega a quien la busca, no dejes de trabajar y buscar el éxito 🔥💪🏻
.
#coach #coaching #coachingcomercial #coachdeventas #coachingdeventas #vendedores #ventas #negocios #aprende #ponencias #cursos #vendedor #empresas #empresarios #directordeventas #directorcomercial https://t.co/0Fg26Xc7jP</t>
  </si>
  <si>
    <t>Nueva entrega de #GordaGrandeyquenopese". La #comunicación es una de las armas que un buen #vendedor debe dominar. 
#Vender es #comunicar. https://t.co/YQE7lRLM6g</t>
  </si>
  <si>
    <t>Primera entrega de 2023 de mi libro "Gorda, grande y que no pese...". Hemos hablado aquí de #optimismo, #empatía, #escucha y #asertividad como #palancas esenciales para el #exito del #vendedor. 
Pero ninguna de ellas resulta definitiva si no se genera #CO…https://t.co/6K0ZWKwSmk</t>
  </si>
  <si>
    <t>São 5 ferramentas que vão te ajudar a aumentar as vendas.
Ferramenta mal usada é pior do que trabalhar sem ferramenta viu! Presta atenção nesse ponto.
#empreendedorismo #marketingdigital #empreender #marketing #empreendedor #vendasonline #vendas #vendermais #vendedores</t>
  </si>
  <si>
    <t>👉 RD Station - Ferramenta que automatiza o marketing digital, unindo redes sociais, e-mail marketing, funil de venda, etc. Ótimo custo beneficio.
#empreendedorismo #marketingdigital #empreender #marketing #empreendedor #negocios #vendasonline #vendas #vendermais #vendedores</t>
  </si>
  <si>
    <t>Temos que conseguir focar nas 2 bases:
🔥 Prospectar Novos Clientes + Manter Clientes Atuais
#empreendedorismo #marketingdigital #sucesso #empreender #marketing #empreendedor #negocios #empreendertransforma #empreendercomproposito #vendasonline #vendas #vendermais #vendedores</t>
  </si>
  <si>
    <t>A prospecção é fundamental para atrair novos clientes e ampliar o faturamento. A manutenção de clientes na base é o sucesso para a estabilidade da empresa.
#empreendedorismo #marketingdigital #empreender #marketing #empreendedor #vendasonline #vendas #vendermais #vendedores</t>
  </si>
  <si>
    <t>⌚ Hoje um vendedor fica mais tempo operacionalizando uma venda, do que atendendo novos clientes e prospectando.
#empreendedorismo #marketingdigital #empreender #marketing #empreendedor #negocios #empreendertransforma #vendasonline #vendas #vendermais #vendedores</t>
  </si>
  <si>
    <t>O empreendedor deve pensar em formas de facilitar a sua vida e da sua equipe comercial.
#empreendedorismo #marketingdigital #sucesso #empreender #marketing #empreendedor #negocios #empreendertransforma #empreendercomproposito #vendasonline #vendas #vendermais #vendedores https://t.co/IiUV5toxlE</t>
  </si>
  <si>
    <t>Sem resultados, um vendedor e uma empresa não se mantêm.
#vendas #vendedor #comovendermais #vendermais #vendasonline #varejo</t>
  </si>
  <si>
    <t>Último dia do mês, a meta tem que está batida! Não deixa para fechar os contratos no badalar do sino, e se algo der errado?
Lembre-se sempre: vendedor bom é o que bate as metas de vendas!
#vendas #vendedor #comovendermais #vendermais #vendasonline #varejo https://t.co/seUIai5ZpQ</t>
  </si>
  <si>
    <t>E você gosta de vender também?
Bora vender!
#empreendedorismo #marketingdigital #sucesso #empreender #marketing #empreendedor #negocios #empreendertransforma #empreendercomproposito #vendasonline #vendas #vendermais #vendedores https://t.co/amElf3ZNGj</t>
  </si>
  <si>
    <t>Bora Vender, mas com Inteligência.
👉 Saiba o que você vende
👉 Entenda a dor do Cliente
👉 Mostre como seu produto / serviço resolve a demanda dele.
3 passos para fechar a venda.
#empreendedorismo #empreender #empreendedor #negocios #vendas #vendermais #vendedores https://t.co/uNco7PNMGu</t>
  </si>
  <si>
    <t>Dica Básica para Vender para Grandes Empresas.
Contato direto para direcionar melhor uma venda para uma grande conta.
- Ligar para empresa
- E-mail
- LinkedIn
#empreendedorismo #empreender  #empreendedor #empreendercomproposito #vendasonline #vendas #vendermais #vendedores https://t.co/pzgQmisFWT</t>
  </si>
  <si>
    <t>Março está começando 🚀
Vamos acelerar o mês e bater nossas metas.
👉 Vendedor bom é o que bate meta!
Sem medo e com muita Vontade!
🔥 Bora para cima! Março chegou!
#empreendedorismo #empreender #marketing #empreendedor #negocios #vendasonline #vendas #vendermais #vendedores https://t.co/ud72KAyfQb</t>
  </si>
  <si>
    <t>Meu amigo Vendedor, 3 práticas básicas, que bem feitas, vão abrir as suas vendas.
👂 Escute atentamente o cliente
😃 Seja empático
🔥Seja claro e objetivo
Pratique, Pratique e Pratique!
#empreendedorismo #empreender #empreendedor #vendasonline #vendas #vendermais #vendedores https://t.co/KfuzuGPpm2</t>
  </si>
  <si>
    <t>Não tenha vergonha de demonstrar seu conhecimento. Ser especialista no assunto vai te ajudar a vender muito mais.
#empreendedorismo #sucesso #empreender #marketing #empreendedor #negocios #empreendertransforma #empreendercomproposito #vendasonline #vendas #vendermais #vendedores</t>
  </si>
  <si>
    <t>O cliente não vai te achar escondido, ele quer ver sua solução/produto de uma forma clara.
#empreendedorismo #marketingdigital #sucesso #empreender #marketing #empreendedor #negocios #empreendertransforma #empreendercomproposito #vendasonline #vendas #vendermais #vendedores</t>
  </si>
  <si>
    <t>Você está escondido tentando vender mais ou tem se mostrado?
#empreendedorismo #marketingdigital #sucesso #empreender #marketing #empreendedor #negocios #empreendertransforma #empreendercomproposito #vendasonline #vendas #vendermais #vendedores https://t.co/oM5FhoZvfA</t>
  </si>
  <si>
    <t>Dia 04 de maio é dia do Star Wars. E a frase mais marcante do filme é" Que a força esteja com Você"!
#empreendedorismo #marketingdigital #sucesso #empreender #marketing #empreendedor #negocios #empreendertransforma #empreendercomproposito #vendas #vendermais #vendedores https://t.co/Pm7cHul6Y1</t>
  </si>
  <si>
    <t>Sexxxxtaaa de Carnaval e "nós ta como:"
Preparando para o Bloquinho das Vendas...
🔥E como vai ser seu carnaval aí? Comenta aqui para rirmos juntos 😢
#vendas #vendedor #empreendedorismo #empreender #verdermais https://t.co/6MccnPkuh6</t>
  </si>
  <si>
    <t>Las personas olvidarán lo que dijiste, pero no olvidarán lo que sintieron contigo.
Feliz día😍
#motivación #motivacion #feliz #bienestar #bienestaremocional #actitud #emociones #liderazgo #exito #resultados #tipsdeventas #emprendedores #emprendimiento  #vendedor #comercial https://t.co/F67LHfJWla</t>
  </si>
  <si>
    <t>¡Ingresos extras sólo con Mercasa! 👌😉
Únete a nuestro equipo de brokers y genera ingresos a través de las bienes raíces-
🟨¡Contáctanos para mayor información!
☎️ 246 462 8297
#broker #vendedor #vendercasas #trabajo https://t.co/2ouC2UYiPJ</t>
  </si>
  <si>
    <t>¡Déjanos tu Cv! 
#HuincaRenanco #vendedor #mecanico https://t.co/CLqWreXNZI</t>
  </si>
  <si>
    <t>¿Buscas pega y eres amable? ¡Entonces esta es tú oportunidad! #Vendedor #Computin https://t.co/oTq4AvSJae</t>
  </si>
  <si>
    <t>Siga @niurymartins 😎
#vendas #vendedor #empreendedor #empreendedorismo #varejo #VendasOnline #ecommerce #foco #marketing #marketingdigital #dicadevendas https://t.co/YaRckjjMcT</t>
  </si>
  <si>
    <t>Siga @niurymartins para #DicasDeVendas
#vendas #vendedor #empreendedor #empreendedorismo #empresario #marketing #marketingdigital #lojaonline #motivação #boravender https://t.co/oFiXVmHsJh</t>
  </si>
  <si>
    <t>Siga @niurymartins para mais dicas
#vendas #vendedor #marketing #marketingdigital #ecommerce #motivação #estratégia #empreendedor #empreendedorismo #empreendedor https://t.co/mhDcZb9ejl</t>
  </si>
  <si>
    <t>SE PASÓ DE GANDALLA🥴⚠🚨
🟡Una #turista enfureció con un #vendedor ambulante luego de que el hombre presuntamente la #estafara al venderle una prueba de empanada en 500 pesos, en la zona de playas en #Tulum, #QuintanaRoo. https://t.co/BwfUwuZWzH</t>
  </si>
  <si>
    <t>[VENDER] 💡¿Qué es un buen #comercial y cuáles son las necesidades de sus prospectos?
➡️ Escuchar, analizar, aconsejar, tranquilizar... ¿Cuál consideras que es la principal cualidad del #vendedor #immobiliario?
UN BUEN COMERCIAL</t>
  </si>
  <si>
    <t>@CatalinaSuarezB mediante una campaña publicitaria,con las frases y palabras que los ciudadanos querían escuchar, en pocas palabras gano el mejor #vendedor de conciencias jamás un verdadero líder político.</t>
  </si>
  <si>
    <t>#Empleo #Vacantes #CDMX #Morelos #Ventas #Vendedor #CV #Bolsadeempleo https://t.co/7pDczbHhaj</t>
  </si>
  <si>
    <t>Vendedor chamado de Tiazinha e Nhonho será indenizado em Salvador
Homem alega ainda sofrer cobranças excessivas e ser comparado a outros personagens, como forma de humilhação
#indenização #vendedor #nhonho #tiazinha https://t.co/jbnJlPhTpd</t>
  </si>
  <si>
    <t>Prospecção = 💰
#vendedor #altaperformance https://t.co/fsOaXSoa02</t>
  </si>
  <si>
    <t>Já vai desistir? 👀🚫
#vendedor #empreender #motivacional https://t.co/CKbPMyOS0Y</t>
  </si>
  <si>
    <t>mineiro do Queijo agora e estilo Pokémon. 
.
.
.
.
@Mineiro do Queijo 
.
#viagem #memesvendas #euqueroameta #representantecomercial #vendedor #vendedores #vendas https://t.co/FXA668uQtr</t>
  </si>
  <si>
    <t>aí a viagem de Premiação meus amados vendedores.
.
.
.
.
.
.
#representantecomercial #rca #vendedores #vendedor #euqueroameta #memesvendas #viagem #premiacao https://t.co/4uTKWPI89m</t>
  </si>
  <si>
    <t>Dá pra fazer deboas a Rota de Moto.
.
.
.
.
.
.
.
#euqueroameta #vendas #vendedor #vendedores #meta #representantecomercial https://t.co/oW103qTBsq</t>
  </si>
  <si>
    <t>quando desmerece o serviço nas vendas deve ser assim tbem. 
.
.
.
.
#vendas #representantecomercial #vendedor #sonsatos #isola https://t.co/0O6NGSOVzO</t>
  </si>
  <si>
    <t>como é bom o meu humor todo dia pra vender 😜.
.
.
.
.
#euqueroameta #memesbr #humorvendas #vendedora #vendedor #representantecomercial https://t.co/l1kRCUHgnI</t>
  </si>
  <si>
    <t>como a empresa me enxerga e como enxerga quem não faz merda nenhuma. 
.
.
.
.
.
#trabalho #equipe #vendas #vendedor #euqueroameta #representantecomercial #gerente https://t.co/kfBMkOjgk4</t>
  </si>
  <si>
    <t>o dia que ELA SONHAR. Vai ser assim...
.
.
.
.
.
#vendas #vendedor #memesvendas #representantecomercial #viralizar https://t.co/8sfhKNCLsf</t>
  </si>
  <si>
    <t>Difícil isso na vida do Vendedor. 
.
.
.
.
#vendas #vendedor #representantecomercial #euqueroameta https://t.co/0oYDlMGcW3</t>
  </si>
  <si>
    <t>fazer o vendedor mudar de ideia é muito fácil.
.
.
.
.
.
.
.
#representantecomercial #rca #vendedor #euqueroameta https://t.co/RjwqFf1rsH</t>
  </si>
  <si>
    <t>Quando o Supervisor não é bom, não deixa saudades, vai taaardeeee... 
.
.
.
#vendas #vendasonline #vendedor #supervisorcomercial #supervisao #atacadista #euqueroameta #representantecomercial https://t.co/HNl3aq7Mli</t>
  </si>
  <si>
    <t>Mande para o seu amigo representante que não bateu a meta, que está por um fio, que o Supervisor é maluco... Bora Pra cima. 
.
.
.
.
.
#representantecomercial #euqueroameta #vendas #vendedor #vendedora #rca
#motivacao #rota #atacadista https://t.co/lCqP6trnDL</t>
  </si>
  <si>
    <t>Sábadão precisando mandar o relatório, mas tá fod%$#@
.
.
.
.
.
.
#representante #vendedor #vendas #vender #euqueroameta #meta #supervisorcomercial #industria #vidaderepresentante #gerentecomercial https://t.co/j7It5Qqo3C</t>
  </si>
  <si>
    <t>Rapaz essa semana o Vendedor Pegou Pesado ein. Meu Deus...
.
.
.
.
.
.
#representante #vendedor #vendas #vender #euqueroameta #meta #supervisorcomercial #industria #vidaderepresentante #gerentecomercial https://t.co/8qvkya4HGM</t>
  </si>
  <si>
    <t>É quinta feira e eu ESTOU SUPER MEGA PUTO mas... bora lá neh
.
.
.
.
.
.
#representante #vendedor #vendas #vender #euqueroameta #meta #supervisorcomercial #industria #vidaderepresentante #gerentecomercial https://t.co/ElWPLENr1r</t>
  </si>
  <si>
    <t>Você vai ver agora o que é duro. 
.
.
.
.
.
#vidaderepresentante #euqueroameta #representantecomercial #representante #vendas #vendedor #vender #atacadista #industria #vendasinternacionais https://t.co/OVKVi55Z7k</t>
  </si>
  <si>
    <t>Quem nunca teve um Branco Com o Cliente kkkkk,
.
.
.
.
.
.
#representantecomercial #rca #supervisor #cliente #clientela #distribuidora #euqueroameta #vendedor #vendedores #rcahumorvendas https://t.co/O8VHaeBNvu</t>
  </si>
  <si>
    <t>Supervisor mandando um áudio de 10 minutos. 
.
.
.
.
.
.
#representantecomercial #rca #vendas #vendedor #audio #reidosaudios #euqueroameta #rcahumor #memesvendas https://t.co/l5TNGMnXNh</t>
  </si>
  <si>
    <t>Tem horas que tem que rir pra não chorar, porque não existe me passar uma meta dessa tão alta...
.
.
.
.
.
.
#vendas #vendedor #vendedores #meta #euqueroameta #representantecomercial #email #meta #comissao https://t.co/7jUOAbx2Kr</t>
  </si>
  <si>
    <t>Quem ganha será?
.
.
.
.
#euqueroameta #vencernavida #humorvendas #memesbr #vendedor #representante #representantecomercial💼 #tigre #amanco #khrona https://t.co/FMwQKxxvjr</t>
  </si>
  <si>
    <t>Quem ganha será?
.
.
.
.
#euqueroameta #vencernavida #humorvendas #memesbr #vendedor #representante #representantecomercial💼 #cocacola #pepsi #PepsiKickoffShow #pepsico https://t.co/HPCO5aW6Yh</t>
  </si>
  <si>
    <t>Já que estão uma grande parcela falando desse filme da Barbie, resolvemos colocar os tipos de Barbie do Mundo das Vendas. 
Qual Barbie é Você?
Marque a Sua Amiga ou Amigo na Publicação. 
.
.
#representantecomercial #rca #vendas #vendedor #euqueroameta #barbie #barbieofilme https://t.co/jo5q2mXX2d</t>
  </si>
  <si>
    <t>Já que estão uma grande parcela falando desse filme da Barbie, resolvemos colocar os tipos de Barbie do Mundo das Vendas. 
Qual Barbie é Você?
Marque a Sua Amiga ou Amigo na Publicação. 
.
.
.
.
#representantecomercial #rca #vendas #vendedor #euqueroameta #barbie #barbieofilme https://t.co/UrxektqOrI</t>
  </si>
  <si>
    <t>75 Dias Sem Recebr... desculpe mas não vai rolar...
.
.
.
.
.
.
#representante #vendedor #vendas #vender #euqueroameta #meta #supervisorcomercial #industria #vidaderepresentante #gerentecomercial https://t.co/2diSQjLE0c</t>
  </si>
  <si>
    <t>Segue a Nossa Lista de Hotel...
.
.
.
.
.
.
#representante #vendedor #vendas #vender #euqueroameta #meta #hotel  #industria #vidaderepresentante #hotelfazenda https://t.co/Ga3KTiaQQG</t>
  </si>
  <si>
    <t>DUVIDO MANDAR PARA O SEU CHEFE ISSO...🤣🤣🤣🤣🤣🤣
.
.
.
.
.
.
#representante #vendedor #vendas #vender #euqueroameta #meta]#AmbienteDeTrabalhoJusto #industria #vidaderepresentante https://t.co/UftQ4XSmhh</t>
  </si>
  <si>
    <t>quando eu tenho que fazer tudo e outro levo o mérito e eu ganho um bombom. 
.
.
.
.
.
.
#representantecomercial #rca #representante #vendedor #euqueroameta #vendas #vender #supervisorcomercial #futebol #br #memesbr https://t.co/m8HGth7eNG</t>
  </si>
  <si>
    <t>Grande José e suas Peripécias... 😂😂😂😂😂😂😂😂
.
.
.
.
.
.
#representantecomercial #supervisorcomervial #gerenrecomercial #gestorcomercial #euqueroameta #vendas #vendedor https://t.co/6kU61w4juT</t>
  </si>
  <si>
    <t>É eles. @vingadoresdobrega parece muito a amizade entre vendedores. 
.
.
.
.
.
.
#representantecomercial #supervisorcomervial #gerenrecomercial #gestorcomercial #euqueroameta #vendas #vendedor https://t.co/6ZOpOs7QIC</t>
  </si>
  <si>
    <t>Empresas sérias nós mal conhecemos donos e diretores, não se expõe na Mídia e continuam crescendo e crescendo na discrição. 
.
.
.
.
.
.
#representantecomercial #vendas #vendedor #farmacias #teuto #ache #medicamentos #remedio https://t.co/MAgKJwYhWY</t>
  </si>
  <si>
    <t>Dragonball Queijo
.
.
.
.
.
#vendas #euqueroameta #vendedor #vendedores #representantecomercial #memes #memesbr https://t.co/wL8TrMK8IL</t>
  </si>
  <si>
    <t>baita atalho... kkkkk
.
.
.
.
.
#vendas #euqueroameta #vendedor #vendedores #representantecomercial #memes #memesbr #atalho #estrada https://t.co/1D9xtGstLB</t>
  </si>
  <si>
    <t>Uma reunião super tranquila kkkk
.
.
.
.
.
#vendas #euqueroameta #vendedor #vendedores #representantecomercial #memes #memesbr #reuniao https://t.co/FLB4c4ZgvZ</t>
  </si>
  <si>
    <t>só a harmonização facial... 
.
.
.
.
.
.
.
#vendas #vendedor.#medicamentos #representantecomercial #euqueroameta #equipedevendas #harmonizacaofacial https://t.co/bc5tnDRoLo</t>
  </si>
  <si>
    <t>Aprenda a Conquistar um cliente como o Daniel Conquista a Apresentadora. 
Elogie e Mete Taca no Tablet. 
Bora Bater Meta Meu Povo. 
.
.
.
.
.
..
.
.
.
.
..
.
#euqueroameta #meta #vendas #representantecomercial #representante #supervisorcomercial #supervisor #vendedor https://t.co/raBzdxQ0N5</t>
  </si>
  <si>
    <t>Quem ganha será?
.
.
.
.
#euqueroameta #vencernavida #humorvendas #memesbr #vendedor #representante #representantecomercial💼 https://t.co/aUWhCt0h0I</t>
  </si>
  <si>
    <t>Quem ganha será?
.
.
.
.
#euqueroameta #vencernavida #humorvendas #memesbr #vendedor #representante #representantecomercial💼 https://t.co/hk3D0vGSH3</t>
  </si>
  <si>
    <t>o que faz do que vive isso? 
Promete ajudar o RCA mas é só arrecadação.
.
.
.
.
#euqueroameta #vencernavida #humorvendas #memesbr #vendedor #representante #representantecomercial💼 https://t.co/I4ixFxzSuX</t>
  </si>
  <si>
    <t>a comissão desse mês não foi boa galera :-( 
.
.
.
.
.
.
#vencernavida #euqueroameta #representantecomercial #sucesso #vendedores #vendedor #politica #comissao https://t.co/e8PNssgkeg</t>
  </si>
  <si>
    <t>Vender va más allá de recibir dinero por un  producto o servicio. Implica comprender las necesidades de los clientes y satisfacerlas efectivamente. 
#Vendedor #Valor #VentaDirecta #metas https://t.co/dC0G9jDlOi</t>
  </si>
  <si>
    <t>Retención en la fuente en venta de bienes inmuebles
#tipsaccounter #videotipsaccounter #accounterweb #noticias #news #tips #contador #retencionenlafuente #ventadeinmuebles #ventainmueble #personasjuridicas #personanatural #comprador #vendedor https://t.co/ohKPTTdSsU</t>
  </si>
  <si>
    <t>Your agent can run these numbers for you; you may be very surprised....Learn more at https://t.co/BzUmGClbHP #Mariazorrilla #Realtor #Seller #Buyer #vendedor #comprador #seller #Buyer #RealEstate #investor https://t.co/pc1T9u0QjX</t>
  </si>
  <si>
    <t>Your agent can supply you with the facts and their opinion as well as other experts in the field....Learn more at https://t.co/SQrnWTSigq #Mariazorrilla #Realtor #Seller #Buyer #vendedor #comprador #seller #Buyer #RealEstate #investor https://t.co/lkwXvRFRUx</t>
  </si>
  <si>
    <t>90% of home buyers opt for a 30-year fixed-rate mortgage....Learn more at https://t.co/RYgdHClvqP #Mariazorrilla #Realtor #Seller #Buyer #vendedor #comprador #seller #Buyer #RealEstate #investor https://t.co/OBZfw1lIw3</t>
  </si>
  <si>
    <t>These are very commonplace with builders selling their new homes and your agent can explain how these can be done. ...Learn more at https://t.co/NxrzE6YgQ3 #Mariazorrilla #Realtor #Seller #Buyer #vendedor #comprador #seller #Buyer #RealEstate #investor https://t.co/Vf55ycuEjV</t>
  </si>
  <si>
    <t>A home can be the largest investment for many homeowners that contributes greatly to their wealth....Learn more at https://t.co/lDNomznDYc #Mariazorrilla #Realtor #Seller #Buyer #vendedor #comprador #seller #Buyer #RealEstate #investor https://t.co/RESjSPd9JR</t>
  </si>
  <si>
    <t>It can make a big difference whether buyers decide to schedule a showing....Learn more at https://t.co/S9riTPMiPZ #Mariazorrilla #Realtor #Seller #Buyer #vendedor #comprador #seller #Buyer #RealEstate #investor https://t.co/bIMkcDGUeA</t>
  </si>
  <si>
    <t>Your agent can tell you if properties in the area you want to live are eligible for this type of mortgage....Learn more at https://t.co/neB0OHNw2E #Mariazorrilla #Realtor #Seller #Buyer #vendedor #comprador #seller #Buyer #RealEstate #investor https://t.co/nNqtYDwEmO</t>
  </si>
  <si>
    <t>Allow me to assist you in discovering the perfect professional for your upcoming transition....Learn more at https://t.co/GnM7AV3Sqc #Mariazorrilla #Realtor #Seller #Buyer #vendedor #comprador #seller #Buyer #RealEstate #investor https://t.co/tkaYlTrKE7</t>
  </si>
  <si>
    <t>Amigo #Empresario #Fabricante #Emprendedor #Vendedor #Productor #Invierte tu dinero con la mejor #Publicidad trato directo Comunicate Ya #WhatsApp +51970153454
#LunesDePentagrama
#PentagramaTuRadio
https://t.co/De5pCKhATM
#EneroEsDePentagrama
#23Ene2023 https://t.co/ePv1pMRm8q</t>
  </si>
  <si>
    <t>Amigo #Empresario #Fabricante #Emprendedor #Vendedor #Productor #Invierte tu dinero con la mejor #Publicidad trato directo Comunicate Ya #WhatsApp +51970153454
#PentagramaTuRadio
#HechaParaTi
#TropicalYDeportiva
#21Mar2023
#MarzoEsDePentagrama
https://t.co/orUZ6XCBuT https://t.co/N6Ul80S8HR</t>
  </si>
  <si>
    <t>Amigo #Empresario #Fabricante #Emprendedor #Vendedor #Productor #Invierte tu dinero con la mejor #Publicidad trato directo Comunicate Ya #WhatsApp +51970153454
#12Mar2023
#MarzoEsDePentagrama
https://t.co/H1hmp9qISN https://t.co/vJQuq8jsdE</t>
  </si>
  <si>
    <t>Amigo #Empresario #Fabricante #Emprendedor #Vendedor #Productor #Invierte tu dinero con la mejor #Publicidad trato directo Comunicate Ya #WhatsApp +51970153454
#LunesDePentagrama
#PentagramaTuRadio
https://t.co/De5pCKi8Jk
#MarzoEsDePentagrama
#19Mar2023 https://t.co/JtoJ1TGcYG</t>
  </si>
  <si>
    <t>SE PASÓ DE GANDALLA🥴⚠🚨
🟡Una #turista enfureció con un #vendedor ambulante luego de que el hombre presuntamente la #estafara al venderle una prueba de empanada en 500 pesos, en la zona de playas en #Tulum, #QuintanaRoo. https://t.co/Ov6xXlECRb</t>
  </si>
  <si>
    <t>📢 Estamos contratando vendedor interno para o escritório de São Paulo! Venha fazer parte da nossa equipe!
Enviar currículo para:
🔁 marcus.oliveira@maautopecas.com
📱 (11) 99500-7090
📱SP (11) 2643-5032
.
#maatacado #atacado  #sãopaulo #vagadeempregos #vendedor https://t.co/8vYGBpD90m</t>
  </si>
  <si>
    <t>Seu anúncio só roda no seu horário de atendimento se vc quiser.😁
Veja o vídeo. Caso precise de mais informações me chame .
.
.
Seu negócio depende de você . E do tráfego pago..
.
#whats #whatsapp #venderpelowhatsapp #vendermais
https://t.co/ytClfKQEgu</t>
  </si>
  <si>
    <t>¿Que esperar para tener trabajo?
✨VENDEDOR (A) ✨
Ofrecemos sueldo base quincenal + comisiones semanales 💰
Envíanos tu CV o solicitud de empleo capitalhumanomayan@gmail.com
#MayanFleaMarket
#Vendedor
#Retail
#PlayadelCarmen https://t.co/wGpoAFFw7x</t>
  </si>
  <si>
    <t>¿Que esperar para tener trabajo?
✨VENDEDOR (A) ✨
Ofrecemos sueldo base quincenal + comisiones semanales 💰
Envíanos tu CV o solicitud de empleo capitalhumanomayan@gmail.com
#MayanFleaMarket
#Vendedor
#Retail
#PlayadelCarmen https://t.co/S1l4Z1S1l3</t>
  </si>
  <si>
    <t>¿Que esperar para tener trabajo?
✨VENDEDOR (A) ✨
Ofrecemos sueldo base quincenal + comisiones semanales 💰
Envíanos tu CV o solicitud de empleo capitalhumanomayan@gmail.com
#MayanFleaMarket
#Vendedor
#Retail
#PlayadelCarmen https://t.co/lc6hCoijLE</t>
  </si>
  <si>
    <t>¿Que esperar para tener trabajo?
✨VENDEDOR (A) ✨
Ofrecemos sueldo base quincenal + comisiones semanales 💰
Envíanos tu CV o solicitud de empleo capitalhumanomayan@gmail.com
#MayanFleaMarket
#Vendedor
#Retail
#PlayadelCarmen https://t.co/qabji0Tbio</t>
  </si>
  <si>
    <t>¿Que esperar para tener trabajo?
✨VENDEDOR (A) ✨
Ofrecemos sueldo base quincenal + comisiones semanales 💰
Envíanos tu CV o solicitud de empleo capitalhumanomayan@gmail.com
#MayanFleaMarket
#Vendedor
#Retail
#PlayadelCarmen https://t.co/8JYCHkDHfO</t>
  </si>
  <si>
    <t>¿Que esperar para tener trabajo?
✨VENDEDOR (A) ✨
Ofrecemos sueldo base quincenal + comisiones semanales 💰
Envíanos tu CV o solicitud de empleo capitalhumanomayan@gmail.com
#MayanFleaMarket
#Vendedor
#Retail
#PlayadelCarmen https://t.co/A7yeQ3BvlM</t>
  </si>
  <si>
    <t>¿Que esperar para tener trabajo?
✨VENDEDOR (A) ✨
Ofrecemos sueldo base quincenal + comisiones semanales 💰
Envíanos tu CV o solicitud de empleo capitalhumanomayan@gmail.com
#MayanFleaMarket
#Vendedor
#Retail
#PlayadelCarmen https://t.co/I5t0pIr5C0</t>
  </si>
  <si>
    <t>¿Que esperar para tener trabajo?
✨VENDEDOR (A) ✨
Ofrecemos sueldo base quincenal + comisiones semanales 💰
Envíanos tu CV o solicitud de empleo capitalhumanomayan@gmail.com
#MayanFleaMarket
#Vendedor
#Retail
#PlayadelCarmen https://t.co/N5NGqbmE0a</t>
  </si>
  <si>
    <t>¡¡¡¡Inicia el 2023 con trabajo!!!! 
BUSCO
✨👀 VENDEDOR (A)✨
Envíanos tu CV o solicitud de empleo a mayantalento@gmail.com
Ofrecemos sueldo base (quincenal) + comisión semanales 💰💰
Indispensable vivir en San Lucas
#MayanFleaMarket
#Vendedor
#Retail
#LosCabos https://t.co/xRGSIwk5gY</t>
  </si>
  <si>
    <t>¡¡¡¡Inicia el 2023 con trabajo!!!! 
BUSCO
✨👀 VENDEDOR (A)✨
Envíanos tu CV o solicitud de empleo a mayantalento@gmail.com
Ofrecemos sueldo base (quincenal) + comisión semanales 💰💰
Indispensable vivir en San Lucas
#MayanFleaMarket
#Vendedor
#Retail
#LosCabos https://t.co/43bPiFpmvd</t>
  </si>
  <si>
    <t>¡¡¡Inicia el año nuevo con Nuevo Trabajo!!!
✨VENDEDOR (A) ✨
Ofrecemos sueldo base quincenal + comisiones semanales 💰
Envíanos tu CV o solicitud de empleo capitalhumanomayan@gmail.com
#MayanFleaMarket
#Vendedor
#Retail
#PlayadelCarmen https://t.co/Pjq7mx8d6m</t>
  </si>
  <si>
    <t>¡¡¡¡Inicia el 2023 con trabajo!!!! 
BUSCO
✨👀 VENDEDOR (A)✨
Envíanos tu CV o solicitud de empleo a mayantalento@gmail.com
Ofrecemos sueldo base (quincenal) + comisión semanales 💰💰
Indispensable vivir en San Lucas
#MayanFleaMarket
#Vendedor
#Retail
#LosCabos https://t.co/qwWi92d0aj</t>
  </si>
  <si>
    <t>¡¡¡Inicia el año nuevo con Nuevo Trabajo!!!
✨✨VENDEDOR SENIOR✨✨
✨✨VENDEDOR JUNIOR✨✨
De preferencia con Experiencia en el ramo de Joyerías
Centro de trabajo  Muelle Internacional y Puerta Maya
#TesorosCollection
#Vendedor
#Cozumel https://t.co/nX5aK1byFc</t>
  </si>
  <si>
    <t>¡¡¡Inicia el año nuevo con Nuevo Trabajo!!!
✨VENDEDOR (A) ✨
Ofrecemos sueldo base quincenal + comisiones semanales 💰
Envíanos tu CV o solicitud de empleo capitalhumanomayan@gmail.com
#MayanFleaMarket
#Vendedor
#Retail
#PlayadelCarmen https://t.co/UFL473neBB</t>
  </si>
  <si>
    <t>¡¡¡Inicia el año nuevo con Nuevo Trabajo!!!
✨VENDEDOR (A) ✨
Ofrecemos sueldo base quincenal + comisiones semanales 💰
Envíanos tu CV o solicitud de empleo capitalhumanomayan@gmail.com
#MayanFleaMarket
#Vendedor
#Retail
#PlayadelCarmen https://t.co/Yz6rcQer1d</t>
  </si>
  <si>
    <t>¡¡¡¡Inicia el 2023 con trabajo!!!! 
BUSCO
✨👀 VENDEDOR (A)✨
Envíanos tu CV o solicitud de empleo a mayantalento@gmail.com
Ofrecemos sueldo base (quincenal) + comisión semanales 💰💰
Indispensable vivir en San Lucas
#MayanFleaMarket
#Vendedor
#Retail
#LosCabos https://t.co/TGJ4QgfZdP</t>
  </si>
  <si>
    <t>¡¡¡Inicia el año nuevo con Nuevo Trabajo!!!
✨✨VENDEDOR SENIOR✨✨
✨✨VENDEDOR JUNIOR✨✨
De preferencia con Experiencia en el ramo de Joyerías
Centro de trabajo  Muelle Internacional y Puerta Maya
#TesorosCollection
#Vendedor
#Cozumel https://t.co/ikqhRJqbLi</t>
  </si>
  <si>
    <t>¡¡¡Inicia el año nuevo con Nuevo Trabajo!!!
✨VENDEDOR (A) ✨
Ofrecemos sueldo base quincenal + comisiones semanales 💰
Envíanos tu CV o solicitud de empleo capitalhumanomayan@gmail.com
#MayanFleaMarket
#Vendedor
#Retail
#PlayadelCarmen https://t.co/KIBOzpHrWL</t>
  </si>
  <si>
    <t>¿Que esperar para tener trabajo?
✨VENDEDOR (A) ✨
Ofrecemos sueldo base quincenal + comisiones semanales 💰
Envíanos tu CV o solicitud de empleo capitalhumanomayan@gmail.com
#MayanFleaMarket
#Vendedor
#Retail
#PlayadelCarmen https://t.co/8PNYs80lBo</t>
  </si>
  <si>
    <t>¿Que esperar para tener trabajo?
✨VENDEDOR (A) ✨
Ofrecemos sueldo base quincenal + comisiones semanales 💰
Envíanos tu CV o solicitud de empleo capitalhumanomayan@gmail.com
#MayanFleaMarket
#Vendedor
#Retail
#PlayadelCarmen https://t.co/juJ4Gxk0Cv</t>
  </si>
  <si>
    <t>¿Que esperar para tener trabajo?
✨VENDEDOR (A) ✨
Ofrecemos sueldo base quincenal + comisiones semanales 💰
Envíanos tu CV o solicitud de empleo capitalhumanomayan@gmail.com
#MayanFleaMarket
#Vendedor
#Retail
#PlayadelCarmen https://t.co/zynRq5gpS0</t>
  </si>
  <si>
    <t>¿Que esperar para tener trabajo?
✨VENDEDOR (A) ✨
Ofrecemos sueldo base quincenal + comisiones semanales 💰
Envíanos tu CV o solicitud de empleo capitalhumanomayan@gmail.com
#MayanFleaMarket
#Vendedor
#Retail
#PlayadelCarmen https://t.co/lQ5xrxdgpc</t>
  </si>
  <si>
    <t>¿Que esperar para tener trabajo?
✨VENDEDOR (A) ✨
Ofrecemos sueldo base quincenal + comisiones semanales 💰
Envíanos tu CV o solicitud de empleo capitalhumanomayan@gmail.com
#MayanFleaMarket
#Vendedor
#Retail
#PlayadelCarmen https://t.co/TclDC53ky4</t>
  </si>
  <si>
    <t>¿Que esperar para tener trabajo?
✨VENDEDOR (A) ✨
Ofrecemos sueldo base quincenal + comisiones semanales 💰
Envíanos tu CV o solicitud de empleo capitalhumanomayan@gmail.com
#MayanFleaMarket
#Vendedor
#Retail
#PlayadelCarmen https://t.co/GIsj7K48t1</t>
  </si>
  <si>
    <t>¿Que esperar para tener trabajo?
✨VENDEDOR (A) ✨
Ofrecemos sueldo base quincenal + comisiones semanales 💰
Envíanos tu CV o solicitud de empleo capitalhumanomayan@gmail.com
#MayanFleaMarket
#Vendedor
#Retail
#PlayadelCarmen https://t.co/l8RUsK821t</t>
  </si>
  <si>
    <t>¿Que esperar para tener trabajo?
✨VENDEDOR (A) ✨
Ofrecemos sueldo base quincenal + comisiones semanales 💰
Envíanos tu CV o solicitud de empleo capitalhumanomayan@gmail.com
#MayanFleaMarket
#Vendedor
#Retail
#PlayadelCarmen https://t.co/TlgMmii9WH</t>
  </si>
  <si>
    <t>¿Que esperar para tener trabajo?
✨VENDEDOR (A) ✨
Ofrecemos sueldo base quincenal + comisiones semanales 💰
Envíanos tu CV o solicitud de empleo capitalhumanomayan@gmail.com
#MayanFleaMarket
#Vendedor
#Retail
#PlayadelCarmen https://t.co/dpVxjxs0iZ</t>
  </si>
  <si>
    <t>¿Que esperar para tener trabajo?
✨VENDEDOR (A) ✨
Ofrecemos sueldo base quincenal + comisiones semanales 💰
Envíanos tu CV o solicitud de empleo capitalhumanomayan@gmail.com
#MayanFleaMarket
#Vendedor
#Retail
#PlayadelCarmen https://t.co/SlKQlcjAWa</t>
  </si>
  <si>
    <t>¿Que esperar para tener trabajo?
✨VENDEDOR (A) ✨
Ofrecemos sueldo base quincenal + comisiones semanales 💰
Envíanos tu CV o solicitud de empleo capitalhumanomayan@gmail.com
#MayanFleaMarket
#Vendedor
#Retail
#PlayadelCarmen https://t.co/aquPSqwKYV</t>
  </si>
  <si>
    <t>¡¡Únete a nuestro equipo de trabajo!!
✨✨VENDEDOR (A)✨✨
De preferencia con Experiencia en el ramo de Joyerías
Centro de trabajo Joyería Aura frente al Teatro Armando Manzanero
#Aura
#Vendedor
#Merida https://t.co/86g5JZaRk9</t>
  </si>
  <si>
    <t>¿Que esperar para tener trabajo?
✨VENDEDOR (A) ✨
Ofrecemos sueldo base quincenal + comisiones semanales 💰
Envíanos tu CV o solicitud de empleo capitalhumanomayan@gmail.com
#MayanFleaMarket
#Vendedor
#Retail
#PlayadelCarmen https://t.co/OibOy0mu7s</t>
  </si>
  <si>
    <t>¡¡Únete a nuestro equipo de trabajo!!
✨✨VENDEDOR (A)✨✨
De preferencia con Experiencia en el ramo de Joyerías
Centro de trabajo Joyería Aura frente al Teatro Armando Manzanero
#Aura
#Vendedor
#Merida https://t.co/uXqtsT3jyP</t>
  </si>
  <si>
    <t>¿Que esperar para tener trabajo?
✨VENDEDOR (A) ✨
Ofrecemos sueldo base quincenal + comisiones semanales 💰
Envíanos tu CV o solicitud de empleo capitalhumanomayan@gmail.com
#MayanFleaMarket
#Vendedor
#Retail
#PlayadelCarmen https://t.co/rh2uWewDmd</t>
  </si>
  <si>
    <t>¿Que esperar para tener trabajo?
✨VENDEDOR (A) ✨
Ofrecemos sueldo base quincenal + comisiones semanales 💰
Envíanos tu CV o solicitud de empleo capitalhumanomayan@gmail.com
#MayanFleaMarket
#Vendedor
#Retail
#PlayadelCarmen https://t.co/qquqkC3Z0T</t>
  </si>
  <si>
    <t>¿Que esperar para tener trabajo?
✨VENDEDOR (A) ✨
Ofrecemos sueldo base quincenal + comisiones semanales 💰
Envíanos tu CV o solicitud de empleo capitalhumanomayan@gmail.com
#MayanFleaMarket
#Vendedor
#Retail
#PlayadelCarmen https://t.co/EyY69Bt7Zg</t>
  </si>
  <si>
    <t>¿Que esperar para tener trabajo?
✨VENDEDOR (A) ✨
Ofrecemos sueldo base quincenal + comisiones semanales 💰
Envíanos tu CV o solicitud de empleo capitalhumanomayan@gmail.com
#MayanFleaMarket
#Vendedor
#Retail
#PlayadelCarmen https://t.co/PpvZoxDC0Q</t>
  </si>
  <si>
    <t>¿Que esperar para tener trabajo?
✨VENDEDOR (A) ✨
Ofrecemos sueldo base quincenal + comisiones semanales 💰
Envíanos tu CV o solicitud de empleo capitalhumanomayan@gmail.com
#MayanFleaMarket
#Vendedor
#Retail
#PlayadelCarmen https://t.co/1m0UhJUGsA</t>
  </si>
  <si>
    <t>¿Que esperar para tener trabajo?
✨VENDEDOR (A) ✨
Ofrecemos sueldo base quincenal + comisiones semanales 💰
Envíanos tu CV o solicitud de empleo capitalhumanomayan@gmail.com
#MayanFleaMarket
#Vendedor
#Retail
#PlayadelCarmen https://t.co/2t63FajBqR</t>
  </si>
  <si>
    <t>¿Que esperar para tener trabajo?
✨VENDEDOR (A) ✨
Ofrecemos sueldo base quincenal + comisiones semanales 💰
Envíanos tu CV o solicitud de empleo capitalhumanomayan@gmail.com
#MayanFleaMarket
#Vendedor
#Retail
#PlayadelCarmen https://t.co/cv728GmSdX</t>
  </si>
  <si>
    <t>¿Que esperar para tener trabajo?
✨VENDEDOR (A) ✨
Ofrecemos sueldo base quincenal + comisiones semanales 💰
Envíanos tu CV o solicitud de empleo capitalhumanomayan@gmail.com
#MayanFleaMarket
#Vendedor
#Retail
#PlayadelCarmen https://t.co/ji4wuTX1hs</t>
  </si>
  <si>
    <t>¿Que esperar para tener trabajo?
✨VENDEDOR (A) ✨
Ofrecemos sueldo base quincenal + comisiones semanales 💰
Envíanos tu CV o solicitud de empleo capitalhumanomayan@gmail.com
#MayanFleaMarket
#Vendedor
#Retail
#PlayadelCarmen https://t.co/ZWUuhQBsdJ</t>
  </si>
  <si>
    <t>¿Que esperar para tener trabajo?
✨VENDEDOR (A) ✨
Ofrecemos sueldo base quincenal + comisiones semanales 💰
Envíanos tu CV o solicitud de empleo capitalhumanomayan@gmail.com
#MayanFleaMarket
#Vendedor
#Retail
#PlayadelCarmen https://t.co/oL6MuWbJ2G</t>
  </si>
  <si>
    <t>¿Que esperar para tener trabajo?
✨VENDEDOR (A) ✨
Ofrecemos sueldo base quincenal + comisiones semanales 💰
Envíanos tu CV o solicitud de empleo capitalhumanomayan@gmail.com
#MayanFleaMarket
#Vendedor
#Retail
#PlayadelCarmen https://t.co/6JHutyPtSi</t>
  </si>
  <si>
    <t>¿Que esperar para tener trabajo?
✨VENDEDOR (A) ✨
Ofrecemos sueldo base quincenal + comisiones semanales 💰
Envíanos tu CV o solicitud de empleo capitalhumanomayan@gmail.com
#MayanFleaMarket
#Vendedor
#Retail
#PlayadelCarmen https://t.co/fji9ZOd5oE</t>
  </si>
  <si>
    <t>No sigas buscando tenemos el trabajo perfecto para ti…..
✨VENDEDOR (A) ✨
Ofrecemos sueldo base quincenal + comisiones semanales 💰
Envíanos tu CV o solicitud de empleo capitalhumanomayan@gmail.com
#MayanFleaMarket
#Vendedor
#Retail
#PlayadelCarmen https://t.co/m52gQin4pI</t>
  </si>
  <si>
    <t>¿Que esperar para tener trabajo?
✨VENDEDOR (A) ✨
Ofrecemos sueldo base quincenal + comisiones semanales 💰
Envíanos tu CV o solicitud de empleo capitalhumanomayan@gmail.com
#MayanFleaMarket
#Vendedor
#Retail
#PlayadelCarmen https://t.co/ZzmMaGz8no</t>
  </si>
  <si>
    <t>¿Que esperar para tener trabajo?
✨VENDEDOR (A) ✨
Ofrecemos sueldo base quincenal + comisiones semanales 💰
Envíanos tu CV o solicitud de empleo capitalhumanomayan@gmail.com
#MayanFleaMarket
#Vendedor
#Retail
#PlayadelCarmen https://t.co/jwJnJ6Bn1O</t>
  </si>
  <si>
    <t>¿Que esperar para tener trabajo?
✨VENDEDOR (A) ✨
Ofrecemos sueldo base quincenal + comisiones semanales 💰
Envíanos tu CV o solicitud de empleo capitalhumanomayan@gmail.com
#MayanFleaMarket
#Vendedor
#Retail
#PlayadelCarmen https://t.co/Ro21ubfNCL</t>
  </si>
  <si>
    <t>¿Que esperar para tener trabajo?
✨VENDEDOR (A) ✨
Ofrecemos sueldo base quincenal + comisiones semanales 💰
Envíanos tu CV o solicitud de empleo capitalhumanomayan@gmail.com
#MayanFleaMarket
#Vendedor
#Retail
#PlayadelCarmen https://t.co/jZcXiP6ZuE</t>
  </si>
  <si>
    <t>¿Que esperar para tener trabajo?
✨VENDEDOR (A) ✨
Ofrecemos sueldo base quincenal + comisiones semanales 💰
Envíanos tu CV o solicitud de empleo capitalhumanomayan@gmail.com
#MayanFleaMarket
#Vendedor
#Retail
#PlayadelCarmen https://t.co/tpW4OjeQGH</t>
  </si>
  <si>
    <t>¿Que esperar para tener trabajo?
✨VENDEDOR (A) ✨
Ofrecemos sueldo base quincenal + comisiones semanales 💰
Envíanos tu CV o solicitud de empleo capitalhumanomayan@gmail.com
#MayanFleaMarket
#Vendedor
#Retail
#PlayadelCarmen https://t.co/n2cVeoOleE</t>
  </si>
  <si>
    <t>¿Que esperar para tener trabajo?
✨VENDEDOR (A) ✨
Ofrecemos sueldo base quincenal + comisiones semanales 💰
Envíanos tu CV o solicitud de empleo capitalhumanomayan@gmail.com
#MayanFleaMarket
#Vendedor
#Retail
#PlayadelCarmen https://t.co/UCsfg0AFCD</t>
  </si>
  <si>
    <t>¿Que esperar para tener trabajo?
✨VENDEDOR (A) ✨
Ofrecemos sueldo base quincenal + comisiones semanales 💰
Envíanos tu CV o solicitud de empleo capitalhumanomayan@gmail.com
#MayanFleaMarket
#Vendedor
#Retail
#PlayadelCarmen https://t.co/6FpbwQkJ6D</t>
  </si>
  <si>
    <t>¿Que esperar para tener trabajo?
✨VENDEDOR (A) ✨
Ofrecemos sueldo base quincenal + comisiones semanales 💰
Envíanos tu CV o solicitud de empleo capitalhumanomayan@gmail.com
#MayanFleaMarket
#Vendedor
#Retail
#PlayadelCarmen https://t.co/WbhpXpCdSV</t>
  </si>
  <si>
    <t>¿Que esperar para tener trabajo?
✨VENDEDOR (A) ✨
Ofrecemos sueldo base quincenal + comisiones semanales 💰
Envíanos tu CV o solicitud de empleo capitalhumanomayan@gmail.com
#MayanFleaMarket
#Vendedor
#Retail
#PlayadelCarmen https://t.co/AmrjXnqi1C</t>
  </si>
  <si>
    <t>¡¡¡Inicia el año nuevo con Nuevo Trabajo!!!
✨VENDEDOR (A) ✨
Ofrecemos sueldo base quincenal + comisiones semanales 💰
Envíanos tu CV o solicitud de empleo capitalhumanomayan@gmail.com
#MayanFleaMarket
#Vendedor
#Retail
#PlayadelCarmen https://t.co/VCZhTsjBDd</t>
  </si>
  <si>
    <t>¡¡¡Inicia el año nuevo con Nuevo Trabajo!!!
✨VENDEDOR (A) ✨
Ofrecemos sueldo base quincenal + comisiones semanales 💰
Envíanos tu CV o solicitud de empleo capitalhumanomayan@gmail.com
#MayanFleaMarket
#Vendedor
#Retail
#PlayadelCarmen https://t.co/faSGKfCjAo</t>
  </si>
  <si>
    <t>¡¡¡Inicia el año nuevo con Nuevo Trabajo!!!
✨VENDEDOR (A) ✨
Ofrecemos sueldo base quincenal + comisiones semanales 💰
Envíanos tu CV o solicitud de empleo capitalhumanomayan@gmail.com
#MayanFleaMarket
#Vendedor
#Retail
#PlayadelCarmen https://t.co/Mei0bYZZe9</t>
  </si>
  <si>
    <t>No sigas buscando tenemos el trabajo perfecto para ti…..
✨VENDEDOR (A) ✨
Ofrecemos sueldo base quincenal + comisiones semanales 💰
Envíanos tu CV o solicitud de empleo capitalhumanomayan@gmail.com
#MayanFleaMarket
#Vendedor
#Retail
#PlayadelCarmen https://t.co/wKvdfJY3vO</t>
  </si>
  <si>
    <t>¿Que esperar para tener trabajo?
✨VENDEDOR (A) ✨
Ofrecemos sueldo base quincenal + comisiones semanales 💰
Envíanos tu CV o solicitud de empleo capitalhumanomayan@gmail.com
#MayanFleaMarket
#Vendedor
#Retail
#PlayadelCarmen https://t.co/47ivb6PNsX</t>
  </si>
  <si>
    <t>¿Que esperar para tener trabajo?
✨VENDEDOR (A) ✨
Ofrecemos sueldo base quincenal + comisiones semanales 💰
Envíanos tu CV o solicitud de empleo capitalhumanomayan@gmail.com
#MayanFleaMarket
#Vendedor
#Retail
#PlayadelCarmen https://t.co/z5QqEC9Sqh</t>
  </si>
  <si>
    <t>¿Que esperar para tener trabajo?
✨VENDEDOR (A) ✨
Ofrecemos sueldo base quincenal + comisiones semanales 💰
Envíanos tu CV o solicitud de empleo capitalhumanomayan@gmail.com
#MayanFleaMarket
#Vendedor
#Retail
#PlayadelCarmen https://t.co/nWB2DCXcqJ</t>
  </si>
  <si>
    <t>¿Que esperar para tener trabajo?
✨VENDEDOR (A) ✨
Ofrecemos sueldo base quincenal + comisiones semanales 💰
Envíanos tu CV o solicitud de empleo capitalhumanomayan@gmail.com
#MayanFleaMarket
#Vendedor
#Retail
#PlayadelCarmen https://t.co/cw2OTdNgHG</t>
  </si>
  <si>
    <t>¡¡Únete a nuestro equipo de trabajo!!
✨✨VENDEDOR (A)✨✨
De preferencia con Experiencia en el ramo de Joyerías
Centro de trabajo Joyería Aura frente al Teatro Armando Manzanero
#Aura
#Vendedor
#Merida https://t.co/uTjj8eXPoL</t>
  </si>
  <si>
    <t>¿Que esperar para tener trabajo?
✨VENDEDOR (A) ✨
Ofrecemos sueldo base quincenal + comisiones semanales 💰
Envíanos tu CV o solicitud de empleo capitalhumanomayan@gmail.com
#MayanFleaMarket
#Vendedor
#Retail
#PlayadelCarmen https://t.co/X8lWKszAR8</t>
  </si>
  <si>
    <t>¿Que esperar para tener trabajo?
✨VENDEDOR (A) ✨
Ofrecemos sueldo base quincenal + comisiones semanales 💰
Envíanos tu CV o solicitud de empleo capitalhumanomayan@gmail.com
#MayanFleaMarket
#Vendedor
#Retail
#PlayadelCarmen https://t.co/y6P83yBtOZ</t>
  </si>
  <si>
    <t>¿Que esperar para tener trabajo?
✨VENDEDOR (A) ✨
Ofrecemos sueldo base quincenal + comisiones semanales 💰
Envíanos tu CV o solicitud de empleo capitalhumanomayan@gmail.com
#MayanFleaMarket
#Vendedor
#Retail
#PlayadelCarmen https://t.co/0Q2BUX8Xwk</t>
  </si>
  <si>
    <t>¡¡Únete a nuestro equipo de trabajo!!
✨✨VENDEDOR (A)✨✨
De preferencia con Experiencia en el ramo de Joyerías
Centro de trabajo Joyería Aura frente al Teatro Armando Manzanero
#Aura
#Vendedor
#Merida https://t.co/yLefiINeM1</t>
  </si>
  <si>
    <t>¿Que esperar para tener trabajo?
✨VENDEDOR (A) ✨
Ofrecemos sueldo base quincenal + comisiones semanales 💰
Envíanos tu CV o solicitud de empleo capitalhumanomayan@gmail.com
#MayanFleaMarket
#Vendedor
#Retail
#PlayadelCarmen https://t.co/SJutZ8s8To</t>
  </si>
  <si>
    <t>¿Que esperar para tener trabajo?
✨VENDEDOR (A) ✨
Ofrecemos sueldo base quincenal + comisiones semanales 💰
Envíanos tu CV o solicitud de empleo capitalhumanomayan@gmail.com
#MayanFleaMarket
#Vendedor
#Retail
#PlayadelCarmen https://t.co/6o5FbeMO1I</t>
  </si>
  <si>
    <t>No sigas buscando tenemos el trabajo perfecto para ti…..
✨VENDEDOR (A) ✨
Ofrecemos sueldo base quincenal + comisiones semanales 💰
Envíanos tu CV o solicitud de empleo capitalhumanomayan@gmail.com
#MayanFleaMarket
#Vendedor
#Retail
#PlayadelCarmen https://t.co/f4jBdqUEOy</t>
  </si>
  <si>
    <t>No sigas buscando tenemos el trabajo perfecto para ti…..
✨VENDEDOR (A) ✨
Ofrecemos sueldo base quincenal + comisiones semanales 💰
Envíanos tu CV o solicitud de empleo capitalhumanomayan@gmail.com
#MayanFleaMarket
#Vendedor
#Retail
#PlayadelCarmen https://t.co/5BzaFESRjV</t>
  </si>
  <si>
    <t>¿Que esperar para tener trabajo?
✨VENDEDOR (A) ✨
Ofrecemos sueldo base quincenal + comisiones semanales 💰
Envíanos tu CV o solicitud de empleo capitalhumanomayan@gmail.com
#MayanFleaMarket
#Vendedor
#Retail
#PlayadelCarmen https://t.co/KdMo8bSgQV</t>
  </si>
  <si>
    <t>¿Que esperar para tener trabajo?
✨VENDEDOR (A) ✨
Ofrecemos sueldo base quincenal + comisiones semanales 💰
Envíanos tu CV o solicitud de empleo capitalhumanomayan@gmail.com
#MayanFleaMarket
#Vendedor
#Retail
#PlayadelCarmen https://t.co/eJh4veYVKO</t>
  </si>
  <si>
    <t>¿Que esperar para tener trabajo?
✨VENDEDOR (A) ✨
Ofrecemos sueldo base quincenal + comisiones semanales 💰
Envíanos tu CV o solicitud de empleo capitalhumanomayan@gmail.com
#MayanFleaMarket
#Vendedor
#Retail
#PlayadelCarmen https://t.co/BJAKiRszsU</t>
  </si>
  <si>
    <t>¿Que esperar para tener trabajo?
✨VENDEDOR (A) ✨
Ofrecemos sueldo base quincenal + comisiones semanales 💰
Envíanos tu CV o solicitud de empleo capitalhumanomayan@gmail.com
#MayanFleaMarket
#Vendedor
#Retail
#PlayadelCarmen https://t.co/6n9ZNIboyL</t>
  </si>
  <si>
    <t>¿Que esperar para tener trabajo?
✨VENDEDOR (A) ✨
Ofrecemos sueldo base quincenal + comisiones semanales 💰
Envíanos tu CV o solicitud de empleo capitalhumanomayan@gmail.com
#MayanFleaMarket
#Vendedor
#Retail
#PlayadelCarmen https://t.co/fqL191eOgr</t>
  </si>
  <si>
    <t>¿Que esperar para tener trabajo?
✨VENDEDOR (A) ✨
Ofrecemos sueldo base quincenal + comisiones semanales 💰
Envíanos tu CV o solicitud de empleo capitalhumanomayan@gmail.com
#MayanFleaMarket
#Vendedor
#Retail
#PlayadelCarmen https://t.co/hXjEOLuyEj</t>
  </si>
  <si>
    <t>¿Que esperar para tener trabajo?
✨VENDEDOR (A) ✨
Ofrecemos sueldo base quincenal + comisiones semanales 💰
Envíanos tu CV o solicitud de empleo capitalhumanomayan@gmail.com
#MayanFleaMarket
#Vendedor
#Retail
#PlayadelCarmen https://t.co/lNv19SCEUV</t>
  </si>
  <si>
    <t>¡¡¡Inicia el año nuevo con Nuevo Trabajo!!!
✨✨VENDEDOR SENIOR✨✨
✨✨VENDEDOR JUNIOR✨✨
De preferencia con Experiencia en el ramo de Joyerías
Centro de trabajo  Muelle Internacional y Puerta Maya
#TesorosCollection
#Vendedor
#Cozumel https://t.co/yicasC7rGg</t>
  </si>
  <si>
    <t>¡¡¡Inicia el año nuevo con Nuevo Trabajo!!!
✨VENDEDOR (A) ✨
Ofrecemos sueldo base quincenal + comisiones semanales 💰
Envíanos tu CV o solicitud de empleo capitalhumanomayan@gmail.com
#MayanFleaMarket
#Vendedor
#Retail
#PlayadelCarmen https://t.co/fhXrsWUjj0</t>
  </si>
  <si>
    <t>¡¡¡Inicia el año nuevo con Nuevo Trabajo!!!
✨VENDEDOR (A) ✨
Ofrecemos sueldo base quincenal + comisiones semanales 💰
Envíanos tu CV o solicitud de empleo capitalhumanomayan@gmail.com
#MayanFleaMarket
#Vendedor
#Retail
#PlayadelCarmen https://t.co/I70VotrxGa</t>
  </si>
  <si>
    <t>¡¡¡Inicia el año nuevo con Nuevo Trabajo!!!
✨VENDEDOR (A) ✨
Ofrecemos sueldo base quincenal + comisiones semanales 💰
Envíanos tu CV o solicitud de empleo capitalhumanomayan@gmail.com
#MayanFleaMarket
#Vendedor
#Retail
#PlayadelCarmen https://t.co/SQRYOZCmjZ</t>
  </si>
  <si>
    <t>¡¡¡Inicia el año nuevo con Nuevo Trabajo!!!
✨VENDEDOR (A) ✨
Ofrecemos sueldo base quincenal + comisiones semanales 💰
Envíanos tu CV o solicitud de empleo capitalhumanomayan@gmail.com
#MayanFleaMarket
#Vendedor
#Retail
#PlayadelCarmen https://t.co/dvnwOR0ba1</t>
  </si>
  <si>
    <t>¡¡¡Inicia el año nuevo con Nuevo Trabajo!!!
✨VENDEDOR (A) ✨
Ofrecemos sueldo base quincenal + comisiones semanales 💰
Envíanos tu CV o solicitud de empleo capitalhumanomayan@gmail.com
#MayanFleaMarket
#Vendedor
#Retail
#PlayadelCarmen https://t.co/CoFaqQZj4A</t>
  </si>
  <si>
    <t>¡¡¡Inicia el año nuevo con Nuevo Trabajo!!!
✨VENDEDOR (A) ✨
Ofrecemos sueldo base quincenal + comisiones semanales 💰
Envíanos tu CV o solicitud de empleo capitalhumanomayan@gmail.com
#MayanFleaMarket
#Vendedor
#Retail
#PlayadelCarmen https://t.co/sJu8GJRT5K</t>
  </si>
  <si>
    <t>No sigas buscando tenemos el trabajo perfecto para ti…..
✨VENDEDOR (A) ✨
Ofrecemos sueldo base quincenal + comisiones semanales 💰
Envíanos tu CV o solicitud de empleo capitalhumanomayan@gmail.com
#MayanFleaMarket
#Vendedor
#Retail
#PlayadelCarmen https://t.co/V2myw3b4f8</t>
  </si>
  <si>
    <t>No sigas buscando tenemos el trabajo perfecto para ti…..
✨VENDEDOR (A) ✨
Ofrecemos sueldo base quincenal + comisiones semanales 💰
Envíanos tu CV o solicitud de empleo capitalhumanomayan@gmail.com
#MayanFleaMarket
#Vendedor
#Retail
#PlayadelCarmen https://t.co/GGfa8e7lUr</t>
  </si>
  <si>
    <t>¿Que esperar para tener trabajo?
✨VENDEDOR (A) ✨
Ofrecemos sueldo base quincenal + comisiones semanales 💰
Envíanos tu CV o solicitud de empleo capitalhumanomayan@gmail.com
#MayanFleaMarket
#Vendedor
#Retail
#PlayadelCarmen https://t.co/TYEmqyggVX</t>
  </si>
  <si>
    <t>¿Que esperar para tener trabajo?
✨VENDEDOR (A) ✨
Ofrecemos sueldo base quincenal + comisiones semanales 💰
Envíanos tu CV o solicitud de empleo capitalhumanomayan@gmail.com
#MayanFleaMarket
#Vendedor
#Retail
#PlayadelCarmen https://t.co/3KBWgRrenW</t>
  </si>
  <si>
    <t>¿Que esperar para tener trabajo?
✨VENDEDOR (A) ✨
Ofrecemos sueldo base quincenal + comisiones semanales 💰
Envíanos tu CV o solicitud de empleo capitalhumanomayan@gmail.com
#MayanFleaMarket
#Vendedor
#Retail
#PlayadelCarmen https://t.co/odOKNVknEm</t>
  </si>
  <si>
    <t>¡¡Únete a nuestro equipo de trabajo!!
✨✨VENDEDOR (A)✨✨
De preferencia con Experiencia en el ramo de Joyerías
Centro de trabajo Joyería Aura frente al Teatro Armando Manzanero
#Aura
#Vendedor
#Merida https://t.co/XYesKfhtYb</t>
  </si>
  <si>
    <t>¿Que esperar para tener trabajo?
✨VENDEDOR (A) ✨
Ofrecemos sueldo base quincenal + comisiones semanales 💰
Envíanos tu CV o solicitud de empleo capitalhumanomayan@gmail.com
#MayanFleaMarket
#Vendedor
#Retail
#PlayadelCarmen https://t.co/thFQGmjRux</t>
  </si>
  <si>
    <t>¡¡Únete a nuestro equipo de trabajo!!
✨✨VENDEDOR (A)✨✨
De preferencia con Experiencia en el ramo de Joyerías
Centro de trabajo Joyería Aura frente al Teatro Armando Manzanero
#Aura
#Vendedor
#Merida https://t.co/TqzJNmKaNI</t>
  </si>
  <si>
    <t>¿Que esperar para tener trabajo?
✨VENDEDOR (A) ✨
Ofrecemos sueldo base quincenal + comisiones semanales 💰
Envíanos tu CV o solicitud de empleo capitalhumanomayan@gmail.com
#MayanFleaMarket
#Vendedor
#Retail
#PlayadelCarmen https://t.co/6EftqUtMSv</t>
  </si>
  <si>
    <t>¿Que esperar para tener trabajo?
✨VENDEDOR (A) ✨
Ofrecemos sueldo base quincenal + comisiones semanales 💰
Envíanos tu CV o solicitud de empleo capitalhumanomayan@gmail.com
#MayanFleaMarket
#Vendedor
#Retail
#PlayadelCarmen https://t.co/SkzBIF1bVf</t>
  </si>
  <si>
    <t>¡¡¡Inicia el año nuevo con Nuevo Trabajo!!!
✨VENDEDOR (A) ✨
Ofrecemos sueldo base quincenal + comisiones semanales 💰
Envíanos tu CV o solicitud de empleo capitalhumanomayan@gmail.com
#MayanFleaMarket
#Vendedor
#Retail
#PlayadelCarmen https://t.co/gUYtkO4Ozb</t>
  </si>
  <si>
    <t>¡¡¡Inicia el año nuevo con Nuevo Trabajo!!!
✨VENDEDOR (A) ✨
Ofrecemos sueldo base quincenal + comisiones semanales 💰
Envíanos tu CV o solicitud de empleo capitalhumanomayan@gmail.com
#MayanFleaMarket
#Vendedor
#Retail
#PlayadelCarmen https://t.co/EdEsRZrd4a</t>
  </si>
  <si>
    <t>Aprenda como aumentar significativamente suas vendas no LinkedIn: 610 milhões de usuários, possibilidades de conectar com potenciais clientes, ferramentas avançadas. Saiba como! #VenderMais #LinkedinVendas #MarketingDigital https://t.co/3Mwp3YAeJg</t>
  </si>
  <si>
    <t>Comercial mercado nacional
Read more 👉 https://t.co/4M6DvuuDJr
#Anúncio #Emprego #Comercial #Anunciodeemprego #Vendedor https://t.co/urNLCnLOJL</t>
  </si>
  <si>
    <t>Comercial Recursos Humanos especializados 
Read the full article: Comercial Mercado Nacional – Recursos Humanos Especializados
▸ https://t.co/h3M6i9xVSf
#Anúncio #Emprego #Comercial #Anunciodeemprego #Vendedor https://t.co/ELzU7VfQIc</t>
  </si>
  <si>
    <t>Comercial Mercado Nacional – Recursos Humanos Especializados: https://t.co/E37OLPndIW
#Anúncio #Emprego #Comercial #Anunciodeemprego #Vendedor https://t.co/jTgggUsR7T</t>
  </si>
  <si>
    <t>Procuramos comercial com experiência
Read the full article: Comercial Mercado Nacional – Recursos Humanos Especializados
▸ https://t.co/Jv5i2AeUyM
#Anúncio #Emprego #Comercial #Anunciodeemprego #Vendedor https://t.co/tGT6fFD1S6</t>
  </si>
  <si>
    <t>Vendo para mercado nacional
Read the full article: Comercial Mercado Nacional – Recursos Humanos Especializados
▸ https://t.co/K5gQqjsSgw
#Anúncio #Emprego #Comercial #Anunciodeemprego #Vendedor https://t.co/cCuQJtxTpD</t>
  </si>
  <si>
    <t>Oportunidade em empresa em grande expansão nacional e internacional
Read more 👉 https://t.co/46IOs54lrU
#Anúncio #Emprego #Comercial #Anunciodeemprego #Vendedor https://t.co/bEtDIiWAM1</t>
  </si>
  <si>
    <t>Recrutamos comercial
Read the full article: Comercial Mercado Nacional – Recursos Humanos Especializados
▸ https://t.co/tZCZnUlNHP
#Anúncio #Emprego #Comercial #Anunciodeemprego #Vendedor https://t.co/sTajzewG8T</t>
  </si>
  <si>
    <t>És comercial? À procura de novo desafio?
Read more 👉 https://t.co/cMIeZmFy3a
#Anúncio #Emprego #Comercial #Anunciodeemprego #Vendedor https://t.co/fnuNviHeJC</t>
  </si>
  <si>
    <t>Procuramos comercial com experiência
Read more 👉 https://t.co/wsaqj3kTGB
#Anúncio #Emprego #Comercial #Anunciodeemprego #Vendedor https://t.co/OM5tkcixeH</t>
  </si>
  <si>
    <t>Procuramos comercial com experiência na venda de recursos humanos especializados 
Read more 👉 https://t.co/T36dpFuD3G
#Anúncio #Emprego #Comercial #Anunciodeemprego #Vendedor https://t.co/VOvI9Csv8H</t>
  </si>
  <si>
    <t>Desvendando a verdade: A emoção é a chave para vender mais!
O profissional que sabe vender se diferencia dos demais. 🚀 🇧🇷 com: Ciro Bottini.
.
#Vendas #EmoçõesEmVendas #CiroBottini #TécnicasDeVendas #SucessoEmVendas #DicasDeVendas #VenderMais #VendaEmocional https://t.co/TDJ33NG6iB</t>
  </si>
  <si>
    <t>Qualquer empresa precisa dessa figura, afinal, sem vendas não há negócio!
Feliz dia do revendedor! Marca o @ do seu comercial favorito!
Se você tem créditos à recuperar entre em contato 📞 02125148983 ou  📧comercial@easycob-n.com.br
#easycob #cobrança #vendedor #revendedor https://t.co/9iq7ZofkJ7</t>
  </si>
  <si>
    <t>#Minecraft #aldea #Vendedor #FelizMiercoles #nadiedicenada https://t.co/eulCkuPXQY</t>
  </si>
  <si>
    <t>São Paulo News
Crescimento Profissional, treinamento extra curricular.
Prof Andre Gonçalves.
.
.
.
.
#saopaulo #empreendedorismo #empreendedor #empreendedora #vendedor #representantecomercial https://t.co/c6Ab9sJflC</t>
  </si>
  <si>
    <t>São Paulo News
A oportunidade de fazer uma Renda Extra e atualizar seus estudos Gestão Privada.
Prof Andre Gonçalves.
Oferece consultoria para empreendedores e aulas de ADM.mtk. vendas e treinamento de liderança.
Contato: andregestao301@gmail.com
#estudante #saopaulo #vendedor https://t.co/YqS7xf0quF</t>
  </si>
  <si>
    <t>Não é sobre talento, é sobre dedicação e prática🎯
#marketingdigital #empreendedorismo #boravender #boraempreender #digitalmarketing #seo #vendermais #marketingdeconteudo #marketingnaveia #venderonline #formuladelancamentos #lancamentosdigitais #marketingparalancamentos https://t.co/ct06uaHE6Y</t>
  </si>
  <si>
    <t>¿Te Gustan las Ventas y Deseas Incursionar en Bienes Raíces?
Eres: Organizado, Proactivo, Responsable y Cuentas con Habilidades de Negociación.
¡Entonces Contáctanos!
442 200 6797
#ventadecasa #asesorinmobiliario #vendedor #juriquilla #zibata #elcampanario #queretaro https://t.co/I9HghP0tTt</t>
  </si>
  <si>
    <t>¿Te Gustan las Ventas y Deseas Incursionar en Bienes Raíces?
Eres: Organizado, Proactivo, Responsable y Cuentas con Habilidades de Negociación.
¡Entonces Contáctanos!
442 200 6797
#ventadecasa #asesorinmobiliario #vendedor #juriquilla #zibata #elcampanario #queretaro https://t.co/fYHDx9gOgv</t>
  </si>
  <si>
    <t>¿Te Gustan las Ventas y Deseas Incursionar en Bienes Raíces?
Eres: Organizado, Proactivo, Responsable y Cuentas con Habilidades de Negociación.
¡Entonces Contáctanos!
442 200 6797
#ventadecasa #asesorinmobiliario #vendedor #juriquilla #zibata #elcampanario #queretaro https://t.co/BNM8xFxo1J</t>
  </si>
  <si>
    <t>¿Te Gustan las Ventas y Deseas Incursionar en Bienes Raíces?
Eres: Organizado, Proactivo, Responsable y Cuentas con Habilidades de Negociación.
¡Entonces Contáctanos!
442 200 6797
#ventadecasa #asesorinmobiliario #vendedor #juriquilla #zibata #elcampanario #queretaro https://t.co/T6QrI7HEht</t>
  </si>
  <si>
    <t>¿Te Gustan las Ventas y Deseas Incursionar en Bienes Raíces?
Eres: Organizado, Proactivo, Responsable y Cuentas con Habilidades de Negociación.
¡Entonces Contáctanos!
442 200 6797
#ventadecasa #asesorinmobiliario #vendedor #juriquilla #zibata #elcampanario #queretaro https://t.co/VxVth0yhj6</t>
  </si>
  <si>
    <t>#equipedevendas #timedevendas #vendermais #encantarclientes #posvendas #empreendedor #fidelizarclientes #vendas #vendedor #vendedordesucesso #empreendendorismo #negóciosdigitais #vendedordesucesso #marketingdigital #palestradevendas https://t.co/84whTvknC6</t>
  </si>
  <si>
    <t>#ULTIMOMINUTO : Fue #captado el #momento exacto en el que una #mujer y un #vendedor de #hamacas #muren al #instante a causa de la #caída de un #Rayo, en la #playa de #Aquila, #Michoacan, #Mexico. https://t.co/xDYsjqJ3aq</t>
  </si>
  <si>
    <t>Paulo do Dindin, vendedor com paralisia cerebral, ganha geladeira e tem aluguel pago com ajuda de internautas. Pegue o lencinho e assista!
https://t.co/BzDkUxvVXj
#paulododindin #vendedor #dindin #geladinho #paralisia #manaus #ajuda #internautas @parcbrilhantes @sovaquinhaboa</t>
  </si>
  <si>
    <t>Pai vende doces na rua para realizar sonho dos filhos lutadores de jiu-jitsu: competir pelo Brasil. Bora ajudar?
https://t.co/hDBdjPXfZK
#JiuJitsu #sonho #representar #brasil #atletas #pai #vendedor #doces #narua #vaquinha #ajudar #sovaquinhaboa @sovaquinhaboa</t>
  </si>
  <si>
    <t>Vendedor de dindin com paralisia cerebral emociona com sua garra em vídeo e ganha apoio da web! Bora ajudar o Paulo?
https://t.co/pvptCLiv9M
#vendedor #dindin #geladinho #manaus #paralisia #paralisiacerebral #PCD #video @sovaquinhaboa</t>
  </si>
  <si>
    <t>Palhaço é aprovado em Medicina em universidade federal. Tentou durante 9 anos! Veja!
https://t.co/xJfsuAfxKT
#palhaco #vendedor #aprovado #medicina #universidade #educacao #superacao #vitoria #sonho #persistir #estudar #conseguir</t>
  </si>
  <si>
    <t>Alunos comovidos compram todos os lanches de vendedor proibido de vender na escola
https://t.co/x4V2Cnf6na
#empatia #solidariedade #alunos #juntos #comprar #lanches #vendedor #proibido #vender #salgados #escola #bragança #pará</t>
  </si>
  <si>
    <t>Após falências, ex-vendedor de praia fica milionário com franquia de recargas de celulares. História sensacional!
https://t.co/1OawEsjeg1
#milionário #vendedor #praia #recarga #celular #franquia #virada #falencia #persistir #negocios #empreendedorismo</t>
  </si>
  <si>
    <t>Influenciadora dá carro para vendedor de doces e vídeo com boa ação viraliza na web! Assista!
https://t.co/Vbj9EcZjn5
#influencer #influenciadora #presente #carro #vendedor #doces #saopaulo #SthefannyCarvalho #video #viral #fazerobem #genteboa #doar</t>
  </si>
  <si>
    <t>Vendedor de chupchup é aprovado na mesma universidade onde trabalha! Vitória comemorada!
https://t.co/59MY1XM1du
#vendedor #chupchup #geladinho #comerciante #aprovado #universidade #faculdade #ondetrabalha #trabalhador #Vitoria</t>
  </si>
  <si>
    <t>Ambulante descoberto na praia vendendo óculos de sol vira modelo e estreia na SPFW com aplausos
https://t.co/Kx8zLKfrBn
#SPFW #ambulante #vendedor #oculos #modelo #newface #model #senegal</t>
  </si>
  <si>
    <t>Jovens flagram vendedor de hot dog dormindo profundamente, assumem as vendas e vídeo bate 16M. Veja como fazer o bem dá audiência! Assista!
https://t.co/A5VHujJPW2
#VIDEO #viral #hotdog #cachorroquente #vendedor #dormir #jovens #ajudar #empatia #vender #ajudar #Alegria</t>
  </si>
  <si>
    <t>Moradores se unem e dão bike cargueira a idoso de 93 anos que foi furtado. Seu Raimundo usa a bicicleta para vender frutas e se emocionou com o presente. Veja!
https://t.co/fkQpaLuajM
#bike #bicicleta #idoso #furtado #vendedor #frutas #moradores #vaquinha #ajudar</t>
  </si>
  <si>
    <t>#NovaIguaçu #Trabalho #vendedor https://t.co/BMAbD11ofn</t>
  </si>
  <si>
    <t>Utiliza los últimos descubrimientos sobre el cerebro para aumentar tus ventas: https://t.co/eWDnDfnw5x #vender #ventas #vendedor #curso #neuroventas https://t.co/tzUECGaEcK</t>
  </si>
  <si>
    <t>Vende más de cualquier producto o servicio: https://t.co/qExiY16NM5 #Vender #Vendedor #CartasDeVenta #Web #TiendaOnline #Shopify #Ecomerce https://t.co/obDQKAP0hW</t>
  </si>
  <si>
    <t>Vende más de cualquier producto o servicio: https://t.co/3jUDIWbDiU #Vender #Vendedor #CartasDeVenta #Web #TiendaOnline #Shopify #Ecomerce https://t.co/w9lXULvzij</t>
  </si>
  <si>
    <t>Vende más de cualquier producto o servicio: https://t.co/k9EMqiYSBW #Vender #Vendedor #CartasDeVenta #Web #TiendaOnline #Shopify #Ecomerce https://t.co/JmCXfzUC90</t>
  </si>
  <si>
    <t>Utiliza los últimos descubrimientos sobre el cerebro para aumentar tus ventas: https://t.co/oKKy1Vh62G #vender #ventas #vendedor #curso #neuroventas https://t.co/m24hmNAjrG</t>
  </si>
  <si>
    <t>Utiliza los últimos descubrimientos sobre el cerebro para aumentar tus ventas: https://t.co/gjQu8b3gRF #vender #ventas #vendedor #curso #neuroventas https://t.co/3CXRZzkKDM</t>
  </si>
  <si>
    <t>Vende más de cualquier producto o servicio: https://t.co/pqzb8886JE #Vender #Vendedor #CartasDeVenta #Web #TiendaOnline #Shopify #Ecomerce https://t.co/fP2lHBqaYm</t>
  </si>
  <si>
    <t>Utiliza los últimos descubrimientos sobre el cerebro para aumentar tus ventas: https://t.co/9TxThDC1r0 #vender #ventas #vendedor #curso #neuroventas https://t.co/rReC1Xukxd</t>
  </si>
  <si>
    <t>Utiliza los últimos descubrimientos sobre el cerebro para aumentar tus ventas: https://t.co/nXfBFEVMTV #vender #ventas #vendedor #curso #neuroventas https://t.co/71u9ruemI1</t>
  </si>
  <si>
    <t>Vende más de cualquier producto o servicio: https://t.co/SaOqiZYSTA #Vender #Vendedor #CartasDeVenta #Web #TiendaOnline #Shopify #Ecomerce https://t.co/sFCTteO1mI</t>
  </si>
  <si>
    <t>Vende más de cualquier producto o servicio: https://t.co/99RQ8BINb0 #Vender #Vendedor #CartasDeVenta #Web #TiendaOnline #Shopify #Ecomerce https://t.co/BqyhrnjLlO</t>
  </si>
  <si>
    <t>Vende más de cualquier producto o servicio: https://t.co/rdtgPWMbPx #Vender #Vendedor #CartasDeVenta #Web #TiendaOnline #Shopify #Ecomerce https://t.co/wVCFLpziCM</t>
  </si>
  <si>
    <t>Utiliza los últimos descubrimientos sobre el cerebro para aumentar tus ventas: https://t.co/5epB8ZViOf #vender #ventas #vendedor #curso #neuroventas https://t.co/AFYs2VdAX2</t>
  </si>
  <si>
    <t>Vendedor del centro 🏢
🔸🔸🔸🔸🔸🔸🔸🔸🔸🔸🔸🔸🔸🔸
#centro #vendedor #salesman #santamarta #streetphotographerscommunity en Santa Marta, Magdalena https://t.co/qmocciRZSi</t>
  </si>
  <si>
    <t>La Vidriera de #Empleo cuenta con 382 vacancias laborales para esta semana, puestos que están siendo requeridos por el sector privado. Los rubros más solicitados son para #vendedor externo, atención al cliente, operario de #producción y de #frigorífico. 
https://t.co/ePagJmo4dz</t>
  </si>
  <si>
    <t>#talinykrein #tklegal #vemserlegal #direito #direitodotrabalho #emprego #trabalho #empregado #trabalhador #patrao #empresa #empresas #empregador #empresario #advogada #advogado #advogadatrabalhista #advogadotrabalhista #advocaciatrabalhista #rh #dp #comissão #comissões #vendedor https://t.co/e7ThBKmmK1</t>
  </si>
  <si>
    <t>O que caracteriza um bom vendedor, seja no presencial ou na internet, é a habilidade de saber escutar...#vendedor</t>
  </si>
  <si>
    <t>El próximo #07Sep se celebra el día del #enólogo y el día #3Jun se celebró el día internacional del #sommelier 
El #19jul el día del bodeguero y, desconozco si existe el día del #vendedor de #vino e inclusive del #repartidor. 
Pero todo llegará......#AsiEs https://t.co/Jj1PqLZtZF</t>
  </si>
  <si>
    <t>El cargo de #vendedor  requiere de un entrenamiento especial por parte de personas que han vendido por años y no teóricos. Contáctenos Norte Mediación - Gestión de Conflictos y Capacitación https://t.co/njie6wM950</t>
  </si>
  <si>
    <t>Você conhece o perfil dos seus vendedores?
Conteúdo para você que empreende: https://t.co/W24j2MNMXG 
#movaseempreendedor #vendedor #equipedegendas #gestãocomercial #timecomercial https://t.co/CY00fDtJ09</t>
  </si>
  <si>
    <t>A importância de ter um processo validado para seus vendedores.
Conteúdo para você que empreende: https://t.co/W24j2MNMXG 
#movaseempreendedor #vendedor #equipedegendas #gestãocomercial #timecomercial https://t.co/COROPswlWx</t>
  </si>
  <si>
    <t>Motivos de fazer treinamentos constantes.
Conteúdo para você que empreende: https://t.co/W24j2MNMXG 
#movaseempreendedor #vendedor #equipedegendas #gestãocomercial #timecomercial https://t.co/tRYaLWn0uY</t>
  </si>
  <si>
    <t>A equipe de vendas tem que estar no digital.
Conteúdo para você que empreende: https://t.co/W24j2MNMXG 
#movaseempreendedor #vendedor #equipedegendas #gestãocomercial #timecomercial https://t.co/wOiqsav0Pr</t>
  </si>
  <si>
    <t>Como treinar sua equipe de vendas?
Conteúdo para você que empreende: https://t.co/W24j2MOkNe 
#movaseempreendedor #vendedor #equipedegendas #gestãocomercial #timecomercial https://t.co/AkT2oeCxE7</t>
  </si>
  <si>
    <t>Como você treina sua equipe de vendas?
Conteúdo para você que empreende: https://t.co/W24j2MNMXG
#movaseempreendedor #vendedor #equipedegendas #gestãocomercial #timecomercial https://t.co/ZOZbwzLcNz</t>
  </si>
  <si>
    <t>#Reels #ReelsInstagram #Instagram #Marketing #Ventas #Copy #Copywriting #CopywritingTips #Copywriters #Emprendedores #Emprender #Empredimientos #Marketing #MarketingDigital #Vender #Vendedor #Venezuela #Mexico #España #Chile #Colombia #Argentina https://t.co/bZgg8HhogL</t>
  </si>
  <si>
    <t>El empleo que necesitas lo encuentras aquí 👇
https://t.co/uMeN24VzQG
#EmpleoDisponible #Trabajo #Ingeniero #Vendedor #AuxiliarContable #recepcionista #CDMX #AvisoOportuno https://t.co/NtnU3fCbUN</t>
  </si>
  <si>
    <t>Ya no esperes más y postúlate hoy 📣
#AuxiliarContable #Contabilidad #Cuidador #Vendedor
https://t.co/F0fOmQ8HSm https://t.co/xhc4vvBOUS</t>
  </si>
  <si>
    <t>🚨 Es momento de crecer profesionalmente 👇
#Marketing #AuxiliarContable #AsistenteDirección #Vendedor #AvisoOportuno #FelizMiércoles https://t.co/O9yNUH4Ivv</t>
  </si>
  <si>
    <t>Hoy es un buen día para encontrar #Trabajo 🤩
#Vendedor #AuxiliarContable #Manicurista https://t.co/0AzuM0eDBM</t>
  </si>
  <si>
    <t>📈💼 O número de seguidores não é tudo! Descubra como alinhar suas estratégias digitais para impulsionar vendas e o crescimento do seu negócio. 
💪✨ Leia mais no Instagram! https://t.co/rLtz2ietL8
#MarketingDigital #VendasOnline #NegócioDigital #PresençaDigital #VenderMais https://t.co/nIsaNv2laZ</t>
  </si>
  <si>
    <t>#SaúlSalazarNoticias // 🚨 #ÚltimaHora 🚨|| Asesinan a #vendedor ambulante en Santa Teresa, #Huajuapan
Más detalles en: 
https://t.co/UVsDRY65Sy https://t.co/7ShTktvyZL</t>
  </si>
  <si>
    <t>Oportunidad Laboral #Quito #Ecuador; envíanos tu hoja de vida a tdiazcl@teneriadiaz.com #OportunidadLaboral #Empleo #Pichincha #Vendedor https://t.co/NhnanaYZEZ</t>
  </si>
  <si>
    <t>📚 Trecho do meu #livro “Na vida tudo é venda” (em breve disponível).
#Ambição é você ter fome de sucesso, desejo ardente, muita vontade de vencer.
A ambição é a força propulsora que motiva um #vendedor a superar obstáculos e alcançar seus objetivos.
#fomedesucesso #vendas https://t.co/jofOMrzxbf</t>
  </si>
  <si>
    <t>En InfoJobs he encontrado esta oferta de Dependiente/a en Islas Baleares/Illes Balears: https://t.co/KW5k8bVNNy #empleo #muebles #vendedor #Mallorca #Palma https://t.co/Yn9ADCLSMJ</t>
  </si>
  <si>
    <t>A quienes trabajan en departamento comercial, o sea ventas. ¿ Cómo le hacen para poder aguantar tanto rechazo ? Es pregunta seria 
#ventas #trabajo #vendedor #Ecuador #comercial</t>
  </si>
  <si>
    <t>Estas 5️⃣ competencias son básicas para trabajar de comercial 🧑‍💼 🏬 🔗https://t.co/oRLjqUXQtT
 #agentecomercial #agentedeventas #comercial #competenciasvendedor #competencias #comunicación #autodisciplina #vendedor #ejecutivodeventas #competenciaslaborales #vendedorefectivo</t>
  </si>
  <si>
    <t>#Vendedor de hot-dogs se queda dormido y jóvenes lo ayudan a despachar https://t.co/7A8NmPcnHq https://t.co/8y5YQc63Wk</t>
  </si>
  <si>
    <t>🔍 Sabia que num perdão de dívida a um cliente, em sede de IVA, não há qualquer regularização a fazer por parte do prestador/vendedor?
#perdao #divida #iva #regularizacao #prestador #vendedor #abtoc #dilema #duvida #ajuda #solucao #trabalhorindependente #sociedade #trabalhadores https://t.co/ZcvCEM28rN</t>
  </si>
  <si>
    <t>Estamos en busca de tu talento:
-Mesera (Laborar Lunes a Sábado)
Requisitos: 
-Dinámic@
-Experiencia mínima
Acudir a entrevista con solicitud o CV en Calz. Chabacano 70, Vista Alegre o más info al 5521169552 
#RT 🙏 #Meser@ #Trabajo #Gastronomia #Restaurante #Vendedor</t>
  </si>
  <si>
    <t>RT @lajozzs: Estamos en busca de tu talento:
-Mesera (Laborar Lunes a Sábado)
Requisitos: 
-Dinámic@
-Experiencia mínima
Acudir a entrev…</t>
  </si>
  <si>
    <t>#Vaga - OH, BOY! | #Vendedor(a) | #Salvador Barra 
https://t.co/iRLEnRW8hn</t>
  </si>
  <si>
    <t>🎯Fofoca Saudável de Hoje!🎯📌🍀✅
#FofocadoBem 
#Vaga - NV | #Vendedor - #Salvador / BA
Vaga também para #PcD | Efetivo
"Criada em dezembro de 2009 , a NV firmou-se no mercado de moda feminina como referência..."
https://t.co/3HjBfG9yNU</t>
  </si>
  <si>
    <t>#Vaga - #Vendedor - Lacoste - #Salvador 
https://t.co/xaROWDg60g</t>
  </si>
  <si>
    <t>🎯Fofoca Saudável de Hoje!🎯📌🍀✅
#FofocadoBem 
...
Você já está vencendo. Aguenta, aí.♥️✨🪄
..
#Vaga - #Vendedor Interno -
Instituto da Construção -
#Salvador / BA
Ide: https://t.co/NbcWUi9kHi</t>
  </si>
  <si>
    <t>#Vaga - #Vendedor Interno - #Salvador 
Empresa: MAGAJE
https://t.co/vQ6oOgToL3</t>
  </si>
  <si>
    <t>#Vaga - #Vendedor(a) Interno - #Salvador 
Empresa: JAMEF ENCOMENDAS URGENTES
https://t.co/JpPqBDD2Ip</t>
  </si>
  <si>
    <t>🎯Fofoca Saudável de Hoje!🎯📌🍀✅
#FofocadoBem 
...
Você já está vencendo. Aguenta, aí.♥️✨🪄
...
#Vaga - #Vendedor (a) | TRACK&amp;amp;FIELD | SHOPPING BARRA | #SALVADOR https://t.co/fcDuY8VVHK</t>
  </si>
  <si>
    <t>🎯Fofoca Saudável de Hoje!🎯📌🍀✅
#FofocadoBem 
...
Você já está vencendo. Aguenta, aí.♥️✨🪄
...
#Vaga - #Vendedor (a) #Salvador - BA
https://t.co/khawFFx33d</t>
  </si>
  <si>
    <t>🎯Fofoca Saudável de Hoje!🎯📌🍀✅
#FofocadoBem 
...
Você já está vencendo. Aguenta, aí.♥️✨🪄
...
#Vaga - #Vendedor (a) - #camacari Camaçari - BA
https://t.co/AhnY518yoo</t>
  </si>
  <si>
    <t>🎯Fofoca Saudável de Hoje!🎯📌🍀✅
#FofocadoBem 
...
Você já está vencendo. Aguenta, aí.♥️✨🪄
...
#Vaga - #Vendedor de Loja - SHOPPING BARRA #SALVADOR
Ide:
https://t.co/wq5ysLqcQd</t>
  </si>
  <si>
    <t>#Vaga - ANIMALE | #VENDEDOR | #SALVADOR SHOPPING.
Vaga também para #PcD.
https://t.co/1qqhL3kcRs</t>
  </si>
  <si>
    <t>#Vaga - ANIMALE | #VENDEDOR | BARRA - #SALVADOR
https://t.co/y75GoN959C</t>
  </si>
  <si>
    <t>#Vaga - #Vendedor de Eletro (GBarbosa) - #Salvador/BA📱💻 
Formação: Ensino Médio Completo ou Superior em andamento e ...
https://t.co/uG1mac7HYK</t>
  </si>
  <si>
    <t>🎯Fofoca Saudável de Hoje!🎯📌🍀✅
#FofocadoBem 
...
Você já está vencendo. Aguenta, aí.♥️✨🪄
...
#Vaga - #Vendedor(a) - Extra - #Salvador / BA
https://t.co/2JmV7lshGs</t>
  </si>
  <si>
    <t>🎯Fofoca Saudável de Hoje!🎯📌🍀✅
#FofocadoBem 
...
Você já está vencendo. Aguenta, aí.♥️✨🪄
...
#Vaga - #Vendedor - #Catu / BA
https://t.co/ymTI62B4Jx</t>
  </si>
  <si>
    <t>🎯Fofoca Saudável de Hoje!🎯📌🍀✅
#FofocadoBem 
...
Você já está vencendo. Aguenta, aí.♥️✨🪄
...
#Vaga - #Vendedor Trainee | #Lauro de Freitas/ #Salvador / BA 
https://t.co/DOSFGvBiXq</t>
  </si>
  <si>
    <t>🎯Fofoca Saudável de Hoje!🎯📌🍀✅
#FofocadoBem 
...
Você já está vencendo. Aguenta, aí.♥️✨🪄
...
#Vaga - FARM | #Vendedor | Barra #Salvador / BA https://t.co/SQrBRkzn7B</t>
  </si>
  <si>
    <t>🎯Fofoca Saudável de Hoje!🎯📌🍀✅
#FofocadoBem 
...
#Vaga - #Vendedor - Efetivo - #Salvador
https://t.co/5kfEnSQiii</t>
  </si>
  <si>
    <t>🎯Fofoca Saudável de Hoje!🎯📌🍀✅
#FofocadoBem 
...
#Vaga - #Vendedor de Externo/PAP - #Salvador /BA
https://t.co/zCVkrdFibY</t>
  </si>
  <si>
    <t>RT @vagasdesalvador: 🎯Fofoca Saudável de Hoje!🎯📌🍀✅
#FofocadoBem 
...
Você já está vencendo. Aguenta, aí.♥️✨🪄
...
#Vaga - #Vendedor - #Salva…</t>
  </si>
  <si>
    <t>🎯Fofoca Saudável de Hoje!🎯📌🍀✅
#FofocadoBem 
...
Você já está vencendo. Aguenta, aí.♥️✨🪄
...
#Vaga - #Vendedor (a) - #Salvador / BA https://t.co/khawFFx33d</t>
  </si>
  <si>
    <t>🎯Fofoca Saudável de Hoje!🎯📌🍀✅
#FofocadoBem 
...
Você já está vencendo. Aguenta, aí.♥️✨🪄
...
#Vaga - #Vendedor de Serviços #Automotivos 🚛🛻🚙🚗🚦
#Salvador / BA
https://t.co/elDMahYty8</t>
  </si>
  <si>
    <t>🎯Fofoca Saudável de Hoje!🎯📌🍀✅
#FofocadoBem 
...
Você já está vencendo. Aguenta, aí.♥️✨🪄
...
#Vaga - #Vendedor - #Salvador/ BA
https://t.co/DJv7YlcQHh</t>
  </si>
  <si>
    <t>🎯Fofoca Saudável de Hoje!🎯📌🍀✅
#FofocadoBem 
...
Você já está vencendo. Aguenta, aí.♥️✨🪄
...
#Vaga - FARM | #Vendedor | #Iguatemi #Salvador / BA 
https://t.co/m8wt7f2baD</t>
  </si>
  <si>
    <t>🎯Fofoca Saudável de Hoje!🎯📌🍀✅
#FofocadoBem 
...
Você já está vencendo. Aguenta, aí.♥️✨🪄
...
#Vaga -
FARM | #Vendedor | BARRA #SALVADOR
https://t.co/w1jQohTy7O</t>
  </si>
  <si>
    <t>🎯Fofoca Saudável de Hoje!🎯📌🍀✅
#FofocadoBem 
...
Você já está vencendo. Aguenta, aí.♥️✨🪄
...
#Vaga - #Vendedor I - 
Vigor Alimentos S.A - #Salvador/ BA
https://t.co/UHpIHupWrR</t>
  </si>
  <si>
    <t>🎯Fofoca Saudável de Hoje!🎯📌🍀✅
#FofocadoBem 
...
🎯Fofoca: Você já está vencendo. 
✨🪄
#Vaga - #Vendedor - OUTLET PREMIUM - #Camacari Camaçari/ BA https://t.co/LIT8YqU1B3</t>
  </si>
  <si>
    <t>#Vaga - #VENDEDOR EXTERNO - #Salvador - BA
Possuir veículo e CNH ativa; 
Ter disponibilidade em horário comercial; 
Ter experiência com vendas e busca por resultados e metas e ...
https://t.co/993TKpZW5z</t>
  </si>
  <si>
    <t>📳 Se registró #atentado por parte de #sicarios contra un hombre #vendedor de #verduras en el barrio “El Verbel”, sector cercano al #mercado público, zona sur de #Sincelejo. 
Noticia en desarrollo. https://t.co/Prpv0WbZgl</t>
  </si>
  <si>
    <t>🔵 Hallan cuerpo sin vida con signos de #violencia en el sector “Brisas del Sur” de #Sincelejo.
La #víctima: José Martelo, conocido como “El Pingüi”, #vendedor de manillas y residente en el barrio “La Esmeralda” del corregimiento de #Chochó de la capital sucreña. https://t.co/Jto5oc3tgu</t>
  </si>
  <si>
    <t>#vagas #vendedor #veterinaria https://t.co/N7qVugo9qZ</t>
  </si>
  <si>
    <t>#vendedor #vagas #engenharia https://t.co/yQF2AiXIx3</t>
  </si>
  <si>
    <t>@Grupo_Bimbo @BimboMx  sellen bien sus productos es pérdida para el #vendedor #ciudaddemexico #Twitter https://t.co/HMAflCyxBQ</t>
  </si>
  <si>
    <t>É eita atrás de vixi lkkkkkkkk 
#vender #vendedor #banco https://t.co/FtjMONcO7c</t>
  </si>
  <si>
    <t>Feliz da vida KKKKKKKKK 
.
.
.
.
.
.
.
#vendedor #venda #vendas #cliente #carros #vendedordecarro https://t.co/LiPARb08Ov</t>
  </si>
  <si>
    <t>A vida do vendedor kkkkkkk
.
.
.
#vendedor #meme https://t.co/Leq8x3bgr3</t>
  </si>
  <si>
    <t>Si tú en situaciones particulares (ejemplo: pandemia) despachaste mucho alcohol y tapabocas, no eres #vendedor, la gente estaba comprando por necesidad.
No confundas #vender con una situación que hace que te compren sin importar quién eres tú sino la adquisición del producto.</t>
  </si>
  <si>
    <t>El #vendedor corporativo que nunca ha hecho #Venta de ruta (consumo masivo, visita médica, proveedor de repuestos) suele poner metas basadas en su expectativas corporativas olvidando en muchos casos que la calle tiene su realidad real diaria.
👉Ojo con este detallazo</t>
  </si>
  <si>
    <t>UBER DEVERÁ INDENIZAR VENDEDOR  ... | ...
Para ler na íntegra, acesse https://t.co/EmhnPYHjUb
FONTE: TJDFT | FOTO: Reprodução/Internet
#portaljuristec #Uber #vendedor #delivery https://t.co/gLxCzBxAmf</t>
  </si>
  <si>
    <t>UNILEVER DEVE INDENIZAR VENDEDOR  ... | ...
Para ler na íntegra, acesse https://t.co/DWEvSQiBHk
FONTE: Portal Migalhas | FOTO: Carreiras Unilever
#portaljuristec #Unilever #indenização #vendedor https://t.co/wM7LXSPh1m</t>
  </si>
  <si>
    <t>𝟰 #𝗹𝗶𝗯𝗿𝗼𝘀 𝗾𝘂𝗲 𝘁𝗼𝗱𝗼 #𝗲𝗺𝗽𝗿𝗲𝗻𝗱𝗲𝗱𝗼𝗿 𝗱𝗲𝗯𝗲 𝗹𝗲𝗲𝗿 🤓
✔️La magia de pensar en grande. David Schwartz
✔️Inteligencia emocional. Daniel Goleman
✔️Tribus. Seth Godin
✔️El #vendedor más grande del mundo. Og Mandino
#lectura  #teen #leer #MarketingStrategy https://t.co/ZZA77PUebE</t>
  </si>
  <si>
    <t>"Estar onde o cliente está”, se você se identifica com essa frase não pode ficar de fora da Goiâniacal!
Com quatro edições anuais, somos a maior feira do centro-oeste brasileiro. 
WhatsApp: (62) 8257 3869
#feiradenegocios #goias #goiania #representantecomercial #vendermais https://t.co/k0lDHsYbdQ</t>
  </si>
  <si>
    <t>Estamos buscando tu talento✨ pide más información al 4118 9214 y se parte de este increíble equipo! 🎉#OportunidadLaboral #empleoguatemala #guatemala #empleogt #ciudadGuatemala #vendedor #vendedorDeCampo https://t.co/03dic3c4oY</t>
  </si>
  <si>
    <t>#Imagenes del #polemico enfrentamiento entre el #alcalde de #Estambul, y un #comerciante en #Estambul que le acusó de "ir de la mano con el PKK". "Tú eres del PKK. No eres un #vendedor" respondió el alcalde, quien acabó ordenando echar al comerciante, que ha presentado #denuncia https://t.co/3TdXVMfJeu</t>
  </si>
  <si>
    <t>EL VENDEDOR DE IDEAS Principios y técnicas fundamentales del mundo del MARKETING y las VENTAS PERSONALIZADAS
link: ➡️ https://t.co/GXF7RZOPUP
Disponible en digital y papel en #amazon #bubok #lektu y audiolibro en #googleplay
#ventas #puertafria #vendedor #vender #cursoparavender https://t.co/wQu7q7bh8g</t>
  </si>
  <si>
    <t>🎧AUDIOLIBRO🎧 EL VENDEDOR DE IDEAS Estudio y análisis minucioso de las conductas y necesidades humanas para utilizarlas en provecho personal. 🎧AUDIOLIBRO🎧 disponible en #googleplay #lektu y #bubok  https://t.co/kxJlvNcFOr #ventas #puertafria #vendedor #vender #cursoparavender</t>
  </si>
  <si>
    <t>🎧AUDIOLIBRO🎧 EL VENDEDOR DE IDEAS Estudio y análisis minucioso de las conductas y necesidades humanas para utilizarlas en provecho personal. 🎧AUDIOLIBRO🎧 disponible en #googleplay #lektu y #bubok https://t.co/kxJlvNc7YT #ventas #puertafria #vendedor #vender #cursoparavender</t>
  </si>
  <si>
    <t>🎧AUDIOLIBRO🎧 EL VENDEDOR DE IDEAS Estudio y análisis minucioso de las conductas y necesidades humanas para utilizarlas en provecho personal. 🎧AUDIOLIBRO🎧 disponible en #googleplay #lektu y #bubok https://t.co/8LHnN2fow6 #puertafria #vendedor #vender #cursoparavender https://t.co/YrYGyyuPWu</t>
  </si>
  <si>
    <t>🎧AUDIOLIBRO🎧 EL VENDEDOR DE IDEAS Estudio y análisis minucioso de las conductas y necesidades humanas para utilizarlas en provecho personal. 🎧AUDIOLIBRO🎧 disponible en #googleplay #lektu y #bubok https://t.co/8LHnN2eQGy #puertafria #vendedor #vender #cursoparavender https://t.co/DqIdg7QHtO</t>
  </si>
  <si>
    <t>🎧AUDIOLIBRO🎧 EL VENDEDOR DE IDEAS Estudio y análisis minucioso de las conductas y necesidades humanas para utilizarlas en provecho personal. 🎧AUDIOLIBRO🎧 disponible en #googleplay #lektu y #bubok  https://t.co/kxJlvNc7YT #ventas #puertafria #vendedor #vender #cursoparavender</t>
  </si>
  <si>
    <t>🎧AUDIOLIBRO🎧 EL VENDEDOR DE IDEAS Estudio y análisis minucioso de las conductas y necesidades humanas para utilizarlas en provecho personal. 🎧AUDIOLIBRO🎧 disponible en #googleplay #lektu y #bubok https://t.co/8LHnN2fow6 #puertafria #vendedor #vender #cursoparavender https://t.co/bcZH9AgrO8</t>
  </si>
  <si>
    <t>EL VENDEDOR DE IDEAS Principios y técnicas fundamentales del mundo del MARKETING y las VENTAS PERSONALIZADAS
link: ➡️ https://t.co/GXF7RZOPUP
Disponible en digital y papel en #amazon #bubok #lektu y audiolibro en #googleplay
#ventas #puertafria #vendedor #vender #cursoparavender</t>
  </si>
  <si>
    <t>EL VENDEDOR DE IDEAS Principios y técnicas fundamentales del mundo del MARKETING y las VENTAS PERSONALIZADAS
link: ➡️ https://t.co/GXF7RZPnKn
Disponible en digital y papel en #amazon #bubok #lektu y audiolibro en #googleplay
#ventas #puertafria #vendedor #vender #cursoparavender</t>
  </si>
  <si>
    <t>🎧AUDIOLIBRO🎧 EL VENDEDOR DE IDEAS Estudio y análisis minucioso de las conductas y necesidades humanas para utilizarlas en provecho personal. 🎧AUDIOLIBRO🎧 disponible en #googleplay #lektu y #bubok https://t.co/8LHnN2fow6 #puertafria #vendedor #vender #cursoparavender https://t.co/pL8dZWU6Tm</t>
  </si>
  <si>
    <t>🎧AUDIOLIBRO🎧 EL VENDEDOR DE IDEAS Estudio y análisis minucioso de las conductas y necesidades humanas para utilizarlas en provecho personal. 🎧AUDIOLIBRO🎧 disponible en #googleplay #lektu y #bubok https://t.co/8LHnN2eQGy #puertafria #vendedor #vender #cursoparavender https://t.co/8R4dxZJypP</t>
  </si>
  <si>
    <t>🎧AUDIOLIBRO🎧 EL VENDEDOR DE IDEAS Estudio y análisis minucioso de las conductas y necesidades humanas para utilizarlas en provecho personal. 🎧AUDIOLIBRO🎧 disponible en #googleplay #lektu y #bubok https://t.co/8LHnN2eQGy #puertafria #vendedor  #cursoparavender #RecomiendoLeer https://t.co/zsRm0c0l4D</t>
  </si>
  <si>
    <t>Quieres que todos conozcan tus productos y servicios pero no sabes que debes hacer. Con nosotros encontrarás un aliado para iniciar el crecimiento de tu marca o negocio.
#venta #emprendedor #vendedor https://t.co/2oDx1tM5tt</t>
  </si>
  <si>
    <t>Un #vendedor te da 10 razones para no comprar.
Un asesor de #ventas te da 1000 razones para comprarte y fidelizarte cómo #cliente.
Allí el secreto del #servicio.</t>
  </si>
  <si>
    <t>#vendas #vendermais #comovendermais #comoaumentarasvendas</t>
  </si>
  <si>
    <t>Você concorda que vendedor deva receber horas extras? Comente aqui  #notíciasjurídicas  #vendedor #horasextras https://t.co/8Ppnf2Ep7O</t>
  </si>
  <si>
    <t>#vendedor solucioneslaboralesec@gmail.com https://t.co/n5L6ZFD8Lb</t>
  </si>
  <si>
    <t>Quando o cliente fala que o ACM não tem durabilidade.
(O NOSSO ACM TENDO 10 ANOS DE GARANTIA). #vendedor #garantia 
O vendedor: https://t.co/IXWtbiRdUU</t>
  </si>
  <si>
    <t>La empatía más que solo un conjunto de habilidades, es una herramienta poderosa que permite establecer conexiones significativas con los clientes. 🚀📢💵
#ventas #vanta #vendedor #vendermas #Sales #vendedores #negocios #empresarios #emprendedor #b2b
https://t.co/rprF8KEtgZ</t>
  </si>
  <si>
    <t>https://t.co/WEJwVxX8Dc
#ventas #vender #sales #salestips #vendedor #vendermas #salestraining</t>
  </si>
  <si>
    <t>¡Intentaron #ejecutar a un #vendedor ambulante de flores en #Guadalupe! - https://t.co/56gbxfzJ5Y</t>
  </si>
  <si>
    <t>¡En #Guadalupe intentaron #ejecutar a un #vendedor ambulante de flores! - https://t.co/eRqpJT3DTy</t>
  </si>
  <si>
    <t>¡#Vendedor de #drogas fue detenido por policías municipales de #Aguascalientes con 50 dosis de “crystal”! - https://t.co/UW5KJr3rfw</t>
  </si>
  <si>
    <t>¡Policías municipales de #Aguascalientes detuvieron a #vendedor de #drogas con 50 dosis de “crystal”! - https://t.co/xgy96pNnkC</t>
  </si>
  <si>
    <t>Hoy te cuento la #CUARTA área de #desarrollo que debes trabajar y subir tus niveles para ser un #vendedor completo…
Y al final del episodio te presento mi nuevo #proyecto🚀🚀🚀
#podcast #desarrollo #ventas https://t.co/g780kKNa8d</t>
  </si>
  <si>
    <t>¿Cuáles son las áreas de #desarrollo  de un vendedor?
Este mes de febrero estaré compartiendo las áreas que debe desarrollar un vendedor para ser un #vendedor completo. 
Hoy puedes oír la primera aquí 👉https://t.co/QWyBv5fhV9
#vendedores #desarrollo #…https://t.co/9IB9o1cqhA</t>
  </si>
  <si>
    <t>Hoy te cuento la TERCERA área de desarrollo que, según mi experiencia, debes trabajar, poner foco y subir tus niveles para ser un #vendedor completo.
Escúchalo gratis aquí 👉https://t.co/WFV9kR7Jfg
#ventas #vendedores #podcast https://t.co/iHobxhIOvt</t>
  </si>
  <si>
    <t>“Todos los tontos los tengo como clientes” “Este cliente es un tiquismiquis o especialito”.
Esto suelo escuchar en muchos vendedores del sector #horeca  donde no consiguen vender y le echan la culpa a cómo es el #cliente…
Si tú cómo #vendedor no te ad…https://t.co/iygTzFbbyy</t>
  </si>
  <si>
    <t>#Vendedor | Niterói/RJ
Para se candidatar siga o link da vaga:
https://t.co/ilP5etG2dk
#GlobalEmpregos #VagasDeEmprego #OportunidadeDeEmprego #Emprego #ProcuroEmprego #Currículo #VagaDeTrabalho https://t.co/VNGclpNv9e</t>
  </si>
  <si>
    <t>🔴 Sicarios acabaron con la vida de un vendedor en los exteriores de la parada de la Metrovía ubicada en Santa Priscila, Vía Daule, al norte de la ciudad, los sujetos fueron capturados después por la Policía Nacional.
#Sicariato #Vendedor #Guayaquil #Ecuador https://t.co/KlH1qjj02s</t>
  </si>
  <si>
    <t>“El mercado inmobiliario empieza a creer que el Euribor cerrará el año por debajo del 3%”. M. Martos
https://t.co/F3VZdjBN17
#mercados #inmobiliaria #mercadoinmobiliario #vivienda #euribor #fotocasa #precios #viviendasenespaña #vendedor https://t.co/lAPC6Fhmn9</t>
  </si>
  <si>
    <t>Un trader misterioso tumba Apple en unos minutos ¿Quién vendió 33M de acciones?
https://t.co/UsgfMCzUb7
#apple #trading #acciones #wallstreet #stevejobs #mercados #mercado #tecnologia #crisisapple #warrenbuffet #vendedor #buffet #noticiasenespañol #negociostv https://t.co/spKnPfSNwv</t>
  </si>
  <si>
    <t>Vendedor toma en cuenta este consejo:
Cuando des un precio a tu cliente/prospecto nunca hay que continuar con un "pero", ya que se da la sensación de que nos estamos justificando.
#ventas #vendedor #vendedores #vender</t>
  </si>
  <si>
    <t>Buscamos #vendedor/a para nuestro #local en CABA
- Residir en #VillaCrespo o alrededores.
- Disponibilidad full time (lun a dom, francos semanales).
- Conocimientos paquete Office, facturación, email.
Enviar CV a rrhh@valorargentino.com.ar
#ValorArgentinoSRL #BúsquedaLaboral https://t.co/tek85PiLbL</t>
  </si>
  <si>
    <t>No importa el número de ventas con que hayas cerrado el mes o si lograste reventar la meta, porque volverás a empezar de cero. Humildad.  #vender #vendedor #ventas #vende</t>
  </si>
  <si>
    <t>Nunca dejes de tener contacto con un prospecto interesado, porque si no te compra hoy, lo hará mañana.  #vender #vendedor #ventas #vende</t>
  </si>
  <si>
    <t>Conserva la calma, El vendedor sabe que no se cosecha el mismo día que se siembra. #vender #ventas #vendedor #vende</t>
  </si>
  <si>
    <t>No hay nada en el mundo que no pueda ser vendido. Hasta el excremento sirve como abono o combustible. #vender #ventas #vende #vendedor</t>
  </si>
  <si>
    <t>Las ventas te permiten generar buenos y rápidos ingresos. #vender #ventas #vendedor #vende</t>
  </si>
  <si>
    <t>Ojo: Todos somos vendedores en algún momento. Nos vendemos en una entrevista, frente a una chica o vendemos un punto vista. 
#vendedor #ventas #vender #vende</t>
  </si>
  <si>
    <t>Vendedor que baja el precio de su producto y le resta a su comisión es en sencillo un mal vendedor. #Vendedor #ventas #vender #vende</t>
  </si>
  <si>
    <t>Hay clientes desleales. Cotizan contigo y con tus compañeros en otras tiendas en busca de un mejor precio. Destesto a esa clase de clientes. A mayor descuento, menor comisión para el vendedor. Las empresas no pierden. #vender #vendedor #ventas</t>
  </si>
  <si>
    <t>Día viernes 21/07/23 y solo tengo 2 ventas. El vendedor jamas debe perder la confianza. El 31/07 les cuento como cerré. #ventas #vender #vendedor</t>
  </si>
  <si>
    <t>En todas las empresas con asesores de ventas, existen cruces de clientes. La solución es nunca perder comunicación con tu prospecto, porque puede serte infiel con un compañero o con la competencia. #vender #ventas #vendedor #vende</t>
  </si>
  <si>
    <t>Se viraliza video de autoridades confiscando carrito de un vendedor de pan de 80 años de edad  😔😔
.
.
.
#Autoridades #confisca #vendedor #apoyo #TeatroManuelDoblado #Guanajuato #vendedordepan #DirecciónDeComercio
https://t.co/KgxvWqMBu1</t>
  </si>
  <si>
    <t>#Vendedor Porque sabemos lo importante que es disponer de tu dinero a tiempo, te recomendamos estar atento a los horarios de transferencias bancarias de Billetera Móvil, para evitar molestias e inconvenientes. ¡Fácil, rápido y seguro! #MediodePago https://t.co/aKOSMscVfq</t>
  </si>
  <si>
    <t>Visita la sección Territorio Billetera Móvil, tanto en la modalidad Comprador como Vendedor, disponible en https://t.co/fds2Ol5N68 #Comprador #Vendedor, descubre y disfruta los beneficios que ofrece esta sección a todos los usuarios registrados en nuestra plataforma. https://t.co/glmBH1wxOE</t>
  </si>
  <si>
    <t>🔗 Link: https://t.co/0DNDKCrC05
📌 Si querés acceder a todos los fallos, artículos de doctrinas y normas legales, suscribite a https://t.co/Za62zcoizu | ¡Podés probarlo gratis! 📌
#Xbox #consola #juegos #compra #ecommerce #vendedor #demanda #jurisprudencia https://t.co/tRnoUxHY0f</t>
  </si>
  <si>
    <t>RT @elDial_com: 🔗 Link: https://t.co/0DNDKCrC05
📌 Si querés acceder a todos los fallos, artículos de doctrinas y normas legales, suscribit…</t>
  </si>
  <si>
    <t>⭕ VENHA FAZER PARTE DA NOSSA EQUIPE.
🫵🏻 ESTAMOS CONTRATANDO COM EXPERIÊNCIA EM LOJA DE MATERIAIS DE CONTRUÇÃO 🧱
🟡 VENDEDOR (A).
🟡 CONFERENTE DE PÁTIO FEMININO.
🟡 MOTORISTA DE CAMINHÃO.
🟡 AJUDANTE DE PÁTIO.
#VENDEDORES
#vendedor
#motoristadecaminhao
#oportunidadedetrabalho https://t.co/RusmnFzLtj</t>
  </si>
  <si>
    <t>🔴 TEMOS VAGAS
👨🏻‍💼👩🏻‍💼 Mão de obra especializada para: 
vendedor(a) de loja de materiais de construção.
ENCAMINHE O SEU CV EM PDF
 📲(41) 99906-7335
#vendedor #materiaisdeconstrucao #casasmaracana https://t.co/K2ZSreaNxl</t>
  </si>
  <si>
    <t>⭕ VENHA FAZER PARTE DA NOSSA EQUIPE.
🫵🏻 ESTAMOS CONTRATANDO VENDEDOR (A), COM EXPERIÊNCIA EM LOJA DE MATERIAIS DE CONTRUÇÃO 🧱
#VENDEDORES
#vendedor
#oportunidadedetrabalho
#materiaisdeconstrução https://t.co/qPLuqsotMJ</t>
  </si>
  <si>
    <t>Me llamo Juanito Malafollá y te voy a contar las #noticias de #granada de hoy #lunes 3 de #julio de #2023  #verano #estafa #vendedor #thermomix #tribunaldecuentas #cetursa #sentencia #incendio #hlalainmaculada https://t.co/FgaHHdHr0i</t>
  </si>
  <si>
    <t>Capacita a tu fuerza de ventas con el taller
EL VENDEDOR DE ALTO DESEMPEÑO
Solicita tu cotización llenando el formulario "requerimiento" en nuestra página web o en la bio
 #ventas #formación #habilidadesblandas #vendedor #recursoshumanos #empresa #negocios #talentohumano https://t.co/zRY8dce078</t>
  </si>
  <si>
    <t>Nuevo video 🔥🔥
https://t.co/VwHhjxMe5Y
👆🏼👆🏼👆🏼👆🏼👆🏼👆🏼👆🏼👆🏼👆🏼👆🏼👆🏼👆🏼
#sketch #parodia #comedia #parody #YouTube #YouTuber #barrio #calle #vendedor #mochila https://t.co/UBk82KOS9F</t>
  </si>
  <si>
    <t>El típico vendedor del barrio 💸💪🏼
https://t.co/aWGImwH6Ub ❤
#YouTube #YouTuber #Mexico #sketch #Parody #vendedor #life https://t.co/XRYTu8QkyA</t>
  </si>
  <si>
    <t>5. ACUERDOS VITALES: Incentiva la toma de decisiones. Genera expectativas y establece tiempos. 
¿Cuál de estas recomendaciones para mejorar tus llamadas de ventas te gusto más?
#vendedor</t>
  </si>
  <si>
    <t>Vender “es un compendio de muchas cosas que no funcionan una sin la otra”. Si quieres saber cuáles son esas herramientas, revisa este video con Freddy Colina Machado https://t.co/GAdExHF21M
#vendedorexitoso #vendedor #agentedeseguros</t>
  </si>
  <si>
    <t>No MBA em VENDAS, NEGOCIAÇÃO E RESULTADOS DE ALTA PERFORMANCE ensinaremos o passo a passo das estratégias que darão um UP nas suas vendas. 
#vendas #negociação #rapport #técnicasdevendas #vendedor #pósgraduação #pósonline #MBA #neurociência #neurociencia #inteligenciaemocional https://t.co/826u4XKS1Y</t>
  </si>
  <si>
    <t>Comienza el #2023NewYear , si estás en búsqueda de una oportunidad, busco emprendedores en #Cordoba #Trelew Que estás esperando? Envia tu mp
#emprendedores #vendedor #ventas</t>
  </si>
  <si>
    <t>Si te interesa una de nuestras vacantes Manda tu CV a: reclutamiento@mensch.com.mx | https://t.co/nwLqQHllWC
También en nuestros grupos de:
Telegram https://t.co/vdk2Nr5ll9
WhatsApp https://t.co/LWQvLVUKLm
#VacantesDisponibles #empleo #vacantes #Jobs #Vacantes https://t.co/wxaCkVxhUl</t>
  </si>
  <si>
    <t>Aquela imagem com som! 😑🤭 #seumadruga #churros #vendedor #chaves #quico #chiquinha #imagemcomsom #humor #comedia https://t.co/BWd8DEnK0m</t>
  </si>
  <si>
    <t>Somente os fãs vão saber o desespero que essa imagem representa! 🥶💩🤭 #imagemcomsom #seumadruga #churros #vendedor #chiquinha #quico #chaves #sextou #humor #comedia https://t.co/ustePENlk9</t>
  </si>
  <si>
    <t>A turma do Chaves nos bastidores do episódio "O vendedor de balões" em 1977. ❤️🥰😍 #chaves #seumadruga #quico #bastidores #fotorara #tbt #chiquinha #seubarriga #donaflorinda #vendedor #balões #humor #comedia https://t.co/NTlWfoqYmU</t>
  </si>
  <si>
    <t>#vendedor https://t.co/aJ6OpHkgql</t>
  </si>
  <si>
    <t>Miércoles de #TrabajoHay
Te invitamos al próximo #Reclutamiento que se llevara a cabo:
📅 12 de abril
🕙 9:00 - 13:00 hrs
📍 @STPSSLP 
😷 Uso de cubrebocas.
¡Te esperamos!
#Operario #InspectorDeCalidad #Vendedor #Cajero #Trabajo #Empleo #SLP #LaSecretaríaDelTrabajoTeDaTrabajo https://t.co/uyRFBFjP65</t>
  </si>
  <si>
    <t>Hola, buen día soy Ricardo Martínez  .
Adquiri un vehículo bmw #m2 2024 de contado en #cever #santafe con el #vendedor #Roberto #Martínez que sube muchis videos en tik tok el trato lo cerre por teléfono le transferí un viernes me dijo el miércoles ven oor tu coche llegue me… https://t.co/Pv2flpomMN</t>
  </si>
  <si>
    <t>RT @cuartodemillamx: Hola, buen día soy Ricardo Martínez  .
Adquiri un vehículo bmw #m2 2024 de contado en #cever #santafe con el #vendedo…</t>
  </si>
  <si>
    <t>Vendedor de leña en temporada invernal, historia de Artemio 
.
#Información de @SolarKenia 
#Noticias #Chihuahua #leña #vendedor #comerciantes https://t.co/E84oDQfJut</t>
  </si>
  <si>
    <t>Estratégias digitais + Processos de vendas bem alinhados = MAIS FATURAMENTO.
#webmor #negóciosonline #empreendedorismo #vendermais #estratégiasdigitais #assessoriadevendas #transformaçãodigital #negócios #mei #pequenasempresas #pequenasemediasempresas https://t.co/c9f58irNiS</t>
  </si>
  <si>
    <t>¡Nueva oferta de empleo! Desde Mystery Project buscamos a un/a #vendedor especializado en  #SaaS - 100% #teletrabajo
#homework #remotework #hiring https://t.co/0hUJ52erJr</t>
  </si>
  <si>
    <t>🎯 Oferta extra con dto en web, para este kit de torno de uñas con 13 accesorios #Publi #Amazon
⭕️ Ahora: 20,99€ 
🛒 Aquí: https://t.co/LFG1BuMH3e
#vendedor #kit #torno https://t.co/dV2zxYOeLT</t>
  </si>
  <si>
    <t>🎯 Oferta loca en el Fire TV Stick HD con mando por voz con Alexa integrada #Publi #Amazon
⭕️ Ahora: 24,99€ 
🛒 Aquí: https://t.co/c45xshVFNQ
#siguiente
#vendedor
#azalea https://t.co/9wTyGgxmO2</t>
  </si>
  <si>
    <t>🔴Momento en que #taxi embiste a #vendedor ambulante (VIDEO)
➡ https://t.co/ku7QQKHAZY</t>
  </si>
  <si>
    <t>Quando não estiveres vendendo, lembre-se da venda mais difícil que fizeste, siga em frente e persevere até bater as suas metas. ✅️
#vendas #vendermais #vendedor</t>
  </si>
  <si>
    <t>Vendedor não é aquele que vence sempre, mas sim aquele que luta diariamente para não perder para os seus pensamentos!!! 
#vendas #vendermais</t>
  </si>
  <si>
    <t>👀#ofertasdeempleo
#PersonalDeLimpieza #Contable #administrativos/as #vendedor/a #educador/a #gerocultor #gerocultora...
Cada semana recibimos nuevas demandas de #empleo de empresas, organismos y entidades de toda Navarra. 
💼  #comparte
+detalles: 
🔗 https://t.co/MAYlmX5ITR https://t.co/xRZw80QGL0</t>
  </si>
  <si>
    <t>Estamos armando nuestro equipo de ventas para nuestros servicios y proyectos:
Si estas interesado ponte en contacto con nosotros al correo:
erlan.dgm@gmail.com
#vacante #ventas #mercadotecnia #sintrabajo #buscandotrabajo #vendedor #vendedora #equipodeventas #produccion https://t.co/oBpOhh1V1q</t>
  </si>
  <si>
    <t>Pode dizer adeus ao "quem comprar à vista compra pouco" e preparar sua loja para vender ainda mais!
Conte com o crediário próprio e aproveite ao máximo esse Dia das Mães! 💸
#meucrediario #crediario #lojas #vendas #diasdasmaes #vendermais https://t.co/5qrhbWkqXG</t>
  </si>
  <si>
    <t>#ipforce #empreendedores #vendedor #PIN #pabxvirtual #pabxinteligente #telefonia #telefoniaip #voip https://t.co/BzWfMCnqrh</t>
  </si>
  <si>
    <t>Asalto a mano armada a un #vendedor ambulante de muebles en #Trelew 🚨
⬇️Más⬇️
https://t.co/npKCzMryZn</t>
  </si>
  <si>
    <t>Creen que me contraten? 😂 #zara #tiendaderopa #trabajo #tiendadepartamental #zaraoutfit #vendedor 
Tiendas de ropa
Ropa de Zara
Vendedores de Zara
Trabajadores de Zara https://t.co/2GrtgzXZQA</t>
  </si>
  <si>
    <t>🔥LIQUIDAÇÃO BAW🔥
DESCONTO PROGRESSIVO NA ÁREA 
USE O CUPOM DE VENDEDOR: 
💥RSV3842💥
#baw 
#bawclothing
#desconto
#cupom
#cupomdedesconto
#liquidacao
#vendedor
#cupomdevendedor
#streetwear https://t.co/dYc10If1Qy</t>
  </si>
  <si>
    <t>❤ MÊS DOS NAMORADOS BAW❤
EXEMPLO DA PROGRESSIVA ABAIXO, 5 CAMISETAS POR 158,00, CADA UMA SAINDO A 31,00 😳
LINK DO SITE:
https://t.co/hNAAmqKfAp
USE O CUPOM:
🚨RSV3842🚨
#baw
#bawclothing
#desconto
#cupomdedesconto
#vendedor
#cupomdevendedor
#namorados
#diadosnamorados https://t.co/ZYPn3c5uLT</t>
  </si>
  <si>
    <t>❤ MÊS DOS NAMORADOS BAW❤
EXEMPLO DA PROGRESSIVA ABAIXO, 5 CAMISETAS POR 158,00, CADA UMA SAINDO A 31,00 😳
LINK DO SITE:
https://t.co/BwUqpMKg8e
USE O CUPOM:
🚨RSV3842🚨
#baw
#bawclothing
#desconto
#cupomdedesconto
#vendedor
#cupomdevendedor
#namorados
#diadosnamorados https://t.co/uq2D2hoxzX</t>
  </si>
  <si>
    <t>💥MÊS DOS NAMORADOS NA BAW💥
🔥 MAIS DESCONTOS PROGRESSIVOS PARA VOCÊ NAMORAR 🔥
#bawclothing
#baw
#streetwear
#desconto
#cupomdedesconto
#cupom
#liquidacao
#vendedor
#cupomdevendedor
#progressiva
#diadosnamorados
#namorados https://t.co/lMlV5GycRO</t>
  </si>
  <si>
    <t>Busco #VENDEDORA #VENDEDOR</t>
  </si>
  <si>
    <t>Estas 5️⃣ competencias son básicas para trabajar de comercial 🧑‍💼 🏬
🔗https://t.co/d8R2RwDhtq
#agentecomercial #agentedeventas #comercial #competenciasvendedor #competencias #comunicación #autodisciplina #vendedor #ejecutivodeventas #competenciaslaborales #vendedorefectivo</t>
  </si>
  <si>
    <t>Conoce cuatro consejos para #contratar a un buen #vendedor #JEimage
 https://t.co/h6jEa2aVgw</t>
  </si>
  <si>
    <t>#Accidente | 🚨 #Enfermera del IMSS #atropella a #vendedor de chicles en Cancún😧
El hombre terminó con la pierna desgarrada https://t.co/belTtoMaNm</t>
  </si>
  <si>
    <t>Buscamos VENDEDOR EN TERRENO, envíanos tu cv al 351 859 5250.
#ofertalaboral #oportunidadlaboral #vendedor https://t.co/W2ikbIQbrb</t>
  </si>
  <si>
    <t>Buscamos VENDEDOR EN TERRENO, envíanos tu cv al 351 859 5250.
#ofertalaboral #oportunidadlaboral #vendedor https://t.co/4OcvnB8CKm</t>
  </si>
  <si>
    <t>El #vendedor debe ayudar a tu #cliente en la misma sala de ventas, sin necesidad de desplazarse hacia el #tpv.
Ayudamos a los #comercios a implantar soluciones #omnicanal que facilicen la #fidelización y mejoren la gestión integral de la #empresa.
https://t.co/JeIljwbvpL</t>
  </si>
  <si>
    <t>Trecho do #dashboard : https://t.co/Mi1DKpH0wQ   
Tecnologias envolvidas na análise de performance dos vendedores:  
- #css3
- #HTML5 
- #bootstrap  
Destaques:  
- Avatar com borda rotativa 
- Barra de progresso baseada na análise vertical do faturamento por #vendedor https://t.co/yKiikODFgB</t>
  </si>
  <si>
    <t>Como uma Empresa pode dobrar suas vendas através dos Representantes Comerciais?
#sistemasdearmazenagem #portapalete #portapallets #varejo #industria #industrias #industrial #raphaelcordova #supermercado #atacarejo #negócios #vendedor #vendas #representantecomercial https://t.co/ZhNp2fEqie</t>
  </si>
  <si>
    <t>Incentive a comunicação do cliente com o Representante Comercial
#representantecomercial #vendedor #vendedora #vendas #industria #sistemasdearmazenagem #portapallet https://t.co/9NHuvD7pQB</t>
  </si>
  <si>
    <t>Vídeos gravados de cada produto para os Representantes Comerciais aumentarem as vendas.
#representantecomercial #vendedor #vendedora #vendas #industria #sistemasdearmazenagem #portapallet https://t.co/dGRwZDiUHR</t>
  </si>
  <si>
    <t>Desafio de prospecção em conjunto para os Representantes Comerciais aumentarem as vendas.
#representantecomercial #vendedor #vendedora #vendas #industria #sistemasdearmazenagem #portapallet https://t.co/K3i7qyioC9</t>
  </si>
  <si>
    <t>Ofertas semanais em conjunto para todos os Representantes Comerciais aumentarem as vendas...
#representantecomercial #vendedor #vendedora #vendas #industria #sistemasdearmazenagem #portapallet https://t.co/uP6HcPMyu0</t>
  </si>
  <si>
    <t>#sistemasdearmazenagem #armazenagem #portapalete #portapallets #varejo #industria #industrias #industrial #raphaelcordova #supermercado #atacarejo #negócios #vendedor #vendas #representante #representantecomercial https://t.co/EMffh8Mkj3</t>
  </si>
  <si>
    <t>👉 ¿Te han vendido o regalado un producto #falsificado en una compra on line?
📱 Contacta con la página #web o el #vendedor 
📱 Revisa la seguridad de la web donde lo compraste: url, SSL (Secure Sockets Layer) y datos de contacto
https://t.co/ZOjFul2jkz
#StopFalsificaciones https://t.co/bfcFL7p0C0</t>
  </si>
  <si>
    <t>💻 Los #falsificadores utilizan https://t.co/ChuXp9VUqQ. para dirigirnos a webs de #venta de #falsificaciones
👉1º Identifica al #vendedor y busca opiniones de otros
👉2º Compara el #producto que encontrarás en la #web original
#StopFalsificaciones
https://t.co/ULYSK9fDT1 https://t.co/Scug2Dt897</t>
  </si>
  <si>
    <t>💻 ¿Te han vendido o regalado un producto #falsificado en compra on line? 
👉 1º Contacta con la página #web o el #vendedor del mismo
👉 2º Revisa la #seguridad de la web donde has comprado el producto: url, SSL y datos de contacto
https://t.co/ZOjFul2jkz
#StopFalsificaciones https://t.co/l32V4DBI6x</t>
  </si>
  <si>
    <t>👜 ¿Quieres asegurarte de que tu #bolso es original?
👉 1º Revisa todas las opiniones del #vendedor
👉 2º Analiza las #costuras 
👉 3º Comprueba si es piel o no
👉 4º Revisa #etiquetas y coteja el código con el modelo original
https://t.co/JJCoiAOENp
#StopFalsificaciones https://t.co/hFo310hZ7G</t>
  </si>
  <si>
    <t>Porfirio:
Fue un atleta de Lucha Libre con renombre Nacional. 
Luego activista en San Juan y Martínez, donde es muy conocido.
Ahora es trabajador por cuenta propia de útiles del hogar, y a pesar de todo, se siente muy contento por desempeñar esa labor...
#Vendedor https://t.co/xNeb0uUI0G</t>
  </si>
  <si>
    <t>ATENÇÃO!
#golpe #pix #vendedor
https://t.co/O7s9l2aYTP</t>
  </si>
  <si>
    <t>Caso #vendedor cachorros Rt urgentw https://t.co/j8cJN8Zs1i</t>
  </si>
  <si>
    <t>#ConsejoDiarioIA: #Vendedor, usa #ChatGPT para redactar propuestas y correos persuasivos. Crea descripciones de productos atractivas. ¡#IA es tu mejor asistente de ventas! #Ventas #Tecnología #Cliente #Cierre #InteligenciaArtificial</t>
  </si>
  <si>
    <t>Vender é coisa séria 🧠
#vendas #vender #vendedor #vendedores #vendasonline #digital #marketing #marketingdigital #plenitude #lucro</t>
  </si>
  <si>
    <t>😆😂🤣🤣🤣
cuando El #vendedor es #mala #onda/#kiko https://t.co/QsCRe6vZLX a través de @YouTube</t>
  </si>
  <si>
    <t>✊🏻🇪🇨 Todos juntos volveremos a recuperar la Patria.
💙 Consigue aquí El borreguito de tu Profesión.
#MeeeeeGusta #ResurgirDeLaPatria
#TécnicoReparadordeComputadoras #TejedorenTelar #TrabajadorSocial #Vendedor https://t.co/nNjAwKpfCf</t>
  </si>
  <si>
    <t>Empresa del sector de las telecomunicaciones se encuentra en la búsqueda de asesor comercial interno para la ciudad de Bucaramanga.
#empleo #empleos2023 #bucaramanga #asesorcomercial #vendedor #sihayempleo #sihaytrabajo #atencionalcliente #Interno #telecomunicaciones #santander https://t.co/LLoZ7Y0xJo</t>
  </si>
  <si>
    <t>#EnVideo
En local del centro de #Cali una #mujer aprovecha el #descuido de un #vendedor para #hurtar un producto en cuestiónde segundos sin que nadie se percatarse, el hecho quedó registrado en camara, #comerciantes están #desesperadospor la #inseguridad. https://t.co/rumzxX4eLU</t>
  </si>
  <si>
    <t>@Ameericastore busca #vendedor #trabajoremoto #télétravail https://t.co/nIhjZ1l6qC</t>
  </si>
  <si>
    <t>MediaMarkt España abre una vacante para Vendedor/a en Bilbao-Zubiarte.
#bilbao #empleoenespaña #vendedor #busquedalaboral
https://t.co/znJafIGUnX</t>
  </si>
  <si>
    <t>Proteção e segurança sempre.
👊🏻 feitooo!
https://t.co/SwS39WxesM
@EFRVendas
#vendas #vendedor #böhler #utp #segurança #solda #soldador #representantecomercial #soldagem #welding #trabalho #rapport #negociacao #treinamento #negociar #osv #solda #bz #f…https://t.co/PTfknwa73k</t>
  </si>
  <si>
    <t>Orgulho de ser representante comercial.
Fonte: https://t.co/rWibww1sOc
CORE PR 
👊🏻 feitooo!
https://t.co/SwS39WwGDe
@EFRVendas
#vendas #vendedor #motivação #inteligência #negocio #vida #saúde #representantecomercial #dinheiro #resultado #paradigma #…https://t.co/IlsuxdNXCe</t>
  </si>
  <si>
    <t>#Vendedor #Avión #Avon #Turbina #Boeing #Producto https://t.co/Xwqpzjf3xh</t>
  </si>
  <si>
    <t>#Papá #Vendedor #Celular #Móvil #WhatsApp #Padres https://t.co/8gCrQhhWm6</t>
  </si>
  <si>
    <t>#Llamar #Huevos #MediaDocena #Supermercado #Vendedor #Duda https://t.co/Zid3Z3rZMD</t>
  </si>
  <si>
    <t>#Escopeta #Nirvana #Chiste #Vendedor #KurtCobain #Kurt #Cobain https://t.co/AWPtFtEqwq</t>
  </si>
  <si>
    <t>O dever de todo #vendedor é conhecer muitíssimo bem o que está vendendo.
😃 Se mostre disposto a solucionar suas dúvidas, problemas e ajudá-lo no que for preciso.
Visite nosso blog para conhecer mais dicas. Link na bio!
#chatguru #atendimentoaocliente  #experienciadocliente https://t.co/haasHhA9b7</t>
  </si>
  <si>
    <t>Recuerda que el próximo mes de Abril se tiene que presentar la declaración anual✍ de las propiedades vendidas en el año 2022 ¿Si es tu caso? prepárate para presentar estar listo.✔
#declaracionanual #vendadeinmueble #personafisica #vendedor #inmueble #inmobiliariadeconfianza https://t.co/XODEGcrteL</t>
  </si>
  <si>
    <t>Eu nas vendas!
#vendas #vendedor #Memes https://t.co/qVF7csNXUZ</t>
  </si>
  <si>
    <t>RT @vinicius198547: Eu nas vendas!
#vendas #vendedor #Memes https://t.co/qVF7csNXUZ</t>
  </si>
  <si>
    <t>#cursogratuito #cursoonline #vendas #vendermais #dicasvendermais #cursobeleza #cursoestetica #vendas #Sebrae #GovernoSP</t>
  </si>
  <si>
    <t>#cursogratuito #cursoonline #vendas #vendermais #dicasvendermais #cursobeleza #cursoestetica #vendas #Sebrae #GovernoSP #mulherempreendedora #mulheresempreendedorasdigital</t>
  </si>
  <si>
    <t>#cursogratuito #cursoonline #vendas #vendermais #dicasvendermais #alimentossaudaveis #restaurantesp #marmitafit #fingerfood #Sebrae #Senac #empreendedorismo #mulherempreendedora</t>
  </si>
  <si>
    <t>#cursogratuito #cursoonline #vendermais #venderonline #cursoonline #cursogratuito #cursoalimentos #cursobeleza #cursoestetica #vendas #Sebrae #GovernoSP #mulherempreendedora #mulheresempreendedorasdigital</t>
  </si>
  <si>
    <t>Para saber mais, acesse:  https://t.co/TkdXoPX9Gg   
#cursogratuito #cursoonline #vendermais #venderonline #cursoonline #cursogratuito #cursoalimentos #cursobeleza #cursoestetica #vendas #Sebrae  #GovernoSP  #mulherempreendedora #mulheresempreendedorasdigital</t>
  </si>
  <si>
    <t>A The Sauce não para de crescer!!!
Estamos contratando um vendedor apaixonado por publicidade para se juntar à nossa equipe em São Paulo!
Venha trabalhar conosco!
#thesauceag #vagaemprego #publicidade #vendedor #oportunidadeprofissional #trabalheconosco #agênciadepublicidade https://t.co/RVpGMDkqaM</t>
  </si>
  <si>
    <t>Vê se vc identifica alguém aí!!?
Se quiser ver o vídeo todo vai lá no app vizinho
@henriquepc 
#vendas #vendedor #viralizar #segueai https://t.co/LZT9G2yg8w</t>
  </si>
  <si>
    <t>Nueva búsqueda laboral ⚠️👇🏼
#busquedalaboral #focus #focusbusca #vendedor https://t.co/IjaUDWmXFn</t>
  </si>
  <si>
    <t>BUSCAMOS VENDEDOR EXTERNO ❗️✨ 
Contratación Inmediata ✅ Aplica o Comparte 
✅Aplica YA mediante nuestra web https://t.co/ClWfsAzCXP o contáctanos al 809 582 6106 ¡Te esperamos! 
#vacantesantiago #vacantesrd #vacantesti #RRHH #empleosrd #trabajosrd #trabajosihay #vendedor https://t.co/aaUQpyVZT7</t>
  </si>
  <si>
    <t>Para un #vendedor contar con una #Valoración Inmobiliaria profesional de una propiedad resulta de gran relevancia para afrontar una venta con información técnica y objetiva acerca del bien
Impartiendo una #formación sobre cómo hacer una valoración en @redpiso_oficial
MGA https://t.co/D7v4J1bhsU</t>
  </si>
  <si>
    <t>🎯 Criar um site sozinho ou contratar uma agência? Confira as vantagens e desvantagem de cada opção! Veja mais informações na descrição!
#criacaodesite #criaçãodesitesresponsivos  #pequenasempresas #vendermais #catalogodigital #lojavirtual #lojavirtualparanegocioslocais https://t.co/8pVXA00WuV</t>
  </si>
  <si>
    <t>¿Usted cree que yo vendo por montones? ¡No señor! de cada 100 cotizaciones que presentó 1 me aprueban.
¡Deje de llorar y póngase a trabajar! 😠
#ventas #informaticas #sistemas #vendedor</t>
  </si>
  <si>
    <t>El curso profesional para crear y construir una lista de suscriptores voluntarios inmensa: https://t.co/rQK7gpaviP #lista #suscriptores #curso #clientes #leads #prospectos #vender #vendedor #marketero</t>
  </si>
  <si>
    <t>El curso profesional para crear y construir una lista de suscriptores voluntarios inmensa: https://t.co/zSrPYCGkIl #lista #suscriptores #curso #clientes #leads #prospectos #vender #vendedor #marketero</t>
  </si>
  <si>
    <t>El curso profesional para crear y construir una lista de suscriptores voluntarios inmensa: https://t.co/gaiHihBMgc #lista #suscriptores #curso #clientes #leads #prospectos #vender #vendedor #marketero</t>
  </si>
  <si>
    <t>A vida é repleta de desafios cabe á você enfrentar cada um deles e não desistir. 
.
.
#motivacao #motivacional #empreendedorismo #vendedor #corretor #corretordeimoveis #corretordeimóveis #rogeriopraes</t>
  </si>
  <si>
    <t>¿Sabía que las #concesiones del #vendedor pueden significar un pago hipotecario más pequeño? Úselos para una #reducción temporal de la tasa para reducir su #tasa de #interés al comienzo de su préstamo, lo que le brinda un respiro para reparaciones, ahorros y más. ¡Llámenos hoy! https://t.co/5H92CLzRyn</t>
  </si>
  <si>
    <t>Agentes de bienes raíces: ¿Tienen #concesiones de exceso de #vendedor para usar? Trabaja conmigo y puedo ayudar a tus compradores a aprovechar una #tarifa fija más #baja. https://t.co/z8f213YEaD</t>
  </si>
  <si>
    <t>VENDEDOR DE CAMPO
-Zona: Bosque de las Lomas 
-Experiencia en ventas
-Bachillerato concluido 
-$12k + Comisiones
-Contrato directo con la empresa
Envía hoy mismo tu CV con Susana Silva al 55 1832 3812
@LosCazaVacantes @la_de_rh @YVacantes #reclutamiento #vendedor #EMPLEO https://t.co/WFyVPpsOSi</t>
  </si>
  <si>
    <t>🚩 #Tulum | Le pretenden cobrar 500 pesos por una empanada; enfurece y tira su producto
A través de las redes sociales, se difundió un video donde una #turista pelea con un #vendedor ambulante en la zona de playas en Tulum.
#QuintanaRoo https://t.co/KnoEwBhJt8</t>
  </si>
  <si>
    <t>Seguimos buscando VENDEDORES para local de indumentaria masculina ubicado en Flores, CABA.
Horario laboral: de lunes a viernes de 8 a 18hs
Envianos tu CV y/o consultas a cv@livy.com.ar
#ropa #indumentaria #vendedoras #vendedores #ventas #vendedora #vendedor #comercial https://t.co/kYCy5Szl5q</t>
  </si>
  <si>
    <t>¿Cuáles son los beneficios de la debida diligencia?
 #debidadiligencia #tipos #Leyes #Comprador #Vendedor
https://t.co/djqR5OR5uM</t>
  </si>
  <si>
    <t>El vendedor mas grande del Mundo.
- Un libro que verdaderamente cambio mi forma de ver la vida... es una recomendacion de mi padre. ¡Gracias!
#OgMandino #Vendedor #Libros #literatura https://t.co/ewy60sRYms</t>
  </si>
  <si>
    <t>El #presidente del #Gobierno #PedroSánchez #PSOE, se ha #doctorado como #vendedor de #humo
Pedro #Sanchez el #protagonista de la #función de #teatro, #artista de la #palabra #vacía, empleada como #muleta de la #mentira
La #imagen de #España se #degrada a ojos del #mundo https://t.co/4bWVXyEyGW</t>
  </si>
  <si>
    <t>#PedroSánchez #PSOE, un #vendedor de #crecepelo
El #Presidente del #Gobierno tiene la intención de #subvencionar la vida a muchos de los #españoles
Recordar aquellos #regímenes en los que en el fondo el mayor interés era mantener #adormilado al #pueblo
https://t.co/oiODtISKTm</t>
  </si>
  <si>
    <t>#Vacante #puesto #vendedor #ventas #Dinero #ganancias #trabajo https://t.co/rNG9Z2xMvj</t>
  </si>
  <si>
    <t>#vendas #vendedor #vendasvarejo #veiculos #vendasdeautomoveis https://t.co/ZiY7K2Qvaa</t>
  </si>
  <si>
    <t>Quando chega a fatura do cartão de crédito e vejo que gastei mais do que vendi de carro 😬😅
#FYP #explorepage #explore #vendas #vendedor #vendadeautomoveis #fatura #faturadocartao #cartaodecredito #lascou https://t.co/p2XR85MKYe</t>
  </si>
  <si>
    <t>🌅
@TierrasdelCid través del #LEADER 2014-2020
@empresasempleo está gestionando oferta de empleo de #vendedor@  #expendedor@ para estación de servicio de San Esteban de Gormaz.  
Interesad@ ⤵
https://t.co/3IbiGT4WZs…  
👉https://t.co/AI60txo0dc ó https://t.co/jVtXIJuWYo https://t.co/hymCMkGCpA</t>
  </si>
  <si>
    <t>Disponible en 🦉https://t.co/wkf4Rsv3XJ
Envío a domicilio a todo el país. 🛵
#libreriacapitulos #complacemoslectores #libros #lectura #librería #ogmandino #milagro #vendedor https://t.co/tHJgYPCCDT</t>
  </si>
  <si>
    <t>Disponible en https://t.co/brLF5CYsjQ 🦉
Envío a domicilio a todo el país. 🛵
#libreriacapitulos #complacemoslectores #ogmandino #ventas #vendedor #libros #leer #sale https://t.co/8obOy6tAHW</t>
  </si>
  <si>
    <t>Uma excelente semana para todos nós! 🧠
.
.
.
.
.
#mente #fato #brasil #vendas #vendedor #equipe #atitude #pensamento #foco #instagood #OPoderDasVendas 🔥 https://t.co/UgF6huXOxw</t>
  </si>
  <si>
    <t>Manda para aquele seu amigo/amiga que só vende com desconto hahahaha! Ou marca o @ aqui! 
•
•
•
•
•
#vendas #vendedor #gerente #desconto #febre #instagood #amor #paz #riodejaneiro #saopaulo #gratidao #moda https://t.co/SyL6wU9bsn</t>
  </si>
  <si>
    <t>Sexta-feira é dia de alegria, ou não rsrs!
Baseado em fatos reais… 
•
•
•
•
•
#Vendas #vendedor #cliente #retorno #explore #atendimento #metas #Brasil #love #amor #instagood #sextaferia #memes #bomdia #foto #estilo #OPoderDasVendas 🔥 https://t.co/L7yRlZQSZD</t>
  </si>
  <si>
    <t>Jogue o jogo da vida sempre com as peças certas. Pense nisso! 🤯
•
•
•
•
•
#vendas #varejo #cliente #vendedor #vendasonline #empreendedor #consumo #atendimento #comercio #teamADT #empreendedorismo #administracao #lafaiete #geracaodevalor #OPoderDasVendas 🔥 https://t.co/9iPIRzYvDH</t>
  </si>
  <si>
    <t>Isso pode resultar em um aumento na participação de mercado, na fidelidade do cliente e no crescimento dos negócios.
.
.
.
.
.
#inovação #futuro #lider #chefe #patrao #gestao #seguidores #vendas #vendedor #comercial #meta #instagood #OPoderDasVendas 🔥</t>
  </si>
  <si>
    <t>👉🏾 Pega a visão e fidelize!
.
.
.
.
.
#OPoderDasVendas 🔥
#vendedor 
#fidelidade
#empreendedorismo
#empreender https://t.co/Sqpug2rz6k</t>
  </si>
  <si>
    <t>Já aconteceu com você? 🤔
.
.
.
.
.
#OPoderDasVendas 🔥 #vendas #varejo #cliente #vendedor #vendasonline #empreendedor #consumo #atendimento #comercio #teamADT #empreendedorismo #administracao #lafaiete #geracaodevalor https://t.co/we64cr7OUX</t>
  </si>
  <si>
    <t>Vender tem o poder de transformar!
.
.
.
.
.
#Vendas #vendedor #faturamento #cliente #crie #transforme #facavocemesmo #OPoderDasVendas 🔥 https://t.co/Kk5skczWQ3</t>
  </si>
  <si>
    <t>Você não sabe, mas deveria saber! 
🔥 SE LIGA NESSE POST. 
Corre lá no meu IG:
https://t.co/e8UpJu0Vnr
#Vendedor #vendas #oponente #concorrencia #mercado #negocio #OPoderDasVendas 🔥 https://t.co/dh3FV03Utn</t>
  </si>
  <si>
    <t>Post novo lá no meu IG! Confira ele completinho clicando no link abaixo:
⤵️⤵️⤵️
https://t.co/idQYgTPxw7
.
.
.
.
.
#Vendas #vendedor #equipe #resultados #processos #time #ritmo #ação #OPoderDasVendas 🔥 https://t.co/3Nwtm8QB5j</t>
  </si>
  <si>
    <t>Trabalho é sinônimo de dedicação, esforço e superação. Neste dia do trabalho, celebremos a importância de cada profissão e o valor de cada trabalhador. #diadotrabalho #vendedor https://t.co/xU9altVlb3</t>
  </si>
  <si>
    <t>Las #objeciones más comunes están relacionadas al precio, la capacidad del producto, la confianza en el servicio o la empresa, el rechazo al discurso de ventas,
Leer más 👉 https://t.co/ITJ6KB7icv
#Saas #Emprender #Ventas #vendedor #ILoveVentas #AprendeAVender</t>
  </si>
  <si>
    <t>Diccionario de ventas, KPIs comerciales: Beneficio o margen – Profit margin
Lee el artículo completo: Glosario de ventas para un vendedor o emprendedor. 50+ términos clave (2 de 3)
▸ https://t.co/oyYpljrp9y
#Saas #Emprender #Ventas #vendedor #ILoveVentas #AprendeAVender https://t.co/tFWRvysNzd</t>
  </si>
  <si>
    <t>Generalmente los #growthHackers son personas que entienden muy bien las métricas y analíticas de la empresa
Leer más 👉 https://t.co/Gu7UOngTPd
#Saas #Emprender #Ventas #vendedor #ILoveVentas #AprendeAVender https://t.co/qEiqWEtJ1T</t>
  </si>
  <si>
    <t>La generación de leads o prospectos (Lead Generation), es el proceso mediante el cual se identifican potenciales clientes para la empresa y se los agrega al sales funnel o embudo de venta
Leer más 👉 https://t.co/JNpQdvtA3E
#Saas #Emprender #Ventas #vendedor #ILoveVentas https://t.co/FV95wMvWya</t>
  </si>
  <si>
    <t>Glosario de ventas para un vendedor o emprendedor. 50+ términos clave (2 de 3)
Leer más 👉 https://t.co/8KMxZxHtRc
#Saas #Emprender #Ventas #vendedor #ILoveVentas #AprendeAVender https://t.co/AtfswIhcPt</t>
  </si>
  <si>
    <t>#Influenciador: Si esta persona está convencida de que el producto tiene valor, hará un proceso de venta interna hacia el tomador de decisiones
Leer más 👉 https://t.co/YO7ebPheDP
#Saas #Emprender #Ventas #vendedor #ILoveVentas #AprendeAVender https://t.co/lSNkZjEHDB</t>
  </si>
  <si>
    <t>Diccionario de ventas: #Closers (cerradores de negocios ) son quienes hacen demos, reuniones y cierran los #negocios
Leer más 👉 https://t.co/EPA9x3UJ6b
#Saas #Emprender #Ventas #vendedor #ILoveVentas #AprendeAVender</t>
  </si>
  <si>
    <t>@RogerioMorgado @rmotta2 @RogerioMorgado, cara o @Pavinatto me enganou, disse que ia dar de graça um material quem escrevesse "panico" no insta dele, chegando lá....é venda curso!! dá uma moral lá pra nós!!! #pavinattomentiroso #vendedor de curso</t>
  </si>
  <si>
    <t>🚨 #Edoméx.-  #DirecciónDeSeguridadPública de @Gob_Tlalne, realizará la #búsqueda de la persona responsable de arrollar a un #vendedor de #tamales, a fin de ponerla a disposición de las #autoridades #competentes y deslindar responsabilidades.
🌐 https://t.co/qWQdYELzLf 📰 https://t.co/DPY6tAUMfI</t>
  </si>
  <si>
    <t>Comisión de inmobiliarias 
#inmoinformativo #inmobiliaria #realstate #comision #cobrar #españa #agenciainmobiliaria #comprador #vendedor https://t.co/IESXgwNtor</t>
  </si>
  <si>
    <t>Curso on line Jovem e Adulto.
#estudante #vendedor #representantecomercial #saopaulo https://t.co/olETgR8PyU</t>
  </si>
  <si>
    <t>¿Quieres persuadir como un experto? 🎩 Descubre los 7 principios de persuasión de Robert Cialdini que todo vendedor debe conocer. 👇
#Ventas #Persuasión #Negocios #RobertCialdini #PrincipiosDePersuasión #Vendedor #ÉxitoEnNegocios #Conectar #Influencia
https://t.co/le2FKoKjPe</t>
  </si>
  <si>
    <t>@LFuenmayorToro #SeRematanTitulos Según las informaciones el #vendedor de los títulos,carga para el cobro,un punto de venta inalámbrico,se puede pagar en dólares y también se acepta pago móvil,😜😂😭.</t>
  </si>
  <si>
    <t>Senai e Sesi abrem vagas com salários de até R$ 4,4 mil em Goiás
https://t.co/CTpvEpoUkb
#RIOVERDE #GOIANIA #ANÁPOLIS #SESI #SENAI #VAGAS #BIBLIOTECÁRIO #PSICÓLOGO #VENDEDOR #TECNICODEENFERMAGEM #PUBLICITÁRIO #PROFESSOR #TECNOLOGIA #INSTRUTORDESOLDAGEMMETALMECANICA https://t.co/GxxNGu3a8X</t>
  </si>
  <si>
    <t>Estamos #Contratando para BAZAR NAVIDEÑO🎄🎄🎄
Integrate como #Vendedor 
si te interesa trabajar por temporada navideña acude a entrevista en: 
Sears Irapuato, Sucursal Centro
Informes 
462.623.90.75 ext. 1120
whatsApp 4622490021
Registra tus datos en: 
https://t.co/ipTgEmY7x4 https://t.co/KbWp89f9LG</t>
  </si>
  <si>
    <t>Estamos #Contratando para BAZAR NAVIDEÑO🎄🎄🎄
Integrate como #Vendedor 
Sears Irapuato, Sucursal Centro
Guerrero y Cortázar, Zona Centro
Informes 
462.623.90.75 ext. 1120
whatsApp 4622490021
Registra tus datos en: 
https://t.co/ipTgEmYFmC https://t.co/7VNueF4qgM</t>
  </si>
  <si>
    <t>Aún asi atrevete y dar un salto de Fé recordandole a todos tu SER las buenas experiencias, los resultados, pasos, pequeños éxitos, la calidad de tu producto, servicio y de tu persona #LatinAmericaiswithbuild #emprendimiento #emprendedor #vendedor #empresario #proceso #AGS</t>
  </si>
  <si>
    <t>Es Irónico cómo una actividad que ya has hecho constantemente cuando haces algunls cambios vuelve a generar miedo, incertidumbre etc #emprendimiento #vendedor #vendedorambulante #cafeteria #vendocafe #miexperiencia #CaminoPróspero💪🏻</t>
  </si>
  <si>
    <t>La división de los gastos de la #venta de un #inmueble depende de la ley y los usos y costumbres. Por lo general, todo lo relativo a la investigación del inmueble, ya sea certificados, estudio de títulos, licenciamientos o certificados y averiguaciones los paga el #vendedor. https://t.co/H5yYPvv2JR</t>
  </si>
  <si>
    <t>El boleto de #compraventa deja una constancia escrita de las condiciones de la #transacción y de las obligaciones asumidas por las partes. A su vez, constituye un elemento de prueba y en él, generalmente, se estipulan penalidades a favor del #vendedor. https://t.co/2KT1CINOgW</t>
  </si>
  <si>
    <t>Me chame e vamos elaborar a ESTRÉGIA CORRETA, para o seu PUBLICO ALVO, com valores baixo mas que você vai aparecer para todos os possíveis clientes.
#andrevalgestor #estrategia #vendermais https://t.co/w5bsz5cu92</t>
  </si>
  <si>
    <t>#Vendedor de hot-dogs se queda dormido y jóvenes lo ayudan a despachar https://t.co/w9Hd7xrbXR https://t.co/xSrkeJHiad</t>
  </si>
  <si>
    <t>Depois que vídeo com pedido de ajuda viralizou, vendedor de dindin com paralisia cerebral ganha geladeiras para continuar trabalhando
Leia mais em https://t.co/NXULeiOpxl
#vídeo #ajuda #vendedor #dindin #geladeiras</t>
  </si>
  <si>
    <t>Importante situarnos #Personalmente en lo que somos y en lo que queremos ser, porque siendo un comun o corriente #Vendedor, nunca tendras necesidad de cargar a una colonia, una ciudad, un estado, y MUCHO MENOS UN PAIS.</t>
  </si>
  <si>
    <t>Ventas un mundo increíble y único!!! Video solo para entendidos... #ventas #vendedor #mkt #mundo #World #negocios #businessowner #exito https://t.co/wYUGQRvYoj</t>
  </si>
  <si>
    <t>Uma loja organizada vende muito mais. Acessórios específicos para cada tipo de produto, fazem toda diferença no seu PDV. Vai abrir uma loja, ampliar ou repaginar? Bora começar! 😉
#VenderMais #ArrumaçãoDeLoja #ExposiçãoDeProdutos #Planograma #MoveisParaLojas #ProjetoDeLoja https://t.co/4v92gCXgX1</t>
  </si>
  <si>
    <t>A experiência de compras pode minimizar os impactos desse perfil 😉
#DicionarioDoVarejo #Showroomer #ExperienciaDoConsumidor #VenderMais #VarejoInteligente https://t.co/HLz9Mq9wPW</t>
  </si>
  <si>
    <t>Esta semana, li um #depoimento no qual um homem se aproximou e disse ser #vendedor de perfumes a uma mulher quando ela se dirigia ao carro em #estacionamento aberto. Isso já aconteceu comigo quando visitei alguma vila em #Portugal. (cont)</t>
  </si>
  <si>
    <t>#vendedor https://t.co/omVps4A5HU</t>
  </si>
  <si>
    <t>Así generé 100.000 € vendiendo bicicletas !!!
Como lo OYES, he conseguido vender + de 1.000 bicicletas de gravel en los últimos 12 meses.
#vendedor #tecnología #inteligenciaartificial #emprendedor #brainstormlabs https://t.co/RNw1mS43ez</t>
  </si>
  <si>
    <t>@parejaHOTWIFEX Es normal, los europeos ya saben que así pueden ver gratis, le ha pasado muchos que tiene #only  esa metedo, tiene tiempo de decir si la compra fue por error o por algo que no gusta ….. recuerda que #onlyfan está a favor del cliente no del #vendedor</t>
  </si>
  <si>
    <t>Buscar #oportunidades de expansión: una vez que el negocio esté establecido, el #vendedor puede explorar #oportunidades para expandir su oferta de #productos o abrir nuevos puntos de venta en otros lugares.
¿𝗧𝗶𝗲𝗻𝗲𝘀 𝗱𝗶𝘀𝗲𝗻̃𝗮𝗱𝗼 𝘁𝘂 𝗺𝗼𝗱𝗲𝗹𝗼 𝗱𝗲 𝗻𝗲𝗴𝗼𝗰𝗶𝗼𝘀?</t>
  </si>
  <si>
    <t>Oportunidade para Vendedor(a), em uma empresa de ferramentas, em Manaus - AM  Veja os detalhes e se candidate pelo link: https://t.co/3CPWOw9AY3
#ManpowerGroup #Vendedor #Vendedora #Manpower #VagasManpower https://t.co/j2SJ5HM7io</t>
  </si>
  <si>
    <t>#Oportunidade para Vendedor(a), em uma empresa de comunicação visual. Veja os detalhes e se candidate pelo link: https://t.co/AGWbnJdo6b
#ManpowerGroup #Vendedor #Vendedora #Manpower #VagasManpower https://t.co/oR70fCx3Ez</t>
  </si>
  <si>
    <t>#Oportunidade para Vendedor(a) - Segmento Fio de Cobre, em uma empresa de obras de infraestrutura, 📍 São Paulo - SP. Veja os detalhes e se candidate pelo link: https://t.co/EBUEj5PSWy
#ManpowerGroup #Vendedor #Vendedora #Manpower #VagasManpower https://t.co/zoYK0xUK71</t>
  </si>
  <si>
    <t>#Oportunidade para Vendedor(a), em uma empresa brasileira no setor de fabricação de concreto. Veja os detalhes e se candidate pelo link: https://t.co/DTeFTqIFZW
#ManpowerGroup #Vendedor #Vendedora #Manpower #VagasManpower https://t.co/NH8vRoWlIv</t>
  </si>
  <si>
    <t>#Oportunidade para Vendedor(a), em uma empresa no setor de transporte, logística, cadeia de suprimentos. Veja os detalhes e se candidate pelo link: https://t.co/HyAjEIAwrm
#ManpowerGroup #Vendedor #Vendedora #Manpower #VagasManpower https://t.co/AyJO05T0Et</t>
  </si>
  <si>
    <t>disparan a vendedor, lo que vi es que no se sabe porq lo mataron dicen que tuvo algo que ver con el cartel, pero nose sabe muy bien.
#VideoViral #gore #gorevideo #gorecenter #gore #blood #vendedor #disparo https://t.co/sxAAOXBN5I</t>
  </si>
  <si>
    <t>Dica bônus:
Escolha bem as pessoas que vão trabalhar com você.
O seu time e o seu mentor são primordiais para o sucesso do seu trabalho.
#negocios #vendas #empreendedorismo #empreender #sucesso #business #gestaodenegocios #vendermais #gestao #desenvolvimentodenegocios https://t.co/t6xJvWxBgH</t>
  </si>
  <si>
    <t>El día de hoy, destacamos las habilidades de nuestros vendedores, como su constancia y atención personalizada a nuestros clientes.
¡Feliz día del #vendedor! https://t.co/XBmuqYVuIQ</t>
  </si>
  <si>
    <t>En casa de comidas céntrica, Ramos Mejía.
1 empanada 400 pesos, un sándwich de miga pequeño, 320; una factura 210.
Total: 930 pesos.
Agregar viaje de colectivo i/vuelta al laburo/casa, una fruta, agua de la canilla en botella propia. El gasto mínimo x día de un #vendedor: $1.500.</t>
  </si>
  <si>
    <t>FALA AÍ, ILIMITADO!
Quem fala hoje é o vendedor de implementos rodoviários, Edgar Brito, que ingressou no nosso time de ilimitados em janeiro de 2021.
Desejamos novas conquistas e sucesso em seu caminho!
Juntos #SomosIlimitados
#FalaAíIlimitado #FamíliaTruckvan #Vendedor https://t.co/J0bC7fDdt7</t>
  </si>
  <si>
    <t>♥️Maggi, defensora de la mano de obra  humana.
☠️York, defensor de la mano artificial los robots.
#desempleo #abogado #medico #delivery #profesor #obrero #mecanico #chofer   #conserje #guardia #actor #policia #campesino  #vendedor
🌟Disponible en
https://t.co/1DVjXrU0Pm https://t.co/FwHkEVpnYY</t>
  </si>
  <si>
    <t>♥️Maggi, defensora de la mano de obra  humana.
☠️York, defensor de la mano artificial los robots.
#desempleo #abogado #medico #delivery #profesor #obrero #mecanico #chofer  #empleado #conserje #guardia  #policia #campesino  #vendedor
🌟Disponible en
https://t.co/1DVjXrU0Pm https://t.co/B6CQFMHXvE</t>
  </si>
  <si>
    <t>El #corredor toma ofertas de un #comprador y las ofrece a un #vendedor o viceversa. El #corredor recibe una #comisión u #honorarios por su trabajo
°
#analisisbrokers #aprende #blog #bolsa #broker #inversiones #invertir #inverte #materiasprimas #negocios #noticias #tecnologia https://t.co/5yyUv3nR9L</t>
  </si>
  <si>
    <t>#oportunidadlaboral #ventas #vendedor https://t.co/ahgZla2D4R</t>
  </si>
  <si>
    <t>Aumentare la capacità di promuovere e #vendere un prodotto o #servizio . Un’attività #strategica per espandere i tuoi profitti...
https://t.co/q6mwl5Bwpo
#marketing #negocios #imprenditore #business #affare #apalancamiento #socialmediamarketing #vendedor https://t.co/087zMLzkwh</t>
  </si>
  <si>
    <t>Cartão de visita arte e impressão
Desenvolvemos a arte do seu cartão após sua aprovação imprimimos e enviamos para seu endereço.
https://t.co/gmdkEYXhjR
#cartões #impresso #artes #uber #graficarapida #gráfica #criação #cartaodevisita #agenciapsd #artefinal #vendedor #divulgar https://t.co/KusltoGJ7I</t>
  </si>
  <si>
    <t>¡Y encima geminiano! ♊
(Recuerdos post cuarentena) 
.
.
.
#Humor #Geminis #vendedor #comercio #malhumor #mañanas #preguntasboludas #equipoinst #instareels #instamood #Floresta  #Rutina #cadadia  #buenhumor #gracioso  #geminianos #soyargentino #boludecesno #cadamañana https://t.co/MYPiSsqWBE</t>
  </si>
  <si>
    <t>😉Ei, você, que é um #vendedor talentoso... 🛍Aproveite toda sua experiência e potencial e dê um #up em suas vendas com essas dicas incríveis.
https://t.co/SlxQetSu6O</t>
  </si>
  <si>
    <t>Chegou a hora de você se tornar um #vendedor 5 Estrelas!⭐️
https://t.co/OuKp7i8F0L</t>
  </si>
  <si>
    <t>Top 5 profissões do mundo atual 
#raiamsantosmcarn #dinheiro #profissao #top5 #medico #agricultura #programador #vendedor #influencer #fy #viral https://t.co/PgjDLJp6sU</t>
  </si>
  <si>
    <t>Habilidades profesionales de venta | 𝗖𝘂𝗿𝘀𝗼 "𝗜𝗻 𝗖𝗼𝗺𝗽𝗮𝗻𝘆" 🔥
#ventas #vendedor #consejerodelegado #cursoventas https://t.co/nvdWYJFkLf</t>
  </si>
  <si>
    <t>🧑‍💼 ¿Qué funciones debe de cubrir un vendedor en su curriculum vitae? 
Ejemplos prácticos y consejos que debes llevar a cabo 👇 
https://t.co/SWNqGTmRnP
#CurriculumVitae #Vendedor #Empleo https://t.co/57AYpcxqBc</t>
  </si>
  <si>
    <t>📌 ¿Qué funciones debe de cubrir un vendedor en su curriculum vitae? https://t.co/kBU1aSwOOL  via @CVPlantillas 
#curriculum #vendedor #cv https://t.co/8GOQiwLMcr</t>
  </si>
  <si>
    <t>*La Guardia Civil ha #detenido a un #vendedor ambulante con 675 perfumes falsos en #Pamplona*                       
▪️  Eran #falsificaciones de conocidas #marcas que el detenido trato de vender a agentes de paisano que realizaban inspecciones en un locutorio
▪️  En el… https://t.co/S3dxDiBmo1</t>
  </si>
  <si>
    <t>Fala Lindeza!
Bom aqui na StorLabs a gente só recomenda o que a gente testa e essa estratégia traz mensagens de clientes interessados no nosso serviço todos os dias e se dá certo pra mim vai dar certo pra você também!
#storlabs #socialmedia #clientes #vendermais https://t.co/gdC2CUS33I</t>
  </si>
  <si>
    <t>@ReporteYa @DanielAlvarezRo Todo esos #dólares se #perderían en un #abrir y #cerrar de ojos a la #isla se le #pondrían los ojos como #vendedor de #prenda se pondrían en #fila y la #metedera de #mano en esas #arcas sería #descomunal no #pide a #cambio de nada? Cuál es la #agenda de los "#seudosopositores"?</t>
  </si>
  <si>
    <t>Cuando ya intentaste persuadir al cliente de NO comprar lo que quiere porque sabes que no le conviene…😩
#heliosherrera #heliosherreraconsultores #heliosherreraventas #poderdevender #ventas #vendedor #ventasexitosas https://t.co/qA9QSfwoix</t>
  </si>
  <si>
    <t>🔝Italia continúa un año más como el primer #vendedor #mundial de #vino 🍷🍷
💹Las #ventas crecieron un 10,1% en 2022, alcanzando casi los 7.834 millones de #euros, lo que supone un máximo histórico 💶💶
https://t.co/fYetavpyA8</t>
  </si>
  <si>
    <t>Coloque em prática essas dicas e sinta a diferença em suas vendas.
#vendedor #empreendedorismo #sucesso #foco https://t.co/U4TdzPfhYQ</t>
  </si>
  <si>
    <t>Acesse a vaga aqui: https://t.co/XAYtfOS3bb #vaga #vagas #vendedor https://t.co/apQUbcL0ui</t>
  </si>
  <si>
    <t>Acesse a vaga aqui: https://t.co/mqn2TfqQXP #vaga #vagas #vendedor https://t.co/4BRoroK6eH</t>
  </si>
  <si>
    <t>Acesse a vaga aqui: https://t.co/I1pw0d6gEF #vaga #vagas #vendedor https://t.co/H3sqMA7wFE</t>
  </si>
  <si>
    <t>Acesse a vaga aqui: https://t.co/vv6M5Dz1mJ #vaga #vagas #vendedor https://t.co/4WaHWl6ewy</t>
  </si>
  <si>
    <t>Acesse a vaga aqui: https://t.co/VekyWA4d44 #vaga #vagas #vendedor https://t.co/B8I2thAYj9</t>
  </si>
  <si>
    <t>#trabajosihay Vacantes laborales para #quito, #latacunga y #guayaquil. Recuerda compartir: una persona, una familia te lo agreadecerán.
#supervisor #pasante #vendedor #oportunidadeslaborales #oportunidadesdeempleo #ikigai #ikigaihrconsulting #inspirandopropósitos https://t.co/PBbJYsDwbq</t>
  </si>
  <si>
    <t>Ajudamos a manter a presença digital e a cadência de vendas ideal para crescer o seu negócio. Saiba mais 👇
https://t.co/Ye2if7ZGps
DZN Project - Marketing Digital para Negócios, em Constantina/RS.
(54) 999579699
#DZNProject #MarketingDigital #AgênciaDeMarketing #VenderMais https://t.co/t0OupAPA7x</t>
  </si>
  <si>
    <t>Sígueme @kikemultiple #comedia #humor #broma #siyofuera #vendedor #ropadeportiva #licras #chafas #jajaaj https://t.co/VMj6YbEIGT</t>
  </si>
  <si>
    <t>erros em vendas que você deve parar de cometer hoje.              Deixar de agregar valor ao produto comercializado  Um cliente não está buscando apenas bom preço, mas uma solução para um problema específico.
#vendedor https://t.co/fFyilGDwzB</t>
  </si>
  <si>
    <t>#Nacional 🤬‼️ Continúan los abusos 😳
Una #turista enfureció con un #vendedor ambulante luego de que presuntamente la estafó al venderle una prueba de empanada en 500 pesos, en la zona de playas en #Tulum, #QuintanaRoo #FelizMiercoles #NoVasASerPresidente #LaydaSansoresCorrupta https://t.co/mcVBGgMkbZ</t>
  </si>
  <si>
    <t>VENDEDOR DEVE AGIR COMO UM CONSULTOR
#resultadocomtráfego #vendas #vendedor https://t.co/U9i0GJ1bG1</t>
  </si>
  <si>
    <t>Hoje foi o dia do meu amigo @samuel.amil realizar seu sonho.
Acredite! Você pode ser o próximo.
📲21 97496-4320 🟢WhatsApp🟢 
#honda #hondamotos #recreiomotos #vendedor #realizandosonhos #xrerally #xre300 https://t.co/ws3vJGs8qd</t>
  </si>
  <si>
    <t>Gratidão à Deus por poder ajudar mais um amigo, que nos acompanha nessa caminhada desde 2017.
@pingomva quero lhe agradecer meu amigo, por sempre lembrar e dar preferência ao nosso trabalho.
📲21 97496-4320 🟢WhatsApp🟢 
#honda #motoshonda #recreiomotos #vendedor #cgtitan https://t.co/Ux9OuGd033</t>
  </si>
  <si>
    <t>Buscamos profissional com experiência em vendas de produtos do segmento veterinário. Necessário superior completo em Medicina Veterinária, carro próprio e CNH B. Acesse:
https://t.co/Q5snTHSWy4
https://t.co/HX1YvAd7x5
#vagas #vagasdeemprego #vagasdf #vendedor #medicinaveterinaria https://t.co/sgCQO3hLpn</t>
  </si>
  <si>
    <t>Na periferia o suco de Brasil #paocaseiro #vitoria #tabuazeiro #vendedor https://t.co/ufe1e5rAUE</t>
  </si>
  <si>
    <t>Tags:
#networking #comunicacão #Rapport #Network #persuasão #oratória #linguagemcorporal #labia #vendas #personalbranding #brandingpessoal #dinheiro #empreendedorismo #empreender #marketingdigital #mktdigital #Palestras #vendedor #palestrante #orador #empresário #influencer</t>
  </si>
  <si>
    <t>1 Copy of Guía del vendedor LPT Realty https://t.co/y9qfAfBdcU 
Guia del vendedor en español
#VENDETUCASA
#inmobiliario 
#VENDEDOR
#BIENESYRAICES</t>
  </si>
  <si>
    <t>🎯 Oferta extra con dto en web, para este kit de torno de uñas con 13 accesorios #Publi #Amazon
⭕️ Ahora: 20,99€ 
🛒 Aquí: https://t.co/DERcfwsXsD
#vendedor #kit #torno https://t.co/5djdeqfS18</t>
  </si>
  <si>
    <t>🎯 Oferta loca en el Fire TV Stick HD con mando por voz con Alexa integrada #Publi #Amazon
⭕️ Ahora: 24,99€ 
🛒 Aquí: https://t.co/TwLO60W9NQ
#siguiente
#vendedor
#azalea https://t.co/yQlJIk0rMW</t>
  </si>
  <si>
    <t>Serviços Especializados de Desenvolvimento Empresarial! #desenvolvimento #consultoriaempresarial #vendermais #vendas #gestaoempresarial #gestaocomercial https://t.co/nKUeBwBTPG</t>
  </si>
  <si>
    <t>Como vendedor, ¿sabes hablarle a cada cliente para lograr resultados favorables en tus ventas?
Jesús Gómez Espejel nos comparte los pilares de un vendedor exitoso.
https://t.co/dSWynF0n5C
 #Podcast #dpersonas #ListeningLeaders #ventas  #éxito #Podcasting #Marketing #Vendedor https://t.co/DQKDRUSoFW</t>
  </si>
  <si>
    <t>#WeAreHiring !
Buscamos un/a Vendedor Sr. para que se incorpore a nuestro equipo 
#Oportunidad
CV a: contacto@netma.com.ar 
#talento #colaboradores #empleo #transformaciondigital #negocios #solucionesestrategicas #ventas #comercial #vendedor #ventaconsultiva #BúsquedaDeEmpleo https://t.co/j6Eu7JyRil</t>
  </si>
  <si>
    <t>Aprende a detectar oportunidades, prospectar, ganar confianza, vender soluciones, tratar objeciones, negociar y cerrar.
#vendedor #emprendimiento #liderazgo #ventas #habilidadesdirectivas #oportunidades
https://t.co/zFlymhNcze https://t.co/s8QycHDrS3</t>
  </si>
  <si>
    <t>Minilavadora de ROPA Y ZAPATILLAS #rogervelayarce #mentepositiva #emprendimiento #minilavadora #minilavadoraportatil #lavadora #lavanderia #mujeres #mujer #negocios #inversiones #ecomerce #vendedor #itadux https://t.co/7MLoUaEIGl</t>
  </si>
  <si>
    <t>Gracias mi socio JOSE VERONA TU CAPACITACIÓN ESTUVO BRUTAL #rogervelayarce #mentepositiva #germankuttnick #jurgenklaric #yudislonzoy #emprendedora #emprendimiento #cosching #ia #vendedor #mujer #itadux Verona https://t.co/btJnyUK2Ht</t>
  </si>
  <si>
    <t>¡Unite a nuestro equipo! Estamos buscando un vendedor en VENADO TUERTO!
Si te sentis identificado con este perfil, envíanos tu CV a csbaisero@gmail.com y unite a nuestro equipo de ventas.
#vendedor #ventas #empleo #oportunidad #trabajo #VenadoTuerto https://t.co/TnPMJwCjOY</t>
  </si>
  <si>
    <t>Y la nulidad de Polo Polo pa’ cuando Sres @consejodeestado ? https://t.co/VhL4NmsT5E</t>
  </si>
  <si>
    <t>Um brinde refrescante é tudo que um cliente precisa! 🥂
#humor #comedia #vendedor #cliente #comercio #brinde #promoção #oferta https://t.co/UICgRV3WFm</t>
  </si>
  <si>
    <t>¿Por qué un buen #vendedor debe preparase antes de buscar a un prospecto?
Dame tus razones, te leo 👇
#Ventas #Empresas #Negocios #Vendedor #EquipoDeTrabajo</t>
  </si>
  <si>
    <t>Comenzar la relación con tu #cliente de forma amigable y respetuosa puede ser la mejor vía para generar una comunicación efectiva, fácil y agradable. 😉
#Vendedor #Ventas #Empresa #Negocio https://t.co/lUHxc31LJO</t>
  </si>
  <si>
    <t>Desde tu experiencia ¿Cuál es la primera frase con la cual un #vendedor debe comenzar una conversación con un #propecto?
#Ventas #Clientes #Empresas #Empresarios #Negocios #MujerEmpresaria</t>
  </si>
  <si>
    <t>En las sesiones de #coach individual que he realizado, me he dado cuenta que el mejor #vendedor de la empresa es el dueño mismo. Pero ¿Cómo comunicar ese mismo entusiasmo de #venta a su equipo de vendedores?
Contáctame y te diré el cómo: https://t.co/zwcaiCJpCY
#Ventas #Marketing</t>
  </si>
  <si>
    <t>Como #vendedor ¿te da miedo el rechazo? 😓
El miedo a que una persona te diga que no, a que sea grosero, desapruebe lo que dices o te critique, es parte de los gajes de este noble oficio y no debes permitir que afecte a tu autoestima.
#Empresario #Negocio #CoachingEmpresarial https://t.co/O8cXCkRyuL</t>
  </si>
  <si>
    <t>Como #vendedor, es importante recordar que tu objetivo principal es ayudar a tu cliente antes de pensar en la #ganancia. Abro hilo 🧵</t>
  </si>
  <si>
    <t>¿Cuál es tu característica única de ventas?
Reconocerla te permitirá dejar una huella imborrable en tus clientes. Contáctame si necesitas ayuda para identificarla 👉https://t.co/KJcL8uHuyG
#Ventas #Vendedor #Negocio #Empresa</t>
  </si>
  <si>
    <t>Hablaremos sobre el poder transformador de la visualización del futuro en la mente de un #vendedor. 🧠 Descubriremos cómo proyectar una imagen mental de "logro", que le permitirá experimentar emociones positivas en el presente. 🙌
Nos escuchamos AQUÍ: https://t.co/bWTZAStacD https://t.co/BFuwvPu5p3</t>
  </si>
  <si>
    <t>¿Cuál es el secreto del mejor #vendedor? 👀
Hoy te lo revelo. 🫢
#Empresas #CoachingEmpresarial #Ventas #Marketing #Negocios #Empresarios #Líder https://t.co/HQJwNKbxOf</t>
  </si>
  <si>
    <t>El primer error es la falta de #escuchaactiva. Esta es la clave para comprender las expectativas del cliente y así aprender como adaptar la oferta. Un #vendedor que escucha activamente puede brindar soluciones personalizadas y establecer una conexión más significativa. 🙌</t>
  </si>
  <si>
    <t>El #vendedor es el guía que lleva a la gente a definir claramente qué quiere y a que decida qué es lo mejor que puede comprar para su situación particular.👨‍💼👩‍💼</t>
  </si>
  <si>
    <t>¿Qué tanto conoce tu equipo de ventas acerca de tu producto o servicio? 🤔
Piénsalo, ya que cuando el #vendedor no se ha tomado el tiempo para aprender todos los detalles del #producto o #servicio se limita a ofrecer una descripción general e insuficiente a tu #cliente.</t>
  </si>
  <si>
    <t>Un #vendedor no espía a su #competencia, hace una investigación de mercado. 😉
#Ventas #Mercadotecnia #Empresa #Negocio https://t.co/klfkr73PcQ</t>
  </si>
  <si>
    <t>Un buen #vendedor no espera que los clientes le caigan del cielo ☁️ , un buen vendedor busca, contacta, prospecta y da seguimiento para lograr sus metas de ventas que tiene como objetivos. #BusinessMentor #Empresario #NegocioExitoso https://t.co/ohILShPUKw</t>
  </si>
  <si>
    <t>⏰ Hablemos de una habilidad clave para todo vendedor: la #gestióndeltiempo. Como #vendedor, el tiempo es un recurso valioso y aprender a administrarlo de manera efectiva puede marcar la diferencia en tener éxito. Abro hilo de consejos que te pueden ser de mucha utilidad.🧵</t>
  </si>
  <si>
    <t>A pesar de los prejuicios que puedan existir, la labor del #vendedor es fundamental y altamente efectiva para impulsar los resultados empresariales. Esta función refleja un genuino compromiso y dedicación por la excelencia en la ejecución. #Ventas #ÉxitoEmpresarial</t>
  </si>
  <si>
    <t>¿Recuerdas la satisfacción que sentiste al realizar tu primera venta?
Comparte tu experiencia. Te leo. 😃
#Ventas #Marketing #Empresas #Negocios #Vendedor #Mercadotecnia #Prospecto https://t.co/R7xmpwaC0P</t>
  </si>
  <si>
    <t>13 rasgos característicos de un gran #Vendedor: https://t.co/sTv30GO9Uc
.
.
.
#TipsDeVentas #Vendedores #Emprendedores https://t.co/Y1lOAWY8Je</t>
  </si>
  <si>
    <t>#LunesDeHumor 
Cualquier #vendedor tiene que pasar por ahí 😂 https://t.co/L0EVMLWlMv</t>
  </si>
  <si>
    <t>#marketingdigital 
Sabías qué?! 
El 60% del proceso de #compra ya fue realizado antes mismo de que el #consumidor entre en contacto con el #vendedor.</t>
  </si>
  <si>
    <t>Con motivo del día del #vendedor, Juan José Meneses, Director Regional de Salesland para Perú y Ecuador, nos habla en el diario peruano Andina sobre las recomendaciones que debe seguir todo comercial para enfrentar el desafío de la transformación digital.
https://t.co/fj9LKEoYEN</t>
  </si>
  <si>
    <t>🇵🇹 Fique a conhecer o nosso consultor João Afonso, parte da família Prestige For Home desde 2021.
🇬🇧 Get to know our real estate agent João Afonso, who has been part of the Prestige For Home family since 2021.
#prestigeforhome #consultorimobiliario #agente #vendedor #reale… https://t.co/5cWqrl1tAT</t>
  </si>
  <si>
    <t>Salve salve meu povo !
A pergunta está clara !
Seu dinheiro está correndo atrás de você ou você dele ?
REFLITA !
Saude e paz !
#vendedor #vendamaisemelhor #francocomprebem #vendamaistodososdias #vendas #vendedordesucesso https://t.co/7zplc172wT</t>
  </si>
  <si>
    <t>Vendor on Malecon, Ajijic
*
*
*
*
*
#scbwi #CBIGNYC #childrensbookillustration #childrensbookillustrator #childrensbookartist #illustration #drawing #pleinair #urbansketchers #usk #midnightatelier #yukotorii #vendor #fruitvendor #vendedor #ajijic #malecon @urbansketchers https://t.co/ACWcfmByIN</t>
  </si>
  <si>
    <t>Vendors on Carretera (main street) in Ajijic. 
Taco stand. 
She prepares her shop so early to offer desayuno (breakfast) to workers.
*
*
*
*
*
#SCBWI #CBIGNYC 
#art #illustration #drawing #dailydrawing #dailyartshare
#midnightatelier #yukotorii #streetvendor #vendedor #tacostand https://t.co/1YToi8DSb0</t>
  </si>
  <si>
    <t>I love watching the street vendors in early morning.
This is a watermelon vendor.
*
*
*
*
*
#SCBWI #CBIGNYC 
#childrensbooks #childrensbookartist  #kidlit #kidlitart #picturebooks
#dailyartshare
#midnightatelier #yukotorii #watermelon #sandia #streetvendor #vendedor https://t.co/Qqpy8596FO</t>
  </si>
  <si>
    <t>Vendors on Carretera (main street) in Ajijic.
Sombrero (hat) vendor.
*
*
*
*
*
#SCBWI #CBIGNYC 
#childrensbooks #childrensbookartist #childrensbookillustrator #kidlit #kidlitart #picturebooks
#midnightatelier #yukotorii #streetvendor #vendedor #hat #sombrero https://t.co/1MQNOQIOyG</t>
  </si>
  <si>
    <t>Doxa 1750
La nueva tecnología está abrumando a los equipos de ventas
https://t.co/OdQw6UWa0j
#Doxa #tecnología #ventas #productividad #vendedor #líderes #eficiencia #trabajo #IA #organizaciones</t>
  </si>
  <si>
    <t>Doxa 1637
La cultura de ventas B2B debe cambiar para aprovechar al máximo las herramientas digitales
https://t.co/njtJYpmpd7
#Doxa #cultura #ventas #B2B #herramientas #digital #cliente #tecnologia #digital #comprador #vendedor #éxito</t>
  </si>
  <si>
    <t>Estamos buscando para una empresa importante en #guatemala su próximo #vendedor de #ruta https://t.co/LN3TC7KOP6</t>
  </si>
  <si>
    <t>Estamos contratando! SALTILLO, COAHUILA
Contáctanos al 5526536089 Lic. Paola Ramos.
#Saltillo #empleosaltillo #trabajosaltillo #vendedor #mejorempleo #farmaciasimilares https://t.co/JqiVH49HCS</t>
  </si>
  <si>
    <t>400 ingressos vendidos. Vagas esgotadas e sucesso absoluto do treinamento dia 14/8 em Valinhos e on-line pra todo Brasil.
#vendas #vendedor #palestra #palestrante #erikpenna https://t.co/gZh4PpssB7</t>
  </si>
  <si>
    <t>Noite inesquecível com 400 campeões de vendas e atendimento de todo Brasil (Presencial e on-line)
com 
@erikpennapalestrante 
@palestranteandreortiz
Vocês deram Shooooooooooooow!
👏🏻👏🏻
#vendas
#motivação 
#atendimento
#palestra
#vendas
#vendedor 
#palestrante
#erikpenna https://t.co/EJaoweG1Z0</t>
  </si>
  <si>
    <t>Muchos se han lanzado a la aventura de vender. Sin embargo, no lograron los resultados que deseaban y se quedaron con una gran frustración. ¿Por qué? Te revelo 5 claves/razones.
#MercadeoGlobal #AlvaroMendoza #buenmarketing #vendedor
https://t.co/DdtI8I1F0m</t>
  </si>
  <si>
    <t>🌟 ¡Únete a nuestro equipo dinámico! 
Buscamos un Vendedor apasionado por brindar soluciones y elevar la experiencia del cliente.  
Si tienes habilidades en ventas y un enfoque centrado en el cliente, queremos conocerte.  
#empleo  #vendedor #CDMX  👇🏼
https://t.co/jYNKQFuWFr</t>
  </si>
  <si>
    <t>Que esperar desse ano? Tudo! Pode vir 2023, estou pronto 🤘🏻⚡ #EmpreenderÉisso #empreendedores #empreendedoresDigitais #joaonatas #vendas #vendedores #vendedor #FidelizarClientes #fidelidade
https://t.co/iBXpPGMngf https://t.co/vMFvILQGaF</t>
  </si>
  <si>
    <t>Que esperar desse ano?
Tudo!
Pode vir 2023, estou pronto 🤘🏻⚡
#EmpreenderÉisso #empreendedores #empreendedoresDigitais #joaonatas #vendas #vendedores #vendedor #FidelizarClientes #fidelidade https://t.co/oJ3hj4uHMS</t>
  </si>
  <si>
    <t>¿Vender o hacer clientes?
https://t.co/iUpXFFr8s0
#vender #comercial #ventas #pyme #hr #humanresources #rrhh #vendedor #recursoshumanos #clientes #venta #atenciónalcliente #venta #telemarketing #serviciopostventa #pime #departamentosdeventas https://t.co/QsCNUweLaZ</t>
  </si>
  <si>
    <t>🤓 Hoy es el #DíaNacionalDelVendedor,💼Felicitamos a todos los vendedores que con su habilidad y esfuerzo contribuyen al crecimiento y desarrollo de la economía del país.✨
#Ventas #FelizSabado #BuenosDías #Vendedor https://t.co/9JbyvhQm9j</t>
  </si>
  <si>
    <t>📣 Vaga Aberta para Vendedor na Biosis!
Confira os Requisitos e Envie o seu Currículo para steffany.dutra@biosis.eco.br
🔸 Candidaturas até 01.04.23!
🔗 Saiba Mais: https://t.co/7r8sALG9dA
#biosis #saneamentoambiental #vendedor #vagadeemprego https://t.co/grvy5bnjNO</t>
  </si>
  <si>
    <t>El truco del vendedor español mejor valorado en Amazon: por qué las reseñas con 5 estrellas no siempre son lo que parecen https://t.co/8vBKzSJlho via @BIEspana #Amazon #vendedor</t>
  </si>
  <si>
    <t>Invitó a su casa a #vendedor ambulante que estaba bajo la lluvia y le dio una sorpresa
➡ https://t.co/GXByoiwEHX</t>
  </si>
  <si>
    <t>🤯Aquele momento que você não sabe o que fazer a não ser se desesperar.
#vendamais #vendatododia #vendedor #negóciosonline #negociosonline #afiliados #afiliadorelampago #marketingafiliado https://t.co/fYMIdpsVmK</t>
  </si>
  <si>
    <t>🔴 Quem nunca? Quem se identifica? 😅
#vendamais #vendatododia #vendedor #negóciosonline #negociosonline #afiliados #afiliadorelampago #marketingafiliado #hotmartafiliados #afiliados #afiliadoorganico #cyromello https://t.co/rHLgU97w5I</t>
  </si>
  <si>
    <t>A partir de este año vendedores de #MercadoLibre pueden ofrecer sus publicaciones de combo #clásica con el programa #Ahora12, tal como ya lo hicimos con el combo #premium ¿Sos #Vendedor y te gustaría sumarte al programa #Ahora12? Puedes desde aquí: https://t.co/yxndSYE689</t>
  </si>
  <si>
    <t>#ajeper #aje #huelga #vendedor @grupoaje https://t.co/AiBVgN11DX</t>
  </si>
  <si>
    <t>#conteúdoadulto #adulto #Packs #Vendedor #Adultcontent #digitalinfluencer https://t.co/i8ZZ1SOVgn</t>
  </si>
  <si>
    <t>https://t.co/NWHLecwDBI
#pelicula #frases #cinema #cine #friki #geek #film #frase #expresion #humor #cumpleaños #oferta #trabajo #padre #madre #oficio #vendedor https://t.co/66HYEQwXvO</t>
  </si>
  <si>
    <t>ANTES DE PROMOVER O SEU MELHOR VENDEDOR,VEJA ISSO!
#vendas #vendedor #resultados #lideranca #resultados #crescimento https://t.co/fjc8yQ2r67</t>
  </si>
  <si>
    <t>@SenadorKajuru #traidor,#traira,#malcarater, #vendedor de voto,#contra o Brasil</t>
  </si>
  <si>
    <t>Dos agentes de la #DEA, un #expolicía de #Chicago y un #vendedor callejero de droga #centroamericano testificaron este 25 de enero en el #juicio en contra de García Luna, ante el #jurado y el juez Brian Cogan 
#Contralínea #PeriodismodeInvestigación https://t.co/NCMHRcBPj7</t>
  </si>
  <si>
    <t>¿Crees que eres un gran #vendedor? No te pierdas este episodio de nuestro #podcast y descubre si tu #empresa cuenta con la metodología necesaria para serlo. https://t.co/3c6cURTfPU https://t.co/CnXHSmNGVX</t>
  </si>
  <si>
    <t>Para convertirte en un gran #vendedor debes trabajar constantemente en tus habilidades. Conoce algunas herramientas para conseguirlo en el nuevo episodio de #CómoLoVendo. https://t.co/gMuilTtDbg 🎙️ https://t.co/HWOAyQ4TMX</t>
  </si>
  <si>
    <t>Aprende cómo fortalecer tus habilidades de #vendedor. No te pierdas el nuevo episodio de #CómoLoVendo. 💰 
https://t.co/gMuilTub0O 👈 https://t.co/TIR2GJ7WiH</t>
  </si>
  <si>
    <t>Estamos buscando Asesores de Venta para trabajar en la Gran Caracas o zonas foráneas.
📌Envíanos tu síntesis curricular al correo de nduarte@asap.com.ve
#Empleo #Oportunidad #Trabajo #Vacante #Candidato #Vendedor #Caracas https://t.co/SrrgNuR4Ag</t>
  </si>
  <si>
    <t>Buscamos Asesores de venta para cubri Caracas y La Guaira
📌Envíanos tu síntesis curricular al correo de ventascaptacion@asapservicios.com.ve
#Empleo #Oportunidad #Trabajo #Vacante #Candidato #Vendedor #Caracas https://t.co/8mMwtZ8mwM</t>
  </si>
  <si>
    <t>Buscamos Asesores de venta, si cumples con el perfil solicitado puedes envíarnos tu síntesis curricular al correo de ventascaptacion@asapservicios.com.ve
#Empleo #Oportunidad #Trabajo #Vacante #Candidato #Vendedor #Caracas https://t.co/i7uILzTEQJ</t>
  </si>
  <si>
    <t>¿𝗕𝘂𝘀𝗰𝗮𝘀 𝗼𝗽𝗼𝗿𝘁𝘂𝗻𝗶𝗱𝗮𝗱𝗲𝘀 𝗱𝗲 𝘁𝗿𝗮𝗯𝗮𝗷𝗼 𝗿𝗲𝗺𝗼𝘁𝗼 𝗰𝗼𝗻 𝗲𝗺𝗽𝗿𝗲𝘀𝗮𝘀 𝗲𝗻 𝗹𝗼𝘀 𝗘𝘀𝘁𝗮𝗱𝗼𝘀 𝗨𝗻𝗶𝗱𝗼𝘀?
📌Envíanos tu CV a  contacto@asap.com.ve 📩
#Empleo #Oportunidad #Trabajo #Vacante #Candidato #Vendedor #Caracas https://t.co/MYIgoYPifZ</t>
  </si>
  <si>
    <t>Interesados enviar síntesis curricular al correo ventascaptacion@asapservicios.com.ve o icordoba@asap.com.ve📩
#Empleo #Oportunidad #Trabajo #Vacante #Candidato #Vendedor #Caracas #Táchira #Lara #Portuguesa #Yaracuy #Monagas https://t.co/FpwpH7jlom</t>
  </si>
  <si>
    <t>Buscamos Asesores de venta para cubrir Caracas y La Guaira
📌Envíanos tu síntesis curricular al correo de ventascaptacion@asapservicios.com.ve
#Empleo #Oportunidad #Trabajo #Vacante #Candidato #Vendedor #Caracas https://t.co/hRlGv9NN6X</t>
  </si>
  <si>
    <t>🤓 Cuando los deseos del consumidor y los objetivos de los vendedores se unen, se genera un precio que permite que ambos se beneficien en el intercambio.
#precios #vendedor #consumidor #oferta #demanda #libremercado #pronavicola https://t.co/igwflnahlG</t>
  </si>
  <si>
    <t>⚠️ IMPORTANTE. OFERTA DE EMPLEO EN TUMOSA ⚠️ Buscamos, con incorporación inmediata:
✔️ 1 mecánico – electricista de Taller
✔️ 1 vendedor/a
Forma parte de nuestro equipo aquí ➡️ https://t.co/NyU4PiaeaY
__
#ofertadeempleo #ofertadetrabajo #mecanico #vendedor #peugeot #acoruña https://t.co/5STf8ezCvr</t>
  </si>
  <si>
    <t>Não deixe que as barreiras digitais te impeçam de crescer, todo mundo quer #vendermais, certo? Então, por que não dar o primeiro passo e investir em uma gestão de tráfego qualificada?</t>
  </si>
  <si>
    <t>💯💼 𝙄𝙢𝙥𝙤𝙧𝙩𝙖𝙣𝙩𝙚 𝙚𝙢𝙥𝙧𝙚𝙨𝙖 𝙚𝙣 𝙚𝙡 𝙨𝙚𝙘𝙩𝙤𝙧 𝙘𝙤𝙣𝙩𝙧𝙖𝙩𝙖𝙧𝙖 🔥
🤩 Vendedor Departamental 📢
🚀 ¡𝗔𝗽𝗹𝗶𝗰𝗮! ✅
🌐 https://t.co/UzDHlSF7MB
#Vendedor #vendedordepartamental #miscorpnews #Emplehabilitate #empleosguatemala #empleos2023 #TrabajoSiHay https://t.co/dOiw1vQotG</t>
  </si>
  <si>
    <t>🏠 #Comprar una #vivienda con financiación puede hacerse asumiendo la #hipoteca del #vendedor. Este tipo de operaciones son frecuentes en el #mercado español. ¿Sabes cómo funcionan? https://t.co/5TagZOdxbS</t>
  </si>
  <si>
    <t>💚Si tienen alguna pregunta
🩵 No dude en llamar o enviar un mensaje de texto
💛 (559)283-0179
#SellingCentralValley #VendiendoElValleCentral #FresnoRealtor #VendiendoFresno #CasaNueva #Comprador #Vendedor https://t.co/6y1BMp2aSj</t>
  </si>
  <si>
    <t>China despontando no varejo!
Corte do papo do NEH! Podcast.
Fernando Vítolo e @hbarbeiro
#ecommerce #vendermais #vendas #vendasdiretas #vendasonline #china https://t.co/7doEz4lbkp</t>
  </si>
  <si>
    <t>Entender o cliente te faz ter o melhor argumento na hora de vender.
Corte da entrevista com Ivan Alatxeve.
#vendas #vender #cliente #clientefeliz #vendermais https://t.co/s5KqFQgfk5</t>
  </si>
  <si>
    <t>Peguntei pro Ciro Bottini  quando que um vendedor deixa de ser vendedor e vira chato. Olha a resposta aí!
#vendas #vendedor #vendermais #vendedores #vendamais https://t.co/5bnDQVYhBn</t>
  </si>
  <si>
    <t>Uma foto profissional demonstra respeito com o seu cliente e com o seu produto.
Corte da entrevista com Eduardo Krajan.
#fotografiagastronomica #fotografiaprofissional #fotografia #cliente #produto #vendermais #fidelização https://t.co/HeKOZjSQLo</t>
  </si>
  <si>
    <t>Esse papo de "o cliente tem sempre razão" já está ultrapassado, não?
Corte da entrevista com Aline Lores.
#cliente #vendermais #doceria #receitas #dizendonão https://t.co/6m9iuvpWi1</t>
  </si>
  <si>
    <t>Objetivo de Ventas 📉🚀
¿Cómo defines tus objetivos de venta?⚡️
Plantilla de Planeación Global:
- Punto de Equilibrio
- Metas de Venta
- Evaluación de Productos
#excel #plantilla #negocios #metas #objetivos #vendedor #ventas https://t.co/PJYycU2EIs</t>
  </si>
  <si>
    <t>Análisis de Ventas 🚀📈
¿Necesitas ayuda con tus análisis?  Escríbeme ✅️
#ventas #googlesheets #analisis #vendedor #negocios #metas #dueñodenegocio https://t.co/eTLunFs1sB</t>
  </si>
  <si>
    <t>Podrá acordarse que el #vendedor retenga #laposesión.
Es habitual que la #compraventa con #pagoaplazado se formalice en #documentoprivado. Y que se otorgue #escriturapublica  de compraventa, en la #notaría y el posterior #registrodelapropoedad; cuando se liquide la totalidad. https://t.co/bwpjaqykyJ</t>
  </si>
  <si>
    <t>Desconocidos m4t4r0n en el municipio de #SamaniegoNariño ha reconocido #vendedor de morocho... Denunciaron que en menos de 8 días se registraron 5 homicidios... #VeaLosDetalles #ABRA_NOTICIAS
https://t.co/rQmm3CkGM5</t>
  </si>
  <si>
    <t>Para reclamar sobre publicidad engañosa siempre tiene que haber un #consumidor y un #vendedor que se dedique a venta y no algo "ocasional" #leydefensadelconsumidor</t>
  </si>
  <si>
    <t>No te regales #vendedor #ambulante #calles #entrevista #humor #comedia
Encontramos a un vendedor de medias que eataba de pasada y nos queria vender... pero no teniamos plata https://t.co/7oalXcFgLu</t>
  </si>
  <si>
    <t>mãos experientes 💯
🚧 siga-nos: @Grsilengenharia 
_
💓 Toque duas vezes se você gosta disso
🔔 Ative as notificações de postagem
🔖 Marque seus amigos
#ambulante #camelô #vendedor #praia #dinheiro #turismo #vendas #dica #ideia #familia #LOL
#civilengineering #civilengineer https://t.co/thSRJvjMeq</t>
  </si>
  <si>
    <t>📣 New Podcast! "Episode 106 - Como Elegir Un Proveedor De Cursos De Ventas" on @Spreaker #cursosdeventas #juliolozoya #proveedor #vendedor #ventas https://t.co/1OZgdYodIl</t>
  </si>
  <si>
    <t>Precisando de um Site Profissional para seu negócio? Entre em contato comigo e vamos tirar suas idéias do papel.
#MarketingDigital #criacaodesites #vendermais #BABYMONSTERisSEVEN #Sismo #JUNGKOOKxCALVINKLEIN https://t.co/PAEZONL8fB</t>
  </si>
  <si>
    <t>😅  A Skynet é apenas uma parte do processo, Sara. Você precisa se abrir para a I.A.!
.
.
.
.
.
.
.
.
.
.
#chatgpt #openai #chatbot #tecnologia #vendadesoftware #vendas #vendedora #vendasonline #vendedor #timedevendas https://t.co/EsDULX8sJa</t>
  </si>
  <si>
    <t>Kit grátis! É de graça, só tem que pagar a taxa de entrega! Brincadeiras a parte, nós da GriGo estamos prontos para te atender! As entregas para grande São Paulo são realizadas em até 4 horas após o processo do pedido! #meme #viral #explorar #vendas #vendedor #peca #pecagrigo https://t.co/avUprKqfXp</t>
  </si>
  <si>
    <t>Como é que por vezes um concorrente vende um produto ou um serviço pior que o teu?
A resposta está na confiança.
Como achas que podes aumentar a confiança com os teus clientes?
#confiança #vender #comercial #vendedor #produtos #serviços https://t.co/qlUhbq7nfB</t>
  </si>
  <si>
    <t>✅Juegos mediante codigo
✅Algunos sera necesario VPN
✅Tengo mas juegos en venta que no aparecen aqui, puedes preguntar por el que desees
✅Puedes canjearlos en tu perfil
Manda mensaje para mas informacion y precios: D #ventas #videojuegos #XboxOne #Vendedor #Preciosbajos https://t.co/32pMtT9oEY</t>
  </si>
  <si>
    <t>🚨🔉 #Vacantes Vendedor con excelente perfil y experiencia en tienda departamental. 
#empleo #vendedor #pachuca #equipoup #upvacantes #uppromotion https://t.co/Wz6mgKVGDu</t>
  </si>
  <si>
    <t>Pura pinta de #Vendedor de helados, menos de #Congresista ladron! como son la mayoria https://t.co/nJUzhbVTmb</t>
  </si>
  <si>
    <t>Si me hicieran una recarga por cada vendedor de pan ya tuviera datos ilimitados 
#vendedor #memesespanol 
#bolsadepanCuba</t>
  </si>
  <si>
    <t>Reconocida empresa dedicada a la importación y comercialización de neumáticos busca incorporar un Vendedor de Plaza.
Si te sentís alineado con la propuesta, envíanos tu CV o comparte con quienes pueda interesarle.
Muchas gracias!!
#vendedor https://t.co/XLw2tyuptt</t>
  </si>
  <si>
    <t>@felipe09051997 @russellbrunson Quer aumentar visibilidade e alcançar mais sucesso nas vendas. Acesse nosso link abaixo e experimente agora para ver a diferença em pouco tempo."
⬇️⬇️⬇️⬇️
https://t.co/vGEMxGetbM
#funildevendas #copy #copywriting #marketing #marketingdigital #plr #vendas #vendedor #viral #fy #fyp</t>
  </si>
  <si>
    <t>🔴Momento en que #taxi embiste a #vendedor ambulante (VIDEO)
➡ https://t.co/3E6eyAIAsX https://t.co/jHfsayDGXe</t>
  </si>
  <si>
    <t>🔴#Albañil compra el celular más caro y deja sin palabras al #vendedor (VIDEO)
➡ https://t.co/h94FePKm9U</t>
  </si>
  <si>
    <t>Você está pronto para elevar suas #habilidades de #vendas a um novo patamar? 
Neste vídeo, vamos explorar estratégias comprovadas para superar as 5 objeções clássicas que todo #vendedor enfrenta!
#pcontrol
https://t.co/yZTtqHJPX1 via @YouTube</t>
  </si>
  <si>
    <t>Listen to "7 Perguntas para fechar QUALQUER negócio com FACILIDADE - Pcontrol Podcast #310" by Pcontrol Podcast 
#tecnicasdevendas #vendas #sales #estrategiadevendas #vendedor #negociação #podcast #pcontrol
https://t.co/gIW4zK4vlG</t>
  </si>
  <si>
    <t>Ouça "Vendedor BONZINHO ou AGRESSIVO, qual VENDE MAIS? 
Pcontrol Podcast #311" by #Pcontrol #Podcast 
#sales #vendas #salesman #vendedor #negocios #business 
https://t.co/3sq9FDcplk</t>
  </si>
  <si>
    <t>https://t.co/WLuEPr0YgB
#vendas #vendedor #coldcall #pcontrol</t>
  </si>
  <si>
    <t>Vender é um ato de servir. #venda #vendas #vender #vendedor #carlossantovencedor https://t.co/9k537A98YJ</t>
  </si>
  <si>
    <t>Está no AR Podcast Carlos Santos #podcast #podcastcarlossantos #carlossantosvencedor #vendedor #vencedor
https://t.co/jkM0ZHMZ11</t>
  </si>
  <si>
    <t>Vendedor de limão na mão no Ver-o-peso. Saiba mais https://t.co/Pdvf1nckhb #limão #vendas #vendedor #veropeso #carlossantosvencedor  https://t.co/KsELtQi41q</t>
  </si>
  <si>
    <t>Você é quém sabe até onde você quer ir! Saiba mais https://t.co/8pZDXO62GI #carlossantos #carlossantosvencedor #vendedor #vencedor #vendas 
https://t.co/OkAzken6Ll</t>
  </si>
  <si>
    <t>Vender é um ato de servir!
Quer ter sucesso em vendas?
Eu vou te explicar como eu faço pra vender mais e melhor há mais de 50 anos. Logo mais às 20H AO VIVO #venda #vendas #vender #vendedor #carlossantosvencedor 
 https://t.co/z3uK8J4tGJ</t>
  </si>
  <si>
    <t>Maratona de Vendas hoje AO VIVO às 20H no Facebook, YouTube, Instagram e TikTok vêm comigo vou falar como vender mais e melhor, técnicas, estratégias e gatinhos mentais. @carlossantosvencedor #carlossantosvencedor #vencedor #vendas #vendedor 
https://t.co/OjPNanrJZN</t>
  </si>
  <si>
    <t>Olha o limão doce!
#limão #vendedor #carlossantosvencedor https://t.co/8pZDXO62GI
https://t.co/4l9Mh2psaP</t>
  </si>
  <si>
    <t>Como fazer uma negociação de sucesso?
Nesta Segunda AO VIVO às 20H aqui 🤝
#negocios #negocio #vendas #vendedor #carlossantosvencedor https://t.co/8pZDXO62GI https://t.co/k1Zhj4LkMc</t>
  </si>
  <si>
    <t>Vender é um ato de servir! #vender #venda #vendas #vendedor #carlossantosvencedor 
https://t.co/8pZDXO62GI https://t.co/cCtPZeBHHc</t>
  </si>
  <si>
    <t>Saiba mais https://t.co/8pZDXO62GI #vencedor #vendedor #empreendedor #vendas #carlossantosvencedor https://t.co/dax6C31SUx</t>
  </si>
  <si>
    <t>Tip para iniciar la semana sólo aqui, en Business Interchallenge 😉🤓
Estamos a sus órdenes 🫡
#tips, #lunes, #cierredeventas, #vendedor, #comprador, #businessinterchallege https://t.co/YQOQsx1kGC</t>
  </si>
  <si>
    <t>Dentro del #Narcotráfico los dos lados están íntimamente ligados (el #Consumidor y el #Vendedor)
Si bien el #Consumidor no es el "culpable", si es una parte activa para que esa actividad se siga desarrollando
Y peor aún, de manera #Descarada con una #Ley #Permisiva!
3/4</t>
  </si>
  <si>
    <t>Se você não está buscando a solução então você é parte do problema!!
@professorjuniorgroth
#empreender #empreendedor #empresário #vendedor #motivacao</t>
  </si>
  <si>
    <t>Empresa con filial en Tunuyán busca vendedor de maquinaria agrícola 
#Busqueda #vendedor #maquinaria #agrícola #ValleDeUco #ElCucoDigital #empresa
https://t.co/9xEgPHPlKH https://t.co/2SMCrbyYAQ</t>
  </si>
  <si>
    <t>Pagamento de horas extras do vendedor que realiza atividades antes do horário.
#direitodotrabalho
#advogadotrabalhista 
#vendedor
#desviodefuncao
#acumulodefuncao
#comissoes
 #horasextras https://t.co/IaQqq1C3hy</t>
  </si>
  <si>
    <t>A comissão do vendedor deve ser calculada sobre o preço final do produto, inclusive, sobre os encargos do financiamento.
#trabalho 
#trabalhador 
#direitodotrabalhador
#salarios
#salariomisto 
#salario 
#remuneracao
#comissoes
#calculodecomissao
#vendedor 
#justicatrabalhista https://t.co/ejqWPvDf5n</t>
  </si>
  <si>
    <t>Un #vendedor 5 estrellas es: vendedor/https://t.co/ohHklZQPpo</t>
  </si>
  <si>
    <t>¡Eres un #vendedor nato y la pasión por cerrar tratos corre por tus venas! 😎
Únete a nuestro equipo como Ejecutivo de #Ventas y desata tu potencial. 💪
No dudes en enviar tu CV a:
📧 pablo.soto@recluit.com
📲 https://t.co/h5Op4Wd8rm https://t.co/4AsYU4N68Q</t>
  </si>
  <si>
    <t>Aprende a hacer más ventas con Neuroventas: https://t.co/JWvcptLm4r #ventas #vender #neuro #marketing #publicidad #vendedor https://t.co/sBp6LJwu57</t>
  </si>
  <si>
    <t>Aprende a hacer más ventas con Neuroventas: https://t.co/QXE56wToIw #ventas #vender #neuro #marketing #publicidad #vendedor https://t.co/nZjo9QZsDv</t>
  </si>
  <si>
    <t>Aprende a hacer más ventas con Neuroventas: https://t.co/oUIfDFLAQV #ventas #vender #neuro #marketing #publicidad #vendedor https://t.co/95RXEp1JPM</t>
  </si>
  <si>
    <t>#Flexibleos #Profesionales #Trabajo #Equipo #Comercial #EquipoProfesional #TrabajoEnEquipo #Ventas #TalentoHumano #NuevasMetas #emprendimiento #ventas #nuevosretos #vendedor</t>
  </si>
  <si>
    <t>Uma líder de sucesso e mentora de mais de 1.500 empreendimentos, a portuguesa Ana Cristina Rosa teve as asas podadas muitas vezes. 
"DESROMANTIZE" o Empreendedorismo e tenha sucesso!
#prospecção #vendas #vendedor #metas 
#negócios #planejamento #dvseditora #livros #estratégia https://t.co/fBv7uVENjo</t>
  </si>
  <si>
    <t>🚀🚀🚀Este é um livro sobre emoções humanas
🚀🚀🚀Este é um livro sobre conexão
🚀🚀🚀Este é um livro sobre vendas
#prospecção #vendas #vendedor #metas #alvo #planejamento #sucessoemvendas
#persuasão #influência #copywriting #dvs #livros #sucesso https://t.co/DCyvhUxuZN</t>
  </si>
  <si>
    <t>"DESROMANTIZAR" o processo de construir o próprio negócio é fundamental 
Empreender Sem Desculpas, título lançado pela DVS Editora em Portugal e no Brasil.
#prospecção #vendas #vendedor #metas #alvo #plaejamento #sucessoemvendas
#negócios #planejamento #dvseditora #livros https://t.co/jQeb5rRm5I</t>
  </si>
  <si>
    <t>Que tal aprender com os feras em VENDAS!
A arte da prospecção é daquele tipo de livro que vai DIRETO AO PONTO!
CADA PÁGINA é um "flash"📸📸🤣 de como prsopectar de forma eficiente NOVOS CLIENTES!
#prospecção #vendas #vendedor #metas #alvo #plaejamento #sucessoemvendas https://t.co/ew3GUTrFyG</t>
  </si>
  <si>
    <t>El #SNE #Matamoros realizó un #reclutamiento de forma presencial, ofreciendo la vacante de #chofer y #vendedor de la empresa #Bokados.
#Tamaulipas #IniciaLaTransformacion #TransformandoVidasTamaulipas #Trabajo #CV #PortalDelEmpleo #EntrevistaLaboral #SNEparaTodos https://t.co/DWGLAY1z9M</t>
  </si>
  <si>
    <t>Isso VENDE mais que o próprio PRODUTO.
Dê 2 cliques, e compartilhe com 2 amigos!
#performandovidas #vendas #produto #embalagem #copywriter #marketing #vendedor #stevejobs #storytelling https://t.co/xNhYg1N7tV</t>
  </si>
  <si>
    <t>Desistir? Só se for nunca!
Qual chave você pegou desse vídeo? Escreve aí 👇🏻 
Segue e compartilhe!!!
#performandovidas #vendas #vendasonline #vender #vendedor #vendedoraguia #vendasinstagram #viverdevendas #vendedores #vendedordesucesso #vendedora #motivacao #motivação https://t.co/eRe2FWsj2J</t>
  </si>
  <si>
    <t>🔴 Desvendando o sucesso: Será que as vendas são para você?
Quer saber mais sobre este vídeo
► Assista ao vídeo completo no link da Bio 😉
.
.
.
#vendas #habilidade #carreira #competitividade #sucesso #vendedor #planetavendas #rogeriomoura https://t.co/qpWP04doMU</t>
  </si>
  <si>
    <t>RT @rogmoura: 🔴 Desvendando o sucesso: Será que as vendas são para você?
Quer saber mais sobre este vídeo
► Assista ao vídeo completo no l…</t>
  </si>
  <si>
    <t>Un hombre en Florida tras ser tiroteado en dentro de su camión de helados quiso buscar la justicia y acabó acusado de asesinar a dos hermanos latinos, fue condenado  a cadena perpetua
#elCaribe #elCariberd #Sentencian #cadena #vendedor #helados #latinos
https://t.co/0iBKrvjizF</t>
  </si>
  <si>
    <t>Empresario que madruga... [completa la frase]
Dale RT #Comparte 👍
Empiezo yo...
Empresario que madruga...
👉 Es porque vende pan 😆
#Emprendedor
#Madrugador
#Vendedor
#Ganador https://t.co/c14OQNnFu7</t>
  </si>
  <si>
    <t>Empresario que madruga... [completa la frase]
Dale RT #Comparte 👍
Empiezo yo...
Empresario que madruga...
👉 Es porque está endeudado 😢
#Emprendedor
#Madrugador
#Vendedor
#Ganador https://t.co/0FG3dsrZu8</t>
  </si>
  <si>
    <t>Empresario que madruga... [completa la frase]
Dale RT #Comparte 👍
Empiezo yo...
Empresario que madruga...
👉 Es porque se acostó temprano 🤪
#Emprendedor
#Madrugador
#Vendedor
#Ganador https://t.co/AVcuP71DXa</t>
  </si>
  <si>
    <t>Empresario que madruga... [completa la frase]
Dale RT #Comparte 👍
Empiezo yo...
Empresario que madruga...
👉 No lo quieren en la cama 😴
#Emprendedor
#Madrugador
#Vendedor
#Ganador https://t.co/M3pXIeOeKi</t>
  </si>
  <si>
    <t>Empresario que madruga... [completa la frase]
Dale RT #Comparte 👍
Empiezo yo...
Empresario que madruga...
👉 Necesita vacaciones 😫
#Emprendedor
#Madrugador
#Vendedor
#Ganador https://t.co/9T2RFB2pRE</t>
  </si>
  <si>
    <t>Empresario que madruga... [completa la frase]
Dale RT #Comparte 👍
Empiezo yo...
Empresario que madruga...
👉 Vive para trabajar 🤪
#Emprendedor
#Madrugador
#Vendedor
#Ganador https://t.co/vgQyA6he09</t>
  </si>
  <si>
    <t>TE GUSTA LA MODA?
SOLICITAMOS VENDEDOR/A DE PISO, DEPTO MODAS, CANCUN, QROO.
emma@regocorporativo.com
477 891 37 85
#ReclutamientoYSelecciondePersonal #RecursosHumanos #RegoCorporativo
#Reclutador #ReclutamientoySelección #vendedor #ventas #trabajo #VacantesCancun #cancun #MoDa https://t.co/yom1IvxI0j</t>
  </si>
  <si>
    <t>PROJETO DE LEI! TENTA OBRIGAR PESSOAS DEFICIENTES A NÃO TRABALHAR!
#deficiente #cadeirante #trabalho #salario #vendedor https://t.co/Wxh64cCb2y</t>
  </si>
  <si>
    <t>📣 Nuevo Podcast! "Episodio 123 - Sergi San José te explica cómo vender más." en @Spreaker #comunicacion #habilidades #impactar #ingresos #liderazgo #marcapersonal #persuasion #vendedor #vender #ventas https://t.co/bxrWi1bUb4</t>
  </si>
  <si>
    <t>PechinShopee trazendo garnier 
O Seu Divulgador Digital #divulgacao #divulga #divulgações #divulgaçoes #divulgacão #publi #publicidade #publichistory #vendasonline #vendas #venda #vender #vendermais https://t.co/UILivF19jV</t>
  </si>
  <si>
    <t>FG O Seu Divulgador Digital #divulgacao #divulga #divulgações #divulgaçoes #divulgacão #publi #publicidade #publichistory #vendasonline #vendas #venda #vender #vendermais https://t.co/sCd1ZuB6k0</t>
  </si>
  <si>
    <t>Maravilloso video de @DiegoIturralde_
#Enfoque es la palabra, si tienes tus objetivos claros tendrás tu meta clara. Realmente directo el video.
El #vendedor que se enfoca es el que triunfa, el que quiere mucho poco abarca.
Mil gracias por compartirlo.…https://t.co/OkeI7iwHJa</t>
  </si>
  <si>
    <t>Wow @ConstanzaIbiet2! espectacular el video y más espectacular todavía tu contribución, felicidades. 
Si no te importa, lo comparto con mi #red
#Vender es la profesión más bonita del mundo, a veces un poco ingrata pero la más bonita!
Un #vendedor es un…https://t.co/uinQ5ecfWH</t>
  </si>
  <si>
    <t>Entendemos la #venta como un proceso circular, donde el #CLIENTE siempre está en el centro.
Si no es hoy, lo intentaré mañana o pasado pero lo seguiré intentando hasta que lo consiga, ese es el modo de vida de un #vendedor
#Ventas #SocialSelling #Circul…https://t.co/Lp3A39l6kF</t>
  </si>
  <si>
    <t>Uno de los mayores errores de las empresas hoy es no enfocar el trabajo de los #vendedores , añadirles tareas administrativas y otras más solo les quita "tiempo-cliente"
El #vendedor tiene que pasar el mayor tiempo posible con sus #CLIENTES o preparándos…https://t.co/sMBObZtqHQ</t>
  </si>
  <si>
    <t>Las viejas prácticas de #ventas , el #vendedor agresivo, el que te llama a toda hora sin un plan específico salvo ¿cuando me vas a comprar?
Eso, se ha muerto.
Toca ser diferente, acercarse al #CLIENTE para servirle no para venderle, aportándole valor en…https://t.co/9cqTh6pzCy</t>
  </si>
  <si>
    <t>Muy bien Sandra! #vender no es fácil pero es fascinante!
La gasolina del #vendedor es su listado de prospectos! El famoso embudo y ese tiene que estar lleno siempre si queremos ver que el carro ande!!
#ventas #socialselling https://t.co/S9J3n8tChC</t>
  </si>
  <si>
    <t>#Segmentacion es la palabra clave en la prospección en #ventas
Un buen #vendedor sabe cuando, donde y a por quien tiene que ir! Y para muestra un botón en este video.
Busca el perfil de tu #CLIENTE ideal y conecta! no es tan difí…https://t.co/I6CCtT2OB9 https://t.co/M6eaihDCUf</t>
  </si>
  <si>
    <t>Muy bien Sandra! El #vendedor no tiene que esperar que #marketing le mande los Leads! 
Se los tiene que buscar solo! Es su responsabilidad
#leads #marketing #socialselling #ventas https://t.co/rNRsyvyNRN</t>
  </si>
  <si>
    <t>Hoy, reunido con uno de nuestros #CLIENTES me dijo: " me costó pero ya lo entendí, el #vendedor del presente y del futuro tiene que cambiar, adaptarse a una nueva forma de hacer las cosas donde el #SocialSelling juega un papel fundamental para el éxito de…https://t.co/oxJb7AnnMB</t>
  </si>
  <si>
    <t>Cuantas veces hemos oido en una sesión de feed back: "No te lo tomes personal", pues claro que me lo tomo personal, ¡soy una persona!
Tendemos a enfocarnos en las debilidades y nunca en las fortalezas de nuestros colaboradores, esto; para un #vendedor es…https://t.co/IdfuGUlvPB</t>
  </si>
  <si>
    <t>El #vendedor profesional, así de sencillo
#ventas #socialselling https://t.co/E9OI6hCckc</t>
  </si>
  <si>
    <t>Hace años, el mayor activo de un #vendedor era su tarjetero, los contactos que había trabajado a lo largo de su vida profesional.
Hoy es tu #red, construir una #red con inteligencia en LinkedIn con las personas que conoces, y las que no conoces; es vital…https://t.co/chDCGbf8UD</t>
  </si>
  <si>
    <t>Como vender mais no  dia das mães?
#thread #vendermais #diadasmães #ecommecer #estrategia https://t.co/vZFJxiu6g9</t>
  </si>
  <si>
    <t>Estava refletindo hoje como é grande o número de cargos de #vendedor ocupados por pessoas que não são vendedoras. Não faltam vendedores, conheço muitos por aí, bons profissionais inclusive. Faltam verdadeiros incentivos para contratar esses bons vendedores para a área de vendas!</t>
  </si>
  <si>
    <t>¿ #Brochetas de mugre? Captan a #vendedor recuperando palos de #madera de la basura 😮😠😢 https://t.co/CzMBdmoVt2</t>
  </si>
  <si>
    <t>- O #vendedor pode usar #impressora #bluetooth (80 mm) para facilitar suas #vendas pelo #celular.
- #sistema #compatível com todos os tipos de #impressoras sem #necessidade de #módulo de #impressão.</t>
  </si>
  <si>
    <t>Por ser um #sistema 100% WEB e #responsivo, o #vexado proporciona ao #vendedor que a #venda seja efetuada tanto pelo #computador (notebook ou computador de mesa) como por #dispositivos #móveis (celular e tablet). https://t.co/hDm17jQAwm</t>
  </si>
  <si>
    <t>3 Tipos sem Clientes
https://t.co/CqYG64PNfO
#dicasdevendas #cursodevendas #vendedor #lorenzobusato</t>
  </si>
  <si>
    <t>Marque uma avaliação.
Meu Escritório Revelado! #dicasdevendas #vendermais #lorenzobusato
https://t.co/mhpXEcgxbm
#dicasdevendas #lorenzobusato #consultoriadevendas</t>
  </si>
  <si>
    <t>😱 O Vendedor “ostra” #vendedor #dicasdevendas #shorts
https://t.co/r7QEHLhChX</t>
  </si>
  <si>
    <t>✅❗️ Fato ou Fake? Vender é talento? #dicasdevendas #vendedor #shorts
https://t.co/k9xyGSrvTQ</t>
  </si>
  <si>
    <t>Não ligue assim!
https://t.co/L5oMV5QG9V
#dicasdevendas #cursodevendas #lorenzobusato #vendedor #telemarketing</t>
  </si>
  <si>
    <t>Vendedor, você treina? #dicasdevendas #vendedor #shorts
https://t.co/K89JhXkaO3</t>
  </si>
  <si>
    <t>🆗 Como achar vendedores? #dicasdevendas #vendedor #lorenzobusato
https://t.co/RFug70TGcy</t>
  </si>
  <si>
    <t>Firme e forte! Faça a sua parte, para divulgar sua empresa baixe o e-book no link: https://t.co/dDgeYo3bSv. #dicasdevendas #comovender #vendermais #lorenzobusato #marketing #brasil https://t.co/FgPfnzbYKa</t>
  </si>
  <si>
    <t>Nueva revista digital requiere vendedor/a de publicidad en medios escritos, con experiencia demostrable y que viva en Medellín. Ideal que tenga mercado en Medellín.
Una copla por cada RT. 😂
#Empleo #Trabajo #Vendedor #Publicidad #MediosEscritos #Prensa</t>
  </si>
  <si>
    <t>⚠ ¡OFERTA DE TRABAJO!
✅ Experiencia en el sector de dulces
✅ Disponibilidad de lunes a domingo
✅ Campaña navideña
Envía tu CV a rrhh@torcadul.com 
#TrabajoDulce #NavidadEnFábrica #Empleo #DulcesYEmpleo #Ofertadetrabajo #Antequera #Vendedor #Navidad https://t.co/ppcmRunOVv</t>
  </si>
  <si>
    <t>Vendedor ou facilitador?
Há vinte anos a internet era escassa, não estava acessível a toda a população e as informações não eram tão precisas. 
https://t.co/xJhTmViHyw
#vendedor #facilitador #clientes #produtos #serviços #INTERNET #necessidades #dor  #solução #evovend #guarapari https://t.co/3f3hLDTTWF</t>
  </si>
  <si>
    <t>Invitó a su casa a #vendedor ambulante que estaba bajo la lluvia y le dio una sorpresa
➡ https://t.co/Vek1Ni7Mk4</t>
  </si>
  <si>
    <t>🔴Momento en que #taxi embiste a #vendedor ambulante (VIDEO)
➡ https://t.co/5WNofiEuoa</t>
  </si>
  <si>
    <t>Estamos #contratando. Você conhece alguém que possa se interessar?
#vagasabertas #empregos #emprendedorismo #savecash #consultor #vendedor #vendasconsultivas https://t.co/YRQgomKoYo</t>
  </si>
  <si>
    <t>Un hombre que se ganaba la vida en la venta de conos de nieve, murió luego de ser embestido por el tren al momento que intentó cruzar las vías con su carreta.
#nacional #tveo #Saltillo #tren #muerte #vendedor #nieves https://t.co/TeyfnkAe5H</t>
  </si>
  <si>
    <t>Un gran #vendedor : https://t.co/RMa97xFgMs</t>
  </si>
  <si>
    <t>La mejor forma de dominar cualquier tema es prepararse a fondo para enseñar otros a hacerlo bien. #Saber #Enseñar Este fue el caso de este #Vendedor que, enseñando a sus compañeros, se convirtió él mismo en Vendedor Estrella. https://t.co/IEuy6hJxAY</t>
  </si>
  <si>
    <t>Oportunidad Laboral: VENDEDOR INDUSTRIAL INTERNO
Ciudad de Córdoba
https://t.co/Q6IGf3Rhnq
#industria #ventas #comercial #cliente #vendedor #comercializacion
#Cordoba
#Trabajo #empleo #TrabajoAr #OportunidadLaboral https://t.co/cYV4UPV8qh</t>
  </si>
  <si>
    <t>Oportunidad Laboral: EJECUTIVO DE VENTA INDUSTRIALES
Ciudad de Córdoba
https://t.co/oZ8LYsP7Ta
#ventas #vendedor #comercializacion #industria #industrial
#producto #cotizacion #cliente
#Cordoba
#trabajo #trabajoAr #empleo #oportunidadlaboral https://t.co/Vi6Wl0sFSl</t>
  </si>
  <si>
    <t>Oportunidad Laboral: VENDEDOR INDUSTRIAL INTERNO
Ciudad de Córdoba
https://t.co/Q6IGf3Rhnq
#industria #ventas #comercial #cliente #vendedor #comercializacion
#Cordoba
#Trabajo #empleo #TrabajoAr #OportunidadLaboral https://t.co/Dyh4lsvYMc</t>
  </si>
  <si>
    <t>Oportunidad Laboral: EJECUTIVO DE VENTA INDUSTRIALES
Ciudad de Córdoba
https://t.co/oZ8LYsP7Ta
#ventas #vendedor #comercializacion #industria #industrial
#producto #cotizacion #cliente
#Cordoba
#trabajo #trabajoAr #empleo #oportunidadlaboral https://t.co/p3hCODYySV</t>
  </si>
  <si>
    <t>Oportunidad Laboral: VENDEDOR INDUSTRIAL INTERNO
Ciudad de Córdoba
https://t.co/Q6IGf3Rhnq
#industria #ventas #comercial #cliente #vendedor #comercializacion
#Cordoba
#Trabajo #empleo #TrabajoAr #OportunidadLaboral https://t.co/ylKy82qZJB</t>
  </si>
  <si>
    <t>Oportunidad Laboral: EJECUTIVO DE VENTA INDUSTRIALES
Ciudad de Córdoba
https://t.co/sNx6fRRMcE
#ventas #vendedor #comercializacion #industria #industrial
#producto #cotizacion #cliente
#Cordoba
#trabajo #trabajoAr #empleo #oportunidadlaboral https://t.co/Hvg6hdzIrY</t>
  </si>
  <si>
    <t>Oportunidad Laboral: VENDEDOR INDUSTRIAL INTERNO
Ciudad de Córdoba
https://t.co/QEy5F3OMDr
#industria #ventas #comercial #cliente #vendedor #comercializacion
#Cordoba
#Trabajo #empleo #TrabajoAr #OportunidadLaboral https://t.co/hb6NLJD0n8</t>
  </si>
  <si>
    <t>Oportunidad Laboral: VENDEDOR INDUSTRIAL INTERNO
Ciudad de Córdoba
https://t.co/Q6IGf3Rhnq
#industria #ventas #comercial #cliente #vendedor #comercializacion
#Cordoba
#Trabajo #empleo #TrabajoAr #OportunidadLaboral https://t.co/P7URzeaJyr</t>
  </si>
  <si>
    <t>Oportunidad Laboral: EJECUTIVO DE VENTA INDUSTRIALES
Ciudad de Córdoba
https://t.co/oZ8LYsP7Ta
#ventas #vendedor #comercializacion #industria #industrial
#producto #cotizacion #cliente
#Cordoba
#trabajo #trabajoAr #empleo #oportunidadlaboral https://t.co/TKsvwkT0cZ</t>
  </si>
  <si>
    <t>Oportunidad Laboral: VENDEDOR INDUSTRIAL INTERNO
Ciudad de Córdoba
https://t.co/Q6IGf3Rhnq
#industria #ventas #comercial #cliente #vendedor #comercializacion
#Cordoba
#Trabajo #empleo #TrabajoAr #OportunidadLaboral https://t.co/a0a23EnbSF</t>
  </si>
  <si>
    <t>Oportunidad Laboral: REPARTIDOR
Venado Tuerto - Santa Fe
Importante Empresa de Nutrición Animal
https://t.co/80GgI7JztU
#Vendedor #Ventas #Comercial #NutricionAnimal #Reparto #Repartidor
#VenadoTuerto #SantaFe
#Trabajo #Empleo #TrabajoAr #TrabajoAgro #OportunidadLaboral https://t.co/ddqeFZBV94</t>
  </si>
  <si>
    <t>Oportunidad Laboral: EJECUTIVO DE VENTA INDUSTRIALES
Ciudad de Córdoba
https://t.co/sNx6fRRen6
#ventas #vendedor #comercializacion #industria #industrial
#producto #cotizacion #cliente
#Cordoba
#trabajo #trabajoAr #empleo #oportunidadlaboral https://t.co/diFh7rdcnO</t>
  </si>
  <si>
    <t>Oportunidad Laboral: VENDEDOR INDUSTRIAL INTERNO
Ciudad de Córdoba
https://t.co/QEy5F3OMDr
#industria #ventas #comercial #cliente #vendedor #comercializacion
#Cordoba
#Trabajo #empleo #TrabajoAr #OportunidadLaboral https://t.co/72HZpNOYPJ</t>
  </si>
  <si>
    <t>Oportunidad Laboral: VENDEDOR / REPARTIDOR
San Francisco - Córdoba
Importante Empresa de Nutrición Animal
https://t.co/mnDmTBZ2Qg
#Vendedor #Ventas #Comercial #NutricionAnimal #Reparto #Repartidor
#SanFrancisco #Cordoba
#Trabajo #Empleo #TrabajoAr #TrabajoAgro #OportunidadLaboral https://t.co/1MSXC7HnCK</t>
  </si>
  <si>
    <t>Oportunidad Laboral: VENDEDOR INDUSTRIAL INTERNO
Ciudad de Córdoba
https://t.co/QEy5F3OMDr
#industria #ventas #comercial #cliente #vendedor #comercializacion
#Cordoba
#Trabajo #empleo #TrabajoAr #OportunidadLaboral https://t.co/rnRRXY9Ibi</t>
  </si>
  <si>
    <t>Oportunidad Laboral: VENDEDOR / REPARTIDOR
San Francisco - Córdoba
Importante Empresa de Nutrición Animal
https://t.co/0RpsFRvf1A
#Vendedor #Ventas #Comercial #NutricionAnimal #Reparto #Repartidor
#SanFrancisco #Cordoba
#Trabajo #Empleo #TrabajoAr #TrabajoAgro #OportunidadLaboral https://t.co/dKe8WqfuXh</t>
  </si>
  <si>
    <t>Oportunidad Laboral: EJECUTIVO DE VENTA INDUSTRIALES
Ciudad de Córdoba
https://t.co/oZ8LYsP7Ta
#ventas #vendedor #comercializacion #industria #industrial
#producto #cotizacion #cliente
#Cordoba
#trabajo #trabajoAr #empleo #oportunidadlaboral https://t.co/ccz60ChA8I</t>
  </si>
  <si>
    <t>Oportunidad Laboral: VENDEDOR INDUSTRIAL INTERNO
Ciudad de Córdoba
https://t.co/Q6IGf3Rhnq
#industria #ventas #comercial #cliente #vendedor #comercializacion
#Cordoba
#Trabajo #empleo #TrabajoAr #OportunidadLaboral https://t.co/YPY4swC0sh</t>
  </si>
  <si>
    <t>Oportunidad Laboral: EJECUTIVO DE VENTA INDUSTRIALES
Ciudad de Córdoba
https://t.co/sNx6fRRen6
#ventas #vendedor #comercializacion #industria #industrial
#producto #cotizacion #cliente
#Cordoba
#trabajo #trabajoAr #empleo #oportunidadlaboral https://t.co/Ue9abO8L7J</t>
  </si>
  <si>
    <t>Oportunidad Laboral: VENDEDOR INDUSTRIAL INTERNO
Ciudad de Córdoba
https://t.co/QEy5F3OMDr
#industria #ventas #comercial #cliente #vendedor #comercializacion
#Cordoba
#Trabajo #empleo #TrabajoAr #OportunidadLaboral https://t.co/xFkHVIbrC8</t>
  </si>
  <si>
    <t>Oportunidad Laboral: VENDEDOR / REPARTIDOR
San Francisco - Córdoba
Importante Empresa de Nutrición Animal
https://t.co/0RpsFRvf1A
#Vendedor #Ventas #Comercial #NutricionAnimal #Reparto #Repartidor
#SanFrancisco #Cordoba
#Trabajo #Empleo #TrabajoAr #TrabajoAgro #OportunidadLaboral https://t.co/psWhUizdrI</t>
  </si>
  <si>
    <t>Oportunidad Laboral: VENDEDOR INDUSTRIAL INTERNO
Ciudad de Córdoba
https://t.co/QEy5F3OMDr
#industria #ventas #comercial #cliente #vendedor #comercializacion
#Cordoba
#Trabajo #empleo #TrabajoAr #OportunidadLaboral https://t.co/yUb3v14qIU</t>
  </si>
  <si>
    <t>Oportunidad Laboral: VENDEDOR INDUSTRIAL INTERNO
Ciudad de Córdoba
https://t.co/QEy5F3OMDr
#industria #ventas #comercial #cliente #vendedor #comercializacion
#Cordoba
#Trabajo #empleo #TrabajoAr #OportunidadLaboral https://t.co/9vdePPLsMn</t>
  </si>
  <si>
    <t>Oportunidad Laboral: REPARTIDOR
Venado Tuerto - Santa Fe
Importante Empresa de Nutrición Animal
https://t.co/80GgI7JztU
#Vendedor #Ventas #Comercial #NutricionAnimal #Reparto #Repartidor
#VenadoTuerto #SantaFe
#Trabajo #Empleo #TrabajoAr #TrabajoAgro #OportunidadLaboral https://t.co/qlZBEjxS5Q</t>
  </si>
  <si>
    <t>Oportunidad Laboral: VENDEDOR / REPARTIDOR
San Francisco - Córdoba
Importante Empresa de Nutrición Animal
https://t.co/0RpsFRvf1A
#Vendedor #Ventas #Comercial #NutricionAnimal #Reparto #Repartidor
#SanFrancisco #Cordoba
#Trabajo #Empleo #TrabajoAr #TrabajoAgro #OportunidadLaboral https://t.co/04YZSFFMJ5</t>
  </si>
  <si>
    <t>Oportunidad Laboral: EJECUTIVO DE VENTA INDUSTRIALES
Ciudad de Córdoba
https://t.co/oZ8LYsP7Ta
#ventas #vendedor #comercializacion #industria #industrial
#producto #cotizacion #cliente
#Cordoba
#trabajo #trabajoAr #empleo #oportunidadlaboral https://t.co/DLkv9ktkZZ</t>
  </si>
  <si>
    <t>Oportunidad Laboral: VENDEDOR INDUSTRIAL INTERNO
Ciudad de Córdoba
https://t.co/Q6IGf3Rhnq
#industria #ventas #comercial #cliente #vendedor #comercializacion
#Cordoba
#Trabajo #empleo #TrabajoAr #OportunidadLaboral https://t.co/sew9pcNTCS</t>
  </si>
  <si>
    <t>Oportunidad Laboral: EJECUTIVO DE VENTA INDUSTRIALES
Ciudad de Córdoba
https://t.co/oZ8LYsP7Ta
#ventas #vendedor #comercializacion #industria #industrial
#producto #cotizacion #cliente
#Cordoba
#trabajo #trabajoAr #empleo #oportunidadlaboral https://t.co/VMRKTBkqZL</t>
  </si>
  <si>
    <t>Oportunidad Laboral: VENDEDOR INDUSTRIAL INTERNO
Ciudad de Córdoba
https://t.co/Q6IGf3Rhnq
#industria #ventas #comercial #cliente #vendedor #comercializacion
#Cordoba
#Trabajo #empleo #TrabajoAr #OportunidadLaboral https://t.co/G8xel57fwI</t>
  </si>
  <si>
    <t>Oportunidad Laboral: VENDEDOR / REPARTIDOR
San Francisco - Córdoba
Importante Empresa de Nutrición Animal
https://t.co/0RpsFRvf1A
#Vendedor #Ventas #Comercial #NutricionAnimal #Reparto #Repartidor
#SanFrancisco #Cordoba
#Trabajo #Empleo #TrabajoAr #TrabajoAgro #OportunidadLaboral https://t.co/78QkbuHWpL</t>
  </si>
  <si>
    <t>Oportunidad Laboral: VENDEDOR / REPARTIDOR
San Francisco - Córdoba
Importante Empresa de Nutrición Animal
https://t.co/0RpsFRvMR8
#Vendedor #Ventas #Comercial #NutricionAnimal #Reparto #Repartidor
#SanFrancisco #Cordoba
#Trabajo #Empleo #TrabajoAr #TrabajoAgro #OportunidadLaboral https://t.co/tLRYZILX64</t>
  </si>
  <si>
    <t>Oportunidad Laboral: VENDEDOR / REPARTIDOR
San Francisco - Córdoba
Importante Empresa de Nutrición Animal
https://t.co/0RpsFRvf1A
#Vendedor #Ventas #Comercial #NutricionAnimal #Reparto #Repartidor
#SanFrancisco #Cordoba
#Trabajo #Empleo #TrabajoAr #TrabajoAgro #OportunidadLaboral https://t.co/XqIHv2wMUC</t>
  </si>
  <si>
    <t>Oportunidad Laboral: EJECUTIVO DE VENTA INDUSTRIALES
Ciudad de Córdoba
https://t.co/sNx6fRRMcE
#ventas #vendedor #comercializacion #industria #industrial
#producto #cotizacion #cliente
#Cordoba
#trabajo #trabajoAr #empleo #oportunidadlaboral https://t.co/8CcCj6UX5P</t>
  </si>
  <si>
    <t>Oportunidad Laboral: VENDEDOR INDUSTRIAL INTERNO
Ciudad de Córdoba
https://t.co/QEy5F3OMDr
#industria #ventas #comercial #cliente #vendedor #comercializacion
#Cordoba
#Trabajo #empleo #TrabajoAr #OportunidadLaboral https://t.co/HOhRKabJOn</t>
  </si>
  <si>
    <t>EL #VENDEDOR Y EL RECHAZO (EL PEQUEÑO LIBRO ROJO DE LAS #VENTAS).   
Vendedor, estas constantemente expuesto al #RECHAZO. Muy frecuentemente eres considerado un obstáculo entre los deberes del día a día de tus prospectos. https://t.co/8SMGnMTYGC</t>
  </si>
  <si>
    <t>https://t.co/09Ra86N6F7
SE DUEÑO DE TUS EMOCIONES. (EL #VENDEDOR MÁS GRANDE DEL MUNDO).
El sol sale, el sol se pone. Florecen las flores y después se marchitan. Eres parte de la naturaleza por lo tanto parte de este ciclo. Cada #EXPERIENCIA negativa cambiará por una POSITIVA.</t>
  </si>
  <si>
    <t>CONVIÉRTETE EL #VENDEDOR MÁS GRANDE DEL MUNDO.
Lo que te va a convertir en el VENDEDOR más grande del mundo no es ningún SECRETO, son solo principios e ideas básicas y elementales que por ERROR solemos relegar. https://t.co/sAlgZSigCo</t>
  </si>
  <si>
    <t>FORMA BUENOS #HABITOS Y SE ESCLAVO DE ELLLOS. (EL #VENDEDOR MÁS GRANDE DEL MUNDO).
#Desaprende y #aprende. Deja atrás lo que te paraliza y desarrolla acciones repetitivas #HÁBITOS asociados a conseguir tus objetivos. https://t.co/mALVcKVavS</t>
  </si>
  <si>
    <t>EL #VENDEDOR MÁS GRANDE DEL MUNDO. (1968)
Para alcanzar el éxito como #VENDEDOR es común que creas que existe una serie de reglas que se deben seguir ante los clientes. Lo cierto es que son  ACCIONES las que influyen en tus logros.
Eso es lo que enseña Og Mandino en su libro. https://t.co/lM1746LHZP</t>
  </si>
  <si>
    <t>#VENDEDOR AMATEUR O PROFESIONAL.  (#VENDES O VENDES) 
⚠Un vendedor AMATEUR, trabaja en #ventas mientras encuentra “Algo mejor”. Únicamente vende los que sus clientes le piden (tomador de pedidos). https://t.co/WSwkd5C2lp</t>
  </si>
  <si>
    <t>1️⃣SE UN #VENDEDOR PROFESIONAL: 
👉Comprométete con la empresa y clientes.   
👉Se determinado al aprendizaje busca obtener y aplicar nuevo conocimiento. 
👉Mantén una actitud positiva en todo momento   👉Convéncete que tu producto /servicio es el mejor.  👉Construye tu reputación</t>
  </si>
  <si>
    <t>📢📢📢📢📢📢
#OfertaDeEmpleo #vendedor #vendedora #benidorm dirigida a personas con #diversidad #discapacidad
¿Eres una persona dinámica? ¿Disfrutas del contacto directo con las personas? ¿Te gustaría trabajar a media jornada?
Un…https://t.co/NMx3rAapXx https://t.co/OBZf49k5HC</t>
  </si>
  <si>
    <t>📢📢📢📢📢📢
#OfertaDeEmpleo #vendedor #vendedora #orihuela dirigida a personas con #diversidad #discapacidad
¿Disfrutas del contacto directo con las personas?, ¿te apasiona el deporte?
Si has contestado sí, este puesto es para t…https://t.co/4J18n0fDsX https://t.co/CyAFFQf9cW</t>
  </si>
  <si>
    <t>#OfertaDeEmpleo #vendedor #vendedora #orihuela dirigida a personas con #diversidad #discapacidad
¿Disfrutas del contacto directo con las personas?, ¿te apasiona el deporte?
Si has contestado sí, este puesto es para ti. Podrás dem…https://t.co/4gn263II9w https://t.co/CyAFFQf9cW</t>
  </si>
  <si>
    <t>#vendedor #carro #oberdan #UNO https://t.co/MheNwU4Ouj</t>
  </si>
  <si>
    <t>🧺🧼 #Vendedor ofrece #lavadora en #Marketplace, la prueba y no la compra 👇 https://t.co/bBUresDuWJ</t>
  </si>
  <si>
    <t>#Viral || 🌮🌯 #Vendedor de carnitas despacha con #tenis de más de 14 mil pesos 👇 https://t.co/Q9cAl45pfZ</t>
  </si>
  <si>
    <t>Nas vendas eu devo focar em um só nicho? - o clínico geral e o especialista
#dinheiro #ganhardinheiro #MarketingDigital #MarketingStrategy #marketing #hotmart #ficarrico #rico #ganhar #eduzz #afiliado #vendedor #vendasonline #vender https://t.co/FT012hegLR</t>
  </si>
  <si>
    <t>Para tienda de celulares y accesorios de tecnología ubicada en  #maracay se solicita encargado.
Perfil: #vendedor de #tienda con amplia experiencia en atención al cliente, manejo de inventario, Excel, control de divisas, medios de…https://t.co/6RokqBmFcD https://t.co/BhIWOHZeHr</t>
  </si>
  <si>
    <t>🔴En la carretera a Oaxaca, en #Izúcar de Matamoros, a un costado de la #gasolinera⛽ de Antorcha Campesina, un #vendedor de autos🚗 fue ejecutado de 5 #balazos🔫. El occiso solo está identificado como Adalberto N. https://t.co/qkajmGS887</t>
  </si>
  <si>
    <t>Se o jogo não é seu, siga as regras do jogo.
Respeite as regras até, você ter seu próprio jogo , ou encontrar um jogo que se encaixe para você.
#funcionario 
#vendedor 
#menssagemdodia 
#emprededores https://t.co/6RVcs208Pg</t>
  </si>
  <si>
    <t>Vendedor de globos...
#photo #PHOTOS #photographer #photographylovers #Photofriday #Photographie #Fotos #fotoshot #FotoDelDia #fotografia #fotodevendedores #bnwphotography #bnw #bnwphotography #bw #vendedor #globos https://t.co/GXumq6vF9z</t>
  </si>
  <si>
    <t>🧑‍💻Quiso comprar una cocina por #Facebook y cayó en una #estafa
💻El #vendedor mandó a la #víctima a un domicilio de una familia que negó la venta y afirmó haber recibido a otras víctimas de estafa previamente.
https://t.co/l3sAlf4262</t>
  </si>
  <si>
    <t>¿Por qué ser vendedor tiene tan mala fama? 
https://t.co/de3UfYNXA7 
#Ventas #Vendedor</t>
  </si>
  <si>
    <t>#ChatGPT para las #empresas #vendedor https://t.co/KK0oFILBUh</t>
  </si>
  <si>
    <t>Hola
Saludos
Sigo en busca de #Trabajo ya sea como #Vendedor en terreno o administrador de edificios (tengo cursos actualizados) en #Iquique espero me puedan dar algún dato donde presentarme, gracias
#Chile #Tarapaca</t>
  </si>
  <si>
    <t>Compañeros, estamos pidiendo ayuda con el caso de Jorgito, #vendedor informal que participa activamente en el #mercadillo de los domingos en la #UIS. 
Está pasando por una situación delicada, pues por #dormir en la calle ha tenido problemas en la columna.
Apoyemos y compartamos https://t.co/1G0fSIaHI3</t>
  </si>
  <si>
    <t>Las #objeciones más comunes están relacionadas al precio, la capacidad del producto, la confianza en el servicio o la empresa, el rechazo al discurso de ventas,
Leer más 👉 https://t.co/CkIVe911RB
#Saas #Emprender #Ventas #vendedor #ILoveVentas #AprendeAVender</t>
  </si>
  <si>
    <t>Diccionario de ventas, KPIs comerciales: Beneficio o margen – Profit margin
Lee el artículo completo: Glosario de ventas para un vendedor o emprendedor. 50+ términos clave (2 de 3)
▸ https://t.co/EddMZqd3IR
#Saas #Emprender #Ventas #vendedor #ILoveVentas #AprendeAVender https://t.co/bQrJU5MjsK</t>
  </si>
  <si>
    <t>Generalmente los #growthHackers son personas que entienden muy bien las métricas y analíticas de la empresa
Leer más 👉 https://t.co/sITj2au24Z
#Saas #Emprender #Ventas #vendedor #ILoveVentas #AprendeAVender https://t.co/PAyxauSJHw</t>
  </si>
  <si>
    <t>La generación de leads o prospectos (Lead Generation), es el proceso mediante el cual se identifican potenciales clientes para la empresa y se los agrega al sales funnel o embudo de venta
Leer más 👉 https://t.co/WmUABDBftW
#Saas #Emprender #Ventas #vendedor #ILoveVentas https://t.co/QbCDxu6ck7</t>
  </si>
  <si>
    <t>Glosario de ventas para un vendedor o emprendedor. 50+ términos clave (2 de 3)
Leer más 👉 https://t.co/C5wEhnOCHf
#Saas #Emprender #Ventas #vendedor #ILoveVentas #AprendeAVender https://t.co/K0eUiJOwZg</t>
  </si>
  <si>
    <t>#Influenciador: Si esta persona está convencida de que el producto tiene valor, hará un proceso de venta interna hacia el tomador de decisiones
Leer más 👉 https://t.co/2N0SdqnLEY
#Saas #Emprender #Ventas #vendedor #ILoveVentas #AprendeAVender https://t.co/yFYDaKFsMl</t>
  </si>
  <si>
    <t>Diccionario de ventas: #Closers (cerradores de negocios ) son quienes hacen demos, reuniones y cierran los #negocios
Leer más 👉 https://t.co/f3xU5Y4qdX
#Saas #Emprender #Ventas #vendedor #ILoveVentas #AprendeAVender</t>
  </si>
  <si>
    <t>#DoisDedosDeProsa Conheça a história do maior vendedor de colchões do Brasil 👈
Leia a matéria completa no site: https://t.co/ptNqeyLI8B
📸: Riomafra Mix
#VitrineMóveis #Itaiópolis #Vendedor #Empreendedorismo #Colchões https://t.co/GPAC7T9gxv</t>
  </si>
  <si>
    <t>Talentos Riomafra abre vaga para vendedor 👈
Leia a matéria completa no site: https://t.co/ptNqeyLI8B
#Emprego #Trabalho #Vagas #TalentosRiomafra #Vendedor #Oportunidade https://t.co/CjNeaNDcYT</t>
  </si>
  <si>
    <t>Empresa abre vagas para vendedores na região 👈
Leia a matéria completa no site: https://t.co/ptNqeyLaj3
#Emprego #PellensColchões #Trabalho #Vagas #Oportunidade #Vendedor https://t.co/xNq9NVPOBw</t>
  </si>
  <si>
    <t>Empresa abre vaga para vendedor em Mafra 👈
Leia a matéria completa no site: https://t.co/ptNqeyLaj3
#Emprego #Trabalho #Vagas #Mafra #Vendedor #Oportunidade https://t.co/i5Hey7eZlM</t>
  </si>
  <si>
    <t>Loja abre vaga para cargo de vendedor (a) em Mafra 👈
Veja como se candidatar à vaga no site: https://t.co/ptNqeyLaj3
#Emprego #Trabalho #Vagas #Oportunidade #Mafra #Vendedor https://t.co/1zK9xcEMe4</t>
  </si>
  <si>
    <t>Soy #Vendedor #Afiliado Cualificado de Amazon https://t.co/2jEIWnV3SJ</t>
  </si>
  <si>
    <t>Está procurando uma oportunidade e se encaixa nesses requisitos? Não perca tempo, nos envie seu currículo pelo WhatsApp 79 9 9660-4370.
Essa pode ser a sua chance!😄
#SuaVaga #Vendedor #Peças #Motos https://t.co/kaN2jI1uH9</t>
  </si>
  <si>
    <t>Chegou a sua oportunidade! Se você tem graduação em alguma dessas áreas, nos envie seu currículo pelo WhatsApp 79 9 9660-4370 ou se inscreva através do site: https://t.co/3xfH72v1dm
#SuaVaga #Vendedor #Vaga #Estância https://t.co/9DPt3vir8d</t>
  </si>
  <si>
    <t>Chegou a sua hora! Se você se encaixa nos requisitos acima, nos envie seu currículo pelo WhatsApp 79 9 9660-4370 ou se inscreva através do site: https://t.co/U86xpJRZkK.
#SuaVaga #Vendedor #NossaSenhoradoSocorro https://t.co/gCZ3Okt9QO</t>
  </si>
  <si>
    <t>Se você se enquadra nesses requisitos e está em busca de uma oportunidade, essa é a sua chance! Nos envie seu currículo através do nosso WhatsApp 79 9 9660-4370 ou se candidate para a vaga pelo site: https://t.co/U86xpJRZkK. 
#SuaVaga #Vendedor #Fátima #Bahia https://t.co/SwxtEJtRhu</t>
  </si>
  <si>
    <t>Essa é a sua oportunidade! Se você se enquadra em cada um dos requisitos acima, nos envie seu currículo através do WhatsApp 79 9 9660-4370 ou se inscreva através do site: https://t.co/3xfH72v1dm
#SuaVaga #Vendedor #Vaga #TobiasBarreto https://t.co/uPMzhtcwjg</t>
  </si>
  <si>
    <t>Se você se enquadra nesses requisitos e está em busca de uma oportunidade, essa é a sua chance! Nos envie seu currículo através do nosso WhatsApp 79 9 9660-4370 ou se candidate para a vaga pelo site: https://t.co/U86xpJRZkK.
#SuaVaga #Vendedor #Cristinópolis #Chance https://t.co/j01iwC7mH4</t>
  </si>
  <si>
    <t>Essa é a sua oportunidade! Se você se enquadra em cada um dos requisitos acima, nos envie seu currículo através do WhatsApp 79 9 9660-4370 ou se inscreva através do site: https://t.co/U86xpJRZkK
#SuaVaga #Vendedor #Umbaúba https://t.co/ztoYo7nWPg</t>
  </si>
  <si>
    <t>Está procurando uma oportunidade e se encaixa nesses requisitos? Não perca tempo, nos envie seu currículo pelo WhatsApp 79 9 9660-4370. Essa pode ser a sua chance!
#SuaVaga #Vendedor #Vaga #Lagarto https://t.co/Bm5aavf0hI</t>
  </si>
  <si>
    <t>Chegou a sua hora! Se você se encaixa nos requisitos acima, nos envie seu currículo pelo WhatsApp 79 9 9660-4370 ou se inscreva através do site: https://t.co/3xfH72v1dm
#SuaVaga #Vendedor #Lagarto https://t.co/npHT60hyCb</t>
  </si>
  <si>
    <t>Se você se enquadra nesses requisitos e está em busca de uma oportunidade, essa é a sua chance! Nos envie seu currículo através do nosso WhatsApp 79 9 9660-4370 ou se candidate para a vaga pelo site: https://t.co/U86xpJRZkK.
#SuaVaga #Vendedor #Vaga #Estância https://t.co/tLaav5uARq</t>
  </si>
  <si>
    <t>Chegou a sua oportunidade!😀
Se você se encaixa nesses requisitos, nos envie seu currículo pelo WhatsApp 79 9 9660-4370 ou se inscreva através do site: https://t.co/3xfH72v1dm
#SuaVaga #Vendedor #Lagarto #Vaga https://t.co/EJKPmpEHCQ</t>
  </si>
  <si>
    <t>Está procurando uma oportunidade e se encaixa nesses requisitos? Não perca tempo, nos envie seu currículo pelo WhatsApp 79 9 9660-4370. Essa pode ser a sua chance!
#SuaVaga #Vendedor #Aracaju #Lojas #Vaga #Oportunidade https://t.co/7ji4gwfoNR</t>
  </si>
  <si>
    <t>Se você mora em Carmópolis e tem experiência como vendedor interno, essa pode ser a sua chance! Nos envie seu currículo através do nosso WhatsApp 79 9 9660-4370 ou se candidate para a vaga pelo site: https://t.co/3xfH72v1dm
#SuaVaga #Vendedor #Carmópolis #Vaga https://t.co/TxeG7ZFx2d</t>
  </si>
  <si>
    <t>Para ver mais dicas sobre como vender contando histórias, veja a nova edição da minha newsletter
https://t.co/L5pP4KD689
#vendas #vendedor</t>
  </si>
  <si>
    <t>Mesmo quem compra pouco merece toda atenção
e simpatia
#vendas #cliente #vendedor #atendimento</t>
  </si>
  <si>
    <t>Existe concorrência desleal.
Eu não entro neste tipo 
de competição.
Prefiro competir oferecendo qualidade e um ótimo atendimento.
#concorrência #empreendedor #vendedor</t>
  </si>
  <si>
    <t>Vender não é apenas sobre de ganhar dinheiro.
 O verdadeiro motivo da venda é servir e ajudar os clientes a obterem o que desejam. 
O dinheiro é  uma consequência.
Concorda?
#vendedor #amovender</t>
  </si>
  <si>
    <t>Se ninguém te encontrar, você vai vender menos.
https://t.co/0vx8J7p9tr 
#encontrabilidade #marketingpessoal #vendedor</t>
  </si>
  <si>
    <t>Não se preocupe com a concorrência.
Se preocupe em fazer a diferença para seus clientes.
#vendas #empreendedor #vendedor</t>
  </si>
  <si>
    <t>Para mais dicas de como reativar clientes inativos, acesse a edição da newsletter Ideias Poderosas: https://t.co/sR8aGTuuP0 💡🧠⚡
#vendas #vendedor #leandrobranquinho</t>
  </si>
  <si>
    <t>Não se preocupe em perder algumas vendas por causa do preço.
Tem cliente que simplesmente não dá valor no que você oferece.
#amovender #vendedor</t>
  </si>
  <si>
    <t>Vender não tem nada a ver com enganar as pessoas. 
A pessoa que engana não é um vendedor é um picareta.
#vendedor #vendas #palestrantedevendas</t>
  </si>
  <si>
    <t>Muitas vendas acontecem porque clientes satisfeitos indicam outros clientes.
#vendas #vendedor #clientesatisfeito</t>
  </si>
  <si>
    <t>Vender é que nem um jogo. 
Você sabe as regras, você sabe qual é o prêmio, é divertido, mas infelizmente nem todos os jogadores cumprem as regras.
#vendedor #vendas</t>
  </si>
  <si>
    <t>Tenha coragem
de pedir indicações.
Quem trabalha com carinho
e com dedicação
merece ser recomendado.
#vendas #vendedor #amovender</t>
  </si>
  <si>
    <t>⁠Vender não é um trabalho fácil!
É para gente corajosa.
É para quem não se abala por qualquer coisa, é para quem busca superar a si mesmo todos os dias.
#vendedor #vendas #amovender</t>
  </si>
  <si>
    <t>⁠Vão dizer que foi sorte
sem saberem que você batalhou.
Só siga em frente.
#determinação #trabalho #vendedor</t>
  </si>
  <si>
    <t>🔴#Alerta #MallMaipu #AraucoMaipu hubieron 2 #rehenes, terrible para ambas personas el #Guardia y un #Vendedor quien después los cuida a ellos, @MovistarChile hará algo? El daño está hecho, @jeannette_jara @GabrielBoric @Carolina_Toha @Orrego después se olvidan #MovistarTeam https://t.co/3H6tE7L0Ru</t>
  </si>
  <si>
    <t>Fica a dica para o pessoa de vendas... Se conecte com seus clientes!
#keepgrowing #keepgrowingmentoria #makeyourfuture #desenvolvimentoprofissional #vendas #vendedor #vendamais #EduardoTevah #dicadevendas #clientes https://t.co/UlEq8UkzMC</t>
  </si>
  <si>
    <t>¿Qué es lo que se necesita saber en cuanto a un traspaso de negocios? Damos nuestra visión en @eleconomista https://t.co/UeI5xwHOKl
#traspaso #condiciones #comprador #vendedor #fondodecomercio #empresa https://t.co/xoCWbArmqj</t>
  </si>
  <si>
    <t>🤑 Lecciones de vida de un publicista: https://t.co/x3HANmhKKI #publicidad #marketing #ted #vender #vendedor #ganar 😎 https://t.co/j6vsnUXBSx</t>
  </si>
  <si>
    <t>El libro de las cartas de venta de Robert Collier: https://t.co/hygneC9bzH #MarketingDirecto #MarketingDigital #Publicidad #Ventas #Vender #Vendedor #Libro #Clásico https://t.co/qSiUZ06let</t>
  </si>
  <si>
    <t>El libro de las cartas de venta de Robert Collier: https://t.co/sy3EQ5G1i7 #MarketingDirecto #MarketingDigital #Publicidad #Ventas #Vender #Vendedor #Libro #Clásico https://t.co/V4rnuBuJqR</t>
  </si>
  <si>
    <t>🤑 Lecciones de vida de un publicista: https://t.co/tQvsXAZjdl #publicidad #marketing #ted #vender #vendedor #ganar 😎 https://t.co/Xg3xmnBYne</t>
  </si>
  <si>
    <t>🤑 Lecciones de vida de un publicista: https://t.co/qdeNGExQRb #publicidad #marketing #ted #vender #vendedor #ganar 😎 https://t.co/W5U5VywPgs</t>
  </si>
  <si>
    <t>El libro de las cartas de venta de Robert Collier: https://t.co/nLgTWJDTjz #MarketingDirecto #MarketingDigital #Publicidad #Ventas #Vender #Vendedor #Libro #Clásico https://t.co/5G1gOrcGRj</t>
  </si>
  <si>
    <t>🤑 Lecciones de vida de un publicista: https://t.co/SGcb7MVsTH #publicidad #marketing #ted #vender #vendedor #ganar 😎 https://t.co/DLOqEbUBBs</t>
  </si>
  <si>
    <t>El libro de las cartas de venta de Robert Collier: https://t.co/bCQj80dkuL #MarketingDirecto #MarketingDigital #Publicidad #Ventas #Vender #Vendedor #Libro #Clásico https://t.co/u4fcuxnyE1</t>
  </si>
  <si>
    <t>As redes sociais são uma das principais fontes de tráfego para as lojas online.
Acesse o blog e entenda o que é o SMO e por que ele é importante para as vendas. 
https://t.co/VqWZrKV3bs
#redesociais #lojavirtual #ecommerce #parcerias #marketing #marketingonline #vendermais https://t.co/tktm9ZfHI7</t>
  </si>
  <si>
    <t>Não é preciso dizer a importância de um logotipo para uma empresa.
Acesse: https://t.co/T8pjsteSEg e conheça 4 Criadores e Geradores de Logotipo 
#lojavirtual #ecommerce #parcerias #marketing #marketingonline #vendermais #designergrafico #design https://t.co/aUYVnlO2jj</t>
  </si>
  <si>
    <t>O DaVinci Resolve é um software para edição de vídeo, correção de cores e gráficos em movimento. O melhor de tudo é que ele é grátis!
Acesse o link abaixo e confira nossas dicas! 
https://t.co/EIPj2UQpsk #lojavirtual #ecommerce #marketing #vendermais #videos #edicao https://t.co/kqjGkR8LgV</t>
  </si>
  <si>
    <t>Porque? Sigamos para nosso resumo cast #vendedor #Executive #execution #compraonline https://t.co/rdBiZ6Cr1A</t>
  </si>
  <si>
    <t>¡Hooola! 👋
JordiDice: Policía municipal detiene a "peligrosísimo" vendedor de miel. 🤦‍♂️
Vende tu producto o servicio en https://t.co/Y41hShQoXQ sin pagar comisiones, 😎 más información en: https://t.co/KXLcfzLsad 👀
#JordiDice🗣️ #policia #municipal #vendedor #miel https://t.co/F38JHwZEQK</t>
  </si>
  <si>
    <t>#NORAUTO lanza 28 #OfertasDeEmpleo para #Trabajar como #MECÁNICO o #Vendedor. Aquí te ayudamos con los pasos a seguir 👇🏿 👇👇👇👇
https://t.co/3Py9t26FXH</t>
  </si>
  <si>
    <t>É válida a venda de imóvel que tenha como comprador o filho do vendedor? #venda #imovel #comprador #vendedor #filhodovendedor https://t.co/Q92ntRftia</t>
  </si>
  <si>
    <t>É válida a venda de imóvel que tenha como comprador o filho do vendedor? #vendadeimovel #comprador #vendedor #filhodovendedor #codigocivil #direitocivil 
https://t.co/Q92ntRftia</t>
  </si>
  <si>
    <t>Por que é importante a declaração de inexistência de débito de cotas condominiais, para a compra de um apartamento? #declaracao #inexistenciadedebito #cotacondominial #condominio #compra #apartamento #vendedor #comprador https://t.co/b9RiAjY4jh</t>
  </si>
  <si>
    <t>Responsabilidade do comprador - Débito deixado pelo vendedor - Taxa Condominial #responsabilidade #comprador #debito #vendedor #taxacondominial #condominio #direito #direitocivil #codigocivil  https://t.co/uGRyKwvo1J</t>
  </si>
  <si>
    <t>O filho pode comprar imóvel de seu pai? #filho #comprador #vendedor #pai https://t.co/XediuisRk0</t>
  </si>
  <si>
    <t>É válida a venda de imóvel que tenha como comprador o filho do vendedor? #venda #imovel #vendadeimovel #comprador #vendedor #filho #pai #filhodovendedor https://t.co/Q92ntRftia</t>
  </si>
  <si>
    <t>Responsabilidade do comprador - Débito deixado pelo vendedor - Taxa Condominial  #responsabilidade #taxacondominial #debito #condominio #vendedor #comprador https://t.co/YhcMxOeet8</t>
  </si>
  <si>
    <t>É válida a venda de imóvel que tenha como comprador o filho do vendedor? #venda #imovel #comprador #filho #vendedor #pai #codigocivil #direito #direitocivil https://t.co/Q92ntRftia</t>
  </si>
  <si>
    <t>Responsabilidade do comprador - Débito deixado pelo vendedor - Taxa Condominial #Responsabilidade #comrador #vendedor #apartamento #condominio #taxacondominial #direito #codigocivil https://t.co/YhcMxOeet8</t>
  </si>
  <si>
    <t>Te gustan las ventas? #vendedor #Ecatepec https://t.co/q6byitUtOp</t>
  </si>
  <si>
    <t>No está bien #visto que un #vendedor te deje en visto cuándo pides más datos, incluso para confirmar la compra😕 y no te responden! hagan #cursos de #ventas no sólo es la foto pal #Ig</t>
  </si>
  <si>
    <t>El mejor vendedor del mundo 🤣🤣🤣🤣🤣#humor #vendedor #auto #comico #viral #divertido #comedia https://t.co/aIRlj9h2G5</t>
  </si>
  <si>
    <t>Suscríbete a mi canal de #Youtube donde encontrarás cursos y contenidos para convertirte en un #Vendedor #TodoTerreno https://t.co/JponKZdJe0</t>
  </si>
  <si>
    <t>🛠️ Se solicita #vendedor del sector ferretero, para los estados #Sucre y #Bolívar.
#Clasificados
#ClasificadosElVistazo https://t.co/PBSSizmjOr</t>
  </si>
  <si>
    <t>¿Cómo convertir la #experienciaentienda en algo único para el #cliente? En este artículo hablamos sobre cómo aprendiendo de las mejores experiencias de cada #vendedor, de historias reales y aprendizajes aplicables, se consigue incrementar ventas: https://t.co/nA4dV90mWg #retail https://t.co/Fuz6Apa31f</t>
  </si>
  <si>
    <t>#TwitterX #art #arte #comisiones #commissionsopen #paypal #vendedor #euro #dibujante #twitch #streamer https://t.co/5qRtnIv6vs</t>
  </si>
  <si>
    <t>"Primero lo que deja": Mujer no deja de vender tamales a pesar de que auto se incendia frente a su puesto (Vídeo) #Viral #Tamales #Vendedor #Incendio https://t.co/db6GeXsyAM</t>
  </si>
  <si>
    <t>Fallece vendedor de camotes en Atlixco #vendedor #camotes #Atlixco https://t.co/o4NvaP3ReI</t>
  </si>
  <si>
    <t>💼¿Cuánto tiempo tiene el agente #comercial para reclamar sus comisiones? 🪙
#vendedor #asesorialaboral
https://t.co/fepFSPyyPA</t>
  </si>
  <si>
    <t>Quarta-feira é dia de colocar em prática as estratégias de vendas! Focar no atendimento ao cliente, estudar o mercado e produtos, além de manter a motivação sempre alta! #dicasdevenda #quartaédia #vendedor #sucesso</t>
  </si>
  <si>
    <t>O melhor vendedor não é aquele que vende mais.
Mude a minha opinião!
#vendedor #vendas #marketing</t>
  </si>
  <si>
    <t>#Pacto de #retroventa: #Pacto en el que el #vendedor se reserva la facultad de recobrar la cosa vendida reembolsando al #comprador un monto determinado o devolviendo el precio recibido en un plazo. En #Paraguay este #pacto está permitido, mas prohibido para bienes registrables.</t>
  </si>
  <si>
    <t>Hoy queremos felicitar a todas las personas que hacen la gran labor de vendedores.
#díadelvendedor #vendedor #cohacer #acuerdo286 #unidho #cdmx #mexico https://t.co/KK4FwbDuth</t>
  </si>
  <si>
    <t>É incrível o quanto a Ton tem inovado, Valores e serviços que estão deixando as demais, do mesmo segmento para trás.
https://t.co/wXuEcXtdHY
#empreendedorismo 
#vendas #vendedor
#autonomo #microempreendedor #campeao #maquina #maquininha #cartao https://t.co/KzUDa1InTV</t>
  </si>
  <si>
    <t>Soy #vendedor. 35 años de experiencia. Jamás se me ha ocurrido hacer lo que ví hacer hoy a un vendedor.
Cobrarle a un #cliente un lunes a las 8:30 am.
Qué mal gusto! Qué falta de código!</t>
  </si>
  <si>
    <t>#Vacante #Vendedor interno en OCCMundial, ¡Entra ahora! #Mexico 
https://t.co/Iow56YOjvN</t>
  </si>
  <si>
    <t>🧺🧼 #Vendedor ofrece #lavadora en #Marketplace, la prueba y no la compra 👇 https://t.co/6XWoVpfATL</t>
  </si>
  <si>
    <t>#Viral || 🌮🌯 #Vendedor de carnitas despacha con #tenis de más de 14 mil pesos 👇 https://t.co/j4AMrFaPuM</t>
  </si>
  <si>
    <t>#Internet #wifi #vendedor  #informatica https://t.co/pO7ORuNUbm</t>
  </si>
  <si>
    <t>Vendedor(a) ≠ Cachapedidos
.
.
.
#ventas #vendedor #negocio</t>
  </si>
  <si>
    <t>El vendedor efectivo con su cliente.👀🤓👍
.
.
.
#ventas #vendedor #portavisa https://t.co/vS1NMddecT</t>
  </si>
  <si>
    <t>El vendedor y la comunicación con su cliente.🗣️🤓
.
.
.
#comunicacion #vendedor #portavisa https://t.co/pH7iFv2azO</t>
  </si>
  <si>
    <t>El secreto de un buen vendedor.👀🤓👍
.
.
.
#ventas #vendedor #portavisa https://t.co/nFgeJbcqZp</t>
  </si>
  <si>
    <t>RT @portavisa: El vendedor y la comunicación con su cliente.🗣️🤓
.
.
.
#comunicacion #vendedor #portavisa https://t.co/pH7iFv2azO</t>
  </si>
  <si>
    <t>El vendedor moderno y la aportación de valor a sus clientes.🤓👍
.
.
.
#vendedor #clientes #portavisa2023 https://t.co/kl2KJaraMn</t>
  </si>
  <si>
    <t>"Los clientes modernos son alérgicos al vendedor agresivo, pero no al vendedor que le aporta valor en cada una de sus interacciones para lograr solucionar su problema o necesidad".👀🤓👍
.
.
.
#clientes #vendedor #portavisa2023</t>
  </si>
  <si>
    <t>Competencias laborales.🎯🤓👍
.
.
.
#competencias #vendedor #portavisa2023 https://t.co/3si4fb4Z88</t>
  </si>
  <si>
    <t>La comunicación asertiva del vendedor.🗣️👤🤓
.
.
.
#comunicacion
#vendedor
#portavisa2023 https://t.co/EZu5YguePW</t>
  </si>
  <si>
    <t>El vendedor moderno y su aportación de valor al cliente.👀🤓👍
.
.
.
#vendedor #valoragregado #portavisa2023 https://t.co/WB0f8Dw7IW</t>
  </si>
  <si>
    <t>Evoluciona como vendedor ante tu cliente.🚀🤓👍
.
.
.
#vendedor #evolucion #portavisa2023 https://t.co/Y4I7UMC3GB</t>
  </si>
  <si>
    <t>Actitudes esenciales de un vendedor moderno.🤓👍
.
.
.
#actitudes #vendedor #portavisa2023 https://t.co/sjcgnQrHtO</t>
  </si>
  <si>
    <t>La mejor estrategia de un vendedor.😱🤓👍
.
.
.
#vendedor #estrategia #portavisa2023 https://t.co/psDmWs21Nr</t>
  </si>
  <si>
    <t>Funciones claves del vendedor en la actualidad.🤓👍
.
.
.
#vendedor #evolucion #portavisa2023 https://t.co/66AqrAJPoO</t>
  </si>
  <si>
    <t>La motivación en el vendedor y conectar con su cliente potencial.🤓👍
.
.
.
#vendedor #motivacion #portavisa2023 https://t.co/RDKZhO8vc5</t>
  </si>
  <si>
    <t>La conexión emocional entre vendedor y su cliente.🤓
.
.
.
#emociones #vendedor #portavisa2023 https://t.co/Rpf0o7dPVE</t>
  </si>
  <si>
    <t>Antes de vender, gánate la confianza de tu cliente.🤓
.
.
.
#vendedor #confianza #portavisa2023 https://t.co/RwsThQlUqo</t>
  </si>
  <si>
    <t>Mejorando tu #socialselling 🤓👍
.
.
.
#vendedor #portavisa2023 https://t.co/ar8THKIM76</t>
  </si>
  <si>
    <t>La efectiva del vendedor ante su cliente potencial.🤓
.
.
.
#efectividad #vendedor #portavisa2023 https://t.co/zvI7p0YKRt</t>
  </si>
  <si>
    <t>RT @DanielA78903757: La motivación en el vendedor y conectar con su cliente potencial.🤓👍
.
.
.
#vendedor #motivacion #portavisa2023 https:/…</t>
  </si>
  <si>
    <t>RT @DanielA78903757: La conexión emocional entre vendedor y su cliente.🤓
.
.
.
#emociones #vendedor #portavisa2023 https://t.co/Rpf0o7dPVE</t>
  </si>
  <si>
    <t>RT @DanielA78903757: Antes de vender, gánate la confianza de tu cliente.🤓
.
.
.
#vendedor #confianza #portavisa2023 https://t.co/RwsThQlUqo</t>
  </si>
  <si>
    <t>RT @DanielA78903757: Mejorando tu #socialselling 🤓👍
.
.
.
#vendedor #portavisa2023 https://t.co/ar8THKIM76</t>
  </si>
  <si>
    <t>RT @DanielA78903757: La efectiva del vendedor ante su cliente potencial.🤓
.
.
.
#efectividad #vendedor #portavisa2023 https://t.co/zvI7p0YK…</t>
  </si>
  <si>
    <t>Si eres #emprendedor #vendedor #empresario puedes solicitar tu información preferente y totalmente gratuita escribiendo 
¡¡¡Ahora!!!
Un mensaje privado. https://t.co/mIpWoyfcdt</t>
  </si>
  <si>
    <t>10% más de ventas este mes. #ventas #ventaspormayor #ventasporinternet #vendedor #vender https://t.co/Ac7a8YP2Pp</t>
  </si>
  <si>
    <t>El truco del #vendedor español #mejor valorado en #Amazon 
https://t.co/skBlRObVQm https://t.co/nWcmBR8Mme</t>
  </si>
  <si>
    <t>Laboratorio Central Regional del Norte, solicita personal para el área de VENTAS🧑🏻‍💻.
Envíanos tu CV y solicitud de empleo al correo electrónico : lcrn.gcalidad@gmail.com o llámanos al 81 8367 4486 ext.105.
#empleo #vendedor #laboratorio #agronomia  #agronegocio https://t.co/Ajm1AwPXE2</t>
  </si>
  <si>
    <t>Laboratorio Central Regional del Norte, solicita personal para el área de VENTAS📷.
Envíanos tu CV y solicitud de empleo al correo electrónico : lcrn.gcalidad@gmail.com,  o llámanos al 81 8367 4486 ext.105.
#empleo #vendedor #quimico #laboratorio #agronomia #MVZ #QBP #agronegocio https://t.co/c9eJYydwfz</t>
  </si>
  <si>
    <t>Estou #Contratando. Você conhece alguém que possa se interessar? #uniformes #uniforme #representantes #varejo #vendedor #carteiradeclientes https://t.co/p0I39vVcki</t>
  </si>
  <si>
    <t>Acabo de hacer mi primera venta #vendedor #emprendedor</t>
  </si>
  <si>
    <t>#vagaaberta #estamoscontratando #vendedor #vendas https://t.co/GRtsuKHQTO</t>
  </si>
  <si>
    <t>Así mismo, los #VigiasdeEspacioPublico de @alcaldiapasto, apoyan la prevención y diálogo para el respeto y sana convivencia entre el  #Peatón y el #Vendedor en la #FeriadelPescado 🐠🐟🍥🐡🍤🍣!!
#SemanaPolaVida
#FeriadelPescado
#SemanaMayorEnFamilia 
#SemanaSanta23 https://t.co/QMblHHwyv5</t>
  </si>
  <si>
    <t>VÍDEO: Bell Marques compra material de vendedor e distribui para foliões... https://t.co/LB0Xx34szi
#BellMarques
#PréCarnaval
#Vendedor
#Foliões https://t.co/BVnT5Vl70t</t>
  </si>
  <si>
    <t>📌 #Lunes 17 de #Abril
📍 #Pereira #Risaralda 
👉 #Vendedor
🙌 No olvides indicar en el Asunto el nombre de la Vacante ✅
🟣 𝗔𝗺𝗽𝗹𝗶𝗮 𝗹𝗮 𝗶𝗻𝗳𝗼𝗿𝗺𝗮𝗰𝗶𝗼́𝗻 𝗱𝗲 𝗹𝗮 𝗩𝗮𝗰𝗮𝗻𝘁𝗲 𝘆 𝗹𝗮 𝗘𝗺𝗽𝗿𝗲𝘀𝗮 𝗮𝗾𝘂𝗶́👉 https://t.co/WZfxNwx4SW https://t.co/QUUwMybYFK</t>
  </si>
  <si>
    <t>📌 #Lunes 13 de #Marzo
📍 #Manizales #Caldas
👉 #Vendedor #TAT
🟣 𝗔𝗺𝗽𝗹𝗶𝗮 𝗹𝗮 𝗶𝗻𝗳𝗼𝗿𝗺𝗮𝗰𝗶𝗼́𝗻 𝗱𝗲 𝗹𝗮 𝗩𝗮𝗰𝗮𝗻𝘁𝗲 𝘆 𝗹𝗮 𝗘𝗺𝗽𝗿𝗲𝘀𝗮 𝗮𝗾𝘂𝗶́👉 https://t.co/WZfxNwx4SW https://t.co/KgNRTccI2q</t>
  </si>
  <si>
    <t>📌 #Jueves 13 de #Abril
📍 #Pereira #Risaralda
👉 #Vendedor #Vendedora #TAT
🙌 No olvides indicar en el Asunto el nombre de la Vacante ✅
🟣 𝗔𝗺𝗽𝗹𝗶𝗮 𝗹𝗮 𝗶𝗻𝗳𝗼𝗿𝗺𝗮𝗰𝗶𝗼́𝗻 𝗱𝗲 𝗹𝗮 𝗩𝗮𝗰𝗮𝗻𝘁𝗲 𝘆 𝗹𝗮 𝗘𝗺𝗽𝗿𝗲𝘀𝗮 𝗮𝗾𝘂𝗶́👉 https://t.co/WZfxNwx4SW https://t.co/uSiQDZ9OgN</t>
  </si>
  <si>
    <t>📌 #Viernes 24 de #Febrero
📍 #Manizales #Caldas 
👉 #Vendedor #TAT 
🟣 𝗔𝗺𝗽𝗹𝗶𝗮 𝗹𝗮 𝗶𝗻𝗳𝗼𝗿𝗺𝗮𝗰𝗶𝗼́𝗻 𝗱𝗲 𝗹𝗮 𝗩𝗮𝗰𝗮𝗻𝘁𝗲 𝘆 𝗹𝗮 𝗘𝗺𝗽𝗿𝗲𝘀𝗮 𝗮𝗾𝘂𝗶́👉 https://t.co/WZfxNwx4SW https://t.co/7pYPbLrLi6</t>
  </si>
  <si>
    <t>📌 #Viernes 19 de #Mayo
📍 #Pereira #Risaralda 
👉 #Vendedor #Vendedora #TAT 
🙌 No olvides indicar en el Asunto el nombre de la Vacante ✅
🟣 𝗔𝗺𝗽𝗹𝗶𝗮 𝗹𝗮 𝗶𝗻𝗳𝗼𝗿𝗺𝗮𝗰𝗶𝗼́𝗻 𝗱𝗲 𝗹𝗮 𝗩𝗮𝗰𝗮𝗻𝘁𝗲 𝘆 𝗹𝗮 𝗘𝗺𝗽𝗿𝗲𝘀𝗮 𝗮𝗾𝘂𝗶́👉 https://t.co/WZfxNwx4SW https://t.co/bDGv2FaK4i</t>
  </si>
  <si>
    <t>📌 #Viernes 19 de #Mayo
📍 #Pereira #Risaralda 
👉 #Vendedor #Vendedora
🙌 No olvides indicar en el Asunto el nombre de la Vacante ✅
🟣 𝗔𝗺𝗽𝗹𝗶𝗮 𝗹𝗮 𝗶𝗻𝗳𝗼𝗿𝗺𝗮𝗰𝗶𝗼́𝗻 𝗱𝗲 𝗹𝗮 𝗩𝗮𝗰𝗮𝗻𝘁𝗲 𝘆 𝗹𝗮 𝗘𝗺𝗽𝗿𝗲𝘀𝗮 𝗮𝗾𝘂𝗶́👉 https://t.co/WZfxNwx4SW https://t.co/b8jUVlvbvV</t>
  </si>
  <si>
    <t>📌 #Miércoles 21 de #Junio
📍 #Armenia #Quindío 
👉 #Vendedor
🙌 No olvides indicar en el Asunto el nombre de la Vacante ✅
🟣 𝗔𝗺𝗽𝗹𝗶𝗮 𝗹𝗮 𝗶𝗻𝗳𝗼𝗿𝗺𝗮𝗰𝗶𝗼́𝗻 𝗱𝗲 𝗹𝗮 𝗩𝗮𝗰𝗮𝗻𝘁𝗲 𝘆 𝗹𝗮 𝗘𝗺𝗽𝗿𝗲𝘀𝗮 𝗮𝗾𝘂𝗶́👉 https://t.co/WZfxNwx4SW https://t.co/g2pYHj3ovY</t>
  </si>
  <si>
    <t>A pessoa quer comprar um sapato para presentear a mãe, mas não sabe o número do pé da #mãe? 😱
Gente saia de casa sabendo o número do pé ou o que vai comprar. O #vendedor não é adivinho. 🤣
#DiaDasMaes</t>
  </si>
  <si>
    <t>"Aprender é uma expansão sem volta de sua consciencia." - Prof. Rafael Junqueira. CEO e Diretor de Marketing da Junqueira Consultoria.
#RAFAELJUNQUEIRA #JUNQUEIRACONSULTORIA #PROFESSOR #CURSOONLINE  #MARKETINGJURIDICO #MARKETINGPARAADVOGADOS #VENDEDOR #ADVOGADOS #Frases #Ensino https://t.co/ULJsQrfZEP</t>
  </si>
  <si>
    <t>#ULTIMOMINUTO : Fue #captado el #momento exacto en el que una #mujer y un #vendedor de #hamacas #muren al #instante a causa de la #caída de un #Rayo, en la #playa de #Aquila, #Michoacan, #Mexico. https://t.co/TLVRJqYm4G</t>
  </si>
  <si>
    <t>#LUNES ...preparando día de la #secretaria y el dia del #vendedor... #fulbito y #diadeltrabajo...qué lindo cierre de #abril inicio de #Mayo 
#celebra #disfruta #ViveSabroso https://t.co/1DkJOeZueL</t>
  </si>
  <si>
    <t>É impressionante o quanto que o #comércio online perde com #vendas por culpa própria.
. Seja um #site que não funciona e o #cliente desiste da #compra.
. Um #canal de #venda/ #suporte que não responde
. Um #vendedor despreparado.</t>
  </si>
  <si>
    <t>#DETIENEN A #CONDUCTOR QUE #ATROPELLÓ A #VENDEDOR DE TAMALES EN #TLALNEPANTLA
Leé aquí 👇👇👇
https://t.co/5vx2OBRdIn https://t.co/i5AdlCG2t1</t>
  </si>
  <si>
    <t>Queremos que seas parte de nosotros ¡Envianos tu CV al correo indicado! 📧
#TelecableCentral #TanVeganoComoTu #Empleo #trabajo #ofertadeempleo #vendedor #vacante https://t.co/24Lim6gbu2</t>
  </si>
  <si>
    <t>Forma parte de nuestra familia ¡Envíanos tu CV!
#TelecableCentral #TanVeganoComoTu #Empleo #trabajo #ofertadeempleo #vendedor #vacante https://t.co/yFOUoV4qI2</t>
  </si>
  <si>
    <t>¿Qué pasa si quiero vender mi casa pero me cuesta comprar otra para mi mudanza? (PARTE 3).
#sectorinmobiliario #asesorinmobiliario #Century21CapitalLpa #Canarias #España #viviendahabitual #vendedor #comprador
Os lo dejo por aquí (PARTE 3):
👇👇👇👇👇
https://t.co/TNM7som4lh</t>
  </si>
  <si>
    <t>¿Qué pasa si quiero vender mi casa pero me cuesta comprar otra para mi mudanza? (PARTE 2).
#sectorinmobiliario #asesorinmobiliario #Century21CapitalLpa #Canarias #España #viviendahabitual #vendedor #comprador
Os lo dejo por aquí (PARTE 2):
👇👇👇👇
https://t.co/RZs3nrmR6u</t>
  </si>
  <si>
    <t>¿Qué pasa si quiero vender mi casa pero me cuesta comprar otra para mi mudanza? (PARTE 1).
#sectorinmobiliario #asesorinmobiliario #Century21CapitalLpa #Canarias #España #viviendahabitual #vendedor #comprador
Os lo dejo por aquí (PARTE 1):
👇👇👇👇
https://t.co/2Ua1amwegZ</t>
  </si>
  <si>
    <t>🔴#ULTIMAHORA🔴
Vendedor ambulante golpea a @LuisitoComunica en las calles de la #CDMX 
Lo+#viral #luisitocomunica #vendedor #golpea #historia #testimonio #calles #agresion #Parati #Compartir #AHORA24H https://t.co/KWz0gzvIS2</t>
  </si>
  <si>
    <t>📘#EmotionalSelling_Libro, ✒️@JCJ360 
Bibliografía recomendada por la revista "RETAIL ACTUAL" Nº58 - DICIEMBRE 2022 ahora en Calameo 
👀https://t.co/UYGBZiIvkg #calameo
📖https://t.co/H4VvlVMOJD
#Venta #Compra #Vendedor #MétodoB:Water #Emociones #PVE #Cliente
@retailactual https://t.co/EgACMGq50C</t>
  </si>
  <si>
    <t>📘#EmotionalSelling_Libro
«@JCJ360 en este 📘 va un paso más allá, aportando la ARTESANÍA del #Vendedor emocional, aquel que se eleva como maestro de sus emociones y, por tanto, de saber generar entornos de bienestar en sus interlocutores». @Raquel_Davo 
📖https://t.co/H4VvlVMOJD https://t.co/22x7dw6mYU</t>
  </si>
  <si>
    <t>Con el 📘#EmotionalSelling_Libro, se consigue vender a las emociones y resultados 100 % eficaces. Se emocionan las emociones del cliente. Se pasa de vender valor a ser valor.
🖊️@JCJ360 
▶️https://t.co/xEhPhPaw5O
#Venta #Compra #Vendedor #MétodoB:Water #Emociones #PVE #Cliente https://t.co/SsLkjTHdCP</t>
  </si>
  <si>
    <t>¿Quieres vender y emocionar?
El método B:Water es la herramienta para triunfar en el emotional selling.
✒️@JCJ360 
📘#EmotionalSelling_Libro
📖https://t.co/H4VvlVMOJD
#Venta #Compra #Vendedor #MétodoB:Water #Emociones #PVE #Cliente #RegalaLibros #Feliz2023 https://t.co/mhdUj0ddWE</t>
  </si>
  <si>
    <t>«La venta o es emocional o no será».
«Las emociones deciden el éxito de una venta».
📚#EmotionalSelling_Libro.
✒️@JCJ360
 ▶️https://t.co/H4VvlVMOJD
 #Venta #Compra #Vendedor #MétodoB:Water #Emociones #PVE #Cliente #QuéLeer #LibroRecomendado https://t.co/TXoGUFN4Dm</t>
  </si>
  <si>
    <t>¿Por qué la PVE marca la diferencia entre un gran vendedor y el resto? y ¿La CEE (comunicación emocional efectiva) sintoniza al vendedor y al comprador?
📘#EmotionalSelling_Libro
🖊️@JCJ360 
▶️https://t.co/xEhPhPaw5O
#Venta #Compra #Vendedor #MétodoB:Water #Emociones #PVE #Cliente https://t.co/jkNKzTWoo0</t>
  </si>
  <si>
    <t>Con el 📘#EmotionalSelling_Libro, se consigue vender a las emociones y resultados 100 % eficaces. Se emocionan las emociones del cliente. Se pasa de vender valor a ser valor.
🖊️@JCJ360
 ▶️https://t.co/H4VvlVMOJD
#Venta #Compra #Vendedor #MétodoB:Water #Emociones #PVE #FLMadrid23 https://t.co/RBx5ys8gjB</t>
  </si>
  <si>
    <t>«La venta o es emocional o no será».
«Las emociones deciden el éxito de una venta».
📚#EmotionalSelling_Libro.
✒️@JCJ360 
 ▶️https://t.co/H4VvlVMOJD
 #Venta #Compra #Vendedor #MétodoB:Water #Emociones #PVE #Cliente #QuéLeer #FLMadrid23 https://t.co/vlLWW0Wdvb</t>
  </si>
  <si>
    <t>📚#EmotionalSelling_Libro. Con este libro se logra sintonizar con la modalidad perceptual del cliente y comunicarle de manera efectiva el valor emocional de la propuesta. 
🖋️@JCJ360
📖https://t.co/xEhPhPaw5O 
#Venta #Compra #Vendedor #MétodoB:Water #Emociones #PVE #Cliente https://t.co/fTOi7XnuOY</t>
  </si>
  <si>
    <t>📚#EmotionalSelling_Libro
🖋️@JCJ360
Este magnífico libro va un paso más allá, aportando la «artesanía» del #Vendedor emocional, que se eleva como maestro de sus emociones y, por tanto, de saber generar entornos de bienestar en sus interlocutores.
📖https://t.co/xEhPhPaw5O
#Venta https://t.co/fzJZjid3wI</t>
  </si>
  <si>
    <t>📚#EmotionalSelling_Libro.
Con este libro se logra sintonizar con la modalidad perceptual del cliente y comunicarle de manera efectiva el valor emocional de la propuesta.
🖊️@JCJ360
 ▶️https://t.co/H4VvlVMOJD
 #Venta #Compra #Vendedor #MétodoB:Water #Emociones #PVE #Cliente</t>
  </si>
  <si>
    <t>E aí vendedor de carro, vc tem se orientado nisto ?
👉 imagem pessoal, vc cuida ? Vc fuma ? Vc gostaria de ser atendido com um vendedor(a) fumando ou com cheiro de cigarro ? ;
👉 lista de transmissão é furada ;
👉 vc é 100% on-line, ou ainda tá com vergonha?
.
.
.
#vendedor https://t.co/HARu4x2zsL</t>
  </si>
  <si>
    <t>Vendedor que fica se vitimizando, não gera resultados!!! Assume, aceite e pague o preço. No final, vale a pena!!🚀
#vendas #vendedor #atendimento</t>
  </si>
  <si>
    <t>Para ser un #vendedor de #exito en #Amazon necesitas conocer de muchos temas entre ellos de #PsicologiaDelConsumidor que aplican al #Ecommerce 
Si quieres aumentar tus ventas en #AmazonFBA no dudes en contactarnos para conocer nuestros servicios.
https://t.co/WiEOGqAC8f https://t.co/WdAxCUoHtZ</t>
  </si>
  <si>
    <t>#VIRAL. ¡Miserable!: a punta de #pistola, le robó lo recaudado a un #vendedor ambulante (#Video)
https://t.co/JkzMkaKUdE https://t.co/ZIgu9NnjXX</t>
  </si>
  <si>
    <t>Vendedor PAP JR com salário de R$ 1.330,00 para empresa no segmento de tecnologia e telecomunicações
https://t.co/NuQkz5Ndg3 #vendedor #pap
🙏 𝗔𝗷𝘂𝗱𝗲 𝗲𝘀𝘁𝗲 𝘁𝗿𝗮𝗯𝗮𝗹𝗵𝗼 𝗮 𝗰𝗿𝗲𝘀𝗰𝗲𝗿, 𝗮𝗹𝗴𝘂𝗲́𝗺 𝗽𝗼𝗱𝗲 𝗲𝘀𝘁𝗮́ 𝗽𝗿𝗲𝗰𝗶𝘀𝗮𝗻𝗱𝗼. https://t.co/GtWMPOEIcz</t>
  </si>
  <si>
    <t>Vendedor(a) em Quiosque, 02 vagas com salário de até R$ 2.000,00 para alimentos biscoitos e bolo de rolo
https://t.co/ZL2kxGPifJ #vendedor #quiosque
🙏 𝗔𝗷𝘂𝗱𝗲 𝗲𝘀𝘁𝗲 𝘁𝗿𝗮𝗯𝗮𝗹𝗵𝗼 𝗮 𝗰𝗿𝗲𝘀𝗰𝗲𝗿, 𝗮𝗹𝗴𝘂𝗲́𝗺 𝗽𝗼𝗱𝗲 𝗲𝘀𝘁𝗮́ 𝗽𝗿𝗲𝗰𝗶𝘀𝗮𝗻𝗱𝗼. https://t.co/g2hReRL4ZW</t>
  </si>
  <si>
    <t>Vendedor em Auto Center, 02 vagas com salário de R$ 1.750,00 para centro automotivo
https://t.co/iHEmF4Ex8H #vendedor #autocenter
🙏 𝗔𝗷𝘂𝗱𝗲 𝗲𝘀𝘁𝗲 𝘁𝗿𝗮𝗯𝗮𝗹𝗵𝗼 𝗮 𝗰𝗿𝗲𝘀𝗰𝗲𝗿, 𝗮𝗹𝗴𝘂𝗲́𝗺 𝗽𝗼𝗱𝗲 𝗲𝘀𝘁𝗮́ 𝗽𝗿𝗲𝗰𝗶𝘀𝗮𝗻𝗱𝗼. https://t.co/32kbymVVGE</t>
  </si>
  <si>
    <t>Vendedor, 04 vagas com salário de até R$ 1.500,00 para segmento de eletro doméstico
https://t.co/Eo8VelS2kw #vendedor
🙏 𝗔𝗷𝘂𝗱𝗲 𝗲𝘀𝘁𝗲 𝘁𝗿𝗮𝗯𝗮𝗹𝗵𝗼 𝗮 𝗰𝗿𝗲𝘀𝗰𝗲𝗿, 𝗮𝗹𝗴𝘂𝗲́𝗺 𝗽𝗼𝗱𝗲 𝗲𝘀𝘁𝗮́ 𝗽𝗿𝗲𝗰𝗶𝘀𝗮𝗻𝗱𝗼. https://t.co/oxR9SSc6CS</t>
  </si>
  <si>
    <t>Vendedor, 02 vagas com salário de R$ 2.300,00 para indústria metalúrgica no segmento de móveis e expositores
https://t.co/hlAwfvxsa1 #vendedor
🙏 𝗔𝗷𝘂𝗱𝗲 𝗲𝘀𝘁𝗲 𝘁𝗿𝗮𝗯𝗮𝗹𝗵𝗼 𝗮 𝗰𝗿𝗲𝘀𝗰𝗲𝗿, 𝗮𝗹𝗴𝘂𝗲́𝗺 𝗽𝗼𝗱𝗲 𝗲𝘀𝘁𝗮́ 𝗽𝗿𝗲𝗰𝗶𝘀𝗮𝗻𝗱𝗼. https://t.co/ACVA3veXrf</t>
  </si>
  <si>
    <t>Vendedor de Material de Construção, 03 vagas com salário de R$ 1.500,00 para empresa de comércio
https://t.co/Cz0gTTErTf #vendedor #materialdeconstrucao
🙏 𝗔𝗷𝘂𝗱𝗲 𝗲𝘀𝘁𝗲 𝘁𝗿𝗮𝗯𝗮𝗹𝗵𝗼 𝗮 𝗰𝗿𝗲𝘀𝗰𝗲𝗿, 𝗮𝗹𝗴𝘂𝗲́𝗺 𝗽𝗼𝗱𝗲 𝗲𝘀𝘁𝗮́ 𝗽𝗿𝗲𝗰𝗶𝘀𝗮𝗻𝗱𝗼. https://t.co/vHNY7SiXC8</t>
  </si>
  <si>
    <t>Vendedor de Frutos do Mar com salário de R$ 1.320,00 para comércio de pescados
https://t.co/SwlC0w8pLf #vendedor
🙏 𝗔𝗷𝘂𝗱𝗲 𝗲𝘀𝘁𝗲 𝘁𝗿𝗮𝗯𝗮𝗹𝗵𝗼 𝗮 𝗰𝗿𝗲𝘀𝗰𝗲𝗿, 𝗮𝗹𝗴𝘂𝗲́𝗺 𝗽𝗼𝗱𝗲 𝗲𝘀𝘁𝗮́ 𝗽𝗿𝗲𝗰𝗶𝘀𝗮𝗻𝗱𝗼. https://t.co/jC7vEHk1J8</t>
  </si>
  <si>
    <t>Vendedor(a) com salário de R$ 2.500,00 e conhecimento em hidráulica e elétrica
https://t.co/ldzmDxC9pV #vendedor
🙏 𝗔𝗷𝘂𝗱𝗲 𝗲𝘀𝘁𝗲 𝘁𝗿𝗮𝗯𝗮𝗹𝗵𝗼 𝗮 𝗰𝗿𝗲𝘀𝗰𝗲𝗿, 𝗮𝗹𝗴𝘂𝗲́𝗺 𝗽𝗼𝗱𝗲 𝗲𝘀𝘁𝗮́ 𝗽𝗿𝗲𝗰𝗶𝘀𝗮𝗻𝗱𝗼. https://t.co/cgkEHyKHB7</t>
  </si>
  <si>
    <t>Vendedor(a) com salário de R$ 1.400,00 para empresa do segmento de moda e vestuário
 #vendedor
📂 𝗩𝗼𝗰𝗲̂ 𝗱𝗲𝘃𝗲 𝗮𝗰𝗲𝘀𝘀𝗮𝗿 𝗼 𝗹𝗶𝗻𝗸 𝗲 𝗹𝗼𝗰𝗮𝗹𝗶𝘇𝗮𝗿 𝗼 𝗻𝗼𝗺𝗲 𝗲𝗺 𝗮𝘇𝘂𝗹 "𝗘𝗡𝗩𝗜𝗔𝗥 𝗢 𝗖𝗨𝗥𝗥𝗜́𝗖𝗨𝗟𝗢",…https://t.co/hHi9LwjU6g https://t.co/rY6NfAYscU</t>
  </si>
  <si>
    <t>Vendedor de Material de Construção com salário de R$ 1500,00 para Pessoas com Deficiência
https://t.co/nUVaQlAYFu #vendedor #pessoascomdeficiência
❓Estamos disponíveis pelo WhatsApp: (81) 99740-7546. Não atendemos chamadas telefônicas. https://t.co/J4v7qvr6Ca</t>
  </si>
  <si>
    <t>Vendedor(a) com salário de R$ 1.450,00 para empresa de comércio hortifruti
https://t.co/Z9WVFgwfP3 #vendedor
🙏 𝗔𝗷𝘂𝗱𝗲 𝗲𝘀𝘁𝗲 𝘁𝗿𝗮𝗯𝗮𝗹𝗵𝗼 𝗮 𝗰𝗿𝗲𝘀𝗰𝗲𝗿, 𝗮𝗹𝗴𝘂𝗲́𝗺 𝗽𝗼𝗱𝗲 𝗲𝘀𝘁𝗮́ 𝗽𝗿𝗲𝗰𝗶𝘀𝗮𝗻𝗱𝗼. https://t.co/CgQq0JfOuS</t>
  </si>
  <si>
    <t>Vendedor Externo com salário de R$ 1900,00 para indústria do segmento de construção civil
https://t.co/PkRXHL5o3K #vendedor #vagadeemprego #oportunidadedeemprego
Não se esqueça de conferir no final quantos candidatos estão concorrendo a esta vaga junto com você. https://t.co/WQr0Ln3oT5</t>
  </si>
  <si>
    <t>Vendedor com salário de R$ 1325,20 para segmento de vendas, instalação e manutenção de bombas d'água
https://t.co/16uJAFYREj #vendedor #vagadeemprego #oportunidadedeemprego https://t.co/PFRKaHKSR6</t>
  </si>
  <si>
    <t>Vendedor, 04 vagas com salário de R$ 2.000,00 para empresa de capacitação profissional
https://t.co/XPhwOH9spR #vendedor
🙏 𝗔𝗷𝘂𝗱𝗲 𝗲𝘀𝘁𝗲 𝘁𝗿𝗮𝗯𝗮𝗹𝗵𝗼 𝗮 𝗰𝗿𝗲𝘀𝗰𝗲𝗿, 𝗮𝗹𝗴𝘂𝗲́𝗺 𝗽𝗼𝗱𝗲 𝗲𝘀𝘁𝗮́ 𝗽𝗿𝗲𝗰𝗶𝘀𝗮𝗻𝗱𝗼. https://t.co/txoozusdiw</t>
  </si>
  <si>
    <t>Vendedor(a) com salário de até R$ 3.500,00 para empresa do segmento de móveis infantis
https://t.co/r0eSBelPCB #vendedor
🙏 𝗔𝗷𝘂𝗱𝗲 𝗲𝘀𝘁𝗲 𝘁𝗿𝗮𝗯𝗮𝗹𝗵𝗼 𝗮 𝗰𝗿𝗲𝘀𝗰𝗲𝗿, 𝗮𝗹𝗴𝘂𝗲́𝗺 𝗽𝗼𝗱𝗲 𝗲𝘀𝘁𝗮́ 𝗽𝗿𝗲𝗰𝗶𝘀𝗮𝗻𝗱𝗼. https://t.co/5NGxvVFPs1</t>
  </si>
  <si>
    <t>Vendedor de Material de Construção PCD com salário de R$ 1350,00 para comércio varejista
https://t.co/y9rXH1PIkF #vendedor #material #pessoascomdeficiência
Não se esqueça de conferir no final quantos candidatos estão concorrendo a esta vaga junto com você. https://t.co/zt5vYKSJaJ</t>
  </si>
  <si>
    <t>Vendedor com salário de R$ 2000,00 para empresa do segmento de confecção de fardamentos
https://t.co/hm8s8oeQ2Y #vendedor #paulista
Não se esqueça de conferir no final quantos candidatos estão concorrendo a esta vaga junto com você. https://t.co/pImvx94waV</t>
  </si>
  <si>
    <t>Vendedor, 03 vagas com salário de R$ 1.500,00 para empresa do segmento PET
https://t.co/MVqoymfTsK #vendedor
🙏 𝗔𝗷𝘂𝗱𝗲 𝗲𝘀𝘁𝗲 𝘁𝗿𝗮𝗯𝗮𝗹𝗵𝗼 𝗮 𝗰𝗿𝗲𝘀𝗰𝗲𝗿, 𝗮𝗹𝗴𝘂𝗲́𝗺 𝗽𝗼𝗱𝗲 𝗲𝘀𝘁𝗮́ 𝗽𝗿𝗲𝗰𝗶𝘀𝗮𝗻𝗱𝗼. https://t.co/exLlIOPrHh</t>
  </si>
  <si>
    <t>Vendedor(a), 05 vagas com salário de R$ 1.302,00 para empresa de higienização de reservatórios e análise de água
https://t.co/dk1jkpXNIw #vendedor
🙏 𝗔𝗷𝘂𝗱𝗲 𝗲𝘀𝘁𝗲 𝘁𝗿𝗮𝗯𝗮𝗹𝗵𝗼 𝗮 𝗰𝗿𝗲𝘀𝗰𝗲𝗿, 𝗮𝗹𝗴𝘂𝗲́𝗺 𝗽𝗼𝗱𝗲 𝗲𝘀𝘁𝗮́ 𝗽𝗿𝗲𝗰𝗶𝘀𝗮𝗻𝗱𝗼. https://t.co/vbtGggJ8q8</t>
  </si>
  <si>
    <t>#Costenses | Empresa busca vendedor de salón en el rubro automotriz
https://t.co/AKdjgrTsyj 
#ofertalaboral #ciudaddelacosta #vendedor</t>
  </si>
  <si>
    <t>iguala policíaca violencia vendedor disparos</t>
  </si>
  <si>
    <t>youtube ventas motivación energía alwaysbeclosing vendedor coachpepevillacis actioncoach</t>
  </si>
  <si>
    <t>ventas técnicadeventas vendedor comercial coachpepevillacis actioncoach</t>
  </si>
  <si>
    <t>ofertalaboral empleo acsiresearch ventas investigaciondemercados vendedor clientes</t>
  </si>
  <si>
    <t>ventas vendedor vendedora secretos consejos vendemas emprendedor emprendedora</t>
  </si>
  <si>
    <t>busquedalaboral vendedor indumentaria</t>
  </si>
  <si>
    <t>amigos referencias governador vendedor</t>
  </si>
  <si>
    <t>vendedor malaquias</t>
  </si>
  <si>
    <t>humildade vendedor malaquias</t>
  </si>
  <si>
    <t>fé malaquias vendedor</t>
  </si>
  <si>
    <t>malaquias vendedor reflexao</t>
  </si>
  <si>
    <t>vendedor malaquias resiliencia</t>
  </si>
  <si>
    <t>vendedor ahora actualidad emprendimiento literatura noticias negocios empresas lecheria opinion radio</t>
  </si>
  <si>
    <t>tbt tbts treinamento mentoria evento vendas maisvendas make maquiagem linhares loja lojista vendedor vender negocios palestra</t>
  </si>
  <si>
    <t>varejo loja lojaderoupas gestaodeloja vendamais maisvenda vendas lojadecalcados lojademaquiagem lojainfantil vendermais</t>
  </si>
  <si>
    <t>depoimento mentoria consultoria maisvendas vendamais vendas vender vendedor pdv lojas</t>
  </si>
  <si>
    <t>feedback depoimento loja lojaderoupa maisvendas vendedor sistema pdv comercio negocios empresa lojista loja showroom linhares marketing</t>
  </si>
  <si>
    <t>meme vendedor videoengracado vendas loja maisvendas marketing lojas meta</t>
  </si>
  <si>
    <t>varejo loja lojaderoupas gestaodeloja vendamais maisvenda vendas lojadecalcados lojademaquiagem lojainfantil vendermais dicas vender</t>
  </si>
  <si>
    <t>memes meme memesbr memesvenda videosengracado rells engracado sabado gerente vendedor vendas marketing loja lojista comercio comerciante negocios</t>
  </si>
  <si>
    <t>memes meme comedia sabado loja lojista lojas vendedor vendas comercio negocios comercial empresa marketing memesemimagem</t>
  </si>
  <si>
    <t>lojistas loja vendedor vendamais vendas maisvendas lojas</t>
  </si>
  <si>
    <t>meme memes comissao vendedor vender maisvendas lojas lojista comercio comerciante negocios negocio</t>
  </si>
  <si>
    <t>meme vendas vendedor comercio lojas loja negocios marketing comercial reels memes sabado</t>
  </si>
  <si>
    <t>loja lojaderoupas gestaodeloja vendamais maisvenda vendas lojadecalcados lojademaquiagem lojainfantil vendermais depoimento</t>
  </si>
  <si>
    <t>varejo loja lojaderoupas gestaodeloja ecommerce vendamais maisvenda vendas lojadecalcados lojademaquiagem lojainfantil vendermais</t>
  </si>
  <si>
    <t>tbt tbts evento treinamento mentoria maisvendas vendas vender loja lojista empresa empreender negocios negocio marketing midia comercio vendedor linhares frase</t>
  </si>
  <si>
    <t>meme vendedor vendas memes vendedores lojas lojistas sabado marketing comercio negocios</t>
  </si>
  <si>
    <t>tbt tbt tbts quinta evento treinamento mentoria vendas vendedor maisvendas vendamais loja lojistas lojas marketing comercio negoocios</t>
  </si>
  <si>
    <t>loja lojaderoupas gestaodeloja vendamais maisvenda vendas vendermais dicas</t>
  </si>
  <si>
    <t>busquedalaboral empleovillaluro villaluro vendedor empleadoconcesionaria</t>
  </si>
  <si>
    <t>vendedor</t>
  </si>
  <si>
    <t>buscoempleo vendedor salta</t>
  </si>
  <si>
    <t>buscotrabajo vendedor sgodelestero</t>
  </si>
  <si>
    <t>vendedor buscotrabajo</t>
  </si>
  <si>
    <t>mercadolibre colecta vendedor</t>
  </si>
  <si>
    <t>nativenewscarajás vendedor bíblias preso estupro meninade4anos pinhalzinho sc</t>
  </si>
  <si>
    <t>vendas atendimento atendimentoaocliente vendedorinterno vendedor</t>
  </si>
  <si>
    <t>bolso vendedor</t>
  </si>
  <si>
    <t>marketingdigital agênciademarketing vendermais dznproject</t>
  </si>
  <si>
    <t>díadeltendero vendedor</t>
  </si>
  <si>
    <t>eldiariodeunvendedor diario lima peru rutamods ruta madrugar ventas vendedor productos confesiones sueño esperanza fe</t>
  </si>
  <si>
    <t>vendedor comprar</t>
  </si>
  <si>
    <t>vendedor marketing marketingdigital sitiosweb paginaweb reforma222</t>
  </si>
  <si>
    <t>gfsa trabalhista propagandista horasextras trabalhoexterno direitotrabalhista justicadotrabalho tst saopaulo vendedor</t>
  </si>
  <si>
    <t>personalizados vendedor vendasonline vendas empreendedorismo emprendedores emprendimiento pix clientes cliente pacientes</t>
  </si>
  <si>
    <t>vendedor retail comercio riocuarto cv</t>
  </si>
  <si>
    <t>vendas empreendedorismo sucesso empreendedor vendedor joaonetocontador profissaoempreendedorpodcast</t>
  </si>
  <si>
    <t>ventas vendedor</t>
  </si>
  <si>
    <t>notificacion vendedor cambiodetitularidad</t>
  </si>
  <si>
    <t>decisao geraçãodevalor geracaomilionaria braip vendermais vendas</t>
  </si>
  <si>
    <t>ventas vendedor empresas empresa recession</t>
  </si>
  <si>
    <t>felizsabado ventas vendedor empresa negocios ingresos</t>
  </si>
  <si>
    <t>empresario emprendedor liderazgo vendedor felizviernesatodos viernesbotanero</t>
  </si>
  <si>
    <t>elpaís video vendedor telenoticias telesistema11 playarogelio villamagante</t>
  </si>
  <si>
    <t>elpaís vendedor discusión telenoticias telesistema11 hotdog mataaotro</t>
  </si>
  <si>
    <t>elpaís asesinan reconocido vendedor drogas moca telenoticias telesistema11 pn policia</t>
  </si>
  <si>
    <t>ventas vendedor vendedorcamaleon practicasempresarialespodcast podcast</t>
  </si>
  <si>
    <t>onibus vigia vigilante medico consulta provador vendedor loja</t>
  </si>
  <si>
    <t>vendedor b2b servicios integrados telecomunicaciones ofertatic hibrido trabajosihay vendedorb2b networking ticjob</t>
  </si>
  <si>
    <t>vendedor b2b servicios integrados telecomunicaciones ofertatic híbrido trabajosihay b2b networking conectividad ciberseguridad wifi omnicanalidad ticjob</t>
  </si>
  <si>
    <t>vendedor b2b servicios integrados telecomunicaciones ofertatic trabajosihay networking ciberseguridad sase omnicanalidad wifi ticjob</t>
  </si>
  <si>
    <t>ventas gestióndeventas crm vendedor empresa</t>
  </si>
  <si>
    <t>vacantes vacantesrd vendedor comercial</t>
  </si>
  <si>
    <t>clientes lojas compras atendimento atendimentoaocliente lojasdesapatos lojasdesapatosfemininos sapataria vendedor vendedora vendedores</t>
  </si>
  <si>
    <t>comissao vendedor premio advogadotrabalhista direitodotrabalho direitostrabalhistas trabalhador advocacia trabalho dicastrabalhistas direitotrabalhista advogado</t>
  </si>
  <si>
    <t>comissao premio holerite trabalho emprego vendedor comissionado direitodotrabalho contracheque pagamento salario dinheiro advogadotrabalhista direitos</t>
  </si>
  <si>
    <t>comissao vendedor ferias trabalho trabalhador dinheiro emprego salario pis fgts sp saopaulo advogado sampa direitodotrabalho clt inss variavel</t>
  </si>
  <si>
    <t>hiring health insuranceindustry vendedores vendedor</t>
  </si>
  <si>
    <t>trabajo vendedor</t>
  </si>
  <si>
    <t>contratoforward vendedor forex evaluacionbroker aprende blog bolsa broker estafa cripto criptotech crypto cryptomonedas denuncia brokers</t>
  </si>
  <si>
    <t>contratodefuturos vendedor comprador evaluacionbroker aprende blog bolsa broker estafa cripto criptotech crypto cryptomonedas denuncia brokers denunciabrokers dinero</t>
  </si>
  <si>
    <t>ask preciodeoferta vendedor evaluacionbrokers aprende blog bolsa broker estafa cripto criptotech crypto cryptomonedas denuncia brokers denunciabrokers dinero</t>
  </si>
  <si>
    <t>intermediariospuros ecn comisionistas contrapartida operaciones comprador vendedor evaluacionbrokers aprende blog bolsa broker</t>
  </si>
  <si>
    <t>broker vendedor activo comprar activo venderlo evaluacionbrokers aprende blog bolsa broker estafa cripto criptotech crypto</t>
  </si>
  <si>
    <t>inversiones vender vendedor</t>
  </si>
  <si>
    <t>metadevendas vender vendedor podcast</t>
  </si>
  <si>
    <t>marketing vivienda vendedor blog agenteinmobiliario formacioninmobiliaria sectorinmobiliario fotocasaproacademy</t>
  </si>
  <si>
    <t>escucha ventas vendedor curso</t>
  </si>
  <si>
    <t>problema vendedor robo</t>
  </si>
  <si>
    <t>vendedor campo saenzpeña tnoa empleoar trabajoar</t>
  </si>
  <si>
    <t>vendedor hospitalario tucumán tnoa tucumán empleoar trabajoar</t>
  </si>
  <si>
    <t>saltacapital vendedor salón tnoa salta empleoar trabajoar</t>
  </si>
  <si>
    <t>vendedor hospitalario tucumán salta jujuyelige tnoa empleoar trabajoar</t>
  </si>
  <si>
    <t>belén vendedor tnoa catamarca empleoar trabajoar</t>
  </si>
  <si>
    <t>vendedor hospitalario tucumán salta jujuy tnoa tucumán salta jujuy empleoar trabajoar</t>
  </si>
  <si>
    <t>santiagodelestero vendedor viajante tnoa santiagodelestero empleoar trabajoar</t>
  </si>
  <si>
    <t>plataformasdigitales timbralofacil vendedor remision puntodeventa</t>
  </si>
  <si>
    <t>líder liderança mentor mentoria vendas vendedor rh recursoshu</t>
  </si>
  <si>
    <t>vendedor vendedor vendedora vendedores vendo vender pasteleria pastelerias pasteleriaartesanal galleta galletas cookie cookies galletaglaseada galletasglaseadas glazedcookie glazedcookies cookiesofinstagram bakery bakerys</t>
  </si>
  <si>
    <t>comprador vivienda vendedor</t>
  </si>
  <si>
    <t>restaurante vendedor laplata cliente zonasur conurbano elbonateinforma</t>
  </si>
  <si>
    <t>inseguridad pergamino robaron comisaría vendedor local venta celulares robó</t>
  </si>
  <si>
    <t>educacionfinanciera inspiracion vendedor vender menteexitosa</t>
  </si>
  <si>
    <t>guiase smart metas objetivos vendas empreendedorismo vendermais marketing marketingdigital</t>
  </si>
  <si>
    <t>edsheeran foodtruck carrito carro comidarapida vendedor</t>
  </si>
  <si>
    <t>vendedor plazaprincipal</t>
  </si>
  <si>
    <t>tlalpan trabajosihay trabajo emprendedores vendedor</t>
  </si>
  <si>
    <t>trabajosihay trabajo emprendedores vendedor tlalpan</t>
  </si>
  <si>
    <t>seguridad vendedor esposa</t>
  </si>
  <si>
    <t>vendesoayudas vendedores vendedor negocios</t>
  </si>
  <si>
    <t>vendesoayudas vendedor economia negocio</t>
  </si>
  <si>
    <t>vendesoayudas vendedor negocio economia finance</t>
  </si>
  <si>
    <t>vendermais</t>
  </si>
  <si>
    <t>vendolite vendingmachine smart business touch onlinepayment vendedor businessowner picoftheday snacksonsnacks colddrink snackslover</t>
  </si>
  <si>
    <t>frutas frutero juancarlosgrullón vendedor verón bávaro puntacana</t>
  </si>
  <si>
    <t>marketing rd marketingdigital networking vendedor inmobiliario medicos visitador musicos politicos</t>
  </si>
  <si>
    <t>marketing graphicdesign marketingdigital marketingstrategy networking vendedor inmobiliario medicos visitador musicos politicos</t>
  </si>
  <si>
    <t>marketing graphicdesign marketingdigital marketingstrategy networking vendedor inmobiliario medicos</t>
  </si>
  <si>
    <t>busquedalaboral trabajo clicktime cordoba vendedor ventas</t>
  </si>
  <si>
    <t>timo engañada venta falso miedo vendedor reclamacion opiniones denuncia devuelve dinero</t>
  </si>
  <si>
    <t>vendas b2b vendedor</t>
  </si>
  <si>
    <t>vendedor consorcio</t>
  </si>
  <si>
    <t>móvil aliqindoi vendedor</t>
  </si>
  <si>
    <t>aliqindoi escrow vendedor móvil</t>
  </si>
  <si>
    <t>casopráctico agenciasinmobiliarias mediadoras comprador vendedor</t>
  </si>
  <si>
    <t>tatuador emplead vendedor medica</t>
  </si>
  <si>
    <t>empleoverde empleaverde sostenibilidadambiental futurov desarrollosostenible trabajosihay buscoempleo vendedor</t>
  </si>
  <si>
    <t>empreendedorismo business motivacional vendas vendedor</t>
  </si>
  <si>
    <t>atracadores vendedor disparo pantoja sumundodigital</t>
  </si>
  <si>
    <t>grantcardone ventas vender vendedor ventaonline sales insidesales vendermas soyvendedor comunidadsoyvendedor motivacion vendesporquevendes empresas empresa negocios emprendimiento motivacion venderesayudar elmomentoesahora siempreeshoy invierte</t>
  </si>
  <si>
    <t>clubedas5 vendedor</t>
  </si>
  <si>
    <t>atendermelhor atendimentoaocliente comercial comoatendermelhor comovendermais live melhoraroatencimento vendermais</t>
  </si>
  <si>
    <t>direitosindical sindicato advogadotrabalhista vendedor motorista</t>
  </si>
  <si>
    <t>uberlandia emprego mercadodetrabalho declathon vagas vendedor empregouberlandia</t>
  </si>
  <si>
    <t>focoinformativo 6marzo capturan vendedor drogas sabaneta maracaibo venezuela cpez</t>
  </si>
  <si>
    <t>vendedor comercial gestión comercial ventas certificado profesionalidad</t>
  </si>
  <si>
    <t>trabajo vacante vacantedeldía vendedor comercio empleo puebla</t>
  </si>
  <si>
    <t>trabajo vacante vacantedeldía chofer empleo puebla vendedor</t>
  </si>
  <si>
    <t>tehuacán vacante tehuacán chofer vendedor puebla</t>
  </si>
  <si>
    <t>vendedor valència franco paterna memoriahistórica</t>
  </si>
  <si>
    <t>vendedor manises franco paterna memoriahistórica</t>
  </si>
  <si>
    <t>vendedor bocairent franco paterna memoriahistórica</t>
  </si>
  <si>
    <t>vendedor anna franco paterna memoriahistórica</t>
  </si>
  <si>
    <t>vendedor torrent franco paterna memoriahistórica</t>
  </si>
  <si>
    <t>vendedor olleria franco paterna memoriahistórica</t>
  </si>
  <si>
    <t>bancos bienesraices casas comprador comprar fotocasa hipotecas idealista inmobiliaria realestate vendedor visitar vivienda</t>
  </si>
  <si>
    <t>agente casas homestaging inmobiliaria realtor vendedor vender vida</t>
  </si>
  <si>
    <t>alquilar arras bienesraices comprador contratos idealista inmobiliaria ley realestate tribunales vendedor vender</t>
  </si>
  <si>
    <t>bienesraices casas decisiones dinero errorescomunes inmobiliaria inmobiliarias manuariasrealtor negocios realestate rentabilidad vendedor</t>
  </si>
  <si>
    <t>agentesinmobiliarios bienesraices comprador exclusiva inmobiliaria inquilino mls propietario realestate realtors vendedor</t>
  </si>
  <si>
    <t>videoslajornada vendedor mercadoindependencia vigilancia</t>
  </si>
  <si>
    <t>díaenimágenes vendedor perro cdmx</t>
  </si>
  <si>
    <t>venda napalmatem vendedor hastalavistababy meme meta bomhumor recife cabo</t>
  </si>
  <si>
    <t>empleos primerempleo trabajo busquedalaboral vendedor empleado sebusca pyme negocio empleoscaba empleosargentina</t>
  </si>
  <si>
    <t>pilar tortuguitas avellenda abasto empleos primerempleo trabajo busquedalaboral vendedor empleado sebusca pyme negocio empleoscaba empleosargentina</t>
  </si>
  <si>
    <t>zonaoeste empleos primerempleo trabajo busquedalaboral vendedor empleado sebusca pyme negocio empleoscaba empleosargentina</t>
  </si>
  <si>
    <t>avecesar ayudantedecocina parrillero depedientedemostrador empleos primerempleo trabajo busquedalaboral vendedor empleado sebusca pyme negocio empleoscaba empleosargentina</t>
  </si>
  <si>
    <t>lomasdelmirador vendedoresdesalon vendedor redes</t>
  </si>
  <si>
    <t>guatemala empleos vendedor peten</t>
  </si>
  <si>
    <t>guatemala empleos vendedor elestor izabal servicioalcliente ventas</t>
  </si>
  <si>
    <t>guatemala empleos asesor vendedor servicioalcliente ventas guatemala</t>
  </si>
  <si>
    <t>guatemala empleos vendedor huehuetenango</t>
  </si>
  <si>
    <t>guatemala empleos vendedor xela</t>
  </si>
  <si>
    <t>guatemala empleos vendedor</t>
  </si>
  <si>
    <t>trafegopago trafego trafegopagoads trafegopagofacebook trafegoparanegocioslocais trafegopagoinstagram vendermais</t>
  </si>
  <si>
    <t>vendedor historia historiadeexito sales software cx oracle</t>
  </si>
  <si>
    <t>oportunidad empleo trabajo fuengirola mijas málaga vendedor ccmiramar</t>
  </si>
  <si>
    <t>controledevendas vendermais relatorios frameticket plataformadevendas</t>
  </si>
  <si>
    <t>controledevendas vendermais relatorios frameticket plataformadevendas gestãointeligente sucesso</t>
  </si>
  <si>
    <t>ecuador calzado vendedor humor</t>
  </si>
  <si>
    <t>vendas mei canela cravosdaindia noz boasvibrações boasenergias baralhocigano tarotdabruxa oráculodadeusa tarotbrasil leiturasbrasil rj riodejaneiro autonomo vendedora vendedor conselho lua</t>
  </si>
  <si>
    <t>ventas liderazgo cliente actitud comunicador vendedor producto</t>
  </si>
  <si>
    <t>vendas oportunidade inovacao vendedor</t>
  </si>
  <si>
    <t>arteyluchalibre luchayarte luchalibremexicana luchalibre lucha mascarero vendedor méxico dl3c podcast</t>
  </si>
  <si>
    <t>promocao cupomdedesconto reserva cupomreserva roupamasculina reservacupom vendedor</t>
  </si>
  <si>
    <t>vagas projetista vendedor pinheiros</t>
  </si>
  <si>
    <t>dicas vendas vendermais empreender online ahazouvendas misbrito subida gestoradetrafego</t>
  </si>
  <si>
    <t>misbrito gestoradetrafego subida dicas vendas vendermais empreender online ahazouvendas</t>
  </si>
  <si>
    <t>libro vendedor</t>
  </si>
  <si>
    <t>vendas tecnicas vendedor sucesso</t>
  </si>
  <si>
    <t>mercado clientes vendedor correduriainteligente</t>
  </si>
  <si>
    <t>palestraonline vendas vendermais vendamais palestra inteligenciaemocional palestranterogeriomartins</t>
  </si>
  <si>
    <t>trabajo trabajaconnosotros trabajosihay busquedalaboral felizjuevesatodos empleo vendedor aeropuerto empleobogota</t>
  </si>
  <si>
    <t>gerencia vendedor</t>
  </si>
  <si>
    <t>roupa troca cliente direitodoconsumidor festa aniversario vendedor</t>
  </si>
  <si>
    <t>hiroshima vendedor</t>
  </si>
  <si>
    <t>samirnews bolhadev anúncio falso de ps5 barato dá prejuízo a vendedor no mercado livre</t>
  </si>
  <si>
    <t>samirnews bolhadev vendedor do mercadolivre é hackeado e golpistas faturam r mil</t>
  </si>
  <si>
    <t>ventas vendedor tipsdeventas vendedores clientes ventadigital vendermas</t>
  </si>
  <si>
    <t>ventas vendedor tipsdeventas clientes</t>
  </si>
  <si>
    <t>ventas vendedor vendermas tipsdeventas marketing</t>
  </si>
  <si>
    <t>ventas vendedor vender negocios</t>
  </si>
  <si>
    <t>ventas vendedor emprendedoresexitosos emprendedor fortalezastdebilidades</t>
  </si>
  <si>
    <t>ventas vendedor tipsdeventas marketing vendedores clientes</t>
  </si>
  <si>
    <t>ventas vendedor tipsdeventas marketing</t>
  </si>
  <si>
    <t>ventas vendedor clientes negocios</t>
  </si>
  <si>
    <t>ventas vendedor tipsdeventas marketing clientes</t>
  </si>
  <si>
    <t>clientes ventas vendedor tipsdeventas</t>
  </si>
  <si>
    <t>ventas ventasonline vendedor clientes</t>
  </si>
  <si>
    <t>ventas vendedor tipsdeventas vendedores clientes ventadigital</t>
  </si>
  <si>
    <t>vendedor tipsdeventas ventas vender ventasexitosas</t>
  </si>
  <si>
    <t>ventas vendedor marketing clientes</t>
  </si>
  <si>
    <t>ventas negocios vendedor</t>
  </si>
  <si>
    <t>ventas vendedor tipsdeventas negocios vendedores</t>
  </si>
  <si>
    <t>industria ventas comercial cliente vendedor comercializacion cordoba trabajo empleo trabajoar oportunidadlaboral</t>
  </si>
  <si>
    <t>vendedor ventas comercial nutricionanimal reparto repartidor venadotuerto santafe trabajo empleo trabajoar trabajoagro oportunidadlaboral</t>
  </si>
  <si>
    <t>vendedor ventas comercial nutricionanimal reparto repartidor sanfrancisco cordoba trabajo empleo trabajoar trabajoagro oportunidadlaboral</t>
  </si>
  <si>
    <t>ventas vendedor comercializacion industria industrial producto cotizacion cliente cordoba trabajo trabajoar empleo oportunidadlaboral</t>
  </si>
  <si>
    <t>izúcar gasolinera vendedor balazos</t>
  </si>
  <si>
    <t>vendedor redactor secretaria desarrolladordeventos</t>
  </si>
  <si>
    <t>captador vendedor trabajador</t>
  </si>
  <si>
    <t>vender vendermais venderonline venderonlinetransforma vendedor vendas hotvendas</t>
  </si>
  <si>
    <t>venderarte vender vendas vendasonline vendasonlineparatodobrasil vendas vendedor vndedordigital</t>
  </si>
  <si>
    <t>vendas vendedor representante representantes zuleir tyrculsultoria mentor consultoria empreendedorismo empreender</t>
  </si>
  <si>
    <t>vendas vendedor representante representantes zuleir tyrculsultoria mentor consultoria empreendedorismo empreender reflexao reflexão representantecomercial</t>
  </si>
  <si>
    <t>vendas vendedor representante representantes zuleir tyrculsultoria</t>
  </si>
  <si>
    <t>vendas vendedor representante representantes zuleir tyrculsultoria mentor consultoria empreendedorismo empreender reflexao reflexão</t>
  </si>
  <si>
    <t>vendedor comercial</t>
  </si>
  <si>
    <t>empleo córdoba energíarenovable autoconsumo fotovoltaica ventas vendedor proyecto mejoracontinua</t>
  </si>
  <si>
    <t>ventas personas equipos personas autoliderazgo objetivos metas vendedor mejoracontinua eficiencia</t>
  </si>
  <si>
    <t>liderazgo autoliderazgo desarrolloprofesional mejoracontinua crecimiento credibilidad profesionalidad metas ventas objetivos meritocracia futuro presente pymes vendedor equipo</t>
  </si>
  <si>
    <t>vendedor chófer cocinero pintor guardia aseo electricista profesor musico político arquitetura</t>
  </si>
  <si>
    <t>tiktok mercadolivre vendedor</t>
  </si>
  <si>
    <t>vendas vendasconsultivas vendasb2b representantecomercial processocomercial vendedor</t>
  </si>
  <si>
    <t>ventas vendedor portavisa</t>
  </si>
  <si>
    <t>vendedor moonlightchicken turkey</t>
  </si>
  <si>
    <t>zcmayoristas todossomoszc empleo bolsadetrabajo ventas vendedor</t>
  </si>
  <si>
    <t>lucro vendermais maisvendas vendas leads clientes dinheiro maisclientes vender</t>
  </si>
  <si>
    <t>emprendedor entrevista vendedor</t>
  </si>
  <si>
    <t>útilesescolares vendedor independiente ventadirecta</t>
  </si>
  <si>
    <t>consumidor vendedor emprendemosconética</t>
  </si>
  <si>
    <t>ventadirecta vendedor independiente</t>
  </si>
  <si>
    <t>ventadirecta colombia independiente vendedor</t>
  </si>
  <si>
    <t>ventadirecta calidad producto vendedor consumidor</t>
  </si>
  <si>
    <t>ventadirecta vendedor catálogo</t>
  </si>
  <si>
    <t>augustocury augusto cury cada doente mente doena pertence universo infinito livro vendedor sonhos</t>
  </si>
  <si>
    <t>vendedor accidente</t>
  </si>
  <si>
    <t>empleoverde empleaverde sostenibilidadambiental desarrollosostenible futurov trabajosíhay buscoempleo vendedor freelance economiacircular</t>
  </si>
  <si>
    <t>dealclosers vendedor</t>
  </si>
  <si>
    <t>vacantes almacen chofer estamoscontratando auxiliarcontable intendencia vendedor</t>
  </si>
  <si>
    <t>oportunidadlaboral guayaquil vendedor ventas ofertasdetrabajo</t>
  </si>
  <si>
    <t>eldiarioviral disneylandia vendedor</t>
  </si>
  <si>
    <t>cliente atendimento relacionamento pósvenda vendedor</t>
  </si>
  <si>
    <t>quote publicitastalks libro vendedor venta b2b salesprofs</t>
  </si>
  <si>
    <t>laplata muerte vendedor</t>
  </si>
  <si>
    <t>googleads vendermais</t>
  </si>
  <si>
    <t>vendas equipe b2b líder industria vendasb2b vendedor equipedevendas empreendedor</t>
  </si>
  <si>
    <t>regionnet vendedor curso taller aegd generaldeheza formacion</t>
  </si>
  <si>
    <t>venta vendedor ecuador guayaquil guayas quito marketing perfilcomercial mexico colombia</t>
  </si>
  <si>
    <t>objeciones ventas exito vendedor profesional vendedor</t>
  </si>
  <si>
    <t>teresinense vendedor macaco teresinense presa bahia</t>
  </si>
  <si>
    <t>vendedor victorkuppers</t>
  </si>
  <si>
    <t>freelance trabajo ventas oportunidad vendedor freelance</t>
  </si>
  <si>
    <t>ventas vender vendedor vendedores clients</t>
  </si>
  <si>
    <t>pollo polloorganico orgánico miércoles tendencias ventas vendedor emprendedor</t>
  </si>
  <si>
    <t>mercado brasil vendas negócios hábitos comportamento empreendedorismo vendedor conexões orobertovilelaoficial</t>
  </si>
  <si>
    <t>asesordeventas vendedor ejecutivodeventas empleo empleosv contratando buscoempleo joven360 elsalvador</t>
  </si>
  <si>
    <t>vendedor upervisor empleo empleosv contratando buscoempleo joven360 elsalvador</t>
  </si>
  <si>
    <t>vacantes panama laborales correo contrataciones contactos empleo profesional crecimientoprofesional oportunidadeslaborales capitalhumano secretaria vendedor automotriz capataz ingeniero</t>
  </si>
  <si>
    <t>vacantelaboral ofertadeempleo sears vacantessears empleo vacantes trabajo vendedora vendedor empleosaguascalientes</t>
  </si>
  <si>
    <t>vendedora varejo vendas vender vendermais</t>
  </si>
  <si>
    <t>vagasdeemprego vagas vendedor anápolis goiania emprego auxiliardecozinha domestica garçom roupas engenhariacivil engenharia chefedefila querovagas</t>
  </si>
  <si>
    <t>vagasdeemprego vagas vendedor empregos goiania emprego vendas</t>
  </si>
  <si>
    <t>vagasdeemprego vagas vendedor anápolis goiania emprego auxiliardecozinha domestica garçom roupas engenhariacivil engenharia chefedefila querovagas empregos</t>
  </si>
  <si>
    <t>ole qepd bucaramanga vendedor</t>
  </si>
  <si>
    <t>vendedor misterparana</t>
  </si>
  <si>
    <t>materiainmobiliaria comprador vendedor propiedad urbanizacionesvenezuela estrategiasocialmedia</t>
  </si>
  <si>
    <t>vendas vendedor vendedora corretor corretordeimoveis corretordesucesso corretoradeimoveis empreendedorismofeminino mercadoimobiliario</t>
  </si>
  <si>
    <t>corretor vendedor empreendedor</t>
  </si>
  <si>
    <t>remax carreira vagas vendas vendedor corretor corretordeimoveis corretordesucesso corretoradeimoveis empreendedorismo transicaodecarreira</t>
  </si>
  <si>
    <t>vendedor clientes tecnologia crm comercial growth erpcloud</t>
  </si>
  <si>
    <t>vendedor vendedortecnico antofagasta bombas sellos</t>
  </si>
  <si>
    <t>antofagasta vendedor</t>
  </si>
  <si>
    <t>coach coaching coachingcomercial coachdeventas coachingdeventas vendedores ventas negocios aprende ponencias cursos vendedor empresas empresarios directordeventas directorcomercial</t>
  </si>
  <si>
    <t>vendas vendedor sucesso heliocouto profheliocouto</t>
  </si>
  <si>
    <t>prosperidade sucesso vendas vendedordesucesso vender vendedor venda perfil tecnicas tecnicadevendas tecnicasdevenda heliocouto héliocouto</t>
  </si>
  <si>
    <t>mucão comedia rir humor vendedor pomada juazeirodonorte pracapadrecicero videosengracados mucaoaovivo</t>
  </si>
  <si>
    <t>mx seguridad inseguridad muertos rayo playa matrimonio accidente maruata michoacán vendedor comerciante mujer decálogo</t>
  </si>
  <si>
    <t>vendas vendedor marketing negócios business</t>
  </si>
  <si>
    <t>vendas neuromarketing motivacao marketing empreendedorismo vendas vendedor sucesso</t>
  </si>
  <si>
    <t>empreendedorismo negocios empreenda empreender lucro vendas marketing marketingdigital empreededorismofeminino empresas empreendendo loja lojaonline vendas vendedor</t>
  </si>
  <si>
    <t>neuromarketing marketing vendas vendedor sucesso mentoria empreendedorismo motivacao treinamento vitoria trafegopago v carreira</t>
  </si>
  <si>
    <t>nerimarmendes neuromarketing marketing vendas vendedor sucesso mentoria empreendedorismo motivacao treinamento vitoria trafegopago v carreira</t>
  </si>
  <si>
    <t>sentencia condena vendedor vehículo viciosocultos españa leonesp consumidor</t>
  </si>
  <si>
    <t>bebidas cerveja promoção vendedor representantecomercial corretordebebidas distribuidora adega depositodebebidas</t>
  </si>
  <si>
    <t>vendas vendedor dividas nomesujo nomelimpo credito</t>
  </si>
  <si>
    <t>vendas vendedor empreendedor caiocarneiro joeljota</t>
  </si>
  <si>
    <t>suga_agustd_tour viral vendedor lucianioapvs carros protegidos</t>
  </si>
  <si>
    <t>vendedor bucaramanga</t>
  </si>
  <si>
    <t>ventas educacionfinanciera vendedor</t>
  </si>
  <si>
    <t>vender vendedor pymesunidas</t>
  </si>
  <si>
    <t>vagas vagasrs riograndedosul oportunidades empregos guaíba vendedor moda móveis lebes</t>
  </si>
  <si>
    <t>vagas vagasrs riograndedosul oportunidades empregos mosmann alimentos parobe vendedor atendente</t>
  </si>
  <si>
    <t>motorista jovemaprendiz vendedor padeiro confeitaria atendente alarme vagas tramandai imbé litoral vagasrs riograndedosul</t>
  </si>
  <si>
    <t>vagas capaodacanoa litoral vendedor auxiliardeestoque estoque loja queroquero</t>
  </si>
  <si>
    <t>estoque vendedor cachoeirinha moveis</t>
  </si>
  <si>
    <t>vendedor vendedora colombo loja móveis tramandai litoral</t>
  </si>
  <si>
    <t>renner taquara loja vagas vagasrs emprego oportunidades assistentedeloja atendente vendedor</t>
  </si>
  <si>
    <t>oportunidades loja leroymerlin sãoleopoldo portoalegre atendente caixaoperador vendedor empregos</t>
  </si>
  <si>
    <t>vagas vagasrs emprego oportunidade deltasul servente vendedor caixa crediário</t>
  </si>
  <si>
    <t>colombo loja operadordeloja vendedor portoalegre vagas vagasrs empregos oportunidades</t>
  </si>
  <si>
    <t>vagas canoas regiao vagasrs oportunidades logistica vendedor empregos</t>
  </si>
  <si>
    <t>vagas vagasrs portoalegre consultordevendas vendedor decorador</t>
  </si>
  <si>
    <t>vagas sapucaia esteio cachoeirinha canoas cocacolafemsa cocacola vendedor</t>
  </si>
  <si>
    <t>vagas portoalegre eldoradodosul litoral nestlé vendedor recepcionista logistica</t>
  </si>
  <si>
    <t>empresas oportunidades vaga vagas vagassa oportunidades empresas vaga oportunidades empregos oportunidadedeemprego vagasdeemprego fruki auxiliardeprodução vendedor</t>
  </si>
  <si>
    <t>asv tecnologia sistemas consultoria erp bi portaldovendedor vendedor forçadevendas gestão</t>
  </si>
  <si>
    <t>auxiliardelogística piraporadobomjesus processoseletivo santanadeparnaíba vagas vendedor</t>
  </si>
  <si>
    <t>maternidade mãe filho filha criança emprego vendedor vendedora vendas empatia cliente rh trabalho contrato documento responsabilidade advogado escritório contrato justiça</t>
  </si>
  <si>
    <t>empleo vendedor muebles mallorca palma moblescanbarato jobs hiring</t>
  </si>
  <si>
    <t>vendedor caspa mendozantigua</t>
  </si>
  <si>
    <t>vendedor picoftheday trendingvideo formula1 ventas ventasonline</t>
  </si>
  <si>
    <t>energiasolar vendedor arquitetura imóveis</t>
  </si>
  <si>
    <t>empleocerca luján ofertalaboral vendedor</t>
  </si>
  <si>
    <t>furto carro testdrive vendedor goiás</t>
  </si>
  <si>
    <t>migrantes italia arabiasaudita ucrania mexico amlo china vendedor armas ecuador ue 26febrero 27feb noticiasrapidasec noticias ultimahora</t>
  </si>
  <si>
    <t>businesscoach vendasb2b estrategia oportunidade</t>
  </si>
  <si>
    <t>vendas vendedor investimento desenvolvimento desenvolvimentopessoal treinamento</t>
  </si>
  <si>
    <t>paletero paleteroman streetvendor vendedor poem poetry poems song songwriter tejuino musical musicaltheatre</t>
  </si>
  <si>
    <t>vagas vagascuritiba dicaagnesrh vendas vendedor atendimento</t>
  </si>
  <si>
    <t>vagas vagascuritiba dicaagnesrh vendas vendedor comercial</t>
  </si>
  <si>
    <t>montparlover empleo ventas vendedor pastel únetealafamilia</t>
  </si>
  <si>
    <t>trabajosihay trabajobogota vendedor ventas</t>
  </si>
  <si>
    <t>vaga vendedor interno compartilhe marque recrutadora curriculo vaga emprego rioclaro</t>
  </si>
  <si>
    <t>vaga vendedor shopping compartilhe marque recrutadora curriculo vaga emprego rioclaro</t>
  </si>
  <si>
    <t>vaga balconista vendedor compartilhe marque recrutadora curriculo vaga emprego limeira</t>
  </si>
  <si>
    <t>vaga vendedor interno compartilhe marque recrutadora curriculo vaga emprego araras</t>
  </si>
  <si>
    <t>vaga vendedor compartilhe marque recrutadora curriculo vaga emprego rioclaro</t>
  </si>
  <si>
    <t>vaga vendedor externo compartilhe marque recrutadora curriculo vaga emprego rioclaro</t>
  </si>
  <si>
    <t>vaga vendedor balconista compartilhe marque recrutadora curriculo vaga emprego rioclaro</t>
  </si>
  <si>
    <t>vaga vendedor servicosautomotivos compartilhe marque recrutadora curriculo vaga emprego rioclaro</t>
  </si>
  <si>
    <t>vaga vendedor loja compartilhe marque recrutadora curriculo vaga emprego rioclaro</t>
  </si>
  <si>
    <t>vaga vendedor interno shopping compartilhe marque recrutadora curriculo vaga emprego rioclaro</t>
  </si>
  <si>
    <t>vaga vendedor b2b prospeccoes compartilhe marque recrutadora curriculo vaga emprego rioclaro</t>
  </si>
  <si>
    <t>thelogisticsworld talentohumano vendedor ejecutivocomercial</t>
  </si>
  <si>
    <t>debidadiligencia tipos leyes comprador vendedor osint</t>
  </si>
  <si>
    <t>sales realestate martamarci ventas vendedor womenempowerment womeninbusiness</t>
  </si>
  <si>
    <t>posadas vendedor salón tnea misiones empleoar trabajoar</t>
  </si>
  <si>
    <t>resistencia cajero vendedor tnea chaco</t>
  </si>
  <si>
    <t>corrientescapital vendedor salón control stock tnea corrientes empleoar trabajoar</t>
  </si>
  <si>
    <t>juanjosécastelli vendedor salón tnea chaco jjcastelli empleoar trabajoar</t>
  </si>
  <si>
    <t>corrientescapital vendedor telefónico tnea corrientes empleoar trabajoar</t>
  </si>
  <si>
    <t>mocoretá vendedor distribución tnea corrientes empleoar trabajoar</t>
  </si>
  <si>
    <t>vendedor sucursal montecaseros tnea corrientes empleoar</t>
  </si>
  <si>
    <t>vendedor interior chaco tnea chaco empleoar trabajoar</t>
  </si>
  <si>
    <t>resistencia vendedor tnea chaco empleoar trabajoar</t>
  </si>
  <si>
    <t>resistencia vendedor grandes cuentas tnea chaco empleoar trabajoar</t>
  </si>
  <si>
    <t>resistencia vendedor farmacia tnea chaco empleoar trabajoar</t>
  </si>
  <si>
    <t>resistencia vendedor local comercial tnea chaco empleoar trabajoar</t>
  </si>
  <si>
    <t>corrientescapital vendedor salón tnea corrientes empleoar trabajoar</t>
  </si>
  <si>
    <t>pasodeloslibres vendedor distribución tnea corrientes empleoar trabajoar</t>
  </si>
  <si>
    <t>posadas vendedor viajante tnea misiones empleoar trabajoar</t>
  </si>
  <si>
    <t>corrientes vendedor tnea empleoar trabajoar ventas</t>
  </si>
  <si>
    <t>resistencia vendedor salón tnea chaco empleoar trabajoar</t>
  </si>
  <si>
    <t>resistencia vendedor experiencia rubro construcción tnea chaco empleoar trabajoar</t>
  </si>
  <si>
    <t>sanvicente vendedor tnea misiones empleoar trabajoar</t>
  </si>
  <si>
    <t>resistencia vendedor mostrador tnea chaco empleoar trabajoar</t>
  </si>
  <si>
    <t>vendedor maquinaria agrícola chaco corrientes tnea chaco corrientes empleoar trabajoar</t>
  </si>
  <si>
    <t>goya vendedor salón tnea corrientes empleoar trabajoar</t>
  </si>
  <si>
    <t>sáenzpeña vendedor salón tnea chaco empleoar trabajoar</t>
  </si>
  <si>
    <t>resistencia chaco vendedor tnea empleoar trabajoar</t>
  </si>
  <si>
    <t>corrientescapital vendedor repartidor tnea corrientes empleoar trabajoar</t>
  </si>
  <si>
    <t>posadas vendedor chofer tnea misiones empleoar trabajoar</t>
  </si>
  <si>
    <t>corrientescapital vendedor con moto tnea corrientes empleoar trabajoar</t>
  </si>
  <si>
    <t>vendedor villaguay entreríos tnea entreríos empleoar trabajoar</t>
  </si>
  <si>
    <t>corrientescapital vendedor tnea corrientes empleoar trabajoar</t>
  </si>
  <si>
    <t>goya mercedes vendedor interior corrientes rubro alimenticio tnea corrientes empleoar trabajoar</t>
  </si>
  <si>
    <t>electricidad industrial informática señales datos comercial goya vendedor salón tnea corrientes empleoar trabajoar</t>
  </si>
  <si>
    <t>resistencia vendedor grandes cuentas tnea chaco empleoar</t>
  </si>
  <si>
    <t>vendedor sucursal montecaseros tnea corrientes empleoar trabajoar</t>
  </si>
  <si>
    <t>corrientes vendedor tnea empleoar trabajoar ventas salud</t>
  </si>
  <si>
    <t>corrientescapital vendedor coordinador tnea empleoar trabajoar ventas coordinación gerentecomercial telemarketing</t>
  </si>
  <si>
    <t>representante vendedor hospitalario nea tnea corrientes chaco formosa misiones empleoar trabajoar</t>
  </si>
  <si>
    <t>resistencia administrativo vendedor tnea chaco empleoar trabajoar</t>
  </si>
  <si>
    <t>vendedor villaguay entreríos tnea</t>
  </si>
  <si>
    <t>resistencia vendedor cajero tnea chaco empleoar trabajoar</t>
  </si>
  <si>
    <t>posadas vendedor distribución tnea misiones empleoar trabajoar</t>
  </si>
  <si>
    <t>corrientescapital vendedor comisionista tnea corrientes empleoar trabajoar</t>
  </si>
  <si>
    <t>curuzúcuatiá vendedor salón tnea corrientes empleoar trabajoar</t>
  </si>
  <si>
    <t>corrientescapital vendedor telefónico callcenter tnea corrientes empleoar trabajoar</t>
  </si>
  <si>
    <t>vendedor formosacapital tnea formosa empleoar trabajoar</t>
  </si>
  <si>
    <t>resistencia corrientescapital vendedor tnea chaco corrientes empleoar trabajoar</t>
  </si>
  <si>
    <t>corrientescapital vendedor calle tnea corrientes empleoar trabajoar</t>
  </si>
  <si>
    <t>curuzúcuatiá vendedor electrodomésticos tnea corrientes empleoar trabajoar</t>
  </si>
  <si>
    <t>resistencia cajero vendedor tnea chaco empleoar trabajoar</t>
  </si>
  <si>
    <t>posadas vendedor tnea misiones empleoar trabajoar ventas atenciónalcliente</t>
  </si>
  <si>
    <t>posadas vendedores vendedor distribuidor vendedor puerta puerta tnea</t>
  </si>
  <si>
    <t>asesor ventas vendedor viajante formosa tnea formosa empleoar trabajoar</t>
  </si>
  <si>
    <t>roquesáenzpeña vendedor interior chaco tnea chaco empleoar trabajoar</t>
  </si>
  <si>
    <t>corrientes vendedor promotor comercial tnea empleoar trabajoar ventas atenciónalcliente</t>
  </si>
  <si>
    <t>resistencia vendedor perfumería tnea chaco empleoar trabajoar</t>
  </si>
  <si>
    <t>villaangela vendedor insumosagropecuarios tnea chaco empleoar trabajoar ventas agro técnicoforestal</t>
  </si>
  <si>
    <t>resistencia vendedor tnea chaco empleoar trabajoar ventas</t>
  </si>
  <si>
    <t>santafe vendedor preventista tnea empleoar trabajoar ventas</t>
  </si>
  <si>
    <t>posadas vendedor preventista tnea misiones empleoar trabajoar ventas</t>
  </si>
  <si>
    <t>santotome lacruz virasoro vendedor preventista tnea corrientes empleoar trabajoar ventas</t>
  </si>
  <si>
    <t>iguazu puertoesperanza wanda vendedor preventista tnea misiones empleoar trabajoar ventas</t>
  </si>
  <si>
    <t>resistencia vendedor cajero tnea chaco empleoar</t>
  </si>
  <si>
    <t>corrientescapital ingeniero vendedor ejecutivo tnea corrientes empleoar trabajoar</t>
  </si>
  <si>
    <t>resistencia cajero vendedor</t>
  </si>
  <si>
    <t>resistencia cajero vendedor tnea chaco empleoar</t>
  </si>
  <si>
    <t>sáenzpeña vendedor tnea chaco empleoar trabajoar ventas</t>
  </si>
  <si>
    <t>posadas vendedor moto tnea misiones empleoar trabajoar</t>
  </si>
  <si>
    <t>ingenieríacivil ingenieríaenconstrucción corrientescapital ingeniero vendedor ejecutivo tnea corrientes empleoar trabajoar</t>
  </si>
  <si>
    <t>posadas vendedores vendedor distribuidor puerta puerta tnea misiones</t>
  </si>
  <si>
    <t>chaco vendedor tnea chaco empleoar trabajoar ventas</t>
  </si>
  <si>
    <t>chaco vendedor tnea empleoar trabajoar ventas atenciónalcliente</t>
  </si>
  <si>
    <t>barranqueras preventista vendedor comisionista tnea chaco empleoar trabajoar ventas</t>
  </si>
  <si>
    <t>corrientes vendedor óptico tnea empleoar trabajoar ventas</t>
  </si>
  <si>
    <t>vendedor villaguay entreríos tnea empleoar trabajoar</t>
  </si>
  <si>
    <t>corrientescapital vendedor tnea corrientes empleoar trabajoar ventas atenciónalcliente</t>
  </si>
  <si>
    <t>resistencia vendedor grandes cuentas tnea chaco</t>
  </si>
  <si>
    <t>vendedor villaguay entreríos tnea entreríos</t>
  </si>
  <si>
    <t>resistencia cajero vendedor tnea chaco empleoar trabajoar ventas atenciónalcliente</t>
  </si>
  <si>
    <t>posadas vendedores vendedor distribuidor vendedor puerta puerta tnea misiones</t>
  </si>
  <si>
    <t>curuzúcuatiá vendedor electrodomésticos tnea corrientes empleoar</t>
  </si>
  <si>
    <t>corrientes resistencia vendedor convencional tnea empleoar trabajoar</t>
  </si>
  <si>
    <t>corrientes vendedor tnea empleoar trabajoar</t>
  </si>
  <si>
    <t>corrientes vendedor tnea corrientes empleoar trabajoar ventas atenciónalcliente</t>
  </si>
  <si>
    <t>corrientes vendedor atención cliente tnea empleoar trabajoar</t>
  </si>
  <si>
    <t>corrientescapital vendedor salón control stock</t>
  </si>
  <si>
    <t>venda vendasonline vendedor sublimação sublimacao amendoinselmachips riodejaneiro olx desapegueseforcapaznognt</t>
  </si>
  <si>
    <t>empleo vendedor tienda muebles medinadelcampo tierrasdemedina</t>
  </si>
  <si>
    <t>trabajoar trabajo empleo vendedor ventas comercial sanfrancisco nutricionanimal reparto repartidor oferta oportunidad</t>
  </si>
  <si>
    <t>trabajoar trabajo empleo vendedor ventas comercial sanfrancisco nutricionanimal reparto repartidor oferta oportunidadlaboral</t>
  </si>
  <si>
    <t>kindleflash guia manual ventas consejos herramientas vendedor leer queleer lectura libro ebook kindle kindlebook amazon felizjueves</t>
  </si>
  <si>
    <t>kindleflash guia manual ventas consejos herramientas vendedor leer queleer lectura libro ebooks kindle kindlebooks amazon felizviernes</t>
  </si>
  <si>
    <t>oporunidad parati sihaycamello desempleados desempleo contratando chambasihay sihaychamba trabajos guayaquil duran ecuador vendedor</t>
  </si>
  <si>
    <t>vendedor brinquedo pra</t>
  </si>
  <si>
    <t>contrato arras beneficio vendedor vivienda piso casa propietario comprador compraventa compraventainmuebles contratoarras inmuebles inmueble comprar vender vendercasa clausulas modelo formulario viciosocultos vicios ocultos</t>
  </si>
  <si>
    <t>desperfectos compraventa vivienda viciosocultos comprador vendedor inmuebles casa piso goteras tuberias carcoma aluminosis comprar vender abogadoinmobiliario legal legalmente abogados</t>
  </si>
  <si>
    <t>echar piso alquilado vender alquiler venta inquilinos propietario casa vivienda inmueble leydearrendamientosurbanos ley compraventa comprador vendedor compraventainmuebles comprar comprarcasa vendercasa legalmente</t>
  </si>
  <si>
    <t>contratoarras arras compraventa derrama comunidaddepropietarios comunidaddevecinos contrato piso casa inmueble propietario comprador vendedor comprarcasa vender vendercasa clausulas modelo plantillas formulario descargar foryou parati legal legalmente</t>
  </si>
  <si>
    <t>elige inmobiliaria ahorra dinero problemas alquiler compraventa ventadecasas vivienda propietario vendedor comprador inquilino compradecasa abogado legalmente legal</t>
  </si>
  <si>
    <t>vender vehiculos problemas ventas contrato compraventa compraventacoches coche coches comprador vendedor modelo formulario plantillas foryou parati vehiculo averia viciosocultos proteccion</t>
  </si>
  <si>
    <t>echar inquilino vender casa vendercasa piso alquiler venta inquilinos propietario vivienda inmuebles leydearrendamientosurbanos ley compraventa comprador vendedor compraventainmuebles comprar compracasa vendercasa legalmente legal abogados</t>
  </si>
  <si>
    <t>educacaofinanceira empreendedor dinheiro finanças reflexao empreendedorismo vendermais organizacaofinanceira rendaextra marketingdigital vendedor direita conservador hugocarvajal</t>
  </si>
  <si>
    <t>educacaofinanceira empreendedor dinheiro finanças reflexao empreendedorismo vendermais organizacaofinanceira rendaextra rendaextraemcasa marketingdigital vendedor direita conservador</t>
  </si>
  <si>
    <t>empreendedor dinheiro finanças reflexao empreendedorismo vendermais organizacaofinanceira rendaextra rendaextraemcasa marketingdigital vendedor direita conservador margaretthatcher</t>
  </si>
  <si>
    <t>educacaofinanceira empreendedor dinheiro finanças reflexao empreendedorismo vendermais organizacaofinanceira rendaextra rendaextraemcasa marketingdigital vendedor santacruz seried</t>
  </si>
  <si>
    <t>educacaofinanceira empreendedor dinheiro finanças reflexao empreendedorismo vendermais organizacaofinanceira rendaextra rendaextraemcasa marketingdigital vendedor direita conservador arthurschopenhauer</t>
  </si>
  <si>
    <t>educacaofinanceira empreendedor dinheiro finanças reflexao empreendedorismo vendermais organizacaofinanceira rendaextra rendaextraemcasa marketingdigital vendedor direita conservador petralha</t>
  </si>
  <si>
    <t>educacaofinanceira empreendedor dinheiro finanças reflexao empreendedorismo vendermais organizacaofinanceira rendaextra rendaextraemcasa marketingdigital vendedor direita conservador janvanellam</t>
  </si>
  <si>
    <t>educacaofinanceira empreendedor dinheiro finanças reflexao empreendedorismo vendermais organizacaofinanceira rendaextra rendaextraemcasa marketingdigital vendedor direita conservador alanwatts</t>
  </si>
  <si>
    <t>educacaofinanceira empreendedor dinheiro finanças reflexao empreendedorismo vendermais organizacaofinanceira rendaextra rendaextraemcasa marketingdigital vendedor direita conservador nom</t>
  </si>
  <si>
    <t>educacaofinanceira empreendedor dinheiro finanças reflexao empreendedorismo vendermais organizacaofinanceira rendaextra rendaextraemcasa marketingdigital vendedor direita conservador jimcaviezel</t>
  </si>
  <si>
    <t>educacaofinanceira empreendedor dinheiro finanças reflexao empreendedorismo vendermais organizacaofinanceira rendaextra rendaextraemcasa marketingdigital vendedor direita conservador genfigueiredo</t>
  </si>
  <si>
    <t>educacaofinanceira empreendedor dinheiro finanças reflexao empreendedorismo vendermais organizacaofinanceira rendaextra rendaextraemcasa marketingdigital vendedor direita conservador esquerdamaldita</t>
  </si>
  <si>
    <t>educacaofinanceira empreendedor dinheiro finanças reflexao empreendedorismo vendermais organizacaofinanceira rendaextra rendaextraemcasa marketingdigital vendedor direita conservador rodolfoabrantes</t>
  </si>
  <si>
    <t>educacaofinanceira empreendedor dinheiro finanças reflexao empreendedorismo vendermais organizacaofinanceira rendaextra rendaextraemcasa marketingdigital vendedor direita conservador stevenlawson</t>
  </si>
  <si>
    <t>educacaofinanceira empreendedor dinheiro finanças reflexao empreendedorismo vendermais organizacaofinanceira rendaextra rendaextraemcasa marketingdigital vendedor direita conservador olavotemrazao</t>
  </si>
  <si>
    <t>educacaofinanceira empreendedor dinheiro finanças reflexao empreendedorismo vendermais organizacaofinanceira rendaextra rendaextraemcasa marketingdigital vendedor iptv</t>
  </si>
  <si>
    <t>educacaofinanceira empreendedor dinheiro finanças reflexao empreendedorismo vendermais organizacaofinanceira rendaextra rendaextraemcasa marketingdigital johnnydepp</t>
  </si>
  <si>
    <t>educacaofinanceira empreendedor dinheiro finanças reflexao empreendedorismo vendermais organizacaofinanceira rendaextra rendaextraemcasa marketingdigital vendedor direita conservador pilhado</t>
  </si>
  <si>
    <t>educacaofinanceira empreendedor dinheiro finanças reflexao empreendedorismo vendermais marketingdigital vendedor direita conservador foralula</t>
  </si>
  <si>
    <t>educacaofinanceira empreendedor dinheiro finanças reflexao empreendedorismo vendermais organizacaofinanceira rendaextra rendaextraemcasa marketingdigital vendedor direita conservador soundoffreedom</t>
  </si>
  <si>
    <t>educacaofinanceira empreendedor dinheiro finanças reflexao empreendedorismo vendermais organizacaofinanceira rendaextra rendaextraemcasa marketingdigital vendedor direita conservador billmurray</t>
  </si>
  <si>
    <t>educacaofinanceira empreendedor dinheiro finanças reflexao empreendedorismo vendermais organizacaofinanceira rendaextra rendaextraemcasa marketingdigital vendedor sportrecife serieb maiordonordeste</t>
  </si>
  <si>
    <t>educacaofinanceira empreendedor dinheiro finanças reflexao empreendedorismo vendermais organizacaofinanceira rendaextra rendaextraemcasa marketingdigital vendedor sportrecife</t>
  </si>
  <si>
    <t>educacaofinanceira empreendedor dinheiro finanças reflexao empreendedorismo vendermais organizacaofinanceira rendaextra rendaextraemcasa marketingdigital vendedor direita conservador jairbolsonaro</t>
  </si>
  <si>
    <t>educacaofinanceira empreendedor dinheiro finanças reflexao empreendedorismo vendermais organizacaofinanceira rendaextra rendaextraemcasa marketingdigital vendedor direita conservador jimryun</t>
  </si>
  <si>
    <t>educacaofinanceira empreendedor dinheiro finanças reflexao empreendedorismo marketingdigital vendedor direita conservador foralula</t>
  </si>
  <si>
    <t>educacaofinanceira empreendedor dinheiro finanças reflexao empreendedorismo vendermais organizacaofinanceira rendaextra rendaextraemcasa marketingdigital vendedor direita conservador robertadams</t>
  </si>
  <si>
    <t>educacaofinanceira empreendedor dinheiro finanças reflexao empreendedorismo vendermais organizacaofinanceira rendaextra rendaextraemcasa marketingdigital vendedor direita conservador frankshermanland</t>
  </si>
  <si>
    <t>educacaofinanceira empreendedor dinheiro finanças reflexao empreendedorismo vendermais organizacaofinanceira rendaextra rendaextraemcasa marketingdigital vendedor direita conservador eusigobolsonaro</t>
  </si>
  <si>
    <t>educacaofinanceira empreendedor dinheiro finanças reflexao empreendedorismo vendermais organizacaofinanceira rendaextra rendaextraemcasa marketingdigital vendedor direita conservador napoleonhill</t>
  </si>
  <si>
    <t>educacaofinanceira empreendedor dinheiro finanças reflexao empreendedorismo vendermais organizacaofinanceira rendaextra rendaextraemcasa marketingdigital vendedor direita conservador streaming</t>
  </si>
  <si>
    <t>educacaofinanceira empreendedor dinheiro finanças reflexao empreendedorismo vendermais organizacaofinanceira rendaextra rendaextraemcasa marketingdigital direita conservador imprensa corrupcao josephpulitzer</t>
  </si>
  <si>
    <t>educacaofinanceira empreendedor dinheiro finanças reflexao empreendedorismo vendermais marketingdigital vendedor direita conservador</t>
  </si>
  <si>
    <t>educacaofinanceira empreendedor dinheiro finanças reflexao empreendedorismo vendermais organizacaofinanceira rendaextra rendaextraemcasa marketingdigital vendedor direita conservador brucedickinson ironmaiden</t>
  </si>
  <si>
    <t>educacaofinanceira reflexao empreendedorismo vendermais organizacaofinanceira rendaextraemcasa marketingdigital direita conservador</t>
  </si>
  <si>
    <t>educacaofinanceira empreendedor dinheiro finanças reflexao empreendedorismo vendermais organizacaofinanceira rendaextra rendaextraemcasa marketingdigital vendedor direita conservador rogerscruton</t>
  </si>
  <si>
    <t>educacaofinanceira empreendedor dinheiro finanças reflexao empreendedorismo vendermais organizacaofinanceira rendaextra marketingdigital vendedor direita conservador pedofilia criancaesperanca fazol</t>
  </si>
  <si>
    <t>educacaofinanceira empreendedor dinheiro finanças reflexao empreendedorismo vendermais organizacaofinanceira rendaextra rendaextraemcasa marketingdigital vendedor direita conservador thomasedison</t>
  </si>
  <si>
    <t>educacaofinanceira empreendedor dinheiro finanças reflexao empreendedorismo vendermais organizacaofinanceira rendaextra rendaextraemcasa marketingdigital vendedor direita conservador josephpulitzer</t>
  </si>
  <si>
    <t>educacaofinanceira empreendedor dinheiro finanças reflexao empreendedorismo vendermais organizacaofinanceira rendaextra rendaextraemcasa marketingdigital vendedor direita conservador napoleaobonaparte</t>
  </si>
  <si>
    <t>educacaofinanceira empreendedor dinheiro finanças reflexao empreendedorismo vendermais organizacaofinanceira rendaextra rendaextraemcasa marketingdigital vendedor direita conservador martincooper</t>
  </si>
  <si>
    <t>educacaofinanceira empreendedor dinheiro finanças reflexao empreendedorismo vendermais organizacaofinanceira rendaextra rendaextraemcasa marketingdigital vendedor direita conservador elonmusk</t>
  </si>
  <si>
    <t>educacaofinanceira empreendedor dinheiro finanças reflexao empreendedorismo vendermais organizacaofinanceira rendaextra rendaextraemcasa marketingdigital vendedor filosofia freud</t>
  </si>
  <si>
    <t>educacaofinanceira empreendedor dinheiro finanças reflexao empreendedorismo vendermais organizacaofinanceira rendaextra rendaextraemcasa marketingdigital vendedor direita conservador fazueli</t>
  </si>
  <si>
    <t>educacaofinanceira empreendedor dinheiro finanças reflexao empreendedorismo vendermais organizacaofinanceira rendaextra rendaextraemcasa marketingdigital vendedor direita conservador fazol magazineluiza</t>
  </si>
  <si>
    <t>educacaofinanceira empreendedor dinheiro finanças reflexao empreendedorismo vendermais organizacaofinanceira rendaextra rendaextraemcasa marketingdigital vendedor direita conservador cuidadocomsuaface</t>
  </si>
  <si>
    <t>educacaofinanceira empreendedor dinheiro finanças reflexao empreendedorismo vendermais organizacaofinanceira rendaextra rendaextraemcasa marketingdigital vendedor direita conservador contradrogas</t>
  </si>
  <si>
    <t>educacaofinanceira empreendedor dinheiro finanças reflexao empreendedorismo vendermais organizacaofinanceira rendaextra rendaextraemcasa marketingdigital vendedor direita conservador frankzappa</t>
  </si>
  <si>
    <t>educacaofinanceira empreendedor dinheiro finanças reflexao empreendedorismo vendermais organizacaofinanceira rendaextra rendaextraemcasa marketingdigital vendedor direita conservador soundoffreedom timballard</t>
  </si>
  <si>
    <t>educacaofinanceira empreendedor dinheiro finanças reflexao empreendedorismo vendermais organizacaofinanceira rendaextra rendaextraemcasa marketingdigital vendedor morpheus matrix</t>
  </si>
  <si>
    <t>educacaofinanceira empreendedor dinheiro finanças reflexao empreendedorismo vendermais organizacaofinanceira rendaextra rendaextraemcasa marketingdigital vendedor direita conservador flaviodinocomrabopreso</t>
  </si>
  <si>
    <t>educacaofinanceira empreendedor dinheiro finanças reflexao empreendedorismo vendermais organizacaofinanceira rendaextra rendaextraemcasa marketingdigital vendedor direita conservador flaviodinocomunista</t>
  </si>
  <si>
    <t>educacaofinanceira empreendedor dinheiro finanças reflexao empreendedorismo vendermais organizacaofinanceira rendaextra rendaextraemcasa marketingdigital vendedor sportrecife maiordonordeste</t>
  </si>
  <si>
    <t>educacaofinanceira empreendedor dinheiro finanças reflexao empreendedorismo vendermais organizacaofinanceira rendaextra rendaextraemcasa marketingdigital vendedor direita conservador zedirceu petêadmitiu</t>
  </si>
  <si>
    <t>educacaofinanceira empreendedor dinheiro finanças reflexao empreendedorismo vendermais organizacaofinanceira rendaextra rendaextraemcasa marketingdigital vendedor direita conservador billygraham</t>
  </si>
  <si>
    <t>educacaofinanceira empreendedor dinheiro finanças reflexao empreendedorismo vendermais organizacaofinanceira rendaextra rendaextraemcasa marketingdigital vendedor direita conservador 8dejaneiro</t>
  </si>
  <si>
    <t>educacaofinanceira empreendedor dinheiro finanças reflexao empreendedorismo vendermais organizacaofinanceira rendaextra rendaextraemcasa marketingdigital vendedor direita conservador brasil santacruz feminina</t>
  </si>
  <si>
    <t>educacaofinanceira empreendedor dinheiro finanças reflexao empreendedorismo vendermais organizacaofinanceira rendaextra rendaextraemcasa marketingdigital vendedor direita conservador jiddukrishnamurti</t>
  </si>
  <si>
    <t>educacaofinanceira empreendedor dinheiro finanças reflexao empreendedorismo vendermais organizacaofinanceira rendaextra rendaextraemcasa marketingdigital vendedor direita conservador bolsonarosempretemrazao</t>
  </si>
  <si>
    <t>educacaofinanceira empreendedor dinheiro finanças reflexao empreendedorismo vendermais organizacaofinanceira rendaextra rendaextraemcasa marketingdigital vendedor direita conservador victorfasano</t>
  </si>
  <si>
    <t>educacaofinanceira empreendedor dinheiro finanças reflexao empreendedorismo vendermais organizacaofinanceira rendaextra rendaextraemcasa marketingdigital vendedor nom iluminate desperte</t>
  </si>
  <si>
    <t>educacaofinanceira empreendedor dinheiro finanças reflexao empreendedorismo vendermais organizacaofinanceira rendaextra marketingdigital vendedor direita conservador contranovaordemmundial againstthenewworldorder</t>
  </si>
  <si>
    <t>educacaofinanceira empreendedor dinheiro finanças reflexao empreendedorismo vendermais organizacaofinanceira rendaextra rendaextraemcasa marketingdigital vendedor direita conservador bolsonaro</t>
  </si>
  <si>
    <t>educacaofinanceira empreendedor dinheiro finanças reflexao empreendedorismo vendermais organizacaofinanceira rendaextra rendaextraemcasa marketingdigital vendedor direita conservador luladraodesgracaedestruicao</t>
  </si>
  <si>
    <t>educacaofinanceira empreendedor dinheiro finanças reflexao empreendedorismo vendermais organizacaofinanceira rendaextra rendaextraemcasa marketingdigital vendedor tiagomedeiros santacruz sportrecife</t>
  </si>
  <si>
    <t>educacaofinanceira empreendedor dinheiro finanças reflexao empreendedorismo vendermais organizacaofinanceira rendaextra rendaextraemcasa marketingdigital vendedor direita conservador haddadposte</t>
  </si>
  <si>
    <t>educacaofinanceira empreendedor dinheiro finanças reflexao empreendedorismo vendermais organizacaofinanceira rendaextra rendaextraemcasa marketingdigital vendedor direita conservador fazol casasbahia</t>
  </si>
  <si>
    <t>educacaofinanceira empreendedor dinheiro finanças reflexao empreendedorismo vendermais organizacaofinanceira rendaextra rendaextraemcasa marketingdigital vendedor crb sport serieb2023</t>
  </si>
  <si>
    <t>educacaofinanceira empreendedor dinheiro finanças reflexao empreendedorismo vendermais organizacaofinanceira rendaextra rendaextraemcasa marketingdigital vendedor tvonline</t>
  </si>
  <si>
    <t>educacaofinanceira empreendedor dinheiro finanças reflexao empreendedorismo vendermais organizacaofinanceira rendaextra rendaextraemcasa marketingdigital vendedor epoca guerra winstonchurchill</t>
  </si>
  <si>
    <t>educacaofinanceira empreendedor dinheiro finanças reflexao empreendedorismo vendermais organizacaofinanceira rendaextra rendaextraemcasa marketingdigital vendedor direita conservador sergiomoro</t>
  </si>
  <si>
    <t>vendas marketingdigital negocios vendedor</t>
  </si>
  <si>
    <t>retail ventas trabajo empleomoda vendedor empleo ventas quintanaroo tulum rivieramaya trabajotulum</t>
  </si>
  <si>
    <t>trabajo trabajoloscabos empleomoda empleomexico vendedor retail loscabos empleo cabosanlucas ventas</t>
  </si>
  <si>
    <t>hiring buscamostalento vendedor consumomasivo empleomaracaibo oportunidaddeempleo triunotalenthum cv</t>
  </si>
  <si>
    <t>vendedor mercadolibre denunciar chantas verguenza</t>
  </si>
  <si>
    <t>vendedor prospectos salesnavigator</t>
  </si>
  <si>
    <t>vendedor vendedorhíbrido vendedor consultor</t>
  </si>
  <si>
    <t>rendimiento superarse vendedor mentalidad mejoracontinua</t>
  </si>
  <si>
    <t>vendedor ventahíbrida omnicanalidad vendedorhíbrido oportunidades</t>
  </si>
  <si>
    <t>vendedor venta vendedorhíbrido ventahíbrida omnicanalidad</t>
  </si>
  <si>
    <t>vacantes vendedor</t>
  </si>
  <si>
    <t>empleo madrid centro muebles vendedor empleoenmadrid ofertadeempleo buscaempleomadrid</t>
  </si>
  <si>
    <t>empleo madrid tienda telefonía vendedor indefinido empleoenmadrid ofertadeempleo buscaempleomadrid</t>
  </si>
  <si>
    <t>empleo madrid muebles colchones vendedor indefinido empleoenmadrid ofertadeempleo buscaempleomadrid</t>
  </si>
  <si>
    <t>empleo madrid fcbarcelona barça tienda vendedor indefinido empleoenmadrid ofertadeempleo buscaempleomadrid</t>
  </si>
  <si>
    <t>empleo madrid tienda fcbarcelona barça vendedor indefinido empleoenmadrid ofertadeempleo buscaempleomadrid</t>
  </si>
  <si>
    <t>empleo madrid muebles colchones vendedor indefinido empleoenmadrid ofertadeempleo buscaempleomadrid gmc</t>
  </si>
  <si>
    <t>empleo madrid tienda telefonía vendedor indefinido empleoenmadrid ofertadeempleo buscaempleomadrid gmh</t>
  </si>
  <si>
    <t>empleo madrid muebles colchones vendedor indefinido empleoenmadrid ofertadeempleo buscaempleomadrid gma</t>
  </si>
  <si>
    <t>empleo madrid fcbarcelona barça tienda vendedor indefinido empleoenmadrid ofertadeempleo buscaempleomadrid gmb</t>
  </si>
  <si>
    <t>carroflex vendedor pscicotropico carro meme zoeira humor primeiroimpacto sbt marcãodopovo</t>
  </si>
  <si>
    <t>vendedor dicadevenda clientes metro saopaulo meme zoeira humor</t>
  </si>
  <si>
    <t>aliatec ventas empresas mexico tips incrementodeventas vendermas vendedor vendedores</t>
  </si>
  <si>
    <t>niño vendedor policía</t>
  </si>
  <si>
    <t>vendedor tamales atropellado</t>
  </si>
  <si>
    <t>indecopi vendedor ambulante restaurante consumidores</t>
  </si>
  <si>
    <t>marketingdigital vendermais atrairclientes googleads</t>
  </si>
  <si>
    <t>marketingdigital agenciademarketing vendermais</t>
  </si>
  <si>
    <t>empleo vacante vendedor</t>
  </si>
  <si>
    <t>requiere vendedor jobs crane rigger</t>
  </si>
  <si>
    <t>empresa vida hojadevida vendedor hoja</t>
  </si>
  <si>
    <t>auto empresa vida hojadevida vendedor hoja</t>
  </si>
  <si>
    <t>vendermais tecnologia cadeiadeconsumo</t>
  </si>
  <si>
    <t>vendermais tecnologia cadeiadeconsumo consumidoromnichannel</t>
  </si>
  <si>
    <t>vendermais tecnologia cadeiadeconsumo eventosobretecnologia</t>
  </si>
  <si>
    <t>liderazgo vendedor ventas elsolucionario blog estudiantes univ</t>
  </si>
  <si>
    <t>debidadiligencia tipos leyes comprador vendedor</t>
  </si>
  <si>
    <t>aradiorock vivaorock 89fm 89aradiorock rock show música hotdog meme vendedor</t>
  </si>
  <si>
    <t>oportunidade vendedor</t>
  </si>
  <si>
    <t>netamentebuap rommyndice proyectorommyn consumidor vendedor</t>
  </si>
  <si>
    <t>netamentebuap rommyndice consumidor vendedor</t>
  </si>
  <si>
    <t>rommyndice proyectorommyn consumidor vendedor</t>
  </si>
  <si>
    <t>netamentebuap rommyndice tvbuap consumidor vendedor</t>
  </si>
  <si>
    <t>netamenterommyn proyectorommyn consumidor vendedor</t>
  </si>
  <si>
    <t>proyectorommyn rommyndice consumidor vendedor</t>
  </si>
  <si>
    <t>rommyndice netamentebuap consumidor vendedor</t>
  </si>
  <si>
    <t>vendedor consumidor clientes rommyndice netamentebuap</t>
  </si>
  <si>
    <t>consumidor vendedor rommyndice</t>
  </si>
  <si>
    <t>rommyndice consumidor vendedor profeco</t>
  </si>
  <si>
    <t>consumidor buapoficial vendedor</t>
  </si>
  <si>
    <t>vendedor quito ecuador vacante requisitos cv jobomas jobomasempleos jobomasecuador empleosecuador trabajo empleo empleosentodoelmundo trabajosíhay</t>
  </si>
  <si>
    <t>automafast tecnoloia gohiper whatsapp vendedor varejo comercio stone catalogodigital vendasonline</t>
  </si>
  <si>
    <t>hiring ventas vendedor b2b comercial peugeot stellantis oportunidad laboral</t>
  </si>
  <si>
    <t>oportunidade emprego vendedor interno saocaetanodosul sp prospeccao engajamento entrega rh vagasdeemprego trabalho contratando temosvagas recrutamento jobsearch vagassp</t>
  </si>
  <si>
    <t>oportunidade emprego vendedor ecommerce duquedecaxias rj rh vagasdeemprego trabalho contratando temosvagas recrutamento jobsearch vagasrj</t>
  </si>
  <si>
    <t>oportunidade emprego vendedor externo sapucaiadosul rs prospeccao rh vagasdeemprego trabalho contratando temosvagas recrutamento jobsearch vagasrs</t>
  </si>
  <si>
    <t>oportunidade emprego vendedor internacional saoleopoldo rs carga prospeccao metas viagens rh vagasdeemprego trabalho contratando temosvagas recrutamento jobsearch vagasrs</t>
  </si>
  <si>
    <t>oportunidade emprego vendedor florianopolis sc rh vagasdeemprego trabalho contratando temosvagas recrutamento jobsearch vagassc</t>
  </si>
  <si>
    <t>oportunidade emprego vendedor material construcao seco guarulhos sp efetivo atento vale rh vagasdeemprego trabalho contratando temosvagas recrutamento jobsearch vagassp</t>
  </si>
  <si>
    <t>oportunidade emprego vendedor consultor florianopolis sc captacao rh vagasdeemprego trabalho contratando temosvagas recrutamento jobsearch vagassc</t>
  </si>
  <si>
    <t>oportunidade emprego vendedor autonomo imobiliario florianopolis sc captacao rh vagasdeemprego trabalho contratando temosvagas recrutamento jobsearch vagassc</t>
  </si>
  <si>
    <t>oportunidade emprego consultor vendedor florianopolis sc captacao rh vagasdeemprego trabalho contratando temosvagas recrutamento jobsearch vagassc</t>
  </si>
  <si>
    <t>oportunidade emprego vendedor saojosedoscampos sp efetivo rh vagasdeemprego trabalho contratando temosvagas recrutamento jobsearch vagassp</t>
  </si>
  <si>
    <t>oportunidade emprego vendedor externo imobiliario florianopolis sc captacao rh vagasdeemprego trabalho contratando temosvagas recrutamento jobsearch vagassc</t>
  </si>
  <si>
    <t>oportunidade emprego vendedor autonomo lopes florianopolis sc captacao rh vagasdeemprego trabalho contratando temosvagas recrutamento jobsearch vagassc</t>
  </si>
  <si>
    <t>oportunidade emprego vendedor autonomo imobiliaro florianopolis sc captacao rh vagasdeemprego trabalho contratando temosvagas recrutamento jobsearch vagassc</t>
  </si>
  <si>
    <t>oportunidade emprego vendedor tecnico trainee itapevi sp rh vagasdeemprego trabalho contratando temosvagas recrutamento jobsearch vagassp</t>
  </si>
  <si>
    <t>oportunidade emprego vendedor imobiliario florianopolis sc creci rh vagasdeemprego trabalho contratando temosvagas recrutamento jobsearch vagassc</t>
  </si>
  <si>
    <t>oportunidade emprego vendedor florianopolis sc captacao rh vagasdeemprego trabalho contratando temosvagas recrutamento jobsearch vagassc</t>
  </si>
  <si>
    <t>oportunidade emprego vendedor imoveis florianopolis sc creci rh vagasdeemprego trabalho contratando temosvagas recrutamento jobsearch vagassc</t>
  </si>
  <si>
    <t>oportunidade emprego vendedor externo lages serracatarinense prospeccao viagens rh vagasdeemprego trabalho contratando temosvagas recrutamento jobsearch vagassc</t>
  </si>
  <si>
    <t>oportunidade emprego vendedor externo joinville sc carga prospeccao viagens rh vagasdeemprego trabalho contratando temosvagas recrutamento jobsearch vagassc</t>
  </si>
  <si>
    <t>oportunidade emprego vendedor assistente florianopolis sc captacao rh vagasdeemprego trabalho contratando temosvagas recrutamento jobsearch vagassc</t>
  </si>
  <si>
    <t>oportunidade emprego vendedor autonomo florianopolis sc captacao rh vagasdeemprego trabalho contratando temosvagas recrutamento jobsearch vagassc</t>
  </si>
  <si>
    <t>oportunidade emprego vendedor externo florianopolis florianopolis sc creci rh vagasdeemprego trabalho contratando temosvagas recrutamento jobsearch vagassc</t>
  </si>
  <si>
    <t>oportunidade emprego vendedor externo itajai sc viagens rh vagasdeemprego trabalho contratando temosvagas recrutamento jobsearch vagassc</t>
  </si>
  <si>
    <t>oportunidade emprego vendedor externo goiania go viagens multinacional rh vagasdeemprego trabalho contratando temosvagas recrutamento jobsearch vagasgo</t>
  </si>
  <si>
    <t>oportunidade emprego vendedor reservas cabofrio rj viagens rh vagasdeemprego trabalho contratando temosvagas recrutamento jobsearch vagasrj</t>
  </si>
  <si>
    <t>ederzardin sucesso motivacaodiaria passosparaosucesso motivacao vendedor palestrante geracaodevalor negocios vendas atendimento atitude meusucesso boravender</t>
  </si>
  <si>
    <t>ederzardin sucesso motivacaodiaria passosparaosucesso motivacao vendedor palestrante geracaodevalor negocios vendas atendimento</t>
  </si>
  <si>
    <t>ederzardin sucesso motivacaodiaria passosparaosucesso motivacao vendedor palestrante geracaodevalor negocios vendas atendimento atitude meusucesso meusucessocom</t>
  </si>
  <si>
    <t>ederzardin sucesso motivacaodiaria passosparaosucesso motivacao vendedor palestrante geracaodevalor negocios vendas atendimento atitude meusucesso</t>
  </si>
  <si>
    <t>ederzardin sucesso motivacaodiaria passosparaosucesso motivacao vendedor palestrante</t>
  </si>
  <si>
    <t>ederzardin sucesso motivacaodiaria passosparaosucesso motivacao vendedor palestrante geracaodevalor negocios vendas atendimento atitude meusucesso meusucessocom boravender</t>
  </si>
  <si>
    <t>ederzardin sucesso motivacaodiaria passosparaosucesso motivacao vendedor palestrante geracaodevalor negocios vendas atendimento atitude</t>
  </si>
  <si>
    <t>ederzardin sucesso motivacaodiaria passosparaosucesso motivacao vendedor palestrante geracaodevalor negocios vendas</t>
  </si>
  <si>
    <t>ederzardin sucesso motivacaodiaria passosparaosucesso motivacao vendedor palestrante geracaodevalor</t>
  </si>
  <si>
    <t>share video vendedor</t>
  </si>
  <si>
    <t>provasocial venda gatilhosmentais marketing empreendedorismo vendasonline vendas vendedor sucesso motivacao motivation trafegopago gestordetrafego</t>
  </si>
  <si>
    <t>vendedor vendedora vendas empreendedor empeendedorismo gestordetrafego trafegopago marketingdigital marketing</t>
  </si>
  <si>
    <t>marketingdigital memes memesbrasil meme instagood fy gestordetrafefo trafegopago vendedor engraçado</t>
  </si>
  <si>
    <t>vendas vendedor empreendedorismo empreender vendaonline dicasdevendas marketing marketigdigital ecommerce basicobemfeito gestordetrafego</t>
  </si>
  <si>
    <t>trafegopago vendas vendasonline marketing marketingdigital vendedor</t>
  </si>
  <si>
    <t>motivación motivacion</t>
  </si>
  <si>
    <t>gordagrandeyquenopese comunicación vendedor vender comunicar</t>
  </si>
  <si>
    <t>optimismo empatía escucha asertividad palancas exito vendedor co</t>
  </si>
  <si>
    <t>empreendedorismo marketingdigital empreender marketing empreendedor vendasonline vendas vendermais vendedores</t>
  </si>
  <si>
    <t>empreendedorismo marketingdigital empreender marketing empreendedor negocios vendasonline vendas vendermais vendedores</t>
  </si>
  <si>
    <t>empreendedorismo marketingdigital sucesso empreender marketing empreendedor negocios empreendertransforma empreendercomproposito vendasonline vendas vendermais vendedores</t>
  </si>
  <si>
    <t>empreendedorismo marketingdigital empreender marketing empreendedor negocios empreendertransforma vendasonline vendas vendermais vendedores</t>
  </si>
  <si>
    <t>vendas vendedor comovendermais vendermais vendasonline varejo</t>
  </si>
  <si>
    <t>empreendedorismo empreender empreendedor negocios vendas vendermais vendedores</t>
  </si>
  <si>
    <t>empreendedorismo empreender empreendedor empreendercomproposito vendasonline vendas vendermais vendedores</t>
  </si>
  <si>
    <t>empreendedorismo empreender marketing empreendedor negocios vendasonline vendas vendermais vendedores</t>
  </si>
  <si>
    <t>empreendedorismo empreender empreendedor vendasonline vendas vendermais vendedores</t>
  </si>
  <si>
    <t>empreendedorismo sucesso empreender marketing empreendedor negocios empreendertransforma empreendercomproposito vendasonline vendas vendermais vendedores</t>
  </si>
  <si>
    <t>empreendedorismo marketingdigital sucesso empreender marketing empreendedor negocios empreendertransforma empreendercomproposito vendas vendermais vendedores</t>
  </si>
  <si>
    <t>vendas vendedor empreendedorismo empreender verdermais</t>
  </si>
  <si>
    <t>motivación motivacion feliz bienestar bienestaremocional actitud emociones liderazgo exito resultados tipsdeventas emprendedores emprendimiento vendedor comercial</t>
  </si>
  <si>
    <t>broker vendedor vendercasas trabajo</t>
  </si>
  <si>
    <t>huincarenanco vendedor mecanico</t>
  </si>
  <si>
    <t>vendedor computin</t>
  </si>
  <si>
    <t>vendas vendedor empreendedor empreendedorismo varejo vendasonline ecommerce foco marketing marketingdigital dicadevendas</t>
  </si>
  <si>
    <t>dicasdevendas vendas vendedor empreendedor empreendedorismo empresario marketing marketingdigital lojaonline motivação boravender</t>
  </si>
  <si>
    <t>vendas vendedor marketing marketingdigital ecommerce motivação estratégia empreendedor empreendedorismo empreendedor</t>
  </si>
  <si>
    <t>turista vendedor estafara tulum quintanaroo</t>
  </si>
  <si>
    <t>comercial vendedor immobiliario</t>
  </si>
  <si>
    <t>empleo vacantes cdmx morelos ventas vendedor cv bolsadeempleo</t>
  </si>
  <si>
    <t>indenização vendedor nhonho tiazinha</t>
  </si>
  <si>
    <t>vendedor altaperformance</t>
  </si>
  <si>
    <t>vendedor empreender motivacional</t>
  </si>
  <si>
    <t>viagem memesvendas euqueroameta representantecomercial vendedor vendedores vendas</t>
  </si>
  <si>
    <t>representantecomercial rca vendedores vendedor euqueroameta memesvendas viagem premiacao</t>
  </si>
  <si>
    <t>euqueroameta vendas vendedor vendedores meta representantecomercial</t>
  </si>
  <si>
    <t>vendas representantecomercial vendedor sonsatos isola</t>
  </si>
  <si>
    <t>euqueroameta memesbr humorvendas vendedora vendedor representantecomercial</t>
  </si>
  <si>
    <t>trabalho equipe vendas vendedor euqueroameta representantecomercial gerente</t>
  </si>
  <si>
    <t>vendas vendedor memesvendas representantecomercial viralizar</t>
  </si>
  <si>
    <t>vendas vendedor representantecomercial euqueroameta</t>
  </si>
  <si>
    <t>representantecomercial rca vendedor euqueroameta</t>
  </si>
  <si>
    <t>vendas vendasonline vendedor supervisorcomercial supervisao atacadista euqueroameta representantecomercial</t>
  </si>
  <si>
    <t>representantecomercial euqueroameta vendas vendedor vendedora rca motivacao rota atacadista</t>
  </si>
  <si>
    <t>representante vendedor vendas vender euqueroameta meta supervisorcomercial industria vidaderepresentante gerentecomercial</t>
  </si>
  <si>
    <t>vidaderepresentante euqueroameta representantecomercial representante vendas vendedor vender atacadista industria vendasinternacionais</t>
  </si>
  <si>
    <t>representantecomercial rca supervisor cliente clientela distribuidora euqueroameta vendedor vendedores rcahumorvendas</t>
  </si>
  <si>
    <t>representantecomercial rca vendas vendedor audio reidosaudios euqueroameta rcahumor memesvendas</t>
  </si>
  <si>
    <t>vendas vendedor vendedores meta euqueroameta representantecomercial email meta comissao</t>
  </si>
  <si>
    <t>euqueroameta vencernavida humorvendas memesbr vendedor representante representantecomercial tigre amanco khrona</t>
  </si>
  <si>
    <t>euqueroameta vencernavida humorvendas memesbr vendedor representante representantecomercial cocacola pepsi pepsikickoffshow pepsico</t>
  </si>
  <si>
    <t>representantecomercial rca vendas vendedor euqueroameta barbie barbieofilme</t>
  </si>
  <si>
    <t>representante vendedor vendas vender euqueroameta meta hotel industria vidaderepresentante hotelfazenda</t>
  </si>
  <si>
    <t>representante vendedor vendas vender euqueroameta meta ambientedetrabalhojusto industria vidaderepresentante</t>
  </si>
  <si>
    <t>representantecomercial rca representante vendedor euqueroameta vendas vender supervisorcomercial futebol br memesbr</t>
  </si>
  <si>
    <t>representantecomercial supervisorcomervial gerenrecomercial gestorcomercial euqueroameta vendas vendedor</t>
  </si>
  <si>
    <t>representantecomercial vendas vendedor farmacias teuto ache medicamentos remedio</t>
  </si>
  <si>
    <t>vendas euqueroameta vendedor vendedores representantecomercial memes memesbr</t>
  </si>
  <si>
    <t>vendas euqueroameta vendedor vendedores representantecomercial memes memesbr atalho estrada</t>
  </si>
  <si>
    <t>vendas euqueroameta vendedor vendedores representantecomercial memes memesbr reuniao</t>
  </si>
  <si>
    <t>vendas vendedor medicamentos representantecomercial euqueroameta equipedevendas harmonizacaofacial</t>
  </si>
  <si>
    <t>euqueroameta meta vendas representantecomercial representante supervisorcomercial supervisor vendedor</t>
  </si>
  <si>
    <t>euqueroameta vencernavida humorvendas memesbr vendedor representante representantecomercial</t>
  </si>
  <si>
    <t>vencernavida euqueroameta representantecomercial sucesso vendedores vendedor politica comissao</t>
  </si>
  <si>
    <t>vendedor valor ventadirecta metas</t>
  </si>
  <si>
    <t>tipsaccounter videotipsaccounter accounterweb noticias news tips contador retencionenlafuente ventadeinmuebles ventainmueble personasjuridicas personanatural comprador vendedor</t>
  </si>
  <si>
    <t>mariazorrilla realtor seller buyer vendedor comprador seller buyer realestate investor</t>
  </si>
  <si>
    <t>empresario fabricante emprendedor vendedor productor invierte publicidad whatsapp lunesdepentagrama pentagramaturadio eneroesdepentagrama 23ene2023</t>
  </si>
  <si>
    <t>empresario fabricante emprendedor vendedor productor invierte publicidad whatsapp pentagramaturadio hechaparati tropicalydeportiva 21mar2023 marzoesdepentagrama</t>
  </si>
  <si>
    <t>empresario fabricante emprendedor vendedor productor invierte publicidad whatsapp 12mar2023 marzoesdepentagrama</t>
  </si>
  <si>
    <t>empresario fabricante emprendedor vendedor productor invierte publicidad whatsapp lunesdepentagrama pentagramaturadio marzoesdepentagrama 19mar2023</t>
  </si>
  <si>
    <t>maatacado atacado sãopaulo vagadeempregos vendedor</t>
  </si>
  <si>
    <t>whats whatsapp venderpelowhatsapp vendermais</t>
  </si>
  <si>
    <t>mayanfleamarket vendedor retail playadelcarmen</t>
  </si>
  <si>
    <t>mayanfleamarket vendedor retail loscabos</t>
  </si>
  <si>
    <t>tesoroscollection vendedor cozumel</t>
  </si>
  <si>
    <t>aura vendedor merida</t>
  </si>
  <si>
    <t>vendermais linkedinvendas marketingdigital</t>
  </si>
  <si>
    <t>anúncio emprego comercial anunciodeemprego vendedor</t>
  </si>
  <si>
    <t>vendas emoçõesemvendas cirobottini técnicasdevendas sucessoemvendas dicasdevendas vendermais vendaemocional</t>
  </si>
  <si>
    <t>easycob cobrança vendedor revendedor</t>
  </si>
  <si>
    <t>minecraft aldea vendedor felizmiercoles nadiedicenada</t>
  </si>
  <si>
    <t>saopaulo empreendedorismo empreendedor empreendedora vendedor representantecomercial</t>
  </si>
  <si>
    <t>estudante saopaulo vendedor</t>
  </si>
  <si>
    <t>marketingdigital empreendedorismo boravender boraempreender digitalmarketing seo vendermais marketingdeconteudo marketingnaveia venderonline formuladelancamentos lancamentosdigitais marketingparalancamentos</t>
  </si>
  <si>
    <t>ventadecasa asesorinmobiliario vendedor juriquilla zibata elcampanario queretaro</t>
  </si>
  <si>
    <t>equipedevendas timedevendas vendermais encantarclientes posvendas empreendedor fidelizarclientes vendas vendedor vendedordesucesso empreendendorismo negóciosdigitais vendedordesucesso marketingdigital palestradevendas</t>
  </si>
  <si>
    <t>ultimominuto captado momento mujer vendedor hamacas muren instante caída rayo playa aquila michoacan mexico</t>
  </si>
  <si>
    <t>paulododindin vendedor dindin geladinho paralisia manaus ajuda internautas</t>
  </si>
  <si>
    <t>jiujitsu sonho representar brasil atletas pai vendedor doces narua vaquinha ajudar sovaquinhaboa</t>
  </si>
  <si>
    <t>vendedor dindin geladinho manaus paralisia paralisiacerebral pcd video</t>
  </si>
  <si>
    <t>palhaco vendedor aprovado medicina universidade educacao superacao vitoria sonho persistir estudar conseguir</t>
  </si>
  <si>
    <t>empatia solidariedade alunos juntos comprar lanches vendedor proibido vender salgados escola bragança pará</t>
  </si>
  <si>
    <t>milionário vendedor praia recarga celular franquia virada falencia persistir negocios empreendedorismo</t>
  </si>
  <si>
    <t>influencer influenciadora presente carro vendedor doces saopaulo sthefannycarvalho video viral fazerobem genteboa doar</t>
  </si>
  <si>
    <t>vendedor chupchup geladinho comerciante aprovado universidade faculdade ondetrabalha trabalhador vitoria</t>
  </si>
  <si>
    <t>spfw ambulante vendedor oculos modelo newface model senegal</t>
  </si>
  <si>
    <t>video viral hotdog cachorroquente vendedor dormir jovens ajudar empatia vender ajudar alegria</t>
  </si>
  <si>
    <t>bike bicicleta idoso furtado vendedor frutas moradores vaquinha ajudar</t>
  </si>
  <si>
    <t>novaiguaçu trabalho vendedor</t>
  </si>
  <si>
    <t>vender ventas vendedor curso neuroventas</t>
  </si>
  <si>
    <t>vender vendedor cartasdeventa web tiendaonline shopify ecomerce</t>
  </si>
  <si>
    <t>centro vendedor salesman santamarta streetphotographerscommunity</t>
  </si>
  <si>
    <t>empleo vendedor producción frigorífico</t>
  </si>
  <si>
    <t>talinykrein tklegal vemserlegal direito direitodotrabalho emprego trabalho empregado trabalhador patrao empresa empresas empregador empresario advogada advogado advogadatrabalhista advogadotrabalhista advocaciatrabalhista rh dp comissão comissões vendedor</t>
  </si>
  <si>
    <t>07sep enólogo 3jun sommelier 19jul vendedor vino repartidor asies</t>
  </si>
  <si>
    <t>movaseempreendedor vendedor equipedegendas gestãocomercial timecomercial</t>
  </si>
  <si>
    <t>reels reelsinstagram instagram marketing ventas copy copywriting copywritingtips copywriters emprendedores emprender empredimientos marketing marketingdigital vender vendedor venezuela mexico españa chile colombia argentina</t>
  </si>
  <si>
    <t>empleodisponible trabajo ingeniero vendedor auxiliarcontable recepcionista cdmx avisooportuno</t>
  </si>
  <si>
    <t>auxiliarcontable contabilidad cuidador vendedor</t>
  </si>
  <si>
    <t>marketing auxiliarcontable asistentedirección vendedor avisooportuno felizmiércoles</t>
  </si>
  <si>
    <t>trabajo vendedor auxiliarcontable manicurista</t>
  </si>
  <si>
    <t>marketingdigital vendasonline negóciodigital presençadigital vendermais</t>
  </si>
  <si>
    <t>saúlsalazarnoticias últimahora vendedor huajuapan</t>
  </si>
  <si>
    <t>quito ecuador oportunidadlaboral empleo pichincha vendedor</t>
  </si>
  <si>
    <t>livro ambição vendedor fomedesucesso vendas</t>
  </si>
  <si>
    <t>empleo muebles vendedor mallorca palma</t>
  </si>
  <si>
    <t>ventas trabajo vendedor ecuador comercial</t>
  </si>
  <si>
    <t>agentecomercial agentedeventas comercial competenciasvendedor competencias comunicación autodisciplina vendedor ejecutivodeventas competenciaslaborales vendedorefectivo</t>
  </si>
  <si>
    <t>perdao divida iva regularizacao prestador vendedor abtoc dilema duvida ajuda solucao trabalhorindependente sociedade trabalhadores</t>
  </si>
  <si>
    <t>rt meser trabajo gastronomia restaurante vendedor</t>
  </si>
  <si>
    <t>vaga vendedor salvador</t>
  </si>
  <si>
    <t>fofocadobem vaga vendedor salvador pcd</t>
  </si>
  <si>
    <t>fofocadobem vaga vendedor salvador</t>
  </si>
  <si>
    <t>fofocadobem vaga vendedor camacari</t>
  </si>
  <si>
    <t>vaga vendedor salvador pcd</t>
  </si>
  <si>
    <t>fofocadobem vaga vendedor catu</t>
  </si>
  <si>
    <t>fofocadobem vaga vendedor lauro salvador</t>
  </si>
  <si>
    <t>fofocadobem vaga vendedor</t>
  </si>
  <si>
    <t>fofocadobem vaga vendedor automotivos salvador</t>
  </si>
  <si>
    <t>fofocadobem vaga vendedor iguatemi salvador</t>
  </si>
  <si>
    <t>atentado sicarios vendedor verduras mercado sincelejo</t>
  </si>
  <si>
    <t>violencia sincelejo víctima vendedor chochó</t>
  </si>
  <si>
    <t>vagas vendedor veterinaria</t>
  </si>
  <si>
    <t>vendedor vagas engenharia</t>
  </si>
  <si>
    <t>vendedor ciudaddemexico twitter</t>
  </si>
  <si>
    <t>vender vendedor banco</t>
  </si>
  <si>
    <t>vendedor venda vendas cliente carros vendedordecarro</t>
  </si>
  <si>
    <t>vendedor meme</t>
  </si>
  <si>
    <t>vendedor vender</t>
  </si>
  <si>
    <t>vendedor venta</t>
  </si>
  <si>
    <t>portaljuristec uber vendedor delivery</t>
  </si>
  <si>
    <t>portaljuristec unilever indenização vendedor</t>
  </si>
  <si>
    <t>𝗹𝗶𝗯𝗿𝗼𝘀 𝗲𝗺𝗽𝗿𝗲𝗻𝗱𝗲𝗱𝗼𝗿 vendedor lectura teen leer marketingstrategy</t>
  </si>
  <si>
    <t>feiradenegocios goias goiania representantecomercial vendermais</t>
  </si>
  <si>
    <t>oportunidadlaboral empleoguatemala guatemala empleogt ciudadguatemala vendedor vendedordecampo</t>
  </si>
  <si>
    <t>imagenes polemico alcalde estambul comerciante estambul vendedor denuncia</t>
  </si>
  <si>
    <t>amazon bubok lektu googleplay ventas puertafria vendedor vender cursoparavender</t>
  </si>
  <si>
    <t>googleplay lektu bubok ventas puertafria vendedor vender cursoparavender</t>
  </si>
  <si>
    <t>googleplay lektu bubok puertafria vendedor vender cursoparavender</t>
  </si>
  <si>
    <t>googleplay lektu bubok puertafria vendedor cursoparavender recomiendoleer</t>
  </si>
  <si>
    <t>venta emprendedor vendedor</t>
  </si>
  <si>
    <t>vendedor ventas cliente servicio</t>
  </si>
  <si>
    <t>vendas vendermais comovendermais comoaumentarasvendas</t>
  </si>
  <si>
    <t>notíciasjurídicas vendedor horasextras</t>
  </si>
  <si>
    <t>vendedor garantia</t>
  </si>
  <si>
    <t>ventas vanta vendedor vendermas sales vendedores negocios empresarios emprendedor b2b</t>
  </si>
  <si>
    <t>ventas vender sales salestips vendedor vendermas salestraining</t>
  </si>
  <si>
    <t>ejecutar vendedor guadalupe</t>
  </si>
  <si>
    <t>guadalupe ejecutar vendedor</t>
  </si>
  <si>
    <t>vendedor drogas aguascalientes</t>
  </si>
  <si>
    <t>aguascalientes vendedor drogas</t>
  </si>
  <si>
    <t>cuarta desarrollo vendedor proyecto podcast desarrollo ventas</t>
  </si>
  <si>
    <t>desarrollo vendedor vendedores desarrollo</t>
  </si>
  <si>
    <t>vendedor ventas vendedores podcast</t>
  </si>
  <si>
    <t>horeca cliente vendedor</t>
  </si>
  <si>
    <t>vendedor globalempregos vagasdeemprego oportunidadedeemprego emprego procuroemprego currículo vagadetrabalho</t>
  </si>
  <si>
    <t>sicariato vendedor guayaquil ecuador</t>
  </si>
  <si>
    <t>mercados inmobiliaria mercadoinmobiliario vivienda euribor fotocasa precios viviendasenespaña vendedor</t>
  </si>
  <si>
    <t>apple trading acciones wallstreet stevejobs mercados mercado tecnologia crisisapple warrenbuffet vendedor buffet noticiasenespañol negociostv</t>
  </si>
  <si>
    <t>ventas vendedor vendedores vender</t>
  </si>
  <si>
    <t>vendedor local villacrespo valorargentinosrl búsquedalaboral</t>
  </si>
  <si>
    <t>vender vendedor ventas vende</t>
  </si>
  <si>
    <t>vender ventas vendedor vende</t>
  </si>
  <si>
    <t>vender ventas vende vendedor</t>
  </si>
  <si>
    <t>vendedor ventas vender vende</t>
  </si>
  <si>
    <t>vender vendedor ventas</t>
  </si>
  <si>
    <t>ventas vender vendedor</t>
  </si>
  <si>
    <t>autoridades confisca vendedor apoyo teatromanueldoblado guanajuato vendedordepan direccióndecomercio</t>
  </si>
  <si>
    <t>vendedor mediodepago</t>
  </si>
  <si>
    <t>comprador vendedor</t>
  </si>
  <si>
    <t>xbox consola juegos compra ecommerce vendedor demanda jurisprudencia</t>
  </si>
  <si>
    <t>vendedores vendedor motoristadecaminhao oportunidadedetrabalho</t>
  </si>
  <si>
    <t>vendedor materiaisdeconstrucao casasmaracana</t>
  </si>
  <si>
    <t>vendedores vendedor oportunidadedetrabalho materiaisdeconstrução</t>
  </si>
  <si>
    <t>noticias granada lunes julio verano estafa vendedor thermomix tribunaldecuentas cetursa sentencia incendio hlalainmaculada</t>
  </si>
  <si>
    <t>ventas formación habilidadesblandas vendedor recursoshumanos empresa negocios talentohumano</t>
  </si>
  <si>
    <t>sketch parodia comedia parody youtube youtuber barrio calle vendedor mochila</t>
  </si>
  <si>
    <t>youtube youtuber mexico sketch parody vendedor life</t>
  </si>
  <si>
    <t>vendedorexitoso vendedor agentedeseguros</t>
  </si>
  <si>
    <t>vendas negociação rapport técnicasdevendas vendedor pósgraduação pósonline mba neurociência neurociencia inteligenciaemocional</t>
  </si>
  <si>
    <t>2023newyear cordoba trelew emprendedores vendedor ventas</t>
  </si>
  <si>
    <t>vacantesdisponibles empleo vacantes jobs vacantes</t>
  </si>
  <si>
    <t>seumadruga churros vendedor chaves quico chiquinha imagemcomsom humor comedia</t>
  </si>
  <si>
    <t>imagemcomsom seumadruga churros vendedor chiquinha quico chaves sextou humor comedia</t>
  </si>
  <si>
    <t>chaves seumadruga quico bastidores fotorara tbt chiquinha seubarriga donaflorinda vendedor balões humor comedia</t>
  </si>
  <si>
    <t>trabajohay reclutamiento operario inspectordecalidad vendedor cajero trabajo empleo slp lasecretaríadeltrabajotedatrabajo</t>
  </si>
  <si>
    <t>m2 cever santafe vendedor roberto martínez</t>
  </si>
  <si>
    <t>m2 cever santafe</t>
  </si>
  <si>
    <t>información noticias chihuahua leña vendedor comerciantes</t>
  </si>
  <si>
    <t>webmor negóciosonline empreendedorismo vendermais estratégiasdigitais assessoriadevendas transformaçãodigital negócios mei pequenasempresas pequenasemediasempresas</t>
  </si>
  <si>
    <t>vendedor saas teletrabajo homework remotework hiring</t>
  </si>
  <si>
    <t>publi amazon vendedor kit torno</t>
  </si>
  <si>
    <t>publi amazon siguiente vendedor azalea</t>
  </si>
  <si>
    <t>taxi vendedor</t>
  </si>
  <si>
    <t>vendas vendermais vendedor</t>
  </si>
  <si>
    <t>vendas vendermais</t>
  </si>
  <si>
    <t>ofertasdeempleo personaldelimpieza contable administrativos vendedor educador gerocultor gerocultora empleo comparte</t>
  </si>
  <si>
    <t>vacante ventas mercadotecnia sintrabajo buscandotrabajo vendedor vendedora equipodeventas produccion</t>
  </si>
  <si>
    <t>meucrediario crediario lojas vendas diasdasmaes vendermais</t>
  </si>
  <si>
    <t>ipforce empreendedores vendedor pin pabxvirtual pabxinteligente telefonia telefoniaip voip</t>
  </si>
  <si>
    <t>vendedor trelew</t>
  </si>
  <si>
    <t>zara tiendaderopa trabajo tiendadepartamental zaraoutfit vendedor</t>
  </si>
  <si>
    <t>baw bawclothing desconto cupom cupomdedesconto liquidacao vendedor cupomdevendedor streetwear</t>
  </si>
  <si>
    <t>baw bawclothing desconto cupomdedesconto vendedor cupomdevendedor namorados diadosnamorados</t>
  </si>
  <si>
    <t>bawclothing baw streetwear desconto cupomdedesconto cupom liquidacao vendedor cupomdevendedor progressiva diadosnamorados namorados</t>
  </si>
  <si>
    <t>vendedora vendedor</t>
  </si>
  <si>
    <t>contratar vendedor jeimage</t>
  </si>
  <si>
    <t>accidente enfermera atropella vendedor</t>
  </si>
  <si>
    <t>ofertalaboral oportunidadlaboral vendedor</t>
  </si>
  <si>
    <t>vendedor cliente tpv comercios omnicanal fidelización empresa</t>
  </si>
  <si>
    <t>dashboard css3 html5 bootstrap vendedor</t>
  </si>
  <si>
    <t>sistemasdearmazenagem portapalete portapallets varejo industria industrias industrial raphaelcordova supermercado atacarejo negócios vendedor vendas representantecomercial</t>
  </si>
  <si>
    <t>representantecomercial vendedor vendedora vendas industria sistemasdearmazenagem portapallet</t>
  </si>
  <si>
    <t>sistemasdearmazenagem armazenagem portapalete portapallets varejo industria industrias industrial raphaelcordova supermercado atacarejo negócios vendedor vendas representante representantecomercial</t>
  </si>
  <si>
    <t>falsificado web vendedor stopfalsificaciones</t>
  </si>
  <si>
    <t>falsificadores venta falsificaciones vendedor producto web stopfalsificaciones</t>
  </si>
  <si>
    <t>falsificado web vendedor seguridad stopfalsificaciones</t>
  </si>
  <si>
    <t>bolso vendedor costuras etiquetas stopfalsificaciones</t>
  </si>
  <si>
    <t>golpe pix vendedor</t>
  </si>
  <si>
    <t>consejodiarioia vendedor chatgpt ia ventas tecnología cliente cierre inteligenciaartificial</t>
  </si>
  <si>
    <t>vendas vender vendedor vendedores vendasonline digital marketing marketingdigital plenitude lucro</t>
  </si>
  <si>
    <t>vendedor mala onda kiko</t>
  </si>
  <si>
    <t>meeeeegusta resurgirdelapatria técnicoreparadordecomputadoras tejedorentelar trabajadorsocial vendedor</t>
  </si>
  <si>
    <t>empleo empleos2023 bucaramanga asesorcomercial vendedor sihayempleo sihaytrabajo atencionalcliente interno telecomunicaciones santander</t>
  </si>
  <si>
    <t>envideo cali mujer descuido vendedor hurtar comerciantes desesperadospor inseguridad</t>
  </si>
  <si>
    <t>vendedor trabajoremoto télétravail</t>
  </si>
  <si>
    <t>bilbao empleoenespaña vendedor busquedalaboral</t>
  </si>
  <si>
    <t>vendas vendedor böhler utp segurança solda soldador representantecomercial soldagem welding trabalho rapport negociacao treinamento negociar osv solda bz f</t>
  </si>
  <si>
    <t>vendas vendedor motivação inteligência negocio vida saúde representantecomercial dinheiro resultado paradigma</t>
  </si>
  <si>
    <t>vendedor avión avon turbina boeing producto</t>
  </si>
  <si>
    <t>papá vendedor celular móvil whatsapp padres</t>
  </si>
  <si>
    <t>llamar huevos mediadocena supermercado vendedor duda</t>
  </si>
  <si>
    <t>escopeta nirvana chiste vendedor kurtcobain kurt cobain</t>
  </si>
  <si>
    <t>vendedor chatguru atendimentoaocliente experienciadocliente</t>
  </si>
  <si>
    <t>declaracionanual vendadeinmueble personafisica vendedor inmueble inmobiliariadeconfianza</t>
  </si>
  <si>
    <t>vendas vendedor memes</t>
  </si>
  <si>
    <t>cursogratuito cursoonline vendas vendermais dicasvendermais cursobeleza cursoestetica vendas sebrae governosp</t>
  </si>
  <si>
    <t>cursogratuito cursoonline vendas vendermais dicasvendermais cursobeleza cursoestetica vendas sebrae governosp mulherempreendedora mulheresempreendedorasdigital</t>
  </si>
  <si>
    <t>cursogratuito cursoonline vendas vendermais dicasvendermais alimentossaudaveis restaurantesp marmitafit fingerfood sebrae senac empreendedorismo mulherempreendedora</t>
  </si>
  <si>
    <t>cursogratuito cursoonline vendermais venderonline cursoonline cursogratuito cursoalimentos cursobeleza cursoestetica vendas sebrae governosp mulherempreendedora mulheresempreendedorasdigital</t>
  </si>
  <si>
    <t>thesauceag vagaemprego publicidade vendedor oportunidadeprofissional trabalheconosco agênciadepublicidade</t>
  </si>
  <si>
    <t>vendas vendedor viralizar segueai</t>
  </si>
  <si>
    <t>busquedalaboral focus focusbusca vendedor</t>
  </si>
  <si>
    <t>vacantesantiago vacantesrd vacantesti rrhh empleosrd trabajosrd trabajosihay vendedor</t>
  </si>
  <si>
    <t>vendedor valoración formación</t>
  </si>
  <si>
    <t>criacaodesite criaçãodesitesresponsivos pequenasempresas vendermais catalogodigital lojavirtual lojavirtualparanegocioslocais</t>
  </si>
  <si>
    <t>ventas informaticas sistemas vendedor</t>
  </si>
  <si>
    <t>lista suscriptores curso clientes leads prospectos vender vendedor marketero</t>
  </si>
  <si>
    <t>motivacao motivacional empreendedorismo vendedor corretor corretordeimoveis corretordeimóveis rogeriopraes</t>
  </si>
  <si>
    <t>concesiones vendedor reducción tasa interés</t>
  </si>
  <si>
    <t>concesiones vendedor tarifa baja</t>
  </si>
  <si>
    <t>reclutamiento vendedor empleo</t>
  </si>
  <si>
    <t>tulum turista vendedor quintanaroo</t>
  </si>
  <si>
    <t>ropa indumentaria vendedoras vendedores ventas vendedora vendedor comercial</t>
  </si>
  <si>
    <t>ogmandino vendedor libros literatura</t>
  </si>
  <si>
    <t>presidente gobierno pedrosánchez psoe doctorado vendedor humo sanchez protagonista función teatro artista palabra vacía muleta mentira imagen españa degrada mundo</t>
  </si>
  <si>
    <t>pedrosánchez psoe vendedor crecepelo presidente gobierno subvencionar españoles regímenes adormilado pueblo</t>
  </si>
  <si>
    <t>vacante puesto vendedor ventas dinero ganancias trabajo</t>
  </si>
  <si>
    <t>vendas vendedor vendasvarejo veiculos vendasdeautomoveis</t>
  </si>
  <si>
    <t>fyp explorepage explore vendas vendedor vendadeautomoveis fatura faturadocartao cartaodecredito lascou</t>
  </si>
  <si>
    <t>leader vendedor expendedor</t>
  </si>
  <si>
    <t>libreriacapitulos complacemoslectores libros lectura librería ogmandino milagro vendedor</t>
  </si>
  <si>
    <t>libreriacapitulos complacemoslectores ogmandino ventas vendedor libros leer sale</t>
  </si>
  <si>
    <t>mente fato brasil vendas vendedor equipe atitude pensamento foco instagood opoderdasvendas</t>
  </si>
  <si>
    <t>vendas vendedor gerente desconto febre instagood amor paz riodejaneiro saopaulo gratidao moda</t>
  </si>
  <si>
    <t>vendas vendedor cliente retorno explore atendimento metas brasil love amor instagood sextaferia memes bomdia foto estilo opoderdasvendas</t>
  </si>
  <si>
    <t>vendas varejo cliente vendedor vendasonline empreendedor consumo atendimento comercio teamadt empreendedorismo administracao lafaiete geracaodevalor opoderdasvendas</t>
  </si>
  <si>
    <t>inovação futuro lider chefe patrao gestao seguidores vendas vendedor comercial meta instagood opoderdasvendas</t>
  </si>
  <si>
    <t>opoderdasvendas vendedor fidelidade empreendedorismo empreender</t>
  </si>
  <si>
    <t>opoderdasvendas vendas varejo cliente vendedor vendasonline empreendedor consumo atendimento comercio teamadt empreendedorismo administracao lafaiete geracaodevalor</t>
  </si>
  <si>
    <t>vendas vendedor faturamento cliente crie transforme facavocemesmo opoderdasvendas</t>
  </si>
  <si>
    <t>vendedor vendas oponente concorrencia mercado negocio opoderdasvendas</t>
  </si>
  <si>
    <t>vendas vendedor equipe resultados processos time ritmo ação opoderdasvendas</t>
  </si>
  <si>
    <t>diadotrabalho vendedor</t>
  </si>
  <si>
    <t>objeciones saas emprender ventas vendedor iloveventas aprendeavender</t>
  </si>
  <si>
    <t>saas emprender ventas vendedor iloveventas aprendeavender</t>
  </si>
  <si>
    <t>growthhackers saas emprender ventas vendedor iloveventas aprendeavender</t>
  </si>
  <si>
    <t>saas emprender ventas vendedor iloveventas</t>
  </si>
  <si>
    <t>influenciador saas emprender ventas vendedor iloveventas aprendeavender</t>
  </si>
  <si>
    <t>closers negocios saas emprender ventas vendedor iloveventas aprendeavender</t>
  </si>
  <si>
    <t>pavinattomentiroso vendedor</t>
  </si>
  <si>
    <t>edoméx direccióndeseguridadpública búsqueda vendedor tamales autoridades competentes</t>
  </si>
  <si>
    <t>inmoinformativo inmobiliaria realstate comision cobrar españa agenciainmobiliaria comprador vendedor</t>
  </si>
  <si>
    <t>estudante vendedor representantecomercial saopaulo</t>
  </si>
  <si>
    <t>ventas persuasión negocios robertcialdini principiosdepersuasión vendedor éxitoennegocios conectar influencia</t>
  </si>
  <si>
    <t>serematantitulos vendedor</t>
  </si>
  <si>
    <t>rioverde goiania anápolis sesi senai vagas bibliotecário psicólogo vendedor tecnicodeenfermagem publicitário professor tecnologia instrutordesoldagemmetalmecanica</t>
  </si>
  <si>
    <t>contratando vendedor</t>
  </si>
  <si>
    <t>latinamericaiswithbuild emprendimiento emprendedor vendedor empresario proceso ags</t>
  </si>
  <si>
    <t>emprendimiento vendedor vendedorambulante cafeteria vendocafe miexperiencia caminopróspero</t>
  </si>
  <si>
    <t>venta inmueble vendedor</t>
  </si>
  <si>
    <t>compraventa transacción vendedor</t>
  </si>
  <si>
    <t>andrevalgestor estrategia vendermais</t>
  </si>
  <si>
    <t>vídeo ajuda vendedor dindin geladeiras</t>
  </si>
  <si>
    <t>personalmente vendedor</t>
  </si>
  <si>
    <t>ventas vendedor mkt mundo world negocios businessowner exito</t>
  </si>
  <si>
    <t>vendermais arrumaçãodeloja exposiçãodeprodutos planograma moveisparalojas projetodeloja</t>
  </si>
  <si>
    <t>dicionariodovarejo showroomer experienciadoconsumidor vendermais varejointeligente</t>
  </si>
  <si>
    <t>depoimento vendedor estacionamento portugal</t>
  </si>
  <si>
    <t>vendedor tecnología inteligenciaartificial emprendedor brainstormlabs</t>
  </si>
  <si>
    <t>only onlyfan vendedor</t>
  </si>
  <si>
    <t>oportunidades vendedor oportunidades productos</t>
  </si>
  <si>
    <t>manpowergroup vendedor vendedora manpower vagasmanpower</t>
  </si>
  <si>
    <t>oportunidade manpowergroup vendedor vendedora manpower vagasmanpower</t>
  </si>
  <si>
    <t>videoviral gore gorevideo gorecenter gore blood vendedor disparo</t>
  </si>
  <si>
    <t>negocios vendas empreendedorismo empreender sucesso business gestaodenegocios vendermais gestao desenvolvimentodenegocios</t>
  </si>
  <si>
    <t>somosilimitados falaaíilimitado famíliatruckvan vendedor</t>
  </si>
  <si>
    <t>desempleo abogado medico delivery profesor obrero mecanico chofer conserje guardia actor policia campesino vendedor</t>
  </si>
  <si>
    <t>desempleo abogado medico delivery profesor obrero mecanico chofer empleado conserje guardia policia campesino vendedor</t>
  </si>
  <si>
    <t>corredor comprador vendedor corredor comisión honorarios analisisbrokers aprende blog bolsa broker inversiones invertir inverte materiasprimas negocios noticias tecnologia</t>
  </si>
  <si>
    <t>oportunidadlaboral ventas vendedor</t>
  </si>
  <si>
    <t>vendere servizio strategica marketing negocios imprenditore business affare apalancamiento socialmediamarketing vendedor</t>
  </si>
  <si>
    <t>cartões impresso artes uber graficarapida gráfica criação cartaodevisita agenciapsd artefinal vendedor divulgar</t>
  </si>
  <si>
    <t>humor geminis vendedor comercio malhumor mañanas preguntasboludas equipoinst instareels instamood floresta rutina cadadia buenhumor gracioso geminianos soyargentino boludecesno cadamañana</t>
  </si>
  <si>
    <t>vendedor up</t>
  </si>
  <si>
    <t>raiamsantosmcarn dinheiro profissao top5 medico agricultura programador vendedor influencer fy viral</t>
  </si>
  <si>
    <t>ventas vendedor consejerodelegado cursoventas</t>
  </si>
  <si>
    <t>curriculumvitae vendedor empleo</t>
  </si>
  <si>
    <t>curriculum vendedor cv</t>
  </si>
  <si>
    <t>detenido vendedor pamplona falsificaciones marcas</t>
  </si>
  <si>
    <t>storlabs socialmedia clientes vendermais</t>
  </si>
  <si>
    <t>dólares perderían abrir cerrar isla pondrían vendedor prenda fila metedera mano arcas descomunal pide cambio agenda seudosopositores</t>
  </si>
  <si>
    <t>heliosherrera heliosherreraconsultores heliosherreraventas poderdevender ventas vendedor ventasexitosas</t>
  </si>
  <si>
    <t>vendedor mundial vino ventas euros</t>
  </si>
  <si>
    <t>vendedor empreendedorismo sucesso foco</t>
  </si>
  <si>
    <t>vaga vagas vendedor</t>
  </si>
  <si>
    <t>trabajosihay quito latacunga guayaquil supervisor pasante vendedor oportunidadeslaborales oportunidadesdeempleo ikigai ikigaihrconsulting inspirandopropósitos</t>
  </si>
  <si>
    <t>dznproject marketingdigital agênciademarketing vendermais</t>
  </si>
  <si>
    <t>comedia humor broma siyofuera vendedor ropadeportiva licras chafas jajaaj</t>
  </si>
  <si>
    <t>nacional turista vendedor tulum quintanaroo felizmiercoles novasaserpresidente laydasansorescorrupta</t>
  </si>
  <si>
    <t>resultadocomtráfego vendas vendedor</t>
  </si>
  <si>
    <t>honda hondamotos recreiomotos vendedor realizandosonhos xrerally xre300</t>
  </si>
  <si>
    <t>honda motoshonda recreiomotos vendedor cgtitan</t>
  </si>
  <si>
    <t>vagas vagasdeemprego vagasdf vendedor medicinaveterinaria</t>
  </si>
  <si>
    <t>paocaseiro vitoria tabuazeiro vendedor</t>
  </si>
  <si>
    <t>networking comunicacão rapport network persuasão oratória linguagemcorporal labia vendas personalbranding brandingpessoal dinheiro empreendedorismo empreender marketingdigital mktdigital palestras vendedor palestrante orador empresário influencer</t>
  </si>
  <si>
    <t>vendetucasa inmobiliario vendedor bienesyraices</t>
  </si>
  <si>
    <t>desenvolvimento consultoriaempresarial vendermais vendas gestaoempresarial gestaocomercial</t>
  </si>
  <si>
    <t>podcast dpersonas listeningleaders ventas éxito podcasting marketing vendedor</t>
  </si>
  <si>
    <t>wearehiring oportunidad talento colaboradores empleo transformaciondigital negocios solucionesestrategicas ventas comercial vendedor ventaconsultiva búsquedadeempleo</t>
  </si>
  <si>
    <t>vendedor emprendimiento liderazgo ventas habilidadesdirectivas oportunidades</t>
  </si>
  <si>
    <t>rogervelayarce mentepositiva emprendimiento minilavadora minilavadoraportatil lavadora lavanderia mujeres mujer negocios inversiones ecomerce vendedor itadux</t>
  </si>
  <si>
    <t>rogervelayarce mentepositiva germankuttnick jurgenklaric yudislonzoy emprendedora emprendimiento cosching ia vendedor mujer itadux</t>
  </si>
  <si>
    <t>vendedor ventas empleo oportunidad trabajo venadotuerto</t>
  </si>
  <si>
    <t>humor comedia vendedor cliente comercio brinde promoção oferta</t>
  </si>
  <si>
    <t>vendedor ventas empresas negocios vendedor equipodetrabajo</t>
  </si>
  <si>
    <t>cliente vendedor ventas empresa negocio</t>
  </si>
  <si>
    <t>vendedor propecto ventas clientes empresas empresarios negocios mujerempresaria</t>
  </si>
  <si>
    <t>coach vendedor venta ventas marketing</t>
  </si>
  <si>
    <t>vendedor empresario negocio coachingempresarial</t>
  </si>
  <si>
    <t>vendedor ganancia</t>
  </si>
  <si>
    <t>ventas vendedor negocio empresa</t>
  </si>
  <si>
    <t>vendedor empresas coachingempresarial ventas marketing negocios empresarios líder</t>
  </si>
  <si>
    <t>escuchaactiva vendedor</t>
  </si>
  <si>
    <t>vendedor producto servicio cliente</t>
  </si>
  <si>
    <t>vendedor competencia ventas mercadotecnia empresa negocio</t>
  </si>
  <si>
    <t>vendedor businessmentor empresario negocioexitoso</t>
  </si>
  <si>
    <t>gestióndeltiempo vendedor</t>
  </si>
  <si>
    <t>vendedor ventas éxitoempresarial</t>
  </si>
  <si>
    <t>ventas marketing empresas negocios vendedor mercadotecnia prospecto</t>
  </si>
  <si>
    <t>vendedor tipsdeventas vendedores emprendedores</t>
  </si>
  <si>
    <t>lunesdehumor vendedor</t>
  </si>
  <si>
    <t>marketingdigital compra consumidor vendedor</t>
  </si>
  <si>
    <t>prestigeforhome consultorimobiliario agente vendedor reale</t>
  </si>
  <si>
    <t>vendedor vendamaisemelhor francocomprebem vendamaistodososdias vendas vendedordesucesso</t>
  </si>
  <si>
    <t>scbwi cbignyc childrensbookillustration childrensbookillustrator childrensbookartist illustration drawing pleinair urbansketchers usk midnightatelier yukotorii vendor fruitvendor vendedor ajijic malecon</t>
  </si>
  <si>
    <t>scbwi cbignyc art illustration drawing dailydrawing dailyartshare midnightatelier yukotorii streetvendor vendedor tacostand</t>
  </si>
  <si>
    <t>scbwi cbignyc childrensbooks childrensbookartist kidlit kidlitart picturebooks dailyartshare midnightatelier yukotorii watermelon sandia streetvendor vendedor</t>
  </si>
  <si>
    <t>scbwi cbignyc childrensbooks childrensbookartist childrensbookillustrator kidlit kidlitart picturebooks midnightatelier yukotorii streetvendor vendedor hat sombrero</t>
  </si>
  <si>
    <t>doxa tecnología ventas productividad vendedor líderes eficiencia trabajo ia organizaciones</t>
  </si>
  <si>
    <t>doxa cultura ventas b2b herramientas digital cliente tecnologia digital comprador vendedor éxito</t>
  </si>
  <si>
    <t>guatemala vendedor ruta</t>
  </si>
  <si>
    <t>saltillo empleosaltillo trabajosaltillo vendedor mejorempleo farmaciasimilares</t>
  </si>
  <si>
    <t>vendas vendedor palestra palestrante erikpenna</t>
  </si>
  <si>
    <t>vendas motivação atendimento palestra vendas vendedor palestrante erikpenna</t>
  </si>
  <si>
    <t>mercadeoglobal alvaromendoza buenmarketing vendedor</t>
  </si>
  <si>
    <t>empleo vendedor cdmx</t>
  </si>
  <si>
    <t>empreenderéisso empreendedores empreendedoresdigitais joaonatas vendas vendedores vendedor fidelizarclientes fidelidade</t>
  </si>
  <si>
    <t>vender comercial ventas pyme hr humanresources rrhh vendedor recursoshumanos clientes venta atenciónalcliente venta telemarketing serviciopostventa pime departamentosdeventas</t>
  </si>
  <si>
    <t>díanacionaldelvendedor ventas felizsabado buenosdías vendedor</t>
  </si>
  <si>
    <t>biosis saneamentoambiental vendedor vagadeemprego</t>
  </si>
  <si>
    <t>amazon vendedor</t>
  </si>
  <si>
    <t>vendamais vendatododia vendedor negóciosonline negociosonline afiliados afiliadorelampago marketingafiliado</t>
  </si>
  <si>
    <t>vendamais vendatododia vendedor negóciosonline negociosonline afiliados afiliadorelampago marketingafiliado hotmartafiliados afiliados afiliadoorganico cyromello</t>
  </si>
  <si>
    <t>mercadolibre clásica ahora12 premium vendedor ahora12</t>
  </si>
  <si>
    <t>ajeper aje huelga vendedor</t>
  </si>
  <si>
    <t>conteúdoadulto adulto packs vendedor adultcontent digitalinfluencer</t>
  </si>
  <si>
    <t>pelicula frases cinema cine friki geek film frase expresion humor cumpleaños oferta trabajo padre madre oficio vendedor</t>
  </si>
  <si>
    <t>vendas vendedor resultados lideranca resultados crescimento</t>
  </si>
  <si>
    <t>traidor traira malcarater vendedor contra</t>
  </si>
  <si>
    <t>dea expolicía chicago vendedor centroamericano juicio jurado contralínea periodismodeinvestigación</t>
  </si>
  <si>
    <t>vendedor podcast empresa</t>
  </si>
  <si>
    <t>vendedor cómolovendo</t>
  </si>
  <si>
    <t>empleo oportunidad trabajo vacante candidato vendedor caracas</t>
  </si>
  <si>
    <t>empleo oportunidad trabajo vacante candidato vendedor caracas táchira lara portuguesa yaracuy monagas</t>
  </si>
  <si>
    <t>precios vendedor consumidor oferta demanda libremercado pronavicola</t>
  </si>
  <si>
    <t>ofertadeempleo ofertadetrabajo mecanico vendedor peugeot acoruña</t>
  </si>
  <si>
    <t>vendedor vendedordepartamental miscorpnews emplehabilitate empleosguatemala empleos2023 trabajosihay</t>
  </si>
  <si>
    <t>comprar vivienda hipoteca vendedor mercado</t>
  </si>
  <si>
    <t>sellingcentralvalley vendiendoelvallecentral fresnorealtor vendiendofresno casanueva comprador vendedor</t>
  </si>
  <si>
    <t>ecommerce vendermais vendas vendasdiretas vendasonline china</t>
  </si>
  <si>
    <t>vendas vender cliente clientefeliz vendermais</t>
  </si>
  <si>
    <t>vendas vendedor vendermais vendedores vendamais</t>
  </si>
  <si>
    <t>fotografiagastronomica fotografiaprofissional fotografia cliente produto vendermais fidelização</t>
  </si>
  <si>
    <t>cliente vendermais doceria receitas dizendonão</t>
  </si>
  <si>
    <t>excel plantilla negocios metas objetivos vendedor ventas</t>
  </si>
  <si>
    <t>ventas googlesheets analisis vendedor negocios metas dueñodenegocio</t>
  </si>
  <si>
    <t>vendedor laposesión compraventa pagoaplazado documentoprivado escriturapublica notaría registrodelapropoedad</t>
  </si>
  <si>
    <t>samaniegonariño vendedor vealosdetalles abra_noticias</t>
  </si>
  <si>
    <t>consumidor vendedor leydefensadelconsumidor</t>
  </si>
  <si>
    <t>vendedor ambulante calles entrevista humor comedia</t>
  </si>
  <si>
    <t>ambulante camelô vendedor praia dinheiro turismo vendas dica ideia familia lol civilengineering civilengineer</t>
  </si>
  <si>
    <t>cursosdeventas juliolozoya proveedor vendedor ventas</t>
  </si>
  <si>
    <t>marketingdigital criacaodesites vendermais babymonsterisseven sismo jungkookxcalvinklein</t>
  </si>
  <si>
    <t>chatgpt openai chatbot tecnologia vendadesoftware vendas vendedora vendasonline vendedor timedevendas</t>
  </si>
  <si>
    <t>meme viral explorar vendas vendedor peca pecagrigo</t>
  </si>
  <si>
    <t>confiança vender comercial vendedor produtos serviços</t>
  </si>
  <si>
    <t>ventas videojuegos xboxone vendedor preciosbajos</t>
  </si>
  <si>
    <t>vacantes empleo vendedor pachuca equipoup upvacantes uppromotion</t>
  </si>
  <si>
    <t>vendedor congresista</t>
  </si>
  <si>
    <t>vendedor memesespanol bolsadepancuba</t>
  </si>
  <si>
    <t>funildevendas copy copywriting marketing marketingdigital plr vendas vendedor viral fy fyp</t>
  </si>
  <si>
    <t>albañil vendedor</t>
  </si>
  <si>
    <t>habilidades vendas vendedor pcontrol</t>
  </si>
  <si>
    <t>tecnicasdevendas vendas sales estrategiadevendas vendedor negociação podcast pcontrol</t>
  </si>
  <si>
    <t>pcontrol podcast sales vendas salesman vendedor negocios business</t>
  </si>
  <si>
    <t>vendas vendedor coldcall pcontrol</t>
  </si>
  <si>
    <t>venda vendas vender vendedor carlossantovencedor</t>
  </si>
  <si>
    <t>podcast podcastcarlossantos carlossantosvencedor vendedor vencedor</t>
  </si>
  <si>
    <t>limão vendas vendedor veropeso carlossantosvencedor</t>
  </si>
  <si>
    <t>carlossantos carlossantosvencedor vendedor vencedor vendas</t>
  </si>
  <si>
    <t>venda vendas vender vendedor carlossantosvencedor</t>
  </si>
  <si>
    <t>carlossantosvencedor vencedor vendas vendedor</t>
  </si>
  <si>
    <t>limão vendedor carlossantosvencedor</t>
  </si>
  <si>
    <t>negocios negocio vendas vendedor carlossantosvencedor</t>
  </si>
  <si>
    <t>vender venda vendas vendedor carlossantosvencedor</t>
  </si>
  <si>
    <t>vencedor vendedor empreendedor vendas carlossantosvencedor</t>
  </si>
  <si>
    <t>tips lunes cierredeventas vendedor comprador businessinterchallege</t>
  </si>
  <si>
    <t>narcotráfico consumidor vendedor consumidor descarada ley permisiva</t>
  </si>
  <si>
    <t>empreender empreendedor empresário vendedor motivacao</t>
  </si>
  <si>
    <t>busqueda vendedor maquinaria agrícola valledeuco elcucodigital empresa</t>
  </si>
  <si>
    <t>direitodotrabalho advogadotrabalhista vendedor desviodefuncao acumulodefuncao comissoes horasextras</t>
  </si>
  <si>
    <t>trabalho trabalhador direitodotrabalhador salarios salariomisto salario remuneracao comissoes calculodecomissao vendedor justicatrabalhista</t>
  </si>
  <si>
    <t>vendedor ventas</t>
  </si>
  <si>
    <t>ventas vender neuro marketing publicidad vendedor</t>
  </si>
  <si>
    <t>flexibleos profesionales trabajo equipo comercial equipoprofesional trabajoenequipo ventas talentohumano nuevasmetas emprendimiento ventas nuevosretos vendedor</t>
  </si>
  <si>
    <t>prospecção vendas vendedor metas negócios planejamento dvseditora livros estratégia</t>
  </si>
  <si>
    <t>prospecção vendas vendedor metas alvo planejamento sucessoemvendas persuasão influência copywriting dvs livros sucesso</t>
  </si>
  <si>
    <t>prospecção vendas vendedor metas alvo plaejamento sucessoemvendas negócios planejamento dvseditora livros</t>
  </si>
  <si>
    <t>prospecção vendas vendedor metas alvo plaejamento sucessoemvendas</t>
  </si>
  <si>
    <t>sne matamoros reclutamiento chofer vendedor bokados tamaulipas inicialatransformacion transformandovidastamaulipas trabajo cv portaldelempleo entrevistalaboral sneparatodos</t>
  </si>
  <si>
    <t>performandovidas vendas produto embalagem copywriter marketing vendedor stevejobs storytelling</t>
  </si>
  <si>
    <t>performandovidas vendas vendasonline vender vendedor vendedoraguia vendasinstagram viverdevendas vendedores vendedordesucesso vendedora motivacao motivação</t>
  </si>
  <si>
    <t>vendas habilidade carreira competitividade sucesso vendedor planetavendas rogeriomoura</t>
  </si>
  <si>
    <t>elcaribe elcariberd sentencian cadena vendedor helados latinos</t>
  </si>
  <si>
    <t>comparte emprendedor madrugador vendedor ganador</t>
  </si>
  <si>
    <t>reclutamientoyselecciondepersonal recursoshumanos regocorporativo reclutador reclutamientoyselección vendedor ventas trabajo vacantescancun cancun moda</t>
  </si>
  <si>
    <t>deficiente cadeirante trabalho salario vendedor</t>
  </si>
  <si>
    <t>comunicacion habilidades impactar ingresos liderazgo marcapersonal persuasion vendedor vender ventas</t>
  </si>
  <si>
    <t>divulgacao divulga divulgações divulgaçoes divulgacão publi publicidade publichistory vendasonline vendas venda vender vendermais</t>
  </si>
  <si>
    <t>enfoque vendedor</t>
  </si>
  <si>
    <t>red vender vendedor</t>
  </si>
  <si>
    <t>venta cliente vendedor ventas socialselling circul</t>
  </si>
  <si>
    <t>vendedores vendedor clientes</t>
  </si>
  <si>
    <t>ventas vendedor cliente</t>
  </si>
  <si>
    <t>vender vendedor ventas socialselling</t>
  </si>
  <si>
    <t>segmentacion ventas vendedor cliente</t>
  </si>
  <si>
    <t>vendedor marketing leads marketing socialselling ventas</t>
  </si>
  <si>
    <t>clientes vendedor socialselling</t>
  </si>
  <si>
    <t>vendedor ventas socialselling</t>
  </si>
  <si>
    <t>vendedor red red</t>
  </si>
  <si>
    <t>thread vendermais diadasmães ecommecer estrategia</t>
  </si>
  <si>
    <t>brochetas vendedor madera</t>
  </si>
  <si>
    <t>vendedor impressora bluetooth vendas celular sistema compatível impressoras necessidade módulo impressão</t>
  </si>
  <si>
    <t>sistema responsivo vexado vendedor venda computador dispositivos móveis</t>
  </si>
  <si>
    <t>dicasdevendas cursodevendas vendedor lorenzobusato</t>
  </si>
  <si>
    <t>dicasdevendas vendermais lorenzobusato dicasdevendas lorenzobusato consultoriadevendas</t>
  </si>
  <si>
    <t>vendedor dicasdevendas shorts</t>
  </si>
  <si>
    <t>dicasdevendas vendedor shorts</t>
  </si>
  <si>
    <t>dicasdevendas cursodevendas lorenzobusato vendedor telemarketing</t>
  </si>
  <si>
    <t>dicasdevendas vendedor lorenzobusato</t>
  </si>
  <si>
    <t>dicasdevendas comovender vendermais lorenzobusato marketing brasil</t>
  </si>
  <si>
    <t>empleo trabajo vendedor publicidad mediosescritos prensa</t>
  </si>
  <si>
    <t>trabajodulce navidadenfábrica empleo dulcesyempleo ofertadetrabajo antequera vendedor navidad</t>
  </si>
  <si>
    <t>vendedor facilitador clientes produtos serviços internet necessidades dor solução evovend guarapari</t>
  </si>
  <si>
    <t>contratando vagasabertas empregos emprendedorismo savecash consultor vendedor vendasconsultivas</t>
  </si>
  <si>
    <t>nacional tveo saltillo tren muerte vendedor nieves</t>
  </si>
  <si>
    <t>saber enseñar vendedor</t>
  </si>
  <si>
    <t>vendedor ventas rechazo</t>
  </si>
  <si>
    <t>vendedor experiencia</t>
  </si>
  <si>
    <t>habitos vendedor desaprende aprende hábitos</t>
  </si>
  <si>
    <t>vendedor vendedor</t>
  </si>
  <si>
    <t>vendedor vendes ventas</t>
  </si>
  <si>
    <t>ofertadeempleo vendedor vendedora benidorm diversidad discapacidad</t>
  </si>
  <si>
    <t>ofertadeempleo vendedor vendedora orihuela diversidad discapacidad</t>
  </si>
  <si>
    <t>vendedor carro oberdan uno</t>
  </si>
  <si>
    <t>vendedor lavadora marketplace</t>
  </si>
  <si>
    <t>viral vendedor tenis</t>
  </si>
  <si>
    <t>dinheiro ganhardinheiro marketingdigital marketingstrategy marketing hotmart ficarrico rico ganhar eduzz afiliado vendedor vendasonline vender</t>
  </si>
  <si>
    <t>maracay vendedor tienda</t>
  </si>
  <si>
    <t>funcionario vendedor menssagemdodia emprededores</t>
  </si>
  <si>
    <t>photo photos photographer photographylovers photofriday photographie fotos fotoshot fotodeldia fotografia fotodevendedores bnwphotography bnw bnwphotography bw vendedor globos</t>
  </si>
  <si>
    <t>facebook estafa vendedor víctima</t>
  </si>
  <si>
    <t>chatgpt empresas vendedor</t>
  </si>
  <si>
    <t>trabajo vendedor iquique chile tarapaca</t>
  </si>
  <si>
    <t>vendedor mercadillo uis dormir</t>
  </si>
  <si>
    <t>doisdedosdeprosa vitrinemóveis itaiópolis vendedor empreendedorismo colchões</t>
  </si>
  <si>
    <t>emprego trabalho vagas talentosriomafra vendedor oportunidade</t>
  </si>
  <si>
    <t>emprego pellenscolchões trabalho vagas oportunidade vendedor</t>
  </si>
  <si>
    <t>emprego trabalho vagas mafra vendedor oportunidade</t>
  </si>
  <si>
    <t>emprego trabalho vagas oportunidade mafra vendedor</t>
  </si>
  <si>
    <t>vendedor afiliado</t>
  </si>
  <si>
    <t>suavaga vendedor peças motos</t>
  </si>
  <si>
    <t>suavaga vendedor vaga estância</t>
  </si>
  <si>
    <t>suavaga vendedor nossasenhoradosocorro</t>
  </si>
  <si>
    <t>suavaga vendedor fátima bahia</t>
  </si>
  <si>
    <t>suavaga vendedor vaga tobiasbarreto</t>
  </si>
  <si>
    <t>suavaga vendedor cristinópolis chance</t>
  </si>
  <si>
    <t>suavaga vendedor umbaúba</t>
  </si>
  <si>
    <t>suavaga vendedor vaga lagarto</t>
  </si>
  <si>
    <t>suavaga vendedor lagarto</t>
  </si>
  <si>
    <t>suavaga vendedor lagarto vaga</t>
  </si>
  <si>
    <t>suavaga vendedor aracaju lojas vaga oportunidade</t>
  </si>
  <si>
    <t>suavaga vendedor carmópolis vaga</t>
  </si>
  <si>
    <t>vendas vendedor</t>
  </si>
  <si>
    <t>vendas cliente vendedor atendimento</t>
  </si>
  <si>
    <t>concorrência empreendedor vendedor</t>
  </si>
  <si>
    <t>vendedor amovender</t>
  </si>
  <si>
    <t>encontrabilidade marketingpessoal vendedor</t>
  </si>
  <si>
    <t>vendas empreendedor vendedor</t>
  </si>
  <si>
    <t>vendas vendedor leandrobranquinho</t>
  </si>
  <si>
    <t>amovender vendedor</t>
  </si>
  <si>
    <t>vendedor vendas palestrantedevendas</t>
  </si>
  <si>
    <t>vendas vendedor clientesatisfeito</t>
  </si>
  <si>
    <t>vendedor vendas</t>
  </si>
  <si>
    <t>vendas vendedor amovender</t>
  </si>
  <si>
    <t>vendedor vendas amovender</t>
  </si>
  <si>
    <t>determinação trabalho vendedor</t>
  </si>
  <si>
    <t>alerta mallmaipu araucomaipu rehenes guardia vendedor movistarteam</t>
  </si>
  <si>
    <t>keepgrowing keepgrowingmentoria makeyourfuture desenvolvimentoprofissional vendas vendedor vendamais eduardotevah dicadevendas clientes</t>
  </si>
  <si>
    <t>traspaso condiciones comprador vendedor fondodecomercio empresa</t>
  </si>
  <si>
    <t>publicidad marketing ted vender vendedor ganar</t>
  </si>
  <si>
    <t>marketingdirecto marketingdigital publicidad ventas vender vendedor libro clásico</t>
  </si>
  <si>
    <t>redesociais lojavirtual ecommerce parcerias marketing marketingonline vendermais</t>
  </si>
  <si>
    <t>lojavirtual ecommerce parcerias marketing marketingonline vendermais designergrafico design</t>
  </si>
  <si>
    <t>lojavirtual ecommerce marketing vendermais videos edicao</t>
  </si>
  <si>
    <t>vendedor executive execution compraonline</t>
  </si>
  <si>
    <t>jordidice policia municipal vendedor miel</t>
  </si>
  <si>
    <t>norauto ofertasdeempleo trabajar mecánico vendedor</t>
  </si>
  <si>
    <t>venda imovel comprador vendedor filhodovendedor</t>
  </si>
  <si>
    <t>vendadeimovel comprador vendedor filhodovendedor codigocivil direitocivil</t>
  </si>
  <si>
    <t>declaracao inexistenciadedebito cotacondominial condominio compra apartamento vendedor comprador</t>
  </si>
  <si>
    <t>responsabilidade comprador debito vendedor taxacondominial condominio direito direitocivil codigocivil</t>
  </si>
  <si>
    <t>filho comprador vendedor pai</t>
  </si>
  <si>
    <t>venda imovel vendadeimovel comprador vendedor filho pai filhodovendedor</t>
  </si>
  <si>
    <t>responsabilidade taxacondominial debito condominio vendedor comprador</t>
  </si>
  <si>
    <t>venda imovel comprador filho vendedor pai codigocivil direito direitocivil</t>
  </si>
  <si>
    <t>responsabilidade comrador vendedor apartamento condominio taxacondominial direito codigocivil</t>
  </si>
  <si>
    <t>vendedor ecatepec</t>
  </si>
  <si>
    <t>visto vendedor cursos ventas ig</t>
  </si>
  <si>
    <t>humor vendedor auto comico viral divertido comedia</t>
  </si>
  <si>
    <t>youtube vendedor todoterreno</t>
  </si>
  <si>
    <t>vendedor sucre bolívar clasificados clasificadoselvistazo</t>
  </si>
  <si>
    <t>experienciaentienda cliente vendedor retail</t>
  </si>
  <si>
    <t>twitterx art arte comisiones commissionsopen paypal vendedor euro dibujante twitch streamer</t>
  </si>
  <si>
    <t>viral tamales vendedor incendio</t>
  </si>
  <si>
    <t>vendedor camotes atlixco</t>
  </si>
  <si>
    <t>comercial vendedor asesorialaboral</t>
  </si>
  <si>
    <t>dicasdevenda quartaédia vendedor sucesso</t>
  </si>
  <si>
    <t>vendedor vendas marketing</t>
  </si>
  <si>
    <t>pacto retroventa pacto vendedor comprador paraguay pacto</t>
  </si>
  <si>
    <t>díadelvendedor vendedor cohacer acuerdo286 unidho cdmx mexico</t>
  </si>
  <si>
    <t>empreendedorismo vendas vendedor autonomo microempreendedor campeao maquina maquininha cartao</t>
  </si>
  <si>
    <t>vendedor cliente</t>
  </si>
  <si>
    <t>vacante vendedor mexico</t>
  </si>
  <si>
    <t>internet wifi vendedor informatica</t>
  </si>
  <si>
    <t>ventas vendedor negocio</t>
  </si>
  <si>
    <t>comunicacion vendedor portavisa</t>
  </si>
  <si>
    <t>vendedor clientes portavisa2023</t>
  </si>
  <si>
    <t>clientes vendedor portavisa2023</t>
  </si>
  <si>
    <t>competencias vendedor portavisa2023</t>
  </si>
  <si>
    <t>comunicacion vendedor portavisa2023</t>
  </si>
  <si>
    <t>vendedor valoragregado portavisa2023</t>
  </si>
  <si>
    <t>vendedor evolucion portavisa2023</t>
  </si>
  <si>
    <t>actitudes vendedor portavisa2023</t>
  </si>
  <si>
    <t>vendedor estrategia portavisa2023</t>
  </si>
  <si>
    <t>vendedor motivacion portavisa2023</t>
  </si>
  <si>
    <t>emociones vendedor portavisa2023</t>
  </si>
  <si>
    <t>vendedor confianza portavisa2023</t>
  </si>
  <si>
    <t>socialselling vendedor portavisa2023</t>
  </si>
  <si>
    <t>efectividad vendedor portavisa2023</t>
  </si>
  <si>
    <t>emprendedor vendedor empresario</t>
  </si>
  <si>
    <t>ventas ventaspormayor ventasporinternet vendedor vender</t>
  </si>
  <si>
    <t>vendedor mejor amazon</t>
  </si>
  <si>
    <t>empleo vendedor laboratorio agronomia agronegocio</t>
  </si>
  <si>
    <t>empleo vendedor quimico laboratorio agronomia mvz qbp agronegocio</t>
  </si>
  <si>
    <t>contratando uniformes uniforme representantes varejo vendedor carteiradeclientes</t>
  </si>
  <si>
    <t>vendedor emprendedor</t>
  </si>
  <si>
    <t>vagaaberta estamoscontratando vendedor vendas</t>
  </si>
  <si>
    <t>vigiasdeespaciopublico peatón vendedor feriadelpescado semanapolavida feriadelpescado semanamayorenfamilia semanasanta23</t>
  </si>
  <si>
    <t>bellmarques précarnaval vendedor foliões</t>
  </si>
  <si>
    <t>lunes abril pereira risaralda vendedor</t>
  </si>
  <si>
    <t>lunes marzo manizales caldas vendedor tat</t>
  </si>
  <si>
    <t>jueves abril pereira risaralda vendedor vendedora tat</t>
  </si>
  <si>
    <t>viernes febrero manizales caldas vendedor tat</t>
  </si>
  <si>
    <t>viernes mayo pereira risaralda vendedor vendedora tat</t>
  </si>
  <si>
    <t>viernes mayo pereira risaralda vendedor vendedora</t>
  </si>
  <si>
    <t>miércoles junio armenia quindío vendedor</t>
  </si>
  <si>
    <t>mãe vendedor diadasmaes</t>
  </si>
  <si>
    <t>rafaeljunqueira junqueiraconsultoria professor cursoonline marketingjuridico marketingparaadvogados vendedor advogados frases ensino</t>
  </si>
  <si>
    <t>lunes secretaria vendedor fulbito diadeltrabajo abril mayo celebra disfruta vivesabroso</t>
  </si>
  <si>
    <t>comércio vendas site cliente compra canal venda suporte vendedor</t>
  </si>
  <si>
    <t>detienen conductor atropelló vendedor tlalnepantla</t>
  </si>
  <si>
    <t>telecablecentral tanveganocomotu empleo trabajo ofertadeempleo vendedor vacante</t>
  </si>
  <si>
    <t>sectorinmobiliario asesorinmobiliario century21capitallpa canarias españa viviendahabitual vendedor comprador</t>
  </si>
  <si>
    <t>ultimahora cdmx viral luisitocomunica vendedor golpea historia testimonio calles agresion parati compartir ahora24h</t>
  </si>
  <si>
    <t>emotionalselling_libro calameo venta compra vendedor métodob emociones pve cliente</t>
  </si>
  <si>
    <t>emotionalselling_libro vendedor</t>
  </si>
  <si>
    <t>emotionalselling_libro venta compra vendedor métodob emociones pve cliente</t>
  </si>
  <si>
    <t>emotionalselling_libro venta compra vendedor métodob emociones pve cliente regalalibros feliz2023</t>
  </si>
  <si>
    <t>emotionalselling_libro venta compra vendedor métodob emociones pve cliente quéleer librorecomendado</t>
  </si>
  <si>
    <t>emotionalselling_libro venta compra vendedor métodob emociones pve flmadrid23</t>
  </si>
  <si>
    <t>emotionalselling_libro venta compra vendedor métodob emociones pve cliente quéleer flmadrid23</t>
  </si>
  <si>
    <t>emotionalselling_libro vendedor venta</t>
  </si>
  <si>
    <t>vendas vendedor atendimento</t>
  </si>
  <si>
    <t>vendedor exito amazon psicologiadelconsumidor ecommerce amazonfba</t>
  </si>
  <si>
    <t>viral pistola vendedor video</t>
  </si>
  <si>
    <t>vendedor pap</t>
  </si>
  <si>
    <t>vendedor quiosque</t>
  </si>
  <si>
    <t>vendedor autocenter</t>
  </si>
  <si>
    <t>vendedor materialdeconstrucao</t>
  </si>
  <si>
    <t>vendedor pessoascomdeficiência</t>
  </si>
  <si>
    <t>vendedor vagadeemprego oportunidadedeemprego</t>
  </si>
  <si>
    <t>vendedor material pessoascomdeficiência</t>
  </si>
  <si>
    <t>vendedor paulista</t>
  </si>
  <si>
    <t>costenses ofertalaboral ciudaddelacosta vendedor</t>
  </si>
  <si>
    <t>https://www.civil-mercantil.com/agencia-inmobiliaria-contrato-mediacion-corretaje-responsabilidad.html?web_origen=Social_Organico_Twitter_Civil_Caso_Practico_Contrato_Medicacion_Inmoviliaria&amp;utm_source=Social_Organico_Twitter_Civil&amp;utm_medium=social&amp;utm_campaign=Caso_Practico_Contrato_Medicacion_Inmoviliaria</t>
  </si>
  <si>
    <t>https://br.indeed.com/m/viewjob?jk=1c287c5176393070&amp;advn=5206233891179969&amp;adid=415152775&amp;ad=-6NYlbfkN0BSEEFJ7xVyKwqdbs0hksJ6T95gHxrASH2LWYf73c3bNM7_uyBJSed03mzgUyYycpwXKPyhM-5JFmSUKxsEtHZLCHDMtd1ps3fj5Hhc6pcsVCiN0xG_nKMLDkTBSw2mIXncJdMMR8Ruh3bp8oKCuZaGitzkBRWUSxTVPmWOBq-Lr1hEACLCqLylrymQa1cFkUTXz8CkEz0CfGVMdFjXOQhIi_Bf_K0-7XOzoa1zC0aBecNeLD76b4wAQvfX8vEBiFY4-quq3H82YBlURe1mJZloh5O7KH4dYiu3xfEyUK_YfDI9LJzpVjhn8cjGUh_oUQgpGlWuHW747ZPk9hYWhM9A0tboLSRKumIC18XuqxQvAPfpnsJcWDgBwVpyTBLbKFBAJ9qCsYXFbtecv7JnastDLh1T2i8I5RJ3cxlyBVwnwnWug1sBJIHPrrpqUzqzKHbBrRZ_NyN1XQ%3D%3D&amp;from=serp&amp;dest=http%3A%2F%2Fbr.indeed.com%2Fjob%2Fvendedor-interno-1c287c5176393070&amp;desth=d698014396c83495f966e48e5f612409&amp;prevUrl=https%3A%2F%2Fbr.indeed.com%2Fm%2Fjobs%3Fq%3DSalvador%26l%3D%26from%3DsearchOnHP%26sameL%3D1&amp;tk=1h4tk6qi4kbl0806&amp;dupclk=1&amp;acatk=1h4tk7hjvh4eu800&amp;pub=6917c08ec3ecf6012dd26f3773156e870cace3277f6b99df&amp;xkcb=SoC1-_M3NdgUjoQGqR0LbzkdCdPP</t>
  </si>
  <si>
    <t>http://www.tnoa.com.ar https://bit.ly/3QjCm0l</t>
  </si>
  <si>
    <t>http://www.tnoa.com.ar https://bit.ly/3ZwEsyn</t>
  </si>
  <si>
    <t>http://www.tnoa.com.ar https://bit.ly/3mtdHvq</t>
  </si>
  <si>
    <t>https://agnesrh.com.br/candidatos/presencial/index.php?p=vaga_info&amp;c=20515 https://agnesrh.com.br/candidatos/presencial/index.php?p=vaga_info&amp;c=20516</t>
  </si>
  <si>
    <t>http://www.meicys.com.co https://lnkd.in/eYQe64CC</t>
  </si>
  <si>
    <t>http://www.recrutadora.com.br/vagas.php https://4et.us/recrutadora-comunidade</t>
  </si>
  <si>
    <t>https://tnea.ar https://bit.ly/3IMbtQF</t>
  </si>
  <si>
    <t>https://tnea.ar https://bityl.co/IHzj</t>
  </si>
  <si>
    <t>https://tnea.ar https://bityl.co/IHxZ</t>
  </si>
  <si>
    <t>https://wa.link/7u6eqq https://wa.link/cvnvvh</t>
  </si>
  <si>
    <t>https://tnea.ar https://bit.ly/3ZLBCFD</t>
  </si>
  <si>
    <t>https://tnea.ar https://bit.ly/3XL5Q9P</t>
  </si>
  <si>
    <t>https://tnea.ar https://bit.ly/3OANgzk</t>
  </si>
  <si>
    <t>https://tnea.ar https://bit.ly/3qjIAEl</t>
  </si>
  <si>
    <t>https://tnea.ar https://bit.ly/3OMeHXA</t>
  </si>
  <si>
    <t>https://tnea.ar https://bit.ly/425Pnjd</t>
  </si>
  <si>
    <t>https://tnea.ar https://bit.ly/3LUN7p1</t>
  </si>
  <si>
    <t>https://tnea.ar https://bit.ly/3AMWJMd</t>
  </si>
  <si>
    <t>https://tnea.ar https://bit.ly/3K8Gdf9</t>
  </si>
  <si>
    <t>https://tnea.ar https://bit.ly/3nsUcTZ</t>
  </si>
  <si>
    <t>https://tnea.ar https://bit.ly/3FVnbpV</t>
  </si>
  <si>
    <t>https://tnea.ar https://bit.ly/3YA2t5A</t>
  </si>
  <si>
    <t>https://tnea.ar https://acortar.link/caVjS3</t>
  </si>
  <si>
    <t>https://tnea.ar https://bit.ly/44qbCAX</t>
  </si>
  <si>
    <t>https://tnea.ar https://bit.ly/3C9A6CF</t>
  </si>
  <si>
    <t>https://tnea.ar https://bit.ly/3MvcHQD</t>
  </si>
  <si>
    <t>https://tnea.ar https://bit.ly/3MrMdzz</t>
  </si>
  <si>
    <t>https://tnea.ar https://bit.ly/43ly51v</t>
  </si>
  <si>
    <t>https://tnea.ar https://bit.ly/40RIlNI</t>
  </si>
  <si>
    <t>https://tnea.ar https://bit.ly/45YCedz</t>
  </si>
  <si>
    <t>https://tnea.ar https://bityl.co/IiGZ</t>
  </si>
  <si>
    <t>https://tnea.ar https://bityl.co/HLY0</t>
  </si>
  <si>
    <t>https://tnea.ar https://bityl.co/HLV4</t>
  </si>
  <si>
    <t>https://tnea.ar https://bit.ly/3YxhVQa</t>
  </si>
  <si>
    <t>https://tnea.ar https://bityl.co/GyKh</t>
  </si>
  <si>
    <t>https://lnkd.in/daDn6uJC https://lnkd.in/dA6rhwt6</t>
  </si>
  <si>
    <t>https://lnkd.in/edB2dvvB https://lnkd.in/eMY3G8Gp</t>
  </si>
  <si>
    <t>https://lnkd.in/dgir-EjT https://lnkd.in/dZ4XAFmk</t>
  </si>
  <si>
    <t>https://bit.ly/48oMGwr http://elDial.com</t>
  </si>
  <si>
    <t>http://linktr.ee/menschmx_ https://bit.ly/EMPLEA-T https://bit.ly/3NieNSbAT</t>
  </si>
  <si>
    <t>http://rr.ss https://yosoyoriginal.es/</t>
  </si>
  <si>
    <t>https://lnkd.in/dvnRXqht https://lnkd.in/d4TXsiFw</t>
  </si>
  <si>
    <t>https://lnkd.in/d36sb5RB https://lnkd.in/dvnRXqht https://lnkd.in/dpNjTsHB</t>
  </si>
  <si>
    <t>https://forms.gle/ZejKtkoGoiHW3sbL9 https://tierrasdelcid.es/empleo https://empleorural.es/ofertas-de-empleo</t>
  </si>
  <si>
    <t>https://lnkd.in/dpXUdMi3 https://lnkd.in/dawrAYs7</t>
  </si>
  <si>
    <t>https://lnkd.in/gupcPrTe https://lnkd.in/gnjx9kvq</t>
  </si>
  <si>
    <t>https://lnkd.in/dJP-ERKC https://lnkd.in/d9gXK6Hx</t>
  </si>
  <si>
    <t>https://lnkd.in/dBBNxumf https://lnkd.in/dA87GzvX</t>
  </si>
  <si>
    <t>https://lnkd.in/dH9_u86K https://lnkd.in/duyPCYmP</t>
  </si>
  <si>
    <t>https://www.personale.com.br http://www.vagas.com.br/v2536925</t>
  </si>
  <si>
    <t>http://www.carlossantos.com.com.br https://www.threads.net/@carlossantosvencedor/post/CvOK54CLya9/?igshid=MTc4MmM1YmI2Ng==</t>
  </si>
  <si>
    <t>http://www.carlossantos.com.br https://www.instagram.com/reel/CvKxnCRg1V5/?igshid=MTVlNTYxMjY2ZQ==</t>
  </si>
  <si>
    <t>http://www.carlossantos.com.br https://www.instagram.com/reel/Cii1ASOJR_5/?igshid=MTVlNTYxMjY2ZQ==</t>
  </si>
  <si>
    <t>http://www.carlossantos.com.br https://instagram.com/stories/carlossantosvencedor/3164641874421651576?igshid=MTVlNTYxMjY2ZQ==</t>
  </si>
  <si>
    <t>https://lnkd.in/eyj3k9tp https://lnkd.in/eCF_c29A</t>
  </si>
  <si>
    <t>https://lnkd.in/eAFirq6E https://lnkd.in/eVgSGrZs</t>
  </si>
  <si>
    <t>https://lnkd.in/ejKpJ6Tv https://lnkd.in/eHjVkUn9</t>
  </si>
  <si>
    <t>https://lnkd.in/eDeHKEFe https://lnkd.in/eHjVkUn9</t>
  </si>
  <si>
    <t>https://lnkd.in/eThss4ui https://wa.link/12qbtz</t>
  </si>
  <si>
    <t>http://jordidice.com https://bit.ly/CelularJD</t>
  </si>
  <si>
    <t>https://www.calameo.com/read/0029721459002ac7cbb3c?authid=o4YomlVtDSDW https://esic.edu/editorial/emotional-selling</t>
  </si>
  <si>
    <t>https://lnkd.in/dj6-DgDj https://lnkd.in/dF5UmZxT</t>
  </si>
  <si>
    <t>bit.ly</t>
  </si>
  <si>
    <t>youtu.be</t>
  </si>
  <si>
    <t>instagram.com</t>
  </si>
  <si>
    <t>blogspot.com</t>
  </si>
  <si>
    <t>dznprojectmedia.com</t>
  </si>
  <si>
    <t>linkedin.com</t>
  </si>
  <si>
    <t>tramicar.es</t>
  </si>
  <si>
    <t>modosobreviviente.net</t>
  </si>
  <si>
    <t>lnkd.in</t>
  </si>
  <si>
    <t>com.mx</t>
  </si>
  <si>
    <t>com.br</t>
  </si>
  <si>
    <t>fotocasa.es</t>
  </si>
  <si>
    <t>youtube.com</t>
  </si>
  <si>
    <t>com.ar bit.ly</t>
  </si>
  <si>
    <t>vivendex.com</t>
  </si>
  <si>
    <t>elbonaerense.news</t>
  </si>
  <si>
    <t>antenasanluis.mx</t>
  </si>
  <si>
    <t>bavaronews.com</t>
  </si>
  <si>
    <t>com.ar</t>
  </si>
  <si>
    <t>civil-mercantil.com</t>
  </si>
  <si>
    <t>talentoverde.com</t>
  </si>
  <si>
    <t>sumundodigital.com</t>
  </si>
  <si>
    <t>spreaker.com</t>
  </si>
  <si>
    <t>focoinformativo.com</t>
  </si>
  <si>
    <t>shre.ink</t>
  </si>
  <si>
    <t>hubs.la</t>
  </si>
  <si>
    <t>masenweb.com</t>
  </si>
  <si>
    <t>usereserva.com</t>
  </si>
  <si>
    <t>todostuslibros.com</t>
  </si>
  <si>
    <t>blgs.co</t>
  </si>
  <si>
    <t>lek.ai</t>
  </si>
  <si>
    <t>samirnews.com</t>
  </si>
  <si>
    <t>lado.mx</t>
  </si>
  <si>
    <t>tinyurl.com</t>
  </si>
  <si>
    <t>pin.it</t>
  </si>
  <si>
    <t>hotmart.com</t>
  </si>
  <si>
    <t>clientelacrm.com</t>
  </si>
  <si>
    <t>abremeu.site</t>
  </si>
  <si>
    <t>facebook.com</t>
  </si>
  <si>
    <t>meetlineup.com</t>
  </si>
  <si>
    <t>eldiariomx.com</t>
  </si>
  <si>
    <t>net.ar</t>
  </si>
  <si>
    <t>meionorte.com</t>
  </si>
  <si>
    <t>joven360.com</t>
  </si>
  <si>
    <t>cutt.ly</t>
  </si>
  <si>
    <t>decalogonews.com</t>
  </si>
  <si>
    <t>amilcabogados.com</t>
  </si>
  <si>
    <t>infojobs.net</t>
  </si>
  <si>
    <t>com.br com.br</t>
  </si>
  <si>
    <t>com.co lnkd.in</t>
  </si>
  <si>
    <t>com.br 4et.us</t>
  </si>
  <si>
    <t>hubs.li</t>
  </si>
  <si>
    <t>cybersecuritynews.es</t>
  </si>
  <si>
    <t>wa.link</t>
  </si>
  <si>
    <t>tnea.ar bit.ly</t>
  </si>
  <si>
    <t>tnea.ar bityl.co</t>
  </si>
  <si>
    <t>wa.link wa.link</t>
  </si>
  <si>
    <t>previsoradelparana.com</t>
  </si>
  <si>
    <t>tnea.ar acortar.link</t>
  </si>
  <si>
    <t>tnea.ar</t>
  </si>
  <si>
    <t>amzn.to</t>
  </si>
  <si>
    <t>shope.ee</t>
  </si>
  <si>
    <t>etsy.com</t>
  </si>
  <si>
    <t>growz-consultants.com</t>
  </si>
  <si>
    <t>buscaempleomadrid.com</t>
  </si>
  <si>
    <t>laley.pe</t>
  </si>
  <si>
    <t>neogrid.com</t>
  </si>
  <si>
    <t>solides.jobs</t>
  </si>
  <si>
    <t>buff.ly</t>
  </si>
  <si>
    <t>lnkd.in lnkd.in</t>
  </si>
  <si>
    <t>mwl.press</t>
  </si>
  <si>
    <t>bh-url.com</t>
  </si>
  <si>
    <t>pentagramaturadiofm.com</t>
  </si>
  <si>
    <t>pentagramaturadio.com</t>
  </si>
  <si>
    <t>agencia.promo</t>
  </si>
  <si>
    <t>lttr.ai</t>
  </si>
  <si>
    <t>mtr.cool</t>
  </si>
  <si>
    <t>gov.py</t>
  </si>
  <si>
    <t>linktr.ee</t>
  </si>
  <si>
    <t>academiaformate.com</t>
  </si>
  <si>
    <t>radio-mejor.com</t>
  </si>
  <si>
    <t>gupy.io</t>
  </si>
  <si>
    <t>indeed.com</t>
  </si>
  <si>
    <t>x.gd</t>
  </si>
  <si>
    <t>books2read.com</t>
  </si>
  <si>
    <t>google.com</t>
  </si>
  <si>
    <t>estadoluz.com</t>
  </si>
  <si>
    <t>gob.ve</t>
  </si>
  <si>
    <t>bit.ly eldial.com</t>
  </si>
  <si>
    <t>linktr.ee bit.ly bit.ly</t>
  </si>
  <si>
    <t>jeimage.com</t>
  </si>
  <si>
    <t>rr.ss yosoyoriginal.es</t>
  </si>
  <si>
    <t>yosoyoriginal.es</t>
  </si>
  <si>
    <t>radiostudiobr.com</t>
  </si>
  <si>
    <t>empleolandia.com</t>
  </si>
  <si>
    <t>lnkd.in lnkd.in lnkd.in</t>
  </si>
  <si>
    <t>abc.es</t>
  </si>
  <si>
    <t>forms.gle tierrasdelcid.es empleorural.es</t>
  </si>
  <si>
    <t>libreriacapitulos.com</t>
  </si>
  <si>
    <t>revistatmx.com</t>
  </si>
  <si>
    <t>office.com</t>
  </si>
  <si>
    <t>amazon.com</t>
  </si>
  <si>
    <t>blogmarket.org</t>
  </si>
  <si>
    <t>plantillascv.es</t>
  </si>
  <si>
    <t>vinetur.com</t>
  </si>
  <si>
    <t>publuu.com</t>
  </si>
  <si>
    <t>dpersonas.com</t>
  </si>
  <si>
    <t>udemy.com</t>
  </si>
  <si>
    <t>ow.ly</t>
  </si>
  <si>
    <t>andina.pe</t>
  </si>
  <si>
    <t>qualityassist.mx</t>
  </si>
  <si>
    <t>instagr.am</t>
  </si>
  <si>
    <t>agoradelpensamiento.com</t>
  </si>
  <si>
    <t>mla.bs</t>
  </si>
  <si>
    <t>t.ly</t>
  </si>
  <si>
    <t>amazon.es</t>
  </si>
  <si>
    <t>grupodimolk.com</t>
  </si>
  <si>
    <t>miscorpsa.com</t>
  </si>
  <si>
    <t>pisos.com</t>
  </si>
  <si>
    <t>abranoticias.com</t>
  </si>
  <si>
    <t>canva.site</t>
  </si>
  <si>
    <t>spotify.com</t>
  </si>
  <si>
    <t>com.br threads.net</t>
  </si>
  <si>
    <t>com.br instagram.com</t>
  </si>
  <si>
    <t>elcucodigital.com</t>
  </si>
  <si>
    <t>wa.me</t>
  </si>
  <si>
    <t>com.do</t>
  </si>
  <si>
    <t>politics.blog</t>
  </si>
  <si>
    <t>eduzz.com</t>
  </si>
  <si>
    <t>farodigital.mx</t>
  </si>
  <si>
    <t>lnkd.in wa.link</t>
  </si>
  <si>
    <t>lmneuquen.com</t>
  </si>
  <si>
    <t>substack.com</t>
  </si>
  <si>
    <t>actionclient.com</t>
  </si>
  <si>
    <t>suavaga.com</t>
  </si>
  <si>
    <t>jordidice.com bit.ly</t>
  </si>
  <si>
    <t>alminutonoticias.com</t>
  </si>
  <si>
    <t>adv.br</t>
  </si>
  <si>
    <t>liberalyarjona.com</t>
  </si>
  <si>
    <t>businessinsider.es</t>
  </si>
  <si>
    <t>24liveblog.com</t>
  </si>
  <si>
    <t>empleosdeleje.com</t>
  </si>
  <si>
    <t>rededomex.com</t>
  </si>
  <si>
    <t>calameo.com esic.edu</t>
  </si>
  <si>
    <t>esic.edu</t>
  </si>
  <si>
    <t>motorvirtualgt.com</t>
  </si>
  <si>
    <t>costenses.com</t>
  </si>
  <si>
    <t>laplazadiario sspgro fgeguerrero gn_mexico_ sedenamx gob_guerrero cruzroja_mx</t>
  </si>
  <si>
    <t>ml_ayuda ml_chile</t>
  </si>
  <si>
    <t>ml_ayuda ml_ayuda mercadolibre ml_mexico</t>
  </si>
  <si>
    <t>wallapop wallapop</t>
  </si>
  <si>
    <t>gaiaambiente</t>
  </si>
  <si>
    <t>pablokosiner nacionalsalta</t>
  </si>
  <si>
    <t>todostuslibros_ cegal libreriasl libreriaslac libreriaslt libreriasdezgz</t>
  </si>
  <si>
    <t>tumundo_cl movistarchile</t>
  </si>
  <si>
    <t>galocegoof gaalocego</t>
  </si>
  <si>
    <t>empleojcyl ayuntamientomdc juventud_mdc</t>
  </si>
  <si>
    <t>lulaoficial workshopdantas</t>
  </si>
  <si>
    <t>workshopdantas roxmo</t>
  </si>
  <si>
    <t>workshopdantas damadeferroofic</t>
  </si>
  <si>
    <t>workshopdantas rmotta2</t>
  </si>
  <si>
    <t>gmw buscaempleomad</t>
  </si>
  <si>
    <t>rommynciudadano laredcincoradio profeco atencionprofeco radiounam tvbuap radiobuap buapoficial romansanchezz</t>
  </si>
  <si>
    <t>rommynciudadano tvbuap buapoficial profeco atencionprofeco laredcincoradio</t>
  </si>
  <si>
    <t>catalinasuarezb</t>
  </si>
  <si>
    <t>parcbrilhantes sovaquinhaboa</t>
  </si>
  <si>
    <t>grupo_bimbo bimbomx</t>
  </si>
  <si>
    <t>loscazavacantes la_de_rh yvacantes</t>
  </si>
  <si>
    <t>tierrasdelcid empresasempleo</t>
  </si>
  <si>
    <t>rogeriomorgado rmotta2 rogeriomorgado pavinatto</t>
  </si>
  <si>
    <t>reporteya danielalvarezro</t>
  </si>
  <si>
    <t>felipe09051997 russellbrunson</t>
  </si>
  <si>
    <t>movistarchile jeannette_jara gabrielboric carolina_toha orrego</t>
  </si>
  <si>
    <t>alcaldiapasto</t>
  </si>
  <si>
    <t>jcj360 retailactual</t>
  </si>
  <si>
    <t>jcj360 raquel_davo</t>
  </si>
  <si>
    <t>https://t.co/hLyRgR4Uyl https://pbs.twimg.com/media/FtiTP3SakAIPb82.jpg</t>
  </si>
  <si>
    <t>https://t.co/ac1me7NtsA https://pbs.twimg.com/media/FrVp0eSWYAEL-Bg.jpg</t>
  </si>
  <si>
    <t>https://t.co/CbCHDp5tW6 https://pbs.twimg.com/media/Fp_qGsgWwAE6oNr.jpg</t>
  </si>
  <si>
    <t>https://t.co/IAfM2vwrVb https://pbs.twimg.com/ext_tw_video_thumb/1695608414821384192/pu/img/LaPCOcCX8wNLY8Dk.jpg</t>
  </si>
  <si>
    <t>https://t.co/gAOoduEkSc https://pbs.twimg.com/media/FqTCjuzX0AIZ_LT.jpg</t>
  </si>
  <si>
    <t>https://t.co/tEsBVsQppU https://pbs.twimg.com/media/FzOpBgEWAAE1Ii6.jpg</t>
  </si>
  <si>
    <t>https://t.co/ajVSngGRk2 https://pbs.twimg.com/ext_tw_video_thumb/1624785758954438658/pu/img/NyP0LR45eoKMTMDB.jpg</t>
  </si>
  <si>
    <t>https://t.co/J8LRbEZo1T https://pbs.twimg.com/media/FqoCm3PWYAEk86h.jpg</t>
  </si>
  <si>
    <t>https://t.co/PKT5MHhZgP https://pbs.twimg.com/media/Fx8PmgtWAAAKfka.jpg</t>
  </si>
  <si>
    <t>https://t.co/ObED8SvZXO https://pbs.twimg.com/ext_tw_video_thumb/1629496741778055171/pu/img/NeBRBojPATT0nTKi.jpg</t>
  </si>
  <si>
    <t>https://t.co/WZgbENzSAh https://pbs.twimg.com/ext_tw_video_thumb/1622245277137518593/pu/img/F6RZEZQJ6VuXSeVb.jpg</t>
  </si>
  <si>
    <t>https://t.co/cJv52kvdm4 https://pbs.twimg.com/media/Fn42dJ7XEAQcxpD.jpg</t>
  </si>
  <si>
    <t>https://t.co/qEnfbNcHF0 https://pbs.twimg.com/ext_tw_video_thumb/1664980527298772992/pu/img/csQtkYonPKRtr720.jpg</t>
  </si>
  <si>
    <t>https://t.co/fTlglGlJgp https://pbs.twimg.com/media/FvdByUxX0AI3QFE.jpg</t>
  </si>
  <si>
    <t>https://t.co/O5UL1Xjz1o https://pbs.twimg.com/media/Fr1ZEliWcAU6nhe.jpg</t>
  </si>
  <si>
    <t>https://t.co/eKZd1BAhoM https://pbs.twimg.com/ext_tw_video_thumb/1626960196881858565/pu/img/PlaSZvh-gGpMJV5D.jpg</t>
  </si>
  <si>
    <t>https://t.co/gihBrIFc3I https://pbs.twimg.com/ext_tw_video_thumb/1647215935219007488/pu/img/mOCV-oyfefZurket.jpg</t>
  </si>
  <si>
    <t>https://t.co/Dhgv3mBSRu https://pbs.twimg.com/ext_tw_video_thumb/1637106856551227394/pu/img/CntpPhY-_FBExs9H.jpg</t>
  </si>
  <si>
    <t>https://t.co/sNbTsvYKyR https://pbs.twimg.com/media/Fo75bTiXoAEhCBC.jpg</t>
  </si>
  <si>
    <t>https://t.co/hK3gN06ZJQ https://pbs.twimg.com/ext_tw_video_thumb/1625450321190215683/pu/img/Lfp-cPvnsw8asSHI.jpg</t>
  </si>
  <si>
    <t>https://t.co/31pOcx621x https://pbs.twimg.com/ext_tw_video_thumb/1679181797651775498/pu/img/flSurz94rQza8T8f.jpg</t>
  </si>
  <si>
    <t>https://t.co/iKJjqTpYZY https://pbs.twimg.com/ext_tw_video_thumb/1679140001072726018/pu/img/cbXmB7YOKNpIdK-M.jpg</t>
  </si>
  <si>
    <t>https://t.co/tHG158PNQf https://pbs.twimg.com/media/FwanH7YaIAMZzni.jpg</t>
  </si>
  <si>
    <t>https://t.co/VUNGN1HCoE https://pbs.twimg.com/media/FsoyT17X0AQXMs0.jpg</t>
  </si>
  <si>
    <t>https://t.co/oSxdfjoE3E https://pbs.twimg.com/media/F3l6YYjXcAAS6GT.jpg</t>
  </si>
  <si>
    <t>https://t.co/gMcR5yJTXA https://pbs.twimg.com/media/FtCiknkaEAIJqHI.jpg</t>
  </si>
  <si>
    <t>https://t.co/vE8kDGgOe8 https://pbs.twimg.com/ext_tw_video_thumb/1702015955566465024/pu/img/-UQtmxNN1VZdL9TT.jpg</t>
  </si>
  <si>
    <t>https://t.co/QspI2Y3p6B https://pbs.twimg.com/media/FoiKfiZXoAEHlnt.jpg</t>
  </si>
  <si>
    <t>https://t.co/tucDd1UiVK https://pbs.twimg.com/media/F5MiyfCXEAAfCig.jpg</t>
  </si>
  <si>
    <t>https://t.co/O8z3O2mtgf https://pbs.twimg.com/media/Fuvm39MWcAA_hWX.jpg</t>
  </si>
  <si>
    <t>https://t.co/ZRZopmURBH https://pbs.twimg.com/media/F0dmVoLXsAAWZQq.jpg</t>
  </si>
  <si>
    <t>https://t.co/GEKEQUqO9e https://pbs.twimg.com/media/F1U0BdGaMAotKEI.jpg</t>
  </si>
  <si>
    <t>https://t.co/aE3hy1b5r5 https://pbs.twimg.com/media/F08Q1mAWIAEzuON.jpg</t>
  </si>
  <si>
    <t>https://t.co/NE95A1Xl1D https://pbs.twimg.com/media/Fycn-2kWYBApZz5.jpg</t>
  </si>
  <si>
    <t>https://t.co/fHSzBPOlBU https://pbs.twimg.com/ext_tw_video_thumb/1650668907462574086/pu/img/TG88rtHTRg6G85BD.jpg</t>
  </si>
  <si>
    <t>https://t.co/zCtC9SBa5j https://pbs.twimg.com/media/F3vdLF1XQAA9WYm.jpg</t>
  </si>
  <si>
    <t>https://t.co/sZsqyRNeNG https://pbs.twimg.com/tweet_video_thumb/F4n96CrWsAExuD3.jpg</t>
  </si>
  <si>
    <t>https://t.co/f46zOTDUpg https://pbs.twimg.com/media/F5sX3YNa4AAeZPY.jpg</t>
  </si>
  <si>
    <t>https://t.co/pMoIQh2WZF https://pbs.twimg.com/media/FyOz4OhaAAE2_YB.jpg</t>
  </si>
  <si>
    <t>https://t.co/UYMBkTsioD https://t.co/UYMBkTsioD https://t.co/UYMBkTsioD https://t.co/UYMBkTsioD https://pbs.twimg.com/media/FlvPp0gXEAE5C9T.jpg https://pbs.twimg.com/media/FlvPp1AXkAATlpM.jpg https://pbs.twimg.com/media/FlvPp1_XgAMverg.jpg https://pbs.twimg.com/media/FlvPp3IXgAIoX1t.jpg</t>
  </si>
  <si>
    <t>https://t.co/BYtEkHam1U https://pbs.twimg.com/ext_tw_video_thumb/1658759396749373442/pu/img/abk_ads_KXuvnpZ1.jpg</t>
  </si>
  <si>
    <t>https://t.co/wPK0XpeJW0 https://pbs.twimg.com/media/F2Y_tuxXEAAl-_d.jpg</t>
  </si>
  <si>
    <t>https://t.co/TvFvOt0fLT https://pbs.twimg.com/media/Fz1gN8AXwAErauG.jpg</t>
  </si>
  <si>
    <t>https://t.co/BUaR4FyoPn https://pbs.twimg.com/media/FtYu4HjXgAAas62.jpg</t>
  </si>
  <si>
    <t>https://t.co/OIjlf6V6WX https://pbs.twimg.com/media/FrhO4aQWYAIcWfK.jpg</t>
  </si>
  <si>
    <t>https://t.co/rZcfnnBF2h https://pbs.twimg.com/media/Fs35orBXgAEA3N7.jpg</t>
  </si>
  <si>
    <t>https://t.co/imIKbMkb11 https://pbs.twimg.com/media/Ft8fxPNXgAAvrIz.jpg</t>
  </si>
  <si>
    <t>https://t.co/CgzSRSlOqN https://pbs.twimg.com/media/Fuu2ZEpWcAEwQYO.jpg</t>
  </si>
  <si>
    <t>https://t.co/peOxtXAcAG https://pbs.twimg.com/ext_tw_video_thumb/1683559424160309254/pu/img/kkFDPyMjAUvaK5Id.jpg</t>
  </si>
  <si>
    <t>https://t.co/HryQFow0km https://pbs.twimg.com/media/Fqeox8NakAA-jSm.jpg</t>
  </si>
  <si>
    <t>https://t.co/73tIqyuC7s https://pbs.twimg.com/ext_tw_video_thumb/1626777729822560259/pu/img/0o_F3ohshN7cI1cT.jpg</t>
  </si>
  <si>
    <t>https://t.co/f4iD3czjGq https://pbs.twimg.com/ext_tw_video_thumb/1661023744230584321/pu/img/eEdS_6_q-3aSWPVz.jpg</t>
  </si>
  <si>
    <t>https://t.co/wGKL4lshRo https://pbs.twimg.com/ext_tw_video_thumb/1654090492852809728/pu/img/Qes8KHvpR6PbMSod.jpg</t>
  </si>
  <si>
    <t>https://t.co/IS66y7zz6A https://pbs.twimg.com/ext_tw_video_thumb/1697215551297253376/pu/img/lG_TCSDym4aLC-Gb.jpg</t>
  </si>
  <si>
    <t>https://t.co/BOr0RPQxIV https://pbs.twimg.com/media/FtZZwwMWwAAonCJ.jpg</t>
  </si>
  <si>
    <t>https://t.co/Tef81QNFDr https://pbs.twimg.com/media/Fm6ghmwXoAQD6cC.jpg</t>
  </si>
  <si>
    <t>https://t.co/8haxPusSda https://pbs.twimg.com/media/Fm1ygWBXwAAct9D.jpg</t>
  </si>
  <si>
    <t>https://t.co/r2zzG5t1f8 https://pbs.twimg.com/media/FmFSdwsX0AAbKDQ.jpg</t>
  </si>
  <si>
    <t>https://t.co/NLa4BY0Yr7 https://pbs.twimg.com/media/Fl9kP6GXoAMbwS0.jpg</t>
  </si>
  <si>
    <t>https://t.co/VifMZquYj1 https://pbs.twimg.com/media/Fl8EBXNWAAA7-ub.jpg</t>
  </si>
  <si>
    <t>https://t.co/Zqidy0Aqm2 https://pbs.twimg.com/media/F5L8yV4XUAAnkAD.jpg</t>
  </si>
  <si>
    <t>https://t.co/dUiiondpr2 https://pbs.twimg.com/ext_tw_video_thumb/1644791130490322950/pu/img/dpUGm18cYdH3gTrE.jpg</t>
  </si>
  <si>
    <t>https://t.co/i5eVcPSNhM https://pbs.twimg.com/media/FnJ69xgXgAE5irQ.jpg</t>
  </si>
  <si>
    <t>https://t.co/mVsJg25HCm https://pbs.twimg.com/media/FrMhLQ8XsAEUP9s.jpg</t>
  </si>
  <si>
    <t>https://t.co/p4ekj7i5ah https://pbs.twimg.com/media/Fl38PZgXEAcsUow.jpg</t>
  </si>
  <si>
    <t>https://t.co/MP6kFawXK5 https://pbs.twimg.com/media/FxQQPmVX0AAJu62.jpg</t>
  </si>
  <si>
    <t>https://t.co/WtLFfZ0zq9 https://pbs.twimg.com/media/Fyspnu_WwAEnia5.jpg</t>
  </si>
  <si>
    <t>https://t.co/PVYMO1icJG https://pbs.twimg.com/media/FzlnRF4WYAI1atJ.jpg</t>
  </si>
  <si>
    <t>https://t.co/Ye8i13cIcF https://pbs.twimg.com/media/FwSJ8GFWwAIrM1o.jpg</t>
  </si>
  <si>
    <t>https://t.co/iwzOpuAAdQ https://pbs.twimg.com/media/F3ciz7-XgAATTEU.jpg</t>
  </si>
  <si>
    <t>https://t.co/Jcr9OJjWds https://pbs.twimg.com/media/Fx0fMJxWwAESL14.jpg</t>
  </si>
  <si>
    <t>https://t.co/fkpn0vvVDc https://pbs.twimg.com/media/F6dyqBJWEAAgFW7.jpg</t>
  </si>
  <si>
    <t>https://t.co/DeVRvmuGm7 https://pbs.twimg.com/media/F3M22LKWEAApfdv.jpg</t>
  </si>
  <si>
    <t>https://t.co/pN2DBekZQW https://pbs.twimg.com/media/FqaZ5CUWAAAa--m.jpg</t>
  </si>
  <si>
    <t>https://t.co/NRxsuosaL5 https://pbs.twimg.com/ext_tw_video_thumb/1612378627597008896/pu/img/S9UsrjAmEXADkQrt.jpg</t>
  </si>
  <si>
    <t>https://t.co/6bqSFNBA2k https://pbs.twimg.com/media/FvDde4YakAEqREy.jpg</t>
  </si>
  <si>
    <t>https://t.co/IY3v1PPp2o https://pbs.twimg.com/ext_tw_video_thumb/1617527182796156929/pu/img/-l2zw220cf8OBnCk.jpg</t>
  </si>
  <si>
    <t>https://t.co/YmsIw0u3Gt https://pbs.twimg.com/media/FyODVc7WcAEGqfK.jpg</t>
  </si>
  <si>
    <t>https://t.co/KTfkIbn6bN https://pbs.twimg.com/media/FoXMpsaXgAAsvOh.jpg</t>
  </si>
  <si>
    <t>https://t.co/kHY2RNuKJ7 https://pbs.twimg.com/tweet_video_thumb/Fx83hGdXgAAeWbF.jpg</t>
  </si>
  <si>
    <t>https://t.co/leFpW7bM8B https://pbs.twimg.com/media/FnM7ukpXoAAHRho.jpg</t>
  </si>
  <si>
    <t>https://t.co/w0ZRFH3JvU https://pbs.twimg.com/media/FodZhHWWAAAkc0S.jpg</t>
  </si>
  <si>
    <t>https://t.co/nuJZouE51m https://pbs.twimg.com/media/F4PaFqTXYAAGI4L.jpg</t>
  </si>
  <si>
    <t>https://t.co/ENVIb058NH https://pbs.twimg.com/ext_tw_video_thumb/1626658805315428362/pu/img/2Y0aXtN-HWj5oIKt.jpg</t>
  </si>
  <si>
    <t>https://t.co/lZYe3PAw7U https://pbs.twimg.com/ext_tw_video_thumb/1697419005756141568/pu/img/1zh2v2wetJ_CQqnB.jpg</t>
  </si>
  <si>
    <t>https://t.co/0pLnidGLJM https://pbs.twimg.com/ext_tw_video_thumb/1697360528643850240/pu/img/wyryt2d4eudOCzSu.jpg</t>
  </si>
  <si>
    <t>https://t.co/bO94ofJeDg https://pbs.twimg.com/ext_tw_video_thumb/1697290847371313152/pu/img/_WuASVY5RzUkt10E.jpg</t>
  </si>
  <si>
    <t>https://t.co/6SFK2MtYGc https://pbs.twimg.com/media/FpLM3QaaIAAwvml.jpg</t>
  </si>
  <si>
    <t>https://t.co/qdlFgMtn6M https://pbs.twimg.com/media/Fv2TaJFakAAXtAf.jpg</t>
  </si>
  <si>
    <t>https://t.co/E7Hv9NJIj1 https://t.co/E7Hv9NJIj1 https://t.co/E7Hv9NJIj1 https://t.co/E7Hv9NJIj1 https://pbs.twimg.com/media/FwV5FllWwAAL5E3.jpg https://pbs.twimg.com/media/FwV5GKZWcAAohsY.jpg https://pbs.twimg.com/media/FwV5GV9WAAQm4Tv.jpg https://pbs.twimg.com/media/FwV5GuDWIAEp8UK.jpg</t>
  </si>
  <si>
    <t>https://t.co/Fqv1sBGK1O https://pbs.twimg.com/ext_tw_video_thumb/1632076585426616320/pu/img/J5FixWaDf6WvHnry.jpg</t>
  </si>
  <si>
    <t>https://t.co/FiPz4TY6Zv https://pbs.twimg.com/ext_tw_video_thumb/1631288661416222725/pu/img/O6xqQV9weX83-Flx.jpg</t>
  </si>
  <si>
    <t>https://t.co/re0M3mcz7J https://t.co/re0M3mcz7J https://pbs.twimg.com/media/Fw6ijygXgCMlczS.jpg https://pbs.twimg.com/media/Fw6ikBmXgAgt1C-.jpg</t>
  </si>
  <si>
    <t>https://t.co/Y3nlBGpYqK https://t.co/Y3nlBGpYqK https://pbs.twimg.com/media/FzjdM75WcAE-ma2.jpg https://pbs.twimg.com/media/FzjdM8pWYAIVN9_.jpg</t>
  </si>
  <si>
    <t>https://t.co/HLxJVKBHs3 https://pbs.twimg.com/media/F1jPCXsXgAA9Moo.jpg</t>
  </si>
  <si>
    <t>https://t.co/JW1wMs266u https://pbs.twimg.com/media/F1eg9NqWwAAge20.jpg</t>
  </si>
  <si>
    <t>https://t.co/9HM71XYMxL https://pbs.twimg.com/media/FzXKsJAWIAEPMy0.jpg</t>
  </si>
  <si>
    <t>https://t.co/CMn69n7UFv https://pbs.twimg.com/media/FyNJdM1X0CUAefP.jpg</t>
  </si>
  <si>
    <t>https://t.co/lQx8U2zt8I https://pbs.twimg.com/media/FxeMi05WAAovXd8.jpg</t>
  </si>
  <si>
    <t>https://t.co/lrV5XDRCT5 https://pbs.twimg.com/media/F56pPoGWwAAhrcl.jpg</t>
  </si>
  <si>
    <t>https://t.co/HLkcaRDwPF https://pbs.twimg.com/amplify_video_thumb/1669413869951807488/img/t_QuNjTV0OW2_TDT.jpg</t>
  </si>
  <si>
    <t>https://t.co/FVGOADmCTB https://pbs.twimg.com/media/F11CEnEWAAEq4HU.jpg</t>
  </si>
  <si>
    <t>https://t.co/2nu5iW3c6I https://pbs.twimg.com/ext_tw_video_thumb/1613874230138912769/pu/img/WrEQKTdOyh5rfNos.jpg</t>
  </si>
  <si>
    <t>https://t.co/Ul0wRKe1Ap https://pbs.twimg.com/media/F5wLh5BWgAA_dPF.png</t>
  </si>
  <si>
    <t>https://t.co/s1UXxkTuQq https://pbs.twimg.com/media/F6AN4CsWcAATUoV.png</t>
  </si>
  <si>
    <t>https://t.co/JIwaw9GiJC https://pbs.twimg.com/media/F6AKwpiXwAAXQ0V.png</t>
  </si>
  <si>
    <t>https://t.co/JLKzPzW44p https://pbs.twimg.com/media/F6pFXTfXAAAaqVA.png</t>
  </si>
  <si>
    <t>https://t.co/u8le7YUksu https://pbs.twimg.com/media/F6pFMhIXYAEurOs.png</t>
  </si>
  <si>
    <t>https://t.co/HEBwp8mKAy https://pbs.twimg.com/media/F28OTtDWwAAP8n2.png</t>
  </si>
  <si>
    <t>https://t.co/f5MhQqDUEB https://pbs.twimg.com/ext_tw_video_thumb/1686044144366456833/pu/img/EV1Tis1AFBpiRz0_.jpg</t>
  </si>
  <si>
    <t>https://t.co/Edzht2X3c7 https://pbs.twimg.com/media/FmMkgk7WAAE9V7R.jpg</t>
  </si>
  <si>
    <t>https://t.co/aLwDIuketP https://pbs.twimg.com/media/FpB5J5QWAAUkpnU.jpg</t>
  </si>
  <si>
    <t>https://t.co/qQONTDb18A https://pbs.twimg.com/ext_tw_video_thumb/1663591547143585818/pu/img/78nPnme8o6Mx5CcN.jpg</t>
  </si>
  <si>
    <t>https://t.co/MN9uv7E2NK https://pbs.twimg.com/tweet_video_thumb/FzS_qQwWcAE00bC.jpg</t>
  </si>
  <si>
    <t>https://t.co/HRybxArMcp https://pbs.twimg.com/ext_tw_video_thumb/1612149227483811840/pu/img/0C-CDGQKTV57BCIP.jpg</t>
  </si>
  <si>
    <t>https://t.co/pOOt1ZBtHP https://pbs.twimg.com/media/FnMb8JWWQAEwUOG.jpg</t>
  </si>
  <si>
    <t>https://t.co/IQh4UftrOa https://pbs.twimg.com/media/F643x0mW8AAFc8t.jpg</t>
  </si>
  <si>
    <t>https://t.co/MHsqF9f5IR https://pbs.twimg.com/media/F06SvssWAAEMLcw.jpg</t>
  </si>
  <si>
    <t>https://t.co/tITMordsaO https://pbs.twimg.com/ext_tw_video_thumb/1685070305901842432/pu/img/yFs6xgZWW3I-UWkT.jpg</t>
  </si>
  <si>
    <t>https://t.co/bQmls9FMuh https://pbs.twimg.com/media/FqNBzw7XwAE2xVP.jpg</t>
  </si>
  <si>
    <t>https://t.co/Z76w3UTMzn https://pbs.twimg.com/media/FsdORohXwAMgZEV.jpg</t>
  </si>
  <si>
    <t>https://t.co/mTaNavvNmH https://pbs.twimg.com/media/FzNz0oyXsAICDxy.jpg</t>
  </si>
  <si>
    <t>https://t.co/MAsSN4HWk7 https://pbs.twimg.com/media/FutaypCWYAAfBvI.jpg</t>
  </si>
  <si>
    <t>https://t.co/bxKho78RK6 https://pbs.twimg.com/media/F1eAVo6X0AAqe-b.jpg</t>
  </si>
  <si>
    <t>https://t.co/MCCGGCHGUG https://pbs.twimg.com/media/Fn81iAOXgAAtpr3.jpg</t>
  </si>
  <si>
    <t>https://t.co/Z616e9eSTU https://pbs.twimg.com/media/F5-ZXorXgAAJiuf.jpg</t>
  </si>
  <si>
    <t>https://t.co/AJnWlFsIEx https://pbs.twimg.com/media/F3uM2oIWIAA756M.jpg</t>
  </si>
  <si>
    <t>https://t.co/8WzlFHbEj4 https://pbs.twimg.com/media/Fw9nTpFWIAAhrE4.jpg</t>
  </si>
  <si>
    <t>https://t.co/80J1ZwYo6N https://pbs.twimg.com/media/F2oQhbfWwAAFJ-f.jpg</t>
  </si>
  <si>
    <t>https://t.co/snyTcdjvEn https://pbs.twimg.com/media/FplTXU5XwAU9g5E.jpg</t>
  </si>
  <si>
    <t>https://t.co/8INvHPgD4K https://pbs.twimg.com/ext_tw_video_thumb/1700570100749791232/pu/img/Z13ZmIMrgSDJg4UW.jpg</t>
  </si>
  <si>
    <t>https://t.co/rQGgEO6Dyn https://pbs.twimg.com/media/Fo9PbTGWIAEnWzg.png</t>
  </si>
  <si>
    <t>https://t.co/uzeDVq2V13 https://pbs.twimg.com/media/FpcLPtbXEAEuqg7.png</t>
  </si>
  <si>
    <t>https://t.co/TixvlXptEB https://pbs.twimg.com/media/FmHsPlTXEAEFCwg.png</t>
  </si>
  <si>
    <t>https://t.co/UbzffeA7EA https://pbs.twimg.com/media/Fs4mNToWcAAEBWW.jpg</t>
  </si>
  <si>
    <t>https://t.co/5I6ja6lc6Y https://pbs.twimg.com/media/FpgBTKmXsAAKkqi.png</t>
  </si>
  <si>
    <t>https://t.co/giMkqar2Ne https://pbs.twimg.com/media/FmyMgPPWQAMaS8M.png</t>
  </si>
  <si>
    <t>https://t.co/SUendCOGaw https://pbs.twimg.com/media/FuROE63WIAYVnvX.png</t>
  </si>
  <si>
    <t>https://t.co/pbFSOMPtot https://pbs.twimg.com/media/FuL_51gXgAI5Tg3.jpg</t>
  </si>
  <si>
    <t>https://t.co/jhbjWoAElR https://pbs.twimg.com/media/FqfFoeoWIAIch-A.png</t>
  </si>
  <si>
    <t>https://t.co/WaY9MQzlG8 https://pbs.twimg.com/media/FuwB5PfXgAAF5ys.jpg</t>
  </si>
  <si>
    <t>https://t.co/uFiHc4yK8z https://pbs.twimg.com/media/Frxij51X0AcmzCH.png</t>
  </si>
  <si>
    <t>https://t.co/rXUAKz0ZfY https://pbs.twimg.com/media/FrxgOHbWwAE7C3w.jpg</t>
  </si>
  <si>
    <t>https://t.co/zGjMFXleaN https://pbs.twimg.com/media/FtmlzUOXwAAb4LN.png</t>
  </si>
  <si>
    <t>https://t.co/CVpBwX2LLl https://pbs.twimg.com/media/FthgypFXwAUKM9X.png</t>
  </si>
  <si>
    <t>https://t.co/yA7IhL51KW https://pbs.twimg.com/media/Fthfp7_XwAUD0bJ.jpg</t>
  </si>
  <si>
    <t>https://t.co/c16oFZIb64 https://pbs.twimg.com/media/FtdE-RPX0CUwQLn.jpg</t>
  </si>
  <si>
    <t>https://t.co/DRn5zuZDFk https://pbs.twimg.com/media/Fp18WCFWYAU6BzD.png</t>
  </si>
  <si>
    <t>https://t.co/HUXLsAl6YK https://pbs.twimg.com/media/Fn_g7oYXEAQtMHq.png</t>
  </si>
  <si>
    <t>https://t.co/e8E9qAgXVI https://pbs.twimg.com/media/Fn-Oh_8X0AcbgRG.png</t>
  </si>
  <si>
    <t>https://t.co/8dGjzTW6wt https://pbs.twimg.com/media/FszgUGZXwAMn-tG.jpg</t>
  </si>
  <si>
    <t>https://t.co/7gXWbKVmFD https://pbs.twimg.com/media/Fsu5iP6WAAAyaet.jpg</t>
  </si>
  <si>
    <t>https://t.co/CRZkQ99rgk https://pbs.twimg.com/media/Fst8UchXoAEolX_.jpg</t>
  </si>
  <si>
    <t>https://t.co/KITWIn8mix https://pbs.twimg.com/media/Fso3T2nXgAQQHRb.png</t>
  </si>
  <si>
    <t>https://t.co/4KqNOWUmBm https://pbs.twimg.com/media/Fso2KQPXgAEStMA.png</t>
  </si>
  <si>
    <t>https://t.co/DbPIBqebx6 https://pbs.twimg.com/media/Fso1AkWWcAEApOa.jpg</t>
  </si>
  <si>
    <t>https://t.co/2jkWScTR8m https://pbs.twimg.com/media/Fsk90vZXsAETGAZ.png</t>
  </si>
  <si>
    <t>https://t.co/RUsfRMVDpg https://pbs.twimg.com/media/Fsf582MXgAMU--e.jpg</t>
  </si>
  <si>
    <t>https://t.co/32ytGHiqeQ https://pbs.twimg.com/media/FnaEh9eWAAEtM-x.png</t>
  </si>
  <si>
    <t>https://t.co/YWqaLa4CCg https://pbs.twimg.com/media/FuHUE2VXoAYQh3g.jpg</t>
  </si>
  <si>
    <t>https://t.co/ZJ8pUCUJ9M https://pbs.twimg.com/media/Fq42uO3WAAU-j7c.png</t>
  </si>
  <si>
    <t>https://t.co/mAdOMFgKSv https://pbs.twimg.com/media/FnXeWGpXoAEuMxv.jpg</t>
  </si>
  <si>
    <t>https://t.co/U73Tx3GNaM https://t.co/U73Tx3GNaM https://t.co/U73Tx3GNaM https://t.co/U73Tx3GNaM https://pbs.twimg.com/media/FnwDFkXaMAA-7WX.jpg https://pbs.twimg.com/media/FnwDHCyaUAMy0LJ.jpg https://pbs.twimg.com/media/FnwDI2CaUAIE4_J.jpg https://pbs.twimg.com/media/FnwDMsHaUAI18IO.jpg</t>
  </si>
  <si>
    <t>https://t.co/DyeUQSvOF8 https://pbs.twimg.com/ext_tw_video_thumb/1628116230304370692/pu/img/SjoNmJCujTUZm_wR.jpg</t>
  </si>
  <si>
    <t>https://t.co/2iI2z1DDGb https://pbs.twimg.com/ext_tw_video_thumb/1623725446192848898/pu/img/-EfyuuIypGB27b7h.jpg</t>
  </si>
  <si>
    <t>https://t.co/pPOpotAZzI https://pbs.twimg.com/media/FqyZEJbXoAMHvlm.jpg</t>
  </si>
  <si>
    <t>https://t.co/ou7Jd2mFo0 https://pbs.twimg.com/media/FtikAXjX0AA1wzM.jpg</t>
  </si>
  <si>
    <t>https://t.co/0U5QgQD7bJ https://pbs.twimg.com/ext_tw_video_thumb/1618345507243302915/pu/img/u0q8YjxJO0mz8Oyn.jpg</t>
  </si>
  <si>
    <t>https://t.co/vS1NMddecT https://pbs.twimg.com/media/F6zNlOyWcAA7NH5.jpg</t>
  </si>
  <si>
    <t>https://t.co/2bJvw7dBrw https://pbs.twimg.com/media/Foc7mSJXgAAy3Ma.jpg</t>
  </si>
  <si>
    <t>https://t.co/uN4RFs9N49 https://pbs.twimg.com/media/Foc7eIPWYAIWaoW.jpg</t>
  </si>
  <si>
    <t>https://t.co/XszrscW4g2 https://pbs.twimg.com/ext_tw_video_thumb/1659258179312656386/pu/img/B4p8_KJtS6WHIV-Z.jpg</t>
  </si>
  <si>
    <t>https://t.co/LG5bYdsbCf https://pbs.twimg.com/media/Fm38lNHWYAADyZ_.jpg</t>
  </si>
  <si>
    <t>https://t.co/dHjVzSFOOX https://pbs.twimg.com/media/FmvCOdsXwAAmol2.jpg</t>
  </si>
  <si>
    <t>https://t.co/4g6bUkKbR3 https://pbs.twimg.com/media/FnbHS64WIBsPzK9.jpg</t>
  </si>
  <si>
    <t>https://t.co/dxdq4Ropss https://pbs.twimg.com/media/Fn_e91_WAAIzRsk.jpg</t>
  </si>
  <si>
    <t>https://t.co/ZbQRfLYiJi https://pbs.twimg.com/media/FqqGRKQXwAAMLL6.jpg</t>
  </si>
  <si>
    <t>https://t.co/Z04BPbXGOT https://pbs.twimg.com/media/Fr2hW72X0AAoE-4.jpg</t>
  </si>
  <si>
    <t>https://t.co/rbABbAeVys https://pbs.twimg.com/media/FnvyVo9XoAsnalw.jpg</t>
  </si>
  <si>
    <t>https://t.co/YSr7GE9nbb https://pbs.twimg.com/ext_tw_video_thumb/1610408179581452289/pu/img/HWKMXoAAd3orfhDt.jpg</t>
  </si>
  <si>
    <t>https://t.co/1v51tRcWPC https://pbs.twimg.com/ext_tw_video_thumb/1628815167386427393/pu/img/cne9EW8RZmkpJ_Ix.jpg</t>
  </si>
  <si>
    <t>https://t.co/WI5lfbHJb2 https://t.co/WI5lfbHJb2 https://pbs.twimg.com/media/FpqUWBhXgAQ-UD8.jpg https://pbs.twimg.com/media/FpqUWBiXsAMADrw.jpg</t>
  </si>
  <si>
    <t>https://t.co/UCaHkhxkjp https://pbs.twimg.com/media/FzKQOxGXwAEb3py.jpg</t>
  </si>
  <si>
    <t>https://t.co/ICmIcDHY6T https://pbs.twimg.com/media/FzGOxW-WIAMr_b7.jpg</t>
  </si>
  <si>
    <t>https://t.co/NjCtzDTMLs https://pbs.twimg.com/media/F1-etsrWIAE_E9_.jpg</t>
  </si>
  <si>
    <t>https://t.co/mmEKZyrKdn https://t.co/mmEKZyrKdn https://t.co/mmEKZyrKdn https://pbs.twimg.com/media/FmMjRc6WYAEuwRy.jpg https://pbs.twimg.com/media/FmMjRc6X0AEilSh.jpg https://pbs.twimg.com/media/FmMjRc_XgAAWcWN.jpg</t>
  </si>
  <si>
    <t>https://t.co/CgMpA5mDUz https://t.co/CgMpA5mDUz https://t.co/CgMpA5mDUz https://pbs.twimg.com/media/F6p4BowXAAARS6n.jpg https://pbs.twimg.com/media/F6p4CAJXoAAO7XU.jpg https://pbs.twimg.com/media/F6p4DGpXUAAiJzL.jpg</t>
  </si>
  <si>
    <t>https://t.co/8oKFaeE3CE https://pbs.twimg.com/media/Fn0oFJsWIAESm2d.jpg</t>
  </si>
  <si>
    <t>https://t.co/huxQVKOOqb https://pbs.twimg.com/media/F5M5PkvXkAAXD_9.jpg</t>
  </si>
  <si>
    <t>https://t.co/r1jCleuloa https://pbs.twimg.com/media/FqS3zNpWwAAnGId.jpg</t>
  </si>
  <si>
    <t>https://t.co/Ej92MBK9L1 https://pbs.twimg.com/media/Fw_VPvbWAAAprFF.jpg</t>
  </si>
  <si>
    <t>https://t.co/vVU3JLUpSg https://pbs.twimg.com/media/FzEjo40aUAAOaQj.jpg</t>
  </si>
  <si>
    <t>https://t.co/JcKlN4jMY1 https://t.co/JcKlN4jMY1 https://pbs.twimg.com/media/Fq0JGAxXoAQyr_W.jpg https://pbs.twimg.com/media/Fq0JGAbWAAAkWq6.jpg</t>
  </si>
  <si>
    <t>https://t.co/SpcGIaEklZ https://pbs.twimg.com/media/F3Gj7guXoAcCPwj.jpg</t>
  </si>
  <si>
    <t>https://t.co/abIEmXqxJA https://pbs.twimg.com/ext_tw_video_thumb/1620889645574758414/pu/img/4ZczvzvicOFSG_oV.jpg</t>
  </si>
  <si>
    <t>https://t.co/IOjdr7QDp5 https://pbs.twimg.com/media/F4Ee0wnXYAArFfv.jpg</t>
  </si>
  <si>
    <t>https://t.co/svT5QEpRtj https://pbs.twimg.com/media/F4ZuDXtXQAAfYMt.jpg</t>
  </si>
  <si>
    <t>https://t.co/d6IRkOC2lE https://pbs.twimg.com/media/F4Ym-FWXoAIqs_x.jpg</t>
  </si>
  <si>
    <t>https://t.co/VeC1f44fYl https://pbs.twimg.com/media/F65jDcGXIAEKDK_.jpg</t>
  </si>
  <si>
    <t>https://t.co/DMvlecVvPt https://pbs.twimg.com/media/F6aVB3SWMAAV2cD.jpg</t>
  </si>
  <si>
    <t>https://t.co/7dKABYZfIc https://pbs.twimg.com/media/FtrHskoWcAA7-iH.jpg</t>
  </si>
  <si>
    <t>https://t.co/SAG9ogU6W1 https://pbs.twimg.com/media/F4fKuydXYAAaN2G.jpg</t>
  </si>
  <si>
    <t>https://t.co/3WixfmVh1g https://pbs.twimg.com/media/FvEtETZXoAAWoi2.jpg</t>
  </si>
  <si>
    <t>https://t.co/KnLOcQVhhi https://pbs.twimg.com/media/FrwtA3TWIBMJOYS.jpg</t>
  </si>
  <si>
    <t>https://t.co/v1EoWgl77a https://pbs.twimg.com/ext_tw_video_thumb/1663215192610598912/pu/img/iloatb-DdmApDbrh.jpg</t>
  </si>
  <si>
    <t>https://t.co/yVJgkA7Fme https://pbs.twimg.com/media/F0YnSKtWwAMOrn1.jpg</t>
  </si>
  <si>
    <t>https://t.co/oO2VSoQi9D https://pbs.twimg.com/media/F1-OssgWEAQxE0f.jpg</t>
  </si>
  <si>
    <t>https://t.co/zo2MCDFIUq https://pbs.twimg.com/media/F2NwfL8WsAAO4a5.jpg</t>
  </si>
  <si>
    <t>https://t.co/gmPMGTR6VM https://pbs.twimg.com/media/FrPzAQuWAAIQBW2.jpg</t>
  </si>
  <si>
    <t>https://t.co/f613jAMGvn https://pbs.twimg.com/ext_tw_video_thumb/1616089350831308801/pu/img/KsYsOQdE3_2jIyI0.jpg</t>
  </si>
  <si>
    <t>https://t.co/82n9LiKgei https://pbs.twimg.com/media/F6brc8NXAAATA-s.jpg</t>
  </si>
  <si>
    <t>https://t.co/cW1bzm0tMh https://pbs.twimg.com/media/F5idd8zXgAAPgAq.jpg</t>
  </si>
  <si>
    <t>https://t.co/GSxzimnsgZ https://pbs.twimg.com/ext_tw_video_thumb/1700609096699777025/pu/img/RhH-XwYA67ChJbCU.jpg</t>
  </si>
  <si>
    <t>https://t.co/8T6POisjMs https://pbs.twimg.com/ext_tw_video_thumb/1701173867358650368/pu/img/hW6Hh2b1erpMAA1m.jpg</t>
  </si>
  <si>
    <t>https://t.co/mJmXM7sfIO https://pbs.twimg.com/ext_tw_video_thumb/1703782154151317504/pu/img/SN6XnlHVDudhdP6T.jpg</t>
  </si>
  <si>
    <t>https://t.co/TwR0VQdfvS https://pbs.twimg.com/ext_tw_video_thumb/1705011804789723137/pu/img/lpGf-SDxn1evfrgB.jpg</t>
  </si>
  <si>
    <t>https://t.co/j93VvMabpU https://pbs.twimg.com/ext_tw_video_thumb/1704988197267079168/pu/img/lW5ZuOek9i2_3bAL.jpg</t>
  </si>
  <si>
    <t>https://t.co/IPcAmXOvun https://pbs.twimg.com/media/FyHyEUjWAAcMtyz.jpg</t>
  </si>
  <si>
    <t>https://t.co/Loqt1h7icv https://pbs.twimg.com/ext_tw_video_thumb/1670767078519734274/pu/img/HM9x6Rl-jnGuaOwL.jpg</t>
  </si>
  <si>
    <t>https://t.co/QpQ4b8ToUM https://pbs.twimg.com/ext_tw_video_thumb/1663214228516360193/pu/img/rMQUmjI3OO3E2TYY.jpg</t>
  </si>
  <si>
    <t>https://t.co/8NpHRp9c6Q https://pbs.twimg.com/ext_tw_video_thumb/1674973108690714630/pu/img/4wrda380Rvar9GyW.jpg</t>
  </si>
  <si>
    <t>https://t.co/8X7PE28uRe https://pbs.twimg.com/ext_tw_video_thumb/1652520792402403329/pu/img/Cs3kctm0po8StB4G.jpg</t>
  </si>
  <si>
    <t>https://t.co/Rst2Ol6735 https://pbs.twimg.com/media/FnQVypdXEAUpW9j.jpg</t>
  </si>
  <si>
    <t>https://t.co/hKBNTxXDWi https://pbs.twimg.com/media/FnQTfPcXEAMEgiG.jpg</t>
  </si>
  <si>
    <t>https://t.co/pS0jKiisKo https://pbs.twimg.com/media/Fm1jkk1XgAAngTx.jpg</t>
  </si>
  <si>
    <t>https://t.co/FXJp6kV758 https://pbs.twimg.com/media/FmwFvZoXkAYQh5b.jpg</t>
  </si>
  <si>
    <t>https://t.co/RtD4Sq12dM https://pbs.twimg.com/media/FmCPL8pXkAE7vcP.jpg</t>
  </si>
  <si>
    <t>https://t.co/vx0vjhF5Pv https://pbs.twimg.com/media/Fmq6DeZXEAIJQrV.jpg</t>
  </si>
  <si>
    <t>https://t.co/sOGZWnUx4b https://pbs.twimg.com/media/FyNzBfYX0AMJ971.jpg</t>
  </si>
  <si>
    <t>https://t.co/SkjqMUC0f5 https://pbs.twimg.com/media/FyLW0n5WAAIwXWq.jpg</t>
  </si>
  <si>
    <t>https://t.co/DrsiNp29Ay https://pbs.twimg.com/media/FyGsWDZaMAAb2HL.jpg</t>
  </si>
  <si>
    <t>https://t.co/kVNJKo5PLx https://pbs.twimg.com/media/Fx8D4-AWIAA1jTo.jpg</t>
  </si>
  <si>
    <t>https://t.co/n0IHQPBXq9 https://pbs.twimg.com/media/F43HfiqXsAAowLY.jpg</t>
  </si>
  <si>
    <t>https://t.co/NtffHg7Ts9 https://pbs.twimg.com/media/FxiUCBaXsAAxFiy.jpg</t>
  </si>
  <si>
    <t>https://t.co/seYTyLntFD https://pbs.twimg.com/media/Fl0Wye7XEAMcVCj.jpg</t>
  </si>
  <si>
    <t>https://t.co/EhplmZe0Bi https://pbs.twimg.com/media/FlyZsmLXgAMGTin.jpg</t>
  </si>
  <si>
    <t>https://t.co/5ZZMVO9g7J https://pbs.twimg.com/media/FldxRSVXkAIsOjc.jpg</t>
  </si>
  <si>
    <t>https://t.co/jEPjqVU4QL https://t.co/jEPjqVU4QL https://t.co/jEPjqVU4QL https://t.co/jEPjqVU4QL https://pbs.twimg.com/media/FnLruyvXECwkhxi.jpg https://pbs.twimg.com/media/FnLruzOXoAA0lxI.jpg https://pbs.twimg.com/media/FnLruyZXEAotDSh.jpg https://pbs.twimg.com/media/FnLruzAXEAYdhsb.jpg</t>
  </si>
  <si>
    <t>https://t.co/MPuSITQoRU https://pbs.twimg.com/ext_tw_video_thumb/1679583739435794436/pu/img/H2NCIkNNA_G3gOwQ.jpg</t>
  </si>
  <si>
    <t>https://t.co/gv54CfxX88 https://pbs.twimg.com/media/F2nKyCNboAIUez0.jpg</t>
  </si>
  <si>
    <t>https://t.co/5aeTB2bvuy https://pbs.twimg.com/ext_tw_video_thumb/1707092594352619520/pu/img/U3JKPQP64o0LVl9o.jpg</t>
  </si>
  <si>
    <t>https://t.co/bDQbpc7IMO https://pbs.twimg.com/media/F1U3DqCaUAA6DsX.jpg</t>
  </si>
  <si>
    <t>https://t.co/GqBwEW9WO5 https://pbs.twimg.com/media/Frxh1nyWAAATUeV.jpg</t>
  </si>
  <si>
    <t>https://t.co/6klz5gyOuA https://pbs.twimg.com/media/Frxh1ikXsAAkXIr.jpg</t>
  </si>
  <si>
    <t>https://t.co/q4LUIdvPNL https://pbs.twimg.com/ext_tw_video_thumb/1616453327381749761/pu/img/JR_06RWk88ubp3P3.jpg</t>
  </si>
  <si>
    <t>https://t.co/1ZlWTakZ7y https://pbs.twimg.com/ext_tw_video_thumb/1630047865878790145/pu/img/rbGuu0j2CgDHwfUu.jpg</t>
  </si>
  <si>
    <t>https://t.co/3YkZ6jIP78 https://pbs.twimg.com/ext_tw_video_thumb/1687464285872496640/pu/img/DgVhtg-ssgP9vH3X.jpg</t>
  </si>
  <si>
    <t>https://t.co/AHUqDvsZNn https://pbs.twimg.com/media/FoTIlDJWAAApYWt.jpg</t>
  </si>
  <si>
    <t>https://t.co/IGKvOATW42 https://pbs.twimg.com/ext_tw_video_thumb/1646380867445723137/pu/img/46OoaJ4NyGITMwP2.jpg</t>
  </si>
  <si>
    <t>https://t.co/KvMeiPnrX0 https://pbs.twimg.com/media/FupdQlPX0AEepMc.jpg</t>
  </si>
  <si>
    <t>https://t.co/wL61iU3sQd https://pbs.twimg.com/media/FupcIGrWYAMGvLO.jpg</t>
  </si>
  <si>
    <t>https://t.co/ObO53ALJeo https://pbs.twimg.com/media/FxEwZ54WAAkxNba.jpg</t>
  </si>
  <si>
    <t>https://t.co/wm6hBY09tc https://pbs.twimg.com/media/FlkrIZnaEAAdMcn.jpg</t>
  </si>
  <si>
    <t>https://t.co/WxA98rWMHN https://pbs.twimg.com/media/FoJclklXkAE6lPe.jpg</t>
  </si>
  <si>
    <t>https://t.co/nmi9sGF44G https://pbs.twimg.com/media/FmCEhiRWQAEoYhZ.jpg</t>
  </si>
  <si>
    <t>https://t.co/3iQBM8BVER https://pbs.twimg.com/media/FrBP9klXoAA0K87.jpg</t>
  </si>
  <si>
    <t>https://t.co/ogYfFu7GIF https://pbs.twimg.com/media/FomczpiXEAALrOO.jpg</t>
  </si>
  <si>
    <t>https://t.co/NN7IToAYDl https://pbs.twimg.com/media/Fojbs66XgAACRgG.jpg</t>
  </si>
  <si>
    <t>https://t.co/YW3VXXDyio https://pbs.twimg.com/media/FojVrZIXoAMLsj5.jpg</t>
  </si>
  <si>
    <t>https://t.co/toFDmFLSaV https://pbs.twimg.com/media/FodoqrVX0AE0lfk.jpg</t>
  </si>
  <si>
    <t>https://t.co/ApbQfP59FV https://pbs.twimg.com/media/F0M-Z-4XoAMK2uh.jpg</t>
  </si>
  <si>
    <t>https://t.co/Kogkqic6ve https://pbs.twimg.com/media/FtWmFG6WAAIE7RI.jpg</t>
  </si>
  <si>
    <t>https://t.co/3r79P8E2xE https://pbs.twimg.com/media/F1VgIUYXwBs9QqD.jpg</t>
  </si>
  <si>
    <t>https://t.co/QRxdleLSpx https://pbs.twimg.com/media/FoSsgS0XEAEGjR7.jpg</t>
  </si>
  <si>
    <t>https://t.co/P518MvJrke https://pbs.twimg.com/media/FoSRRDbWcAADoyx.jpg</t>
  </si>
  <si>
    <t>https://t.co/oGQpxPGAHh https://pbs.twimg.com/media/FoMk1exXgAUAPF_.jpg</t>
  </si>
  <si>
    <t>https://t.co/ozWJVuHplH https://pbs.twimg.com/media/Fn0ppraXoB4Xw6w.jpg</t>
  </si>
  <si>
    <t>https://t.co/BjvOOXaT7p https://pbs.twimg.com/media/F15cjkMXsAUgsFU.jpg</t>
  </si>
  <si>
    <t>https://t.co/MLHQfpdGUm https://pbs.twimg.com/media/F1Q5BdzWYAElj0F.jpg</t>
  </si>
  <si>
    <t>https://t.co/n4mqsMKESK https://pbs.twimg.com/media/F01bGKjWcAElC60.jpg</t>
  </si>
  <si>
    <t>https://t.co/KLwMn4lGrD https://pbs.twimg.com/media/F0xdAS9WcBAOUDi.jpg</t>
  </si>
  <si>
    <t>https://t.co/QljFnYEHwO https://pbs.twimg.com/media/Fnu25RHXgAIOzPI.jpg</t>
  </si>
  <si>
    <t>https://t.co/OINN93X4No https://pbs.twimg.com/media/Fnk4PcRXwAAYPw1.jpg</t>
  </si>
  <si>
    <t>https://t.co/BrLR7yBIUl https://pbs.twimg.com/media/FnZMFONXoAATwv5.jpg</t>
  </si>
  <si>
    <t>https://t.co/8jiAGUjYVH https://pbs.twimg.com/ext_tw_video_thumb/1703454037117382656/pu/img/Hr2K1kq0wUlXlR38.jpg</t>
  </si>
  <si>
    <t>https://t.co/X74W3GM7PV https://pbs.twimg.com/media/F2NZqK1XgAAEBKs.jpg</t>
  </si>
  <si>
    <t>https://t.co/UUZ0C3Tc17 https://pbs.twimg.com/media/FosOd1EXgAIbyBV.jpg</t>
  </si>
  <si>
    <t>https://t.co/SUnlGaT1Ff https://pbs.twimg.com/media/FosA9YeWIAAUWFm.jpg</t>
  </si>
  <si>
    <t>https://t.co/p7vgGzwzD2 https://pbs.twimg.com/media/ForeYskXgAQRBEq.jpg</t>
  </si>
  <si>
    <t>https://t.co/F4e3jAcLB1 https://pbs.twimg.com/media/FonE653XwAcRROu.jpg</t>
  </si>
  <si>
    <t>https://t.co/9JbhFfBUuQ https://pbs.twimg.com/media/Fl4oBoWWAAAtKW3.jpg</t>
  </si>
  <si>
    <t>https://t.co/gHvnhg21YO https://pbs.twimg.com/media/Fl0OekDWIAMqy47.jpg</t>
  </si>
  <si>
    <t>https://t.co/5JluHJNC2Y https://pbs.twimg.com/media/FltQbepWIAIGvQU.jpg</t>
  </si>
  <si>
    <t>https://t.co/RQhK6jGWMn https://pbs.twimg.com/media/Flo2pZrWAAEDlct.jpg</t>
  </si>
  <si>
    <t>https://t.co/mIcuj8A6Qg https://pbs.twimg.com/media/Flj6y4vWQAIO07i.jpg</t>
  </si>
  <si>
    <t>https://t.co/kIQDcBwPi7 https://pbs.twimg.com/media/FlfaY3DWYAMHUcL.jpg</t>
  </si>
  <si>
    <t>https://t.co/KLwhs2oB4a https://pbs.twimg.com/media/FlfTh2EXoAMsIFG.jpg</t>
  </si>
  <si>
    <t>https://t.co/aAO0aviCTX https://pbs.twimg.com/media/Flec1epX0AMsGMK.jpg</t>
  </si>
  <si>
    <t>https://t.co/uW4wFwCWaY https://pbs.twimg.com/ext_tw_video_thumb/1707040124729524224/pu/img/yW1lfnwx-kSEnqeb.jpg</t>
  </si>
  <si>
    <t>https://t.co/dGYxYJXdTC https://pbs.twimg.com/ext_tw_video_thumb/1706383270017941505/pu/img/MjVLHT-HvkO3jYdL.jpg</t>
  </si>
  <si>
    <t>https://t.co/RKxbACG9Ui https://pbs.twimg.com/ext_tw_video_thumb/1705658489685647360/pu/img/Z84RhILmxQRT49Xd.jpg</t>
  </si>
  <si>
    <t>https://t.co/MNFpRfhfAF https://pbs.twimg.com/ext_tw_video_thumb/1704918710429929472/pu/img/2teromROYs0cTWzh.jpg</t>
  </si>
  <si>
    <t>https://t.co/ZQBmVy3QiV https://pbs.twimg.com/media/F4yFkzrW4AAHR-h.jpg</t>
  </si>
  <si>
    <t>https://t.co/HDjuNrPbjv https://pbs.twimg.com/media/F28SMkVXwA0bjpe.jpg</t>
  </si>
  <si>
    <t>https://t.co/a91QFo5EJ3 https://pbs.twimg.com/media/F51rWzNWIAAQ3hS.jpg</t>
  </si>
  <si>
    <t>https://t.co/ApoFEo19zx https://pbs.twimg.com/ext_tw_video_thumb/1678842831144615936/pu/img/aK9Wq2exFo0RQSa-.jpg</t>
  </si>
  <si>
    <t>https://t.co/DIfVQzKpkk https://pbs.twimg.com/media/F4IlGmMWQAA_tjg.jpg</t>
  </si>
  <si>
    <t>https://t.co/A7nFRb3fCi https://pbs.twimg.com/media/F4IiobbWYAETCi8.jpg</t>
  </si>
  <si>
    <t>https://t.co/EtXVe9Ep6A https://pbs.twimg.com/media/F4Ih8KcWsAEduXh.jpg</t>
  </si>
  <si>
    <t>https://t.co/YOZRzX6Clw https://pbs.twimg.com/media/F327WUvWsAE4-JM.jpg</t>
  </si>
  <si>
    <t>https://t.co/U386fnWLGZ https://pbs.twimg.com/media/F2O9ITYWAAEwEjt.jpg</t>
  </si>
  <si>
    <t>https://t.co/DsfHuNvFaO https://pbs.twimg.com/media/Fyns-UHWIAES_7b.jpg</t>
  </si>
  <si>
    <t>https://t.co/2gUXCIXh3z https://pbs.twimg.com/media/FxQcRUxXgAIC2Hn.jpg</t>
  </si>
  <si>
    <t>https://t.co/O9MVxWeLHj https://pbs.twimg.com/media/Ft6hVsMXwAA68mk.jpg</t>
  </si>
  <si>
    <t>https://t.co/i60AuK2wee https://pbs.twimg.com/media/Ft6gy-CWIAEbjie.jpg</t>
  </si>
  <si>
    <t>https://t.co/mAUDUK7tsr https://pbs.twimg.com/media/FrWp1w0XsAIPv4t.jpg</t>
  </si>
  <si>
    <t>https://t.co/sQAKN78AQ4 https://pbs.twimg.com/media/FrTzEuXWcAMFBRA.jpg</t>
  </si>
  <si>
    <t>https://t.co/tMmLnmDfzh https://pbs.twimg.com/media/Fo9husFXwAARkrr.jpg</t>
  </si>
  <si>
    <t>https://t.co/kSBGX6axom https://pbs.twimg.com/media/FmjDCESXwAA-QF9.jpg</t>
  </si>
  <si>
    <t>https://t.co/NnPpF7VQ1U https://pbs.twimg.com/media/FmjCKlxXwAQRxeX.png</t>
  </si>
  <si>
    <t>https://t.co/ZTeLgGyoWg https://pbs.twimg.com/media/Fmi_rO6WAAE5tch.jpg</t>
  </si>
  <si>
    <t>https://t.co/ELjtnV7AeW https://pbs.twimg.com/media/Fmi_C-9WAAYe76j.jpg</t>
  </si>
  <si>
    <t>https://t.co/6k56tsWeux https://pbs.twimg.com/media/FmXgY51XkA8fcFo.jpg</t>
  </si>
  <si>
    <t>https://t.co/kGFvfy4Yaf https://pbs.twimg.com/media/F5wBVo-W4AEA2HP.jpg</t>
  </si>
  <si>
    <t>https://t.co/4OcoYkNaIW https://pbs.twimg.com/media/F5v-2HLWsAAyscT.jpg</t>
  </si>
  <si>
    <t>https://t.co/EwUpP1wcHL https://pbs.twimg.com/media/F5v7UodXgAANW3P.jpg</t>
  </si>
  <si>
    <t>https://t.co/Z0Fq1oWho9 https://pbs.twimg.com/media/F5v7O3WWMAAq5oV.jpg</t>
  </si>
  <si>
    <t>https://t.co/Uo9pzBa63E https://pbs.twimg.com/media/F5l7EbkWEAA_0R0.jpg</t>
  </si>
  <si>
    <t>https://t.co/JSxyrW2yxT https://pbs.twimg.com/media/F5IYWZ9W0AEst1W.jpg</t>
  </si>
  <si>
    <t>https://t.co/u9fxHIExtG https://pbs.twimg.com/media/F5IWJyNX0AACBRx.jpg</t>
  </si>
  <si>
    <t>https://t.co/bl6i6TFYjd https://pbs.twimg.com/media/F3ceYxbWgAAbyGh.jpg</t>
  </si>
  <si>
    <t>https://t.co/4GYsRtPpYj https://pbs.twimg.com/media/F3ceRi9XEAAVGwz.jpg</t>
  </si>
  <si>
    <t>https://t.co/uKrbwxB72q https://pbs.twimg.com/media/F3cddN1WMAAJpBx.jpg</t>
  </si>
  <si>
    <t>https://t.co/SML7RdX6vU https://pbs.twimg.com/media/Fx0U8rZXwAIGhy4.jpg</t>
  </si>
  <si>
    <t>https://t.co/uD25JvmkV9 https://pbs.twimg.com/media/Fx0UoteXwAAyS1N.jpg</t>
  </si>
  <si>
    <t>https://t.co/axCbqc4Q8n https://pbs.twimg.com/media/Fx0KsbKXwAAlpzY.jpg</t>
  </si>
  <si>
    <t>https://t.co/tgA7zLSThc https://pbs.twimg.com/media/Fx0J8qaWwAASaoh.jpg</t>
  </si>
  <si>
    <t>https://t.co/cX0QzgNf65 https://pbs.twimg.com/media/FuKyu2EWAAIjYC7.png</t>
  </si>
  <si>
    <t>https://t.co/sE0dVsXu4b https://pbs.twimg.com/media/FuKp916WwAEK3LH.jpg</t>
  </si>
  <si>
    <t>https://t.co/ia2QoztaBI https://pbs.twimg.com/media/Ft_2ci6WAAAb28F.jpg</t>
  </si>
  <si>
    <t>https://t.co/y2awCKW1Rm https://pbs.twimg.com/media/Ft_v64zX0AkUArr.jpg</t>
  </si>
  <si>
    <t>https://t.co/tsjADyZ1oA https://pbs.twimg.com/media/Ft_pqMOXoAEczU6.jpg</t>
  </si>
  <si>
    <t>https://t.co/8T2SJedEUL https://pbs.twimg.com/media/Ft9G2PgXgAUmNO6.jpg</t>
  </si>
  <si>
    <t>https://t.co/eXgowJmFUC https://pbs.twimg.com/media/FrG73h5akAAXqbi.jpg</t>
  </si>
  <si>
    <t>https://t.co/Ld1iXscOhO https://pbs.twimg.com/media/FrDkq3HXwAIJnL3.jpg</t>
  </si>
  <si>
    <t>https://t.co/Uih1mOcqfT https://pbs.twimg.com/media/FrDhYJlWAAEM9vQ.jpg</t>
  </si>
  <si>
    <t>https://t.co/kgTLWaguNC https://pbs.twimg.com/media/F6PHYK3WcAAWr4V.jpg</t>
  </si>
  <si>
    <t>https://t.co/l4B3av0AFr https://pbs.twimg.com/media/F6PGJHGXYAAtNJu.jpg</t>
  </si>
  <si>
    <t>https://t.co/6HaEO8Fwps https://pbs.twimg.com/media/F58TJUwXYAAsLU6.jpg</t>
  </si>
  <si>
    <t>https://t.co/EIhZRpQaI0 https://pbs.twimg.com/media/F3nMs5JXEAASsjW.jpg</t>
  </si>
  <si>
    <t>https://t.co/XKM3uX60dH https://pbs.twimg.com/media/Fy_xFAFWcAwE9Au.jpg</t>
  </si>
  <si>
    <t>https://t.co/Bgqiff0VpJ https://pbs.twimg.com/media/Fy_wfcVX0AERf06.jpg</t>
  </si>
  <si>
    <t>https://t.co/WlKKsUKDyh https://pbs.twimg.com/media/FxQRHLyXgAcd_nY.jpg</t>
  </si>
  <si>
    <t>https://t.co/5hGmm1hJJy https://pbs.twimg.com/media/FxGDIrIXoAA5nOn.jpg</t>
  </si>
  <si>
    <t>https://t.co/pPLQIdakmy https://pbs.twimg.com/media/Fw2PRvhXgAM1MMT.jpg</t>
  </si>
  <si>
    <t>https://t.co/ccqqvOKiQC https://pbs.twimg.com/media/FtUL5UxXgAov1C8.jpg</t>
  </si>
  <si>
    <t>https://t.co/btcyU9WUjh https://pbs.twimg.com/media/FtULX-kWYAAyouW.jpg</t>
  </si>
  <si>
    <t>https://t.co/XSH9pZpGjc https://pbs.twimg.com/media/FtUJsYbXgAEFI9s.jpg</t>
  </si>
  <si>
    <t>https://t.co/qcoKrBl4Bu https://pbs.twimg.com/media/FtUJduOXwAQZJGi.jpg</t>
  </si>
  <si>
    <t>https://t.co/bK6ylMXt60 https://pbs.twimg.com/media/FtUE3nCWcAAZsD5.jpg</t>
  </si>
  <si>
    <t>https://t.co/bpU1YTJNAj https://pbs.twimg.com/media/FnLeu1RXEAQdNQR.jpg</t>
  </si>
  <si>
    <t>https://t.co/CuGwkA5Emt https://pbs.twimg.com/media/FnLeN0bWAB0ENXd.jpg</t>
  </si>
  <si>
    <t>https://t.co/mkHwXQzdWr https://pbs.twimg.com/media/FnHkvBcWQAA3XPD.png</t>
  </si>
  <si>
    <t>https://t.co/NOX9Xvq1OI https://pbs.twimg.com/media/Fm9CJNpWQAAmCBz.jpg</t>
  </si>
  <si>
    <t>https://t.co/cvJa0vIc3V https://pbs.twimg.com/media/Fm8-RckXoAE9ty-.jpg</t>
  </si>
  <si>
    <t>https://t.co/EO6IazrwIm https://pbs.twimg.com/media/F6WMmklW4AAt9Re.jpg</t>
  </si>
  <si>
    <t>https://t.co/9MCpG8Lr7H https://pbs.twimg.com/media/F6PJGb5WQAAmUKf.jpg</t>
  </si>
  <si>
    <t>https://t.co/wdc5ZsZXUt https://pbs.twimg.com/media/F5wKdB8W0AAH6ED.jpg</t>
  </si>
  <si>
    <t>https://t.co/f3xtGWTtrq https://pbs.twimg.com/media/F5wJlWsXsAAZqhS.jpg</t>
  </si>
  <si>
    <t>https://t.co/9xNssOFKl8 https://pbs.twimg.com/media/F5wFCPcXsAAjjw3.jpg</t>
  </si>
  <si>
    <t>https://t.co/upMcZMBITI https://pbs.twimg.com/media/F5wC-hqWcAAUwpi.jpg</t>
  </si>
  <si>
    <t>https://t.co/0fgn4P04Ld https://pbs.twimg.com/media/F453mDKXoAAhp9i.jpg</t>
  </si>
  <si>
    <t>https://t.co/uyzIRMMshD https://pbs.twimg.com/media/F4ykyR2XoAAA3Pz.jpg</t>
  </si>
  <si>
    <t>https://t.co/z9KJiw5ZJb https://pbs.twimg.com/media/F4IwTgJWcAEDlLd.jpg</t>
  </si>
  <si>
    <t>https://t.co/58j79UoyhN https://pbs.twimg.com/media/F4Iq9vmW0AA18fA.jpg</t>
  </si>
  <si>
    <t>https://t.co/nvm9waaR0o https://pbs.twimg.com/media/F4InBT6XkAEDaxL.jpg</t>
  </si>
  <si>
    <t>https://t.co/jlTNzFf7ku https://pbs.twimg.com/media/F4IlQihWMAIfo1c.jpg</t>
  </si>
  <si>
    <t>https://t.co/GvjZMvmxA2 https://pbs.twimg.com/media/F3ShV6cXcAAt7W1.jpg</t>
  </si>
  <si>
    <t>https://t.co/qsFGGvLwsh https://pbs.twimg.com/media/F3NLvN0XUAIf1Yo.jpg</t>
  </si>
  <si>
    <t>https://t.co/MJOWwq8Jfh https://pbs.twimg.com/media/F3M8M9jXUAArLFr.jpg</t>
  </si>
  <si>
    <t>https://t.co/OjxVYHtmQE https://pbs.twimg.com/media/FzAEhPzXwAcOXmw.jpg</t>
  </si>
  <si>
    <t>https://t.co/AnXzRo69MC https://pbs.twimg.com/media/Fu_jTx-XoAEwZOf.jpg</t>
  </si>
  <si>
    <t>https://t.co/uy84XQJP11 https://pbs.twimg.com/media/Fu_jNPyXgAU9Pno.jpg</t>
  </si>
  <si>
    <t>https://t.co/yRePZqzyb4 https://pbs.twimg.com/media/FrwJcFzWcAE5guH.jpg</t>
  </si>
  <si>
    <t>https://t.co/OfF3S96CuD https://pbs.twimg.com/media/Frv_ERLWYAArZZK.jpg</t>
  </si>
  <si>
    <t>https://t.co/VnYgVJupa8 https://pbs.twimg.com/media/FrjcNdQXsAMTxgz.jpg</t>
  </si>
  <si>
    <t>https://t.co/WUOMe6KFAr https://pbs.twimg.com/media/Frja8HgWAAE4Lqc.jpg</t>
  </si>
  <si>
    <t>https://t.co/D7RtwKK15m https://pbs.twimg.com/media/FrjZdUnWAAI3HrP.jpg</t>
  </si>
  <si>
    <t>https://t.co/DBZSX12WVm https://pbs.twimg.com/media/FrjY-2xWAAAM2lt.jpg</t>
  </si>
  <si>
    <t>https://t.co/px8BThaS9i https://pbs.twimg.com/media/FrjVsVHWwAI-zC-.jpg</t>
  </si>
  <si>
    <t>https://t.co/n9CYGthP0Y https://pbs.twimg.com/media/FrjRoJeWcAMkiQf.jpg</t>
  </si>
  <si>
    <t>https://t.co/CmqGqwyjjS https://pbs.twimg.com/media/Fozvpk4X0AAfDse.jpg</t>
  </si>
  <si>
    <t>https://t.co/wjFNCVbffE https://pbs.twimg.com/media/FoztU8VX0AAv12o.jpg</t>
  </si>
  <si>
    <t>https://t.co/jIoP4qvbSj https://pbs.twimg.com/media/FozqEDXXEAIRik_.jpg</t>
  </si>
  <si>
    <t>https://t.co/4F9XSFP8Z9 https://pbs.twimg.com/media/Fl4pmFcXwAQ42Oj.jpg</t>
  </si>
  <si>
    <t>https://t.co/jxPEZQ04NI https://pbs.twimg.com/media/Flf3ymXWYAEi067.png</t>
  </si>
  <si>
    <t>https://t.co/TPonGcwr1U https://pbs.twimg.com/media/Flf3GNvWIAMi2Nw.jpg</t>
  </si>
  <si>
    <t>https://t.co/SDSuyT7VBp https://pbs.twimg.com/media/FlfzX8EX0AEppdo.jpg</t>
  </si>
  <si>
    <t>https://t.co/ovrlgJJqgj https://pbs.twimg.com/media/FlfxUPXWIAAuvu7.png</t>
  </si>
  <si>
    <t>https://t.co/2epOufj7Xv https://pbs.twimg.com/media/Flfty_xXkAA7T4e.png</t>
  </si>
  <si>
    <t>https://t.co/J8FoqhZhOp https://pbs.twimg.com/media/F6bjEqrXwAAT5V0.jpg</t>
  </si>
  <si>
    <t>https://t.co/SXpc9reNTb https://pbs.twimg.com/media/F6PIx_TWMAAP3PL.jpg</t>
  </si>
  <si>
    <t>https://t.co/Zpkvty4GRL https://pbs.twimg.com/media/F6PH-jIWsAA8rla.jpg</t>
  </si>
  <si>
    <t>https://t.co/tlHdZqnm1e https://pbs.twimg.com/media/F6PDuxWWEAA3dNQ.jpg</t>
  </si>
  <si>
    <t>https://t.co/S0mG3alP6m https://pbs.twimg.com/media/F6PBDXOX0AEk2OO.jpg</t>
  </si>
  <si>
    <t>https://t.co/r4SsDIVqcD https://pbs.twimg.com/media/F5wKzW5XMAAs5tB.jpg</t>
  </si>
  <si>
    <t>https://t.co/VptJG2Mx04 https://pbs.twimg.com/media/F5wKsHKWAAAhDl0.jpg</t>
  </si>
  <si>
    <t>https://t.co/pmxEqjHiIV https://pbs.twimg.com/media/F5f9byIWkAAlknJ.jpg</t>
  </si>
  <si>
    <t>https://t.co/Irmdmz6wBm https://pbs.twimg.com/media/F5db3E3WsAA_9fK.jpg</t>
  </si>
  <si>
    <t>https://t.co/KNPINVOsmA https://pbs.twimg.com/media/F5dV0P4XwAAK1iv.jpg</t>
  </si>
  <si>
    <t>https://t.co/8PbxWW8cBO https://pbs.twimg.com/media/F5dOOOjW8AAsVbJ.jpg</t>
  </si>
  <si>
    <t>https://t.co/IaOe4HQroL https://pbs.twimg.com/media/F4OeCwRXAAAIZKX.jpg</t>
  </si>
  <si>
    <t>https://t.co/7NHEmSBKTo https://pbs.twimg.com/media/F3fh1SDW8AAn-sf.jpg</t>
  </si>
  <si>
    <t>https://t.co/EywqtqwznH https://pbs.twimg.com/media/F3fhka0WEAA5zwE.jpg</t>
  </si>
  <si>
    <t>https://t.co/sRCCEXYWjm https://pbs.twimg.com/media/F3cxQzzWwAIm4K0.jpg</t>
  </si>
  <si>
    <t>https://t.co/pejdGu0BEw https://pbs.twimg.com/media/F3cklWJW8AE1ulp.jpg</t>
  </si>
  <si>
    <t>https://t.co/c0XqG2rK1y https://pbs.twimg.com/media/F2fW5xgWoAAMSig.jpg</t>
  </si>
  <si>
    <t>https://t.co/RkVyyErw50 https://pbs.twimg.com/media/F2etlDUbQAEyje_.jpg</t>
  </si>
  <si>
    <t>https://t.co/H4uBZ3to6I https://pbs.twimg.com/media/F2dPIaxW8AA03Hx.jpg</t>
  </si>
  <si>
    <t>https://t.co/sTWrFgobTe https://pbs.twimg.com/media/F2Zv8B3WQAEup4D.jpg</t>
  </si>
  <si>
    <t>https://t.co/9GPXyC6x73 https://pbs.twimg.com/media/F2Zsg6yX0AAPKMC.jpg</t>
  </si>
  <si>
    <t>https://t.co/KggI5migmR https://pbs.twimg.com/media/F2ZrljUXIAAhNw9.jpg</t>
  </si>
  <si>
    <t>https://t.co/50mxQUyiPu https://pbs.twimg.com/media/F2ZrAKQWUAAP86X.jpg</t>
  </si>
  <si>
    <t>https://t.co/gA7k4VPxmZ https://pbs.twimg.com/media/F2ZnNSMWkAEaYsL.jpg</t>
  </si>
  <si>
    <t>https://t.co/U5VPGROixs https://pbs.twimg.com/media/F2ZeWopWYAIzbcp.jpg</t>
  </si>
  <si>
    <t>https://t.co/aifg8VNZaV https://pbs.twimg.com/media/FxoI8KKWYAI5LPI.png</t>
  </si>
  <si>
    <t>https://t.co/lTt5x2imvG https://pbs.twimg.com/media/FxoGrahX0AEdirh.jpg</t>
  </si>
  <si>
    <t>https://t.co/krZUOdYtF2 https://pbs.twimg.com/media/FvpYZn4WAAEqLYx.jpg</t>
  </si>
  <si>
    <t>https://t.co/RpuN67QrIM https://pbs.twimg.com/media/FvowiQ2XwAMLZgl.jpg</t>
  </si>
  <si>
    <t>https://t.co/TzPNs97bo4 https://pbs.twimg.com/media/FvkTe9xX0AA75Ey.jpg</t>
  </si>
  <si>
    <t>https://t.co/eF2QRLkrEX https://pbs.twimg.com/media/FvkMwDBWcAAYG3o.jpg</t>
  </si>
  <si>
    <t>https://t.co/qh1wbvDjIL https://pbs.twimg.com/media/FvkMi63WcAEdELi.jpg</t>
  </si>
  <si>
    <t>https://t.co/EcbrhuAeuA https://pbs.twimg.com/media/FvXzNhHXwAsv_vb.jpg</t>
  </si>
  <si>
    <t>https://t.co/HRK88hXCLg https://pbs.twimg.com/media/FvS09E9XsAAgbCl.jpg</t>
  </si>
  <si>
    <t>https://t.co/8o2hO0J1iK https://pbs.twimg.com/media/FvOGGh7XsAwouLy.jpg</t>
  </si>
  <si>
    <t>https://t.co/NwRt2CWGvr https://pbs.twimg.com/media/FvOE7NRXsA0Ayfv.jpg</t>
  </si>
  <si>
    <t>https://t.co/yovxjVgfXU https://pbs.twimg.com/media/FvIvTyAWIAMUr0W.png</t>
  </si>
  <si>
    <t>https://t.co/bjchgPnEM0 https://pbs.twimg.com/media/FsO9PBSXsAEh2ej.png</t>
  </si>
  <si>
    <t>https://t.co/O42RAfMRE1 https://pbs.twimg.com/media/FsO88PSWIAA8heG.png</t>
  </si>
  <si>
    <t>https://t.co/lUTnua3908 https://pbs.twimg.com/media/FsO8iJQWIAQ0Uz9.png</t>
  </si>
  <si>
    <t>https://t.co/TMqNGwSLXP https://pbs.twimg.com/media/FpWBko2WYAItrUo.jpg</t>
  </si>
  <si>
    <t>https://t.co/XHCfuL1Xwq https://pbs.twimg.com/media/FpV-Sq2XsAAq9GD.jpg</t>
  </si>
  <si>
    <t>https://t.co/rcUzmocNJ4 https://pbs.twimg.com/media/FpV2cTzXoAAnEHU.jpg</t>
  </si>
  <si>
    <t>https://t.co/fUAKAr42L0 https://pbs.twimg.com/media/FpVjF0DXsAEVYKh.jpg</t>
  </si>
  <si>
    <t>https://t.co/1tos45r9Dr https://pbs.twimg.com/media/FpK9puqXsAI7iZc.jpg</t>
  </si>
  <si>
    <t>https://t.co/oDtLYofyZA https://pbs.twimg.com/media/FmOpYatWQAASXyC.jpg</t>
  </si>
  <si>
    <t>https://t.co/CDyMeVwLCd https://pbs.twimg.com/media/Fl-5CsHXkAM9jyB.png</t>
  </si>
  <si>
    <t>https://t.co/EiHVJr4Lf8 https://pbs.twimg.com/media/Fl-4fbnXwAcvYrq.jpg</t>
  </si>
  <si>
    <t>https://t.co/CMeo9YRk9p https://pbs.twimg.com/media/Fl-1vJAXoAYgf6f.jpg</t>
  </si>
  <si>
    <t>https://t.co/b9wGsaNrkB https://pbs.twimg.com/media/Fl-09nYXEAAn3lX.png</t>
  </si>
  <si>
    <t>https://t.co/6rR9CDFsWM https://pbs.twimg.com/media/Fl-y9x6XEAA9PPO.jpg</t>
  </si>
  <si>
    <t>https://t.co/SfU9Yt759M https://pbs.twimg.com/media/F60HQIKXQAAp2Hm.jpg</t>
  </si>
  <si>
    <t>https://t.co/lPMzZVIodb https://pbs.twimg.com/media/F60G__0XgAACLnp.jpg</t>
  </si>
  <si>
    <t>https://t.co/JXzXAbVcT8 https://pbs.twimg.com/media/F60G0tOXUAA3DI7.jpg</t>
  </si>
  <si>
    <t>https://t.co/nMc4gSwW6B https://pbs.twimg.com/media/F60GhdHWYAAPYlP.jpg</t>
  </si>
  <si>
    <t>https://t.co/3Y0Tfr3H2d https://pbs.twimg.com/media/F60FOASWMAALNOb.jpg</t>
  </si>
  <si>
    <t>https://t.co/1ZUnH2mIUl https://pbs.twimg.com/media/F60E74cWAAAN4or.jpg</t>
  </si>
  <si>
    <t>https://t.co/MdGOmZvhqP https://pbs.twimg.com/media/F60EJhzWQAEph72.jpg</t>
  </si>
  <si>
    <t>https://t.co/qngt0ucfQJ https://pbs.twimg.com/media/F60EALYWEAAjoZZ.jpg</t>
  </si>
  <si>
    <t>https://t.co/8fPT6v7lJq https://pbs.twimg.com/media/F60D2k7XcAE-s0J.jpg</t>
  </si>
  <si>
    <t>https://t.co/EQ3kmcyA27 https://pbs.twimg.com/media/F60DtacXUAATbDM.jpg</t>
  </si>
  <si>
    <t>https://t.co/cjD4heIuqK https://pbs.twimg.com/media/F60DA_vXcAAqK_w.jpg</t>
  </si>
  <si>
    <t>https://t.co/mZhOZZU7ap https://pbs.twimg.com/media/F60BvRKWAAABM48.jpg</t>
  </si>
  <si>
    <t>https://t.co/ccWXFXABnl https://pbs.twimg.com/media/F6z_u5_XwAAud-x.jpg</t>
  </si>
  <si>
    <t>https://t.co/TmXCK3GnFb https://pbs.twimg.com/media/F6z-yyKXMAAETwN.jpg</t>
  </si>
  <si>
    <t>https://t.co/TwE1iZ5vOP https://pbs.twimg.com/media/F6el_7RWsAAhHts.jpg</t>
  </si>
  <si>
    <t>https://t.co/CLfNC6TWSc https://pbs.twimg.com/media/F4tQibHbMAAmAQj.jpg</t>
  </si>
  <si>
    <t>https://t.co/37iCFznITU https://pbs.twimg.com/media/F4tPaRrbMAAQoLs.jpg</t>
  </si>
  <si>
    <t>https://t.co/7BYaztmUFP https://pbs.twimg.com/media/F4tNbHYagAAK2m-.jpg</t>
  </si>
  <si>
    <t>https://t.co/kU4OWId68b https://pbs.twimg.com/media/F4tMR2LbAAAr4z9.jpg</t>
  </si>
  <si>
    <t>https://t.co/KHcN6s6mUR https://pbs.twimg.com/media/F4tMFqlbIAAMWmo.jpg</t>
  </si>
  <si>
    <t>https://t.co/e4hzeKNAAD https://pbs.twimg.com/media/F4tL9-6bMAAKApn.jpg</t>
  </si>
  <si>
    <t>https://t.co/Iu8zb8vvl9 https://pbs.twimg.com/media/F4tJCZobgAAqa2T.jpg</t>
  </si>
  <si>
    <t>https://t.co/I3bhf7QK1O https://pbs.twimg.com/media/F4tDtd0aMAASgO8.jpg</t>
  </si>
  <si>
    <t>https://t.co/iE6mkEVsv6 https://pbs.twimg.com/media/F4tCkHibcAAiwrB.jpg</t>
  </si>
  <si>
    <t>https://t.co/A2OinPd8eI https://pbs.twimg.com/media/F27eZmUXAAAJDwD.jpg</t>
  </si>
  <si>
    <t>https://t.co/6V1VRMnX9l https://pbs.twimg.com/media/F27cmFAWMAEZt4l.jpg</t>
  </si>
  <si>
    <t>https://t.co/vDvZpaUOm9 https://pbs.twimg.com/media/F27bkV8XIAAya4O.jpg</t>
  </si>
  <si>
    <t>https://t.co/w7xRnBBzRF https://pbs.twimg.com/media/F25R4QoXEAER2GN.jpg</t>
  </si>
  <si>
    <t>https://t.co/U9JGVXzDsh https://pbs.twimg.com/media/F25QZ1ZWAAAlkxO.jpg</t>
  </si>
  <si>
    <t>https://t.co/fMN6XieWqx https://pbs.twimg.com/media/F25QJ5-WsAAGh7H.jpg</t>
  </si>
  <si>
    <t>https://t.co/IZeB0YftFP https://pbs.twimg.com/media/F25GN3rXUAAQm7a.jpg</t>
  </si>
  <si>
    <t>https://t.co/exQSXJjL9k https://pbs.twimg.com/media/F2zY1lRW8AAtpmX.jpg</t>
  </si>
  <si>
    <t>https://t.co/1d1PVhntbH https://pbs.twimg.com/media/Fya_4xlXsAMFomw.jpg</t>
  </si>
  <si>
    <t>https://t.co/BHojRaxKvj https://pbs.twimg.com/media/Fya_MjkX0AEQYoH.jpg</t>
  </si>
  <si>
    <t>https://t.co/sOchwWSHZo https://pbs.twimg.com/media/FubDTReWwAAtruy.jpg</t>
  </si>
  <si>
    <t>https://t.co/haeAt7XUHt https://pbs.twimg.com/media/FubARFZX0AIROEo.jpg</t>
  </si>
  <si>
    <t>https://t.co/mnzcnmwUlr https://pbs.twimg.com/media/Fua6LhqWwAEj9l4.jpg</t>
  </si>
  <si>
    <t>https://t.co/SpgBxBj3vB https://pbs.twimg.com/media/Fq0LDiEWYAA6WON.jpg</t>
  </si>
  <si>
    <t>https://t.co/rUrAId3PQh https://pbs.twimg.com/media/Fq0GsQuXsAIDR58.jpg</t>
  </si>
  <si>
    <t>https://t.co/OAGd1WG1aQ https://pbs.twimg.com/media/FqfPAbTXgAAQb8g.jpg</t>
  </si>
  <si>
    <t>https://t.co/FVNWu4iLWt https://pbs.twimg.com/media/FqZoMj-WcAIsOUR.jpg</t>
  </si>
  <si>
    <t>https://t.co/3THuXdzTUW https://pbs.twimg.com/media/F7DxQ2KWAAAen57.png</t>
  </si>
  <si>
    <t>https://t.co/SyKfFaQh1X https://pbs.twimg.com/media/F6ZS9RfX0AEzpoD.jpg</t>
  </si>
  <si>
    <t>https://t.co/5e7hJlu6RF https://pbs.twimg.com/media/F6PHw6jXUAAcjp-.jpg</t>
  </si>
  <si>
    <t>https://t.co/ZH3M0n7fNH https://pbs.twimg.com/media/F6PHjmeXwAArq7k.jpg</t>
  </si>
  <si>
    <t>https://t.co/2n6K0qHdkV https://pbs.twimg.com/media/F6PAIUbWgAIWE5q.jpg</t>
  </si>
  <si>
    <t>https://t.co/ttH1udLGCQ https://pbs.twimg.com/media/F5v7In0WUAETTFw.jpg</t>
  </si>
  <si>
    <t>https://t.co/32tv4Tpyme https://pbs.twimg.com/media/F5v68nkXYAAsaRo.jpg</t>
  </si>
  <si>
    <t>https://t.co/3jYUIpmnei https://pbs.twimg.com/media/F5v6PUlXgAAtC7W.jpg</t>
  </si>
  <si>
    <t>https://t.co/vhBl2LqbGr https://pbs.twimg.com/media/F5SYDe9WYAE7OWA.jpg</t>
  </si>
  <si>
    <t>https://t.co/FjoQrHESux https://pbs.twimg.com/media/F5IV9MiW4AArTa7.jpg</t>
  </si>
  <si>
    <t>https://t.co/yCpWPml3Zu https://pbs.twimg.com/media/F5IJWSrWQAEUwmL.jpg</t>
  </si>
  <si>
    <t>https://t.co/fF3RvNXs8M https://pbs.twimg.com/media/F5IHlfCX0AAS6rt.jpg</t>
  </si>
  <si>
    <t>https://t.co/T1ZA5Wdagv https://pbs.twimg.com/media/F5IFNaZWQAAzOo1.jpg</t>
  </si>
  <si>
    <t>https://t.co/iQJxUmAvoW https://pbs.twimg.com/media/F5IDVKQWUAAFvAq.jpg</t>
  </si>
  <si>
    <t>https://t.co/7eR7jvdNNp https://pbs.twimg.com/media/F1wd3CcWcAEVCR6.jpg</t>
  </si>
  <si>
    <t>https://t.co/0NNd5mHrua https://pbs.twimg.com/media/F1wbNL7XgAAcTrT.jpg</t>
  </si>
  <si>
    <t>https://t.co/3UyOsAOoh1 https://pbs.twimg.com/media/F1way2jWcAAD9K1.jpg</t>
  </si>
  <si>
    <t>https://t.co/jBFKQcPLmz https://pbs.twimg.com/media/F1waWIAWYAABd3X.jpg</t>
  </si>
  <si>
    <t>https://t.co/2y0D1t2Zxe https://pbs.twimg.com/media/F1Rs15-WwAADJPH.jpg</t>
  </si>
  <si>
    <t>https://t.co/pSEU4NGFHm https://pbs.twimg.com/media/F0tr9HDWwAI9igy.jpg</t>
  </si>
  <si>
    <t>https://t.co/yNyBWVe9fi https://pbs.twimg.com/media/F0tpt-XWYAEttpS.jpg</t>
  </si>
  <si>
    <t>https://t.co/6DzBQqEf3X https://pbs.twimg.com/media/F0tloO-XsAEttR7.jpg</t>
  </si>
  <si>
    <t>https://t.co/yWz7POOmqA https://pbs.twimg.com/media/F0JJgLoXoAEv6dF.jpg</t>
  </si>
  <si>
    <t>https://t.co/SVph31R4g6 https://pbs.twimg.com/media/F0E9HFJXwAEhNli.jpg</t>
  </si>
  <si>
    <t>https://t.co/jPsYVZq1eK https://pbs.twimg.com/media/Fz9bFPMWYAE5hDM.jpg</t>
  </si>
  <si>
    <t>https://t.co/i5d8jpL6BN https://pbs.twimg.com/media/Fz9PLPAXwAA9l_I.jpg</t>
  </si>
  <si>
    <t>https://t.co/UFhHrbaVoz https://pbs.twimg.com/media/Fw0YpPjaUAMe8Wo.jpg</t>
  </si>
  <si>
    <t>https://t.co/MpMf89X6Ti https://pbs.twimg.com/media/Fw0YPejaMAEqxCz.png</t>
  </si>
  <si>
    <t>https://t.co/frRmrEcRpM https://pbs.twimg.com/media/Fw0Wz82agAgGgzT.png</t>
  </si>
  <si>
    <t>https://t.co/BS2ATbO3oI https://pbs.twimg.com/media/Fw0WfExaIAIR6ut.jpg</t>
  </si>
  <si>
    <t>https://t.co/qXj807Tw26 https://pbs.twimg.com/media/Fwvgp7CX0AA0HJk.jpg</t>
  </si>
  <si>
    <t>https://t.co/YLviVtiKen https://pbs.twimg.com/media/Fwvf4mTXgAEyEP7.jpg</t>
  </si>
  <si>
    <t>https://t.co/mmMImy8tTq https://pbs.twimg.com/media/FswAZSFXsAA9mGt.jpg</t>
  </si>
  <si>
    <t>https://t.co/EG1MzcvoPW https://pbs.twimg.com/media/Fsv_JpQXgAAucx2.jpg</t>
  </si>
  <si>
    <t>https://t.co/Sl7whQtWos https://pbs.twimg.com/media/Fsv-DpBXsAE4KCP.jpg</t>
  </si>
  <si>
    <t>https://t.co/NHK2lAZ3va https://pbs.twimg.com/media/Fsv9aKFWwAMFxp6.jpg</t>
  </si>
  <si>
    <t>https://t.co/RAofz04IdE https://pbs.twimg.com/media/Fsv7cDyXoAAWebX.jpg</t>
  </si>
  <si>
    <t>https://t.co/ckZjETPEmA https://pbs.twimg.com/media/Fsv7S5ZX0AAM2fL.jpg</t>
  </si>
  <si>
    <t>https://t.co/TMIUlzesNT https://pbs.twimg.com/media/Fsv2eE4WAAEhnjJ.jpg</t>
  </si>
  <si>
    <t>https://t.co/TN5fwdmxID https://pbs.twimg.com/media/Fsjt-YoWIAAUHep.png</t>
  </si>
  <si>
    <t>https://t.co/CeHkkDJzHA https://pbs.twimg.com/media/FsY4LgKWcAE9zjo.jpg</t>
  </si>
  <si>
    <t>https://t.co/O3jGV1RuJu https://pbs.twimg.com/media/FsWQgzpXwAEVUa5.jpg</t>
  </si>
  <si>
    <t>https://t.co/CNTayLjNFI https://pbs.twimg.com/media/FsWQROwXwAEet6e.jpg</t>
  </si>
  <si>
    <t>https://t.co/epBGcJ69z1 https://pbs.twimg.com/media/FsWOAfNX0AsP8fC.jpg</t>
  </si>
  <si>
    <t>https://t.co/WCuAfDdLWs https://pbs.twimg.com/media/FsWMMLnWYAQ6wie.jpg</t>
  </si>
  <si>
    <t>https://t.co/OXWnSGPVOE https://pbs.twimg.com/media/FsWJMUBWYAUk3Mv.jpg</t>
  </si>
  <si>
    <t>https://t.co/EDZEAscg2D https://pbs.twimg.com/media/FsWFXscXsAU5k2V.jpg</t>
  </si>
  <si>
    <t>https://t.co/EoyRJJcOtl https://pbs.twimg.com/media/FsWEpITWcAEKpaL.jpg</t>
  </si>
  <si>
    <t>https://t.co/0qlBxA7UXz https://pbs.twimg.com/media/FsRdxiEWIAAqhPQ.jpg</t>
  </si>
  <si>
    <t>https://t.co/V2qmoravia https://pbs.twimg.com/media/FnqkEbPXwAUrRLL.jpg</t>
  </si>
  <si>
    <t>https://t.co/vG30eYI4u2 https://pbs.twimg.com/media/Fnqfc3WXwAs_v7r.jpg</t>
  </si>
  <si>
    <t>https://t.co/dcxISa3inb https://pbs.twimg.com/media/FnqfCKcWYAE6QKf.jpg</t>
  </si>
  <si>
    <t>https://t.co/ma8vuALc9r https://pbs.twimg.com/media/FnRN-QsX0Ak8m4-.jpg</t>
  </si>
  <si>
    <t>https://t.co/VIzxbDV6Xz https://pbs.twimg.com/media/F7CvtiuXoAA4_vL.png</t>
  </si>
  <si>
    <t>https://t.co/Jo5mBqCSqs https://pbs.twimg.com/media/F1wgBGPWYAI6n-_.jpg</t>
  </si>
  <si>
    <t>https://t.co/3OdnFvz3kN https://pbs.twimg.com/media/F1XGF5GWIAAqYIb.jpg</t>
  </si>
  <si>
    <t>https://t.co/IKdPuKOgEK https://pbs.twimg.com/media/F1Wt5zQWIAAlPyq.jpg</t>
  </si>
  <si>
    <t>https://t.co/PhDK92WhQK https://pbs.twimg.com/media/F1MLmWXXsAc_Z0J.jpg</t>
  </si>
  <si>
    <t>https://t.co/wFdgIRlVMP https://pbs.twimg.com/media/F1MJD9uXoAQKHB8.jpg</t>
  </si>
  <si>
    <t>https://t.co/QuHt4ZE6El https://pbs.twimg.com/media/F1MFEmSXgAAccsF.jpg</t>
  </si>
  <si>
    <t>https://t.co/Grq4NN5o6B https://pbs.twimg.com/media/F0cWa36WcAAmJXQ.jpg</t>
  </si>
  <si>
    <t>https://t.co/eD1vhlz2Lx https://pbs.twimg.com/media/FzlI7-fWYAoiHN1.jpg</t>
  </si>
  <si>
    <t>https://t.co/UqOjim78GW https://pbs.twimg.com/media/FwRzAarXwAE0ZlM.png</t>
  </si>
  <si>
    <t>https://t.co/WmxXYMB34I https://pbs.twimg.com/media/FwHU3rXWwAAuGwD.jpg</t>
  </si>
  <si>
    <t>https://t.co/rmmToRTp1C https://pbs.twimg.com/media/FwHUPiTXoAIvNOE.jpg</t>
  </si>
  <si>
    <t>https://t.co/xMQCgIWZBZ https://pbs.twimg.com/media/FwHT2fPWYAAXs6A.jpg</t>
  </si>
  <si>
    <t>https://t.co/5sNAJ5aLUn https://pbs.twimg.com/media/FwHTqx4XgAAa_Xz.jpg</t>
  </si>
  <si>
    <t>https://t.co/v2TUzaCmJ0 https://pbs.twimg.com/media/FwHMhOiWwAEZo7J.jpg</t>
  </si>
  <si>
    <t>https://t.co/kKym4MDy7n https://pbs.twimg.com/media/FwHLFzZXwAEui0D.jpg</t>
  </si>
  <si>
    <t>https://t.co/FSklbV6XtO https://pbs.twimg.com/media/FtoRbvjWIAINuqC.jpg</t>
  </si>
  <si>
    <t>https://t.co/tXYBLGIlPb https://pbs.twimg.com/media/Fp7vx7EWwAIdwoP.jpg</t>
  </si>
  <si>
    <t>https://t.co/Nfaqq0AcIZ https://pbs.twimg.com/media/Fp7sMuzWcAAim9c.jpg</t>
  </si>
  <si>
    <t>https://t.co/DBi9MuNJLf https://pbs.twimg.com/media/Fp7h4tCWwAErADF.jpg</t>
  </si>
  <si>
    <t>https://t.co/Vy2FiO6Yr1 https://pbs.twimg.com/media/Fp7hDZVWIAAn9ol.jpg</t>
  </si>
  <si>
    <t>https://t.co/2Z5Sp3mRfB https://pbs.twimg.com/media/Fp2CZm2XgAARZxp.jpg</t>
  </si>
  <si>
    <t>https://t.co/NNnHgnvPyV https://pbs.twimg.com/media/Fp1trO_WwAES6oP.jpg</t>
  </si>
  <si>
    <t>https://t.co/nemWHvtPu0 https://pbs.twimg.com/media/FoXer1xXsAAgMIK.jpg</t>
  </si>
  <si>
    <t>https://t.co/KxQ0eyvqyd https://pbs.twimg.com/media/FoSjxIfWcAIKr-Q.jpg</t>
  </si>
  <si>
    <t>https://t.co/614PZ5z2FU https://pbs.twimg.com/media/FoSjBM1WcAIzqiR.jpg</t>
  </si>
  <si>
    <t>https://t.co/PJzoanjbnb https://pbs.twimg.com/media/FoP23shWQAMWA27.jpg</t>
  </si>
  <si>
    <t>https://t.co/yVE3hbB7O8 https://pbs.twimg.com/media/FoPxZN1WQAIkFe2.jpg</t>
  </si>
  <si>
    <t>https://t.co/oBtgXPe84Y https://pbs.twimg.com/media/Fn_8Z0VXgAAfDKD.png</t>
  </si>
  <si>
    <t>https://t.co/2PjKIyaY8N https://pbs.twimg.com/media/Fn0ErcNWAAMCOqz.jpg</t>
  </si>
  <si>
    <t>https://t.co/mEnRwVCkf1 https://t.co/mEnRwVCkf1 https://pbs.twimg.com/media/FzUnkWGXoAEkHMn.png https://pbs.twimg.com/media/FzUnkWMWYAUpH4i.jpg</t>
  </si>
  <si>
    <t>https://t.co/JTOxSDCCCT https://pbs.twimg.com/media/FoXcFoZXgAQ7IjU.jpg</t>
  </si>
  <si>
    <t>https://t.co/X86IZHUPA6 https://pbs.twimg.com/media/FsZR1uRWYAMreWY.jpg</t>
  </si>
  <si>
    <t>https://t.co/hrlPSOPjvN https://pbs.twimg.com/media/Fr7xXAaXwAA3lEZ.jpg</t>
  </si>
  <si>
    <t>https://t.co/ERyH8tRAtU https://pbs.twimg.com/media/Ftb-KsGagAAl7Nq.jpg</t>
  </si>
  <si>
    <t>https://t.co/Y8cmHgp1Mk https://pbs.twimg.com/media/FrgWxX4XsAIHhqc.jpg</t>
  </si>
  <si>
    <t>https://t.co/HcEcjqm4xW https://pbs.twimg.com/ext_tw_video_thumb/1626550410252001282/pu/img/rkejmMl-1mam2H7F.jpg</t>
  </si>
  <si>
    <t>https://t.co/GDMztKcjOj https://pbs.twimg.com/ext_tw_video_thumb/1640821488294019073/pu/img/h8hL2PMPjeApZVPJ.jpg</t>
  </si>
  <si>
    <t>https://t.co/QcgcNhaJpz https://pbs.twimg.com/ext_tw_video_thumb/1651993237807038466/pu/img/1M3R6Gx7myFO3tlz.jpg</t>
  </si>
  <si>
    <t>https://t.co/4xD4Cx4thK https://pbs.twimg.com/ext_tw_video_thumb/1683510146377326593/pu/img/nSBaHMzeZ1IwDjgB.jpg</t>
  </si>
  <si>
    <t>https://t.co/ckApucdIYN https://pbs.twimg.com/ext_tw_video_thumb/1680967252923883520/pu/img/lo22073nX5jn2lOM.jpg</t>
  </si>
  <si>
    <t>https://t.co/jz5fo8rL29 https://pbs.twimg.com/ext_tw_video_thumb/1679563336063541250/pu/img/8Q5F3eg5D3-13ixn.jpg</t>
  </si>
  <si>
    <t>https://t.co/v3BaZ2F6Bd https://pbs.twimg.com/ext_tw_video_thumb/1701626153323069440/pu/img/eSFrhTaQUEpyJqF1.jpg</t>
  </si>
  <si>
    <t>https://t.co/ZA2UyWAGMG https://pbs.twimg.com/ext_tw_video_thumb/1649095529979162624/pu/img/uyLEwc745NKNn_he.jpg</t>
  </si>
  <si>
    <t>https://t.co/OnDD4srK5T https://pbs.twimg.com/ext_tw_video_thumb/1704172099005263872/pu/img/PUgKRUKGt2ltihof.jpg</t>
  </si>
  <si>
    <t>https://t.co/JLBv6RNJnv https://pbs.twimg.com/media/F1wTODlXgAMFYga.jpg</t>
  </si>
  <si>
    <t>https://t.co/Q1ucx4Xvon https://pbs.twimg.com/media/F2HmMekbcAAuTpe.jpg</t>
  </si>
  <si>
    <t>https://t.co/YgWWLLQNFV https://pbs.twimg.com/media/FzJrUt3WwAMaeyJ.jpg</t>
  </si>
  <si>
    <t>https://t.co/mGZx1rbjbV https://pbs.twimg.com/media/F1wmw3dWwAAjpDX.jpg</t>
  </si>
  <si>
    <t>https://t.co/FCGrdEF1HL https://pbs.twimg.com/media/F1j1kr7XgAAPksI.jpg</t>
  </si>
  <si>
    <t>https://t.co/pzdSPQPiTy https://pbs.twimg.com/media/F1efxZDXoAErfdA.jpg</t>
  </si>
  <si>
    <t>https://t.co/HYrgcHys3x https://pbs.twimg.com/media/F1ePUiIXgAANAOY.jpg</t>
  </si>
  <si>
    <t>https://t.co/7ba0naLJQC https://pbs.twimg.com/media/F1ZZZ27WAAA_Nxe.jpg</t>
  </si>
  <si>
    <t>https://t.co/pv17et6z0Q https://pbs.twimg.com/media/F1Jr5-1XsAESfrn.jpg</t>
  </si>
  <si>
    <t>https://t.co/yx7kaVzD8F https://pbs.twimg.com/media/F1EQExvX0AAVqQo.jpg</t>
  </si>
  <si>
    <t>https://t.co/9rMmEdzSt9 https://pbs.twimg.com/media/F0_P4OVXsAQbkoE.jpg</t>
  </si>
  <si>
    <t>https://t.co/HbVKbLncHa https://pbs.twimg.com/media/F0ckDzjWYAIpJEN.jpg</t>
  </si>
  <si>
    <t>https://t.co/phozslIZpe https://pbs.twimg.com/media/F0WgG-YX0AApQpp.jpg</t>
  </si>
  <si>
    <t>https://t.co/mk7D9lamHX https://pbs.twimg.com/media/FztMI9aXoAU9pde.jpg</t>
  </si>
  <si>
    <t>https://t.co/G8LmEkZWIQ https://pbs.twimg.com/media/FzoK5EgXwAI7Q1A.jpg</t>
  </si>
  <si>
    <t>https://t.co/PVF2LSsSrw https://pbs.twimg.com/media/Fzl6-4UWcAAWWqo.jpg</t>
  </si>
  <si>
    <t>https://t.co/gzLoYiY7Zq https://pbs.twimg.com/media/Fzi97ssXoAExEo1.jpg</t>
  </si>
  <si>
    <t>https://t.co/eXb61y5lGE https://pbs.twimg.com/media/FzerwLJWcAApsxs.jpg</t>
  </si>
  <si>
    <t>https://t.co/onzICNYviI https://pbs.twimg.com/media/F2mjKDRXwAIkqKU.jpg</t>
  </si>
  <si>
    <t>https://t.co/yJerz5PDMz https://pbs.twimg.com/media/F16uwbPWAAA4hfA.jpg</t>
  </si>
  <si>
    <t>https://t.co/QWEhCvKbMf https://pbs.twimg.com/media/F14w0dgaMAANj2-.jpg</t>
  </si>
  <si>
    <t>https://t.co/0FR5hn7BHP https://pbs.twimg.com/media/F1169YDXgAAyuwc.jpg</t>
  </si>
  <si>
    <t>https://t.co/X4ZhSGxw7u https://pbs.twimg.com/media/F1wcVU5XsAI1OnQ.jpg</t>
  </si>
  <si>
    <t>https://t.co/MSYQGHXQor https://pbs.twimg.com/media/F1vomguWIAkOUZW.jpg</t>
  </si>
  <si>
    <t>https://t.co/yQlK9Pfwdw https://pbs.twimg.com/media/F1t9oKRX0AE6DHn.jpg</t>
  </si>
  <si>
    <t>https://t.co/CBEI5bLasz https://pbs.twimg.com/ext_tw_video_thumb/1682915081007316996/pu/img/_R0T8r5SvfIyIpis.jpg</t>
  </si>
  <si>
    <t>https://t.co/qNCe3beKsP https://pbs.twimg.com/media/F1o-zhCWcAAz-7f.jpg</t>
  </si>
  <si>
    <t>https://t.co/qLp0p8Xgvn https://pbs.twimg.com/media/F1UDR-MXsAA3UbA.jpg</t>
  </si>
  <si>
    <t>https://t.co/hI3pMbtUNM https://pbs.twimg.com/media/F1ScKvvWAAArolX.jpg</t>
  </si>
  <si>
    <t>https://t.co/QfJutJsScH https://pbs.twimg.com/media/F1PIDcPXwAAgzmT.jpg</t>
  </si>
  <si>
    <t>https://t.co/39V33Y0wvI https://pbs.twimg.com/media/F1MXbF0XsAEWAGV.jpg</t>
  </si>
  <si>
    <t>https://t.co/80ysJ9Ga0m https://pbs.twimg.com/media/F06ExcgX0AAz6sS.jpg</t>
  </si>
  <si>
    <t>https://t.co/uDs0hcEdKc https://pbs.twimg.com/media/F04D-mEX0AEh8IS.jpg</t>
  </si>
  <si>
    <t>https://t.co/bMIoHTQCnE https://pbs.twimg.com/media/F01T9MnWYAAqxnf.jpg</t>
  </si>
  <si>
    <t>https://t.co/vTfq9tvjZw https://pbs.twimg.com/ext_tw_video_thumb/1678886707507212289/pu/img/VVtxTuAu53Qg3REh.jpg</t>
  </si>
  <si>
    <t>https://t.co/iKIHJNmSA7 https://pbs.twimg.com/media/F0wNyURXsAEjUmQ.jpg</t>
  </si>
  <si>
    <t>https://t.co/rQvpgHi6vD https://pbs.twimg.com/media/F0sKijNXoAATLUe.jpg</t>
  </si>
  <si>
    <t>https://t.co/WwEr4p8MMp https://pbs.twimg.com/media/F0Gw5NjX0AAk8vG.jpg</t>
  </si>
  <si>
    <t>https://t.co/1VgJPPkbNY https://pbs.twimg.com/media/F3KxXYuWYAEAa0A.jpg</t>
  </si>
  <si>
    <t>https://t.co/AHvfbl4sBc https://pbs.twimg.com/media/F3GgkWGXQAAI-1T.jpg</t>
  </si>
  <si>
    <t>https://t.co/wSVLk5ibYI https://pbs.twimg.com/media/F3AcSdrXEAAZwWO.jpg</t>
  </si>
  <si>
    <t>https://t.co/LNDpkgoFgZ https://pbs.twimg.com/media/F3AE1xHXYAE8eQv.jpg</t>
  </si>
  <si>
    <t>https://t.co/AgXvRGuFIX https://pbs.twimg.com/media/F27UCmLXsAAGT9W.jpg</t>
  </si>
  <si>
    <t>https://t.co/5FbUtjhRXk https://pbs.twimg.com/media/F226OYvWoAEWj6j.jpg</t>
  </si>
  <si>
    <t>https://t.co/6yfeGDGsNo https://pbs.twimg.com/media/F2wluzZWEAEWi3e.jpg</t>
  </si>
  <si>
    <t>https://t.co/nTW40XR362 https://pbs.twimg.com/media/F3cPNk_WcAIp2Sm.jpg</t>
  </si>
  <si>
    <t>https://t.co/U7OfwrZvZp https://pbs.twimg.com/media/F2XC8X8XsAAy_l4.jpg</t>
  </si>
  <si>
    <t>https://t.co/ZsOl04FZD0 https://pbs.twimg.com/media/F2RxRFJXEAAV5Yx.jpg</t>
  </si>
  <si>
    <t>https://t.co/olpgFNo4dR https://pbs.twimg.com/media/Fzye3WCX0AE_wN-.jpg</t>
  </si>
  <si>
    <t>https://t.co/brVp3APExQ https://pbs.twimg.com/ext_tw_video_thumb/1674153873194229760/pu/img/JblQkNM2jhDEjpFw.jpg</t>
  </si>
  <si>
    <t>https://t.co/44MEbmkRoT https://pbs.twimg.com/media/F3kU0VWWUAA5nDy.jpg</t>
  </si>
  <si>
    <t>https://t.co/cC6hPViO2z https://pbs.twimg.com/ext_tw_video_thumb/1687406431551537152/pu/img/9DRrA9kzcJOfw7Wy.jpg</t>
  </si>
  <si>
    <t>https://t.co/bLlSGdUTrw https://pbs.twimg.com/media/F2rYXgNX0AATnXw.jpg</t>
  </si>
  <si>
    <t>https://t.co/QGidm7SUaC https://pbs.twimg.com/media/F2Cn0h_WIAAxorE.jpg</t>
  </si>
  <si>
    <t>https://t.co/8ygoC1WdQ9 https://pbs.twimg.com/media/F1-wXV2XoAUNk18.jpg</t>
  </si>
  <si>
    <t>https://t.co/3gYllBrYbZ https://pbs.twimg.com/media/Fz3KWAtXoAArD1O.jpg</t>
  </si>
  <si>
    <t>https://t.co/M1axAkuVVR https://pbs.twimg.com/media/F3UwL6kWgAAAQYg.jpg</t>
  </si>
  <si>
    <t>https://t.co/HBe3QMGOW6 https://pbs.twimg.com/media/F3PpWvdW4AAeNNE.jpg</t>
  </si>
  <si>
    <t>https://t.co/XfZPoGBbdQ https://pbs.twimg.com/media/F2M0xBNW4AAMNrh.jpg</t>
  </si>
  <si>
    <t>https://t.co/KZEUlt17Qz https://pbs.twimg.com/ext_tw_video_thumb/1685117722953179136/pu/img/XBpb-CvjoiirR5pg.jpg</t>
  </si>
  <si>
    <t>https://t.co/LLEz2CNBya https://pbs.twimg.com/media/F2Iwz7cXoAkzpzv.jpg</t>
  </si>
  <si>
    <t>https://t.co/BOgCe1KnUc https://pbs.twimg.com/ext_tw_video_thumb/1684621704830586880/pu/img/9DW4swX3XfeDqdNM.jpg</t>
  </si>
  <si>
    <t>https://t.co/8MUedB9RJ9 https://pbs.twimg.com/media/FzD9fIBXsAAwroE.jpg</t>
  </si>
  <si>
    <t>https://t.co/m1GM6gexab https://pbs.twimg.com/media/F3hWuRAXUAE7LuQ.jpg</t>
  </si>
  <si>
    <t>https://t.co/H5bSnoCzZD https://pbs.twimg.com/media/F2iMcENW4AE12lX.jpg</t>
  </si>
  <si>
    <t>https://t.co/4sdslZVVN3 https://pbs.twimg.com/media/F2hAjCnXwAAM6pR.jpg</t>
  </si>
  <si>
    <t>https://t.co/oNWeDRsO47 https://pbs.twimg.com/media/F2cXtRaWUAAhdOr.jpg</t>
  </si>
  <si>
    <t>https://t.co/T76eN7uZIK https://pbs.twimg.com/media/FzZEsBZWwAcBJoJ.jpg</t>
  </si>
  <si>
    <t>https://t.co/wXI2khBtvt https://pbs.twimg.com/media/FzPiDMeXwBsPfbe.jpg</t>
  </si>
  <si>
    <t>https://t.co/z2rcPOWUvS https://pbs.twimg.com/media/F6JIOWGXYAAngAy.jpg</t>
  </si>
  <si>
    <t>https://t.co/3U2tpOCGcs https://pbs.twimg.com/media/F6ALf-tXQAArhe7.jpg</t>
  </si>
  <si>
    <t>https://t.co/Md4h4tFasu https://pbs.twimg.com/media/F58GUDVXAAAMXaK.jpg</t>
  </si>
  <si>
    <t>https://t.co/A11lLP9JrJ https://pbs.twimg.com/media/F5wRX0UWUAAzjhO.jpg</t>
  </si>
  <si>
    <t>https://t.co/w22YiR058r https://pbs.twimg.com/media/F4TFw6BWcAAhAvN.jpg</t>
  </si>
  <si>
    <t>https://t.co/Jo6RZLA8jS https://pbs.twimg.com/media/F3urOcmW8AAv6ne.jpg</t>
  </si>
  <si>
    <t>https://t.co/QgrVi6s1kc https://pbs.twimg.com/media/F3mfXLPXsAEEL6x.jpg</t>
  </si>
  <si>
    <t>https://t.co/3P9O2p6kce https://pbs.twimg.com/media/F0RQVXnWcAIZOSy.jpg</t>
  </si>
  <si>
    <t>https://t.co/ZX0NO8bTfX https://pbs.twimg.com/media/Fy_JaLFWcAAWGjX.jpg</t>
  </si>
  <si>
    <t>https://t.co/fsySUfWg3J https://pbs.twimg.com/media/Fy5fU4nXwAIEtjP.jpg</t>
  </si>
  <si>
    <t>https://t.co/BdFaEeUQhe https://pbs.twimg.com/media/Fy19Oh0XwAEUNxz.jpg</t>
  </si>
  <si>
    <t>https://t.co/i2XosMhHR3 https://pbs.twimg.com/media/FmNLHXeaYAE_O4t.jpg</t>
  </si>
  <si>
    <t>https://t.co/HgYZNWb1S1 https://pbs.twimg.com/media/FmDJCijaAAE315P.jpg</t>
  </si>
  <si>
    <t>https://t.co/R5UlBBA0Y9 https://pbs.twimg.com/media/FqJsh-qagAAA6Zf.jpg</t>
  </si>
  <si>
    <t>https://t.co/qgE7NtxuoK https://pbs.twimg.com/media/FnvVNLqaIAA2Lda.jpg</t>
  </si>
  <si>
    <t>https://t.co/3Shvn8QeU4 https://pbs.twimg.com/media/Fnb1OnFaMAM8nlQ.jpg</t>
  </si>
  <si>
    <t>https://t.co/gFzsRi9f3d https://pbs.twimg.com/media/FnVdIPlagAA-vLl.jpg</t>
  </si>
  <si>
    <t>https://t.co/SQKMdGrKdX https://pbs.twimg.com/media/FnRSh9RagBMjTXU.jpg</t>
  </si>
  <si>
    <t>https://t.co/OxnAaAvS70 https://pbs.twimg.com/media/FpCbI9KaUAA_SA2.jpg</t>
  </si>
  <si>
    <t>https://t.co/IIwLv0qSdC https://pbs.twimg.com/media/FmoDe7daEAApOcj.jpg</t>
  </si>
  <si>
    <t>https://t.co/mJmEKe0BbH https://pbs.twimg.com/media/Fo34QsKagAEqlSn.jpg</t>
  </si>
  <si>
    <t>https://t.co/AJ4w8r6QGO https://pbs.twimg.com/media/FooiQVnakAA1-8r.jpg</t>
  </si>
  <si>
    <t>https://t.co/PvCIhPG7IL https://pbs.twimg.com/media/Fle-LQoaEAA0LBm.jpg</t>
  </si>
  <si>
    <t>https://t.co/RIdPLtbOnf https://pbs.twimg.com/media/Foj5MXqaMAAcsQ1.jpg</t>
  </si>
  <si>
    <t>https://t.co/DfIfDJZJV5 https://pbs.twimg.com/media/Fodqp4kacAAmude.jpg</t>
  </si>
  <si>
    <t>https://t.co/DFv057sGgE https://pbs.twimg.com/media/FoZqAPBakAI7o_-.jpg</t>
  </si>
  <si>
    <t>https://t.co/JQUYrmKpNe https://pbs.twimg.com/media/Fply4yNacAEsX3o.jpg</t>
  </si>
  <si>
    <t>https://t.co/p8VyYLudxZ https://pbs.twimg.com/media/FnK-u9DaYAA5fHw.jpg</t>
  </si>
  <si>
    <t>https://t.co/l13q1SFGMn https://pbs.twimg.com/media/Fm7-hSuaUAAXa-e.jpg</t>
  </si>
  <si>
    <t>https://t.co/AD1PConShM https://pbs.twimg.com/media/Fm23W7naAAEib1d.jpg</t>
  </si>
  <si>
    <t>https://t.co/RXAmslWIFu https://pbs.twimg.com/media/Fm23CSoacAAR1my.jpg</t>
  </si>
  <si>
    <t>https://t.co/CajBOIDDmv https://pbs.twimg.com/media/FmxdTyNakAExgnX.jpg</t>
  </si>
  <si>
    <t>https://t.co/Nv6rZiYDOt https://pbs.twimg.com/media/FmxdGabaUAAt2TN.jpg</t>
  </si>
  <si>
    <t>https://t.co/2Jbr5DivFH https://pbs.twimg.com/media/FmtGUtcaUAEn7u_.jpg</t>
  </si>
  <si>
    <t>https://t.co/uXpzCJc4CO https://pbs.twimg.com/media/FmtF84RakAI_cVd.jpg</t>
  </si>
  <si>
    <t>https://t.co/opGRyrOFIv https://pbs.twimg.com/media/Fp_0E-9aAAEBSRD.jpg</t>
  </si>
  <si>
    <t>https://t.co/6ytodvuBi9 https://pbs.twimg.com/media/Fn5PCiLaAAA6qGs.jpg</t>
  </si>
  <si>
    <t>https://t.co/IxqkpB5YDZ https://pbs.twimg.com/media/Fn0-KMOakAACvQK.jpg</t>
  </si>
  <si>
    <t>https://t.co/0XvaKCyNw8 https://pbs.twimg.com/media/FmGf0o1XEAAVacS.jpg</t>
  </si>
  <si>
    <t>https://t.co/JGuI4HImbO https://pbs.twimg.com/media/FmBVFR4XoAAAS_d.jpg</t>
  </si>
  <si>
    <t>https://t.co/GeAlYB6bUZ https://pbs.twimg.com/media/FqCy-4GX0AAqUNO.jpg</t>
  </si>
  <si>
    <t>https://t.co/hBYJ5iZPSm https://pbs.twimg.com/media/Fwt5RWOXoAA9T6N.jpg</t>
  </si>
  <si>
    <t>https://t.co/H9j1PfKwbL https://pbs.twimg.com/ext_tw_video_thumb/1667136770918477824/pu/img/ymSJ3JO5-u4u-DD_.jpg</t>
  </si>
  <si>
    <t>https://t.co/kaRuTrstDL https://pbs.twimg.com/ext_tw_video_thumb/1670956670841769985/pu/img/K35vlkRdklhL0MTj.jpg</t>
  </si>
  <si>
    <t>https://t.co/utzWg3Z3ez https://pbs.twimg.com/media/FrSrA-NaIAAxTKK.jpg</t>
  </si>
  <si>
    <t>https://t.co/9j1JaYFDqc https://pbs.twimg.com/media/Fo5UaI7X0AMn4JP.jpg</t>
  </si>
  <si>
    <t>https://t.co/VuocwMk7Dc https://pbs.twimg.com/media/FmTHotxXgAAw745.jpg</t>
  </si>
  <si>
    <t>https://t.co/kQ56RvfPCs https://pbs.twimg.com/media/FxyTOnXWwAAhB_0.jpg</t>
  </si>
  <si>
    <t>https://t.co/eiQ68d4PLg https://pbs.twimg.com/media/Fxi2eIzacAEWnIg.jpg</t>
  </si>
  <si>
    <t>https://t.co/dkjXGyVdsR https://pbs.twimg.com/media/FxtJpNnX0AAJB6Y.jpg</t>
  </si>
  <si>
    <t>https://t.co/dK0QLhcjSa https://pbs.twimg.com/media/FxoAD9aWYAML2Vc.jpg</t>
  </si>
  <si>
    <t>https://t.co/uBNmPIYnnU https://pbs.twimg.com/media/F2-iVL0WUAEZA4L.jpg</t>
  </si>
  <si>
    <t>https://t.co/bSqOGsYdlc https://pbs.twimg.com/media/F5uKtv3W8AAwZxG.jpg</t>
  </si>
  <si>
    <t>https://t.co/DfibE0t3fo https://pbs.twimg.com/ext_tw_video_thumb/1687470950760038401/pu/img/5LdMoAxnNi9J9xfW.jpg</t>
  </si>
  <si>
    <t>https://t.co/YmAxFSCXBL https://pbs.twimg.com/media/Flo9iLYWIAsN06x.jpg</t>
  </si>
  <si>
    <t>https://t.co/BOyjGJb1Rm https://pbs.twimg.com/media/F1zmLhfXwAIasKr.jpg</t>
  </si>
  <si>
    <t>https://t.co/tIRG8Y6jb1 https://pbs.twimg.com/media/FqFp1mZXoAElZ5W.jpg</t>
  </si>
  <si>
    <t>https://t.co/njbjcRyKlx https://pbs.twimg.com/media/FnyvaaqXoAAdMu0.jpg</t>
  </si>
  <si>
    <t>https://t.co/Ewu4TpWPnE https://pbs.twimg.com/media/FnttE1RXgAMmFD0.jpg</t>
  </si>
  <si>
    <t>https://t.co/1fLyLCb3R1 https://pbs.twimg.com/media/FnosRmWWAAA-y6y.jpg</t>
  </si>
  <si>
    <t>https://t.co/ZWHVCQdmyy https://pbs.twimg.com/media/FnjjlsNXgAI3See.jpg</t>
  </si>
  <si>
    <t>https://t.co/85dNwIXF3q https://pbs.twimg.com/media/FneL28HXoAAgfxY.jpg</t>
  </si>
  <si>
    <t>https://t.co/UIv9TJJnJr https://pbs.twimg.com/media/FnaXqnSXwAEFGJs.jpg</t>
  </si>
  <si>
    <t>https://t.co/I8Q3eSSyF7 https://pbs.twimg.com/media/FnT9XSEWQAArrAe.jpg</t>
  </si>
  <si>
    <t>https://t.co/uKY7kAZG7R https://pbs.twimg.com/media/FnO5CYyXkAAYwNM.jpg</t>
  </si>
  <si>
    <t>https://t.co/I4QlLOKS3S https://pbs.twimg.com/media/Fo14X6YWAAADhsg.jpg</t>
  </si>
  <si>
    <t>https://t.co/tWXk1uUNj0 https://pbs.twimg.com/media/FoxFF1YXwAAgzeC.jpg</t>
  </si>
  <si>
    <t>https://t.co/Jv6ZHPG6MJ https://pbs.twimg.com/media/FosD-DkWcAEkbc2.jpg</t>
  </si>
  <si>
    <t>https://t.co/fs6zAvEZ6p https://pbs.twimg.com/media/FooKglaWAAI81Q6.jpg</t>
  </si>
  <si>
    <t>https://t.co/HwgfA7va1U https://pbs.twimg.com/media/Foip5moWYAA__2t.jpg</t>
  </si>
  <si>
    <t>https://t.co/fNsokShYou https://pbs.twimg.com/media/FofMM9ZWcAMkod2.jpg</t>
  </si>
  <si>
    <t>https://t.co/RCXu1oHf0V https://pbs.twimg.com/media/FoZSEf3XEAMO_DD.jpg</t>
  </si>
  <si>
    <t>https://t.co/wxSCpZPRyK https://pbs.twimg.com/media/FpckpbNX0AIXAyO.jpg</t>
  </si>
  <si>
    <t>https://t.co/Rre6exwu2d https://pbs.twimg.com/media/FpVJAnDWIAAtwys.jpg</t>
  </si>
  <si>
    <t>https://t.co/7hOulIlpht https://pbs.twimg.com/media/FpQDDnrWIAM5Bfh.jpg</t>
  </si>
  <si>
    <t>https://t.co/dh5MtfTxFF https://pbs.twimg.com/media/FpK0PXJXEAUX8O2.jpg</t>
  </si>
  <si>
    <t>https://t.co/rQUEYBDBzc https://pbs.twimg.com/media/FpFnHjIWYAAVq0r.jpg</t>
  </si>
  <si>
    <t>https://t.co/QAvpl4wQvY https://pbs.twimg.com/media/FpAOFXSXwAAu6KT.jpg</t>
  </si>
  <si>
    <t>https://t.co/cJ0XuUyI8s https://pbs.twimg.com/media/Fo7HNt-XsAEz9gG.jpg</t>
  </si>
  <si>
    <t>https://t.co/4SCjlxs9Bg https://pbs.twimg.com/media/FpsdGXNWAAALLy4.jpg</t>
  </si>
  <si>
    <t>https://t.co/4oXPHz9Z3E https://pbs.twimg.com/media/FpmyMvmXsAEZwj2.jpg</t>
  </si>
  <si>
    <t>https://t.co/8TdYANrXHx https://pbs.twimg.com/media/FphRvYkXEAIp07r.jpg</t>
  </si>
  <si>
    <t>https://t.co/0LrPMhiuAC https://pbs.twimg.com/media/FnJcLNQX0AAgXDw.jpg</t>
  </si>
  <si>
    <t>https://t.co/cUCwn9wzEI https://pbs.twimg.com/media/FnFB9C4WAAAc85V.jpg</t>
  </si>
  <si>
    <t>https://t.co/qrkLlrZ5n7 https://pbs.twimg.com/media/Fm_wQTnXwAAs5bL.jpg</t>
  </si>
  <si>
    <t>https://t.co/nIvdWbQaC0 https://pbs.twimg.com/media/Fp91UnFXgAA25F2.jpg</t>
  </si>
  <si>
    <t>https://t.co/d2x76rq9Y1 https://pbs.twimg.com/media/Fp5fu1OXsAMBB5D.jpg</t>
  </si>
  <si>
    <t>https://t.co/bWm46369kl https://pbs.twimg.com/media/Fp2iA-hXoAEvokM.jpg</t>
  </si>
  <si>
    <t>https://t.co/tTOjSeZLI6 https://pbs.twimg.com/media/Fpxi99_X0AAdQIo.jpg</t>
  </si>
  <si>
    <t>https://t.co/HquFADqHVV https://pbs.twimg.com/media/FoT-DdfXgBMFXTE.jpg</t>
  </si>
  <si>
    <t>https://t.co/OLMC17wnoK https://pbs.twimg.com/media/FoOOVGtXoAIfUu_.jpg</t>
  </si>
  <si>
    <t>https://t.co/tEvo7op4pF https://pbs.twimg.com/media/FoIyySyXgAMq3RS.jpg</t>
  </si>
  <si>
    <t>https://t.co/x0qBOjnxk8 https://pbs.twimg.com/media/FoEorr6XEAAVmQp.jpg</t>
  </si>
  <si>
    <t>https://t.co/pTeJaZmAkg https://pbs.twimg.com/media/Fn_JBsLWAAIdQ2A.jpg</t>
  </si>
  <si>
    <t>https://t.co/0nCKpP3a0F https://pbs.twimg.com/media/Fn5VuDmXkA0akq1.jpg</t>
  </si>
  <si>
    <t>https://t.co/YFN88F7NUa https://pbs.twimg.com/media/FpMV9kpXgAAZZK4.jpg</t>
  </si>
  <si>
    <t>https://t.co/QCiVYxb5WJ https://pbs.twimg.com/ext_tw_video_thumb/1651250288882335744/pu/img/PYsTbxiZYAOMkVhU.jpg</t>
  </si>
  <si>
    <t>https://t.co/ItZ2wryHXS https://pbs.twimg.com/ext_tw_video_thumb/1651248385653866497/pu/img/0HjCB9wjsVH8ppim.jpg</t>
  </si>
  <si>
    <t>https://t.co/BcOIdPzmHs https://pbs.twimg.com/ext_tw_video_thumb/1651247104277245952/pu/img/5WOkY2Efizi_PVso.jpg</t>
  </si>
  <si>
    <t>https://t.co/IKjS6e2RfK https://pbs.twimg.com/ext_tw_video_thumb/1651245397782691846/pu/img/094wC7O2HdhmZk_v.jpg</t>
  </si>
  <si>
    <t>https://t.co/FAqsa7yolw https://pbs.twimg.com/ext_tw_video_thumb/1658208669467549713/pu/img/mv5t7y2dzFpj4IM3.jpg</t>
  </si>
  <si>
    <t>https://t.co/0Fg26Xc7jP https://pbs.twimg.com/media/F0cqkubXgAA-6qT.jpg</t>
  </si>
  <si>
    <t>https://t.co/IiUV5toxlE https://pbs.twimg.com/media/Fpkh2u-WIAYhV7b.png</t>
  </si>
  <si>
    <t>https://t.co/seUIai5ZpQ https://pbs.twimg.com/media/FsjEWuGXgAE86tY.jpg</t>
  </si>
  <si>
    <t>https://t.co/amElf3ZNGj https://pbs.twimg.com/media/Fp9w_OjXwAE8PNQ.jpg</t>
  </si>
  <si>
    <t>https://t.co/uNco7PNMGu https://pbs.twimg.com/media/Fp6gnNrX0AEx0SH.jpg</t>
  </si>
  <si>
    <t>https://t.co/pzgQmisFWT https://pbs.twimg.com/ext_tw_video_thumb/1650280518405980166/pu/img/3uL3VgG8bZGXiAX1.jpg</t>
  </si>
  <si>
    <t>https://t.co/ud72KAyfQb https://pbs.twimg.com/media/FqIEKY5X0AAalKb.jpg</t>
  </si>
  <si>
    <t>https://t.co/KfuzuGPpm2 https://t.co/KfuzuGPpm2 https://t.co/KfuzuGPpm2 https://pbs.twimg.com/media/FqC6h-FXwAAoawr.jpg https://pbs.twimg.com/media/FqC6h_KWYAIwrTQ.jpg https://pbs.twimg.com/media/FqC6h-CWcAAV-wF.jpg</t>
  </si>
  <si>
    <t>https://t.co/oM5FhoZvfA https://pbs.twimg.com/media/Ft6WRSDWcAEHXc7.jpg</t>
  </si>
  <si>
    <t>https://t.co/Pm7cHul6Y1 https://pbs.twimg.com/media/FvTZpgeX0AcAp1M.jpg</t>
  </si>
  <si>
    <t>https://t.co/6MccnPkuh6 https://pbs.twimg.com/media/FpK-0-nWIAASk6P.jpg</t>
  </si>
  <si>
    <t>https://t.co/F67LHfJWla https://pbs.twimg.com/ext_tw_video_thumb/1626896287839682561/pu/img/l6VSrFVkC4dLBdnT.jpg</t>
  </si>
  <si>
    <t>https://t.co/2ouC2UYiPJ https://pbs.twimg.com/media/FmXGTqdWQAAZjf8.jpg</t>
  </si>
  <si>
    <t>https://t.co/CLqWreXNZI https://pbs.twimg.com/media/Fx8ngcMacAAhxSO.jpg</t>
  </si>
  <si>
    <t>https://t.co/oTq4AvSJae https://pbs.twimg.com/media/Fq7lp5cXgAAods9.jpg</t>
  </si>
  <si>
    <t>https://t.co/BwfUwuZWzH https://pbs.twimg.com/ext_tw_video_thumb/1623101634975858689/pu/img/HWvz_tnRpUOnu-UJ.jpg</t>
  </si>
  <si>
    <t>https://t.co/7pDczbHhaj https://pbs.twimg.com/media/F1VbSnIakAEGEJQ.jpg</t>
  </si>
  <si>
    <t>https://t.co/FXA668uQtr https://pbs.twimg.com/ext_tw_video_thumb/1667915788047511553/pu/img/vFALCjQSjBfQ3Wbv.jpg</t>
  </si>
  <si>
    <t>https://t.co/4uTKWPI89m https://pbs.twimg.com/ext_tw_video_thumb/1667577444415545344/pu/img/eJbTTQN63Bh2otKW.jpg</t>
  </si>
  <si>
    <t>https://t.co/oW103qTBsq https://pbs.twimg.com/ext_tw_video_thumb/1667560375766622209/pu/img/mAuT4FlfCpQMTHV-.jpg</t>
  </si>
  <si>
    <t>https://t.co/0O6NGSOVzO https://pbs.twimg.com/ext_tw_video_thumb/1663377566969806848/pu/img/sM0xv63iTZdxLibe.jpg</t>
  </si>
  <si>
    <t>https://t.co/l1kRCUHgnI https://pbs.twimg.com/ext_tw_video_thumb/1664289249447890945/pu/img/7T8mnx56vmSR-eJO.jpg</t>
  </si>
  <si>
    <t>https://t.co/kfBMkOjgk4 https://pbs.twimg.com/ext_tw_video_thumb/1672663342035369985/pu/img/-DBadzHCS-6lv6by.jpg</t>
  </si>
  <si>
    <t>https://t.co/8sfhKNCLsf https://pbs.twimg.com/ext_tw_video_thumb/1672661658186006531/pu/img/l4bo3pdUPmKpMmZd.jpg</t>
  </si>
  <si>
    <t>https://t.co/0oYDlMGcW3 https://pbs.twimg.com/ext_tw_video_thumb/1665068318011662339/pu/img/sPnPYz9IzulGSJFJ.jpg</t>
  </si>
  <si>
    <t>https://t.co/RjwqFf1rsH https://pbs.twimg.com/ext_tw_video_thumb/1664618499577200641/pu/img/QoRbQx_uSvzpqdPQ.jpg</t>
  </si>
  <si>
    <t>https://t.co/HNl3aq7Mli https://pbs.twimg.com/ext_tw_video_thumb/1676597586679980039/pu/img/H5oVTuBtJDfMK1UE.jpg</t>
  </si>
  <si>
    <t>https://t.co/lCqP6trnDL https://pbs.twimg.com/ext_tw_video_thumb/1676596122465320960/pu/img/rnv68M_0tqmnTyxV.jpg</t>
  </si>
  <si>
    <t>https://t.co/j7It5Qqo3C https://pbs.twimg.com/ext_tw_video_thumb/1680304534843793411/pu/img/HZgIf5ZTBBJaxDt2.jpg</t>
  </si>
  <si>
    <t>https://t.co/8qvkya4HGM https://pbs.twimg.com/ext_tw_video_thumb/1680303250459820033/pu/img/7YGAFuPcjJLwWKPL.jpg</t>
  </si>
  <si>
    <t>https://t.co/ElWPLENr1r https://pbs.twimg.com/ext_tw_video_thumb/1680300038793093120/pu/img/-AQHBN9iito7pUXW.jpg</t>
  </si>
  <si>
    <t>https://t.co/OVKVi55Z7k https://pbs.twimg.com/ext_tw_video_thumb/1678063790389092360/pu/img/U9d3PIe3DXwXr30x.jpg</t>
  </si>
  <si>
    <t>https://t.co/O8VHaeBNvu https://pbs.twimg.com/media/F0ia0T1WYAAC3rx.jpg</t>
  </si>
  <si>
    <t>https://t.co/l5TNGMnXNh https://pbs.twimg.com/ext_tw_video_thumb/1677728489623920644/pu/img/wRc1ies5Wf5-JzEA.jpg</t>
  </si>
  <si>
    <t>https://t.co/7jUOAbx2Kr https://pbs.twimg.com/ext_tw_video_thumb/1677082085557780481/pu/img/Ekq0BEXprvRgqbbt.jpg</t>
  </si>
  <si>
    <t>https://t.co/FMwQKxxvjr https://pbs.twimg.com/media/Fx5HfC-XwAIv2ky.jpg</t>
  </si>
  <si>
    <t>https://t.co/HPCO5aW6Yh https://pbs.twimg.com/media/Fx5HTdgWYAc0dmz.jpg</t>
  </si>
  <si>
    <t>https://t.co/jo5q2mXX2d https://t.co/jo5q2mXX2d https://t.co/jo5q2mXX2d https://t.co/jo5q2mXX2d https://pbs.twimg.com/media/F10u3dpXoAEjJ1i.jpg https://pbs.twimg.com/media/F10u366WwAEB2M9.jpg https://pbs.twimg.com/media/F10u4T1WwAYG34B.jpg https://pbs.twimg.com/media/F10u4xkXwAA_eQ5.jpg</t>
  </si>
  <si>
    <t>https://t.co/UrxektqOrI https://t.co/UrxektqOrI https://t.co/UrxektqOrI https://t.co/UrxektqOrI https://pbs.twimg.com/media/F10us6aX0AE87qL.jpg https://pbs.twimg.com/media/F10utS6XwAIimkZ.jpg https://pbs.twimg.com/media/F10uttmXgAMdHwj.jpg https://pbs.twimg.com/media/F10uuHoWcAE0ziz.jpg</t>
  </si>
  <si>
    <t>https://t.co/2diSQjLE0c https://pbs.twimg.com/ext_tw_video_thumb/1679225057795616768/pu/img/CtkOtT-VuVS_psaq.jpg</t>
  </si>
  <si>
    <t>https://t.co/Ga3KTiaQQG https://pbs.twimg.com/media/F0xC4mFWIAA-H-e.jpg</t>
  </si>
  <si>
    <t>https://t.co/UftQ4XSmhh https://pbs.twimg.com/ext_tw_video_thumb/1678578244814090240/pu/img/U62aKzXBH3Vr3JXh.jpg</t>
  </si>
  <si>
    <t>https://t.co/m8HGth7eNG https://pbs.twimg.com/ext_tw_video_thumb/1675530311688507394/pu/img/6SOxgxvkIdyV1bKz.jpg</t>
  </si>
  <si>
    <t>https://t.co/6kU61w4juT https://pbs.twimg.com/ext_tw_video_thumb/1675333026815922176/pu/img/8VrkU75X0TX7H3hw.jpg</t>
  </si>
  <si>
    <t>https://t.co/6ZOpOs7QIC https://pbs.twimg.com/ext_tw_video_thumb/1675331317548961793/pu/img/wYRxrtj7_1ACIpCN.jpg</t>
  </si>
  <si>
    <t>https://t.co/MAgKJwYhWY https://pbs.twimg.com/media/Fz_3LovWwAE_8A4.jpg</t>
  </si>
  <si>
    <t>https://t.co/wL8TrMK8IL https://pbs.twimg.com/ext_tw_video_thumb/1674986720280944640/pu/img/3VGPm9inUQliHFFd.jpg</t>
  </si>
  <si>
    <t>https://t.co/1D9xtGstLB https://pbs.twimg.com/ext_tw_video_thumb/1674985991214448640/pu/img/KkdAwOu7UqtyLjki.jpg</t>
  </si>
  <si>
    <t>https://t.co/FLB4c4ZgvZ https://pbs.twimg.com/ext_tw_video_thumb/1674985991856070662/pu/img/Y1GFO1txF70ynGMC.jpg</t>
  </si>
  <si>
    <t>https://t.co/bc5tnDRoLo https://pbs.twimg.com/ext_tw_video_thumb/1674982313862524928/pu/img/19TTGtpL2o3wRlbN.jpg</t>
  </si>
  <si>
    <t>https://t.co/raBzdxQ0N5 https://pbs.twimg.com/ext_tw_video_thumb/1695804382678261760/pu/img/XVroW313PyN4vUh0.jpg</t>
  </si>
  <si>
    <t>https://t.co/aUWhCt0h0I https://pbs.twimg.com/media/Fx5HIIGXoAAXySb.jpg</t>
  </si>
  <si>
    <t>https://t.co/hk3D0vGSH3 https://pbs.twimg.com/media/Fx5HCcrWcAIJUYb.jpg</t>
  </si>
  <si>
    <t>https://t.co/I4ixFxzSuX https://pbs.twimg.com/media/Fx5G5BFX0AEW_ge.jpg</t>
  </si>
  <si>
    <t>https://t.co/e8PNssgkeg https://pbs.twimg.com/ext_tw_video_thumb/1665734102589251587/pu/img/bePnJ6QBr_O6PK9f.jpg</t>
  </si>
  <si>
    <t>https://t.co/dC0G9jDlOi https://pbs.twimg.com/media/F4MZHWqXYAAWLL7.png</t>
  </si>
  <si>
    <t>https://t.co/ohKPTTdSsU https://pbs.twimg.com/ext_tw_video_thumb/1686867151192285184/pu/img/TNZIjbn9NAF0sNZ9.jpg</t>
  </si>
  <si>
    <t>https://t.co/pc1T9u0QjX https://pbs.twimg.com/media/F52BALSWgAAJ6g1.jpg</t>
  </si>
  <si>
    <t>https://t.co/lkwXvRFRUx https://pbs.twimg.com/media/F49WJY-WIAApBAR.jpg</t>
  </si>
  <si>
    <t>https://t.co/OBZfw1lIw3 https://pbs.twimg.com/media/F6ATLA7XUAAPNB8.jpg</t>
  </si>
  <si>
    <t>https://t.co/Vf55ycuEjV https://pbs.twimg.com/media/F6FcaKFWQAAgAM2.jpg</t>
  </si>
  <si>
    <t>https://t.co/RESjSPd9JR https://pbs.twimg.com/media/F6U5TX2XwAAstbi.jpg</t>
  </si>
  <si>
    <t>https://t.co/bIMkcDGUeA https://pbs.twimg.com/media/F5hZVFpWAAA3zK1.jpg</t>
  </si>
  <si>
    <t>https://t.co/nNqtYDwEmO https://pbs.twimg.com/media/F6pfqDNWAAA98ju.jpg</t>
  </si>
  <si>
    <t>https://t.co/tkaYlTrKE7 https://pbs.twimg.com/media/F6kWMRsWwAAG5Eo.jpg</t>
  </si>
  <si>
    <t>https://t.co/ePv1pMRm8q https://pbs.twimg.com/media/FnH_TnsXkAANPnG.jpg</t>
  </si>
  <si>
    <t>https://t.co/N6Ul80S8HR https://pbs.twimg.com/media/FrmxjtqWYAAqAL4.jpg</t>
  </si>
  <si>
    <t>https://t.co/vJQuq8jsdE https://pbs.twimg.com/media/Fq_UN7PXgAQPdZO.jpg</t>
  </si>
  <si>
    <t>https://t.co/JtoJ1TGcYG https://pbs.twimg.com/media/FrmsjW9XsAMD1fF.jpg</t>
  </si>
  <si>
    <t>https://t.co/Ov6xXlECRb https://pbs.twimg.com/ext_tw_video_thumb/1623101720896176129/pu/img/6dC7oE7lRmOi39uI.jpg</t>
  </si>
  <si>
    <t>https://t.co/8vYGBpD90m https://pbs.twimg.com/media/FmTSU0KXoAUeu_I.jpg</t>
  </si>
  <si>
    <t>https://t.co/wGpoAFFw7x https://pbs.twimg.com/media/FvPEP8ZXwAEjxeR.jpg</t>
  </si>
  <si>
    <t>https://t.co/S1l4Z1S1l3 https://pbs.twimg.com/media/FvNd_LAWIAAsXUj.jpg</t>
  </si>
  <si>
    <t>https://t.co/lc6hCoijLE https://pbs.twimg.com/media/FvJzqiuXwAY1dpx.jpg</t>
  </si>
  <si>
    <t>https://t.co/qabji0Tbio https://pbs.twimg.com/media/Fr2Fy5MWIA0Xmm6.jpg</t>
  </si>
  <si>
    <t>https://t.co/8JYCHkDHfO https://pbs.twimg.com/media/Fr1GQjgWAAEVDwu.jpg</t>
  </si>
  <si>
    <t>https://t.co/A7yeQ3BvlM https://pbs.twimg.com/media/FpbN7_lWAA8UGEk.jpg</t>
  </si>
  <si>
    <t>https://t.co/I5t0pIr5C0 https://pbs.twimg.com/media/FpL34L7WACE2NIh.jpg</t>
  </si>
  <si>
    <t>https://t.co/N5NGqbmE0a https://pbs.twimg.com/media/FpLF8cUWcAAiiYL.jpg</t>
  </si>
  <si>
    <t>https://t.co/xRGSIwk5gY https://pbs.twimg.com/media/FmNXqJJWIAAgQ-z.jpg</t>
  </si>
  <si>
    <t>https://t.co/43bPiFpmvd https://pbs.twimg.com/media/FmNXHDVXECIqfr8.jpg</t>
  </si>
  <si>
    <t>https://t.co/Pjq7mx8d6m https://pbs.twimg.com/media/FmNVE8uXEB4aZwA.jpg</t>
  </si>
  <si>
    <t>https://t.co/qwWi92d0aj https://pbs.twimg.com/media/FmMufDRWAAQHIrd.jpg</t>
  </si>
  <si>
    <t>https://t.co/nX5aK1byFc https://pbs.twimg.com/media/FmMnBIgXEAIIyjF.jpg</t>
  </si>
  <si>
    <t>https://t.co/UFL473neBB https://pbs.twimg.com/media/FmMhJ3SXEAA2VUY.jpg</t>
  </si>
  <si>
    <t>https://t.co/Yz6rcQer1d https://pbs.twimg.com/media/FmI43rMWIBMq2Tn.jpg</t>
  </si>
  <si>
    <t>https://t.co/TGJ4QgfZdP https://pbs.twimg.com/media/FmHmqtXXEAAg9i5.jpg</t>
  </si>
  <si>
    <t>https://t.co/ikqhRJqbLi https://pbs.twimg.com/media/FmHbbVeWQAIfkG2.jpg</t>
  </si>
  <si>
    <t>https://t.co/KIBOzpHrWL https://pbs.twimg.com/media/FmCh8URWQAALn-L.jpg</t>
  </si>
  <si>
    <t>https://t.co/8PNYs80lBo https://pbs.twimg.com/media/FukKCulaAAUSvXt.jpg</t>
  </si>
  <si>
    <t>https://t.co/juJ4Gxk0Cv https://pbs.twimg.com/media/FufRiivWwAUVHq9.jpg</t>
  </si>
  <si>
    <t>https://t.co/zynRq5gpS0 https://pbs.twimg.com/media/FuP3SOmWIAYPFxl.jpg</t>
  </si>
  <si>
    <t>https://t.co/lQ5xrxdgpc https://pbs.twimg.com/media/Fq3LLg7WAAA35mC.jpg</t>
  </si>
  <si>
    <t>https://t.co/TclDC53ky4 https://pbs.twimg.com/media/Fqzzy5pXsAINmWh.jpg</t>
  </si>
  <si>
    <t>https://t.co/GIsj7K48t1 https://pbs.twimg.com/media/FqTXxhjXwAEHxTw.jpg</t>
  </si>
  <si>
    <t>https://t.co/l8RUsK821t https://pbs.twimg.com/media/FqOHA5jWIAIEhRE.jpg</t>
  </si>
  <si>
    <t>https://t.co/TlgMmii9WH https://pbs.twimg.com/media/Fwvv_aWWAAAkhI8.jpg</t>
  </si>
  <si>
    <t>https://t.co/dpVxjxs0iZ https://pbs.twimg.com/media/FwgyT_gWwB86jjo.jpg</t>
  </si>
  <si>
    <t>https://t.co/SlKQlcjAWa https://pbs.twimg.com/media/Fwfo167WIAUmK7v.jpg</t>
  </si>
  <si>
    <t>https://t.co/aquPSqwKYV https://pbs.twimg.com/media/Fwbc1-0XoAg1YDy.jpg</t>
  </si>
  <si>
    <t>https://t.co/86g5JZaRk9 https://pbs.twimg.com/media/FsetYmbWAAE0xqB.jpg</t>
  </si>
  <si>
    <t>https://t.co/OibOy0mu7s https://pbs.twimg.com/media/Fsei60qWwAARTam.jpg</t>
  </si>
  <si>
    <t>https://t.co/uXqtsT3jyP https://pbs.twimg.com/media/FsP2O6eWwCIVQyz.jpg</t>
  </si>
  <si>
    <t>https://t.co/rh2uWewDmd https://pbs.twimg.com/media/FnzzcdPXkAEK1_q.jpg</t>
  </si>
  <si>
    <t>https://t.co/qquqkC3Z0T https://pbs.twimg.com/media/FnkNF-iXwAAX7lp.jpg</t>
  </si>
  <si>
    <t>https://t.co/EyY69Bt7Zg https://pbs.twimg.com/media/Fnf6znnXwAsNazQ.jpg</t>
  </si>
  <si>
    <t>https://t.co/PpvZoxDC0Q https://pbs.twimg.com/media/Fne7FywX0AAwVk2.jpg</t>
  </si>
  <si>
    <t>https://t.co/1m0UhJUGsA https://pbs.twimg.com/media/FnUpPTQWIAMGWHD.jpg</t>
  </si>
  <si>
    <t>https://t.co/2t63FajBqR https://pbs.twimg.com/media/FnPxOplWAAEdSPQ.jpg</t>
  </si>
  <si>
    <t>https://t.co/cv728GmSdX https://pbs.twimg.com/media/FwVdMieWIAE5eRP.jpg</t>
  </si>
  <si>
    <t>https://t.co/ji4wuTX1hs https://pbs.twimg.com/media/FwQMWRiWIAAm6Ho.jpg</t>
  </si>
  <si>
    <t>https://t.co/ZWUuhQBsdJ https://pbs.twimg.com/media/FwLJ_wxWAAQ4F98.jpg</t>
  </si>
  <si>
    <t>https://t.co/oL6MuWbJ2G https://pbs.twimg.com/media/Fth6_b-XwAEhdbx.jpg</t>
  </si>
  <si>
    <t>https://t.co/6JHutyPtSi https://pbs.twimg.com/media/FqAHwzKWAAEyuKm.jpg</t>
  </si>
  <si>
    <t>https://t.co/fji9ZOd5oE https://pbs.twimg.com/media/Fp-x3A9WAAATG6-.jpg</t>
  </si>
  <si>
    <t>https://t.co/m52gQin4pI https://pbs.twimg.com/media/FywcW5IXgAARWAU.jpg</t>
  </si>
  <si>
    <t>https://t.co/ZzmMaGz8no https://pbs.twimg.com/media/Fw-4Ob_aUA0k2W3.jpg</t>
  </si>
  <si>
    <t>https://t.co/jwJnJ6Bn1O https://pbs.twimg.com/media/Fw54FHGX0AAk-Ai.jpg</t>
  </si>
  <si>
    <t>https://t.co/Ro21ubfNCL https://pbs.twimg.com/media/Fw16DB0WIAwDj3F.jpg</t>
  </si>
  <si>
    <t>https://t.co/jZcXiP6ZuE https://pbs.twimg.com/media/FtXFFOcXwAArEJB.jpg</t>
  </si>
  <si>
    <t>https://t.co/tpW4OjeQGH https://pbs.twimg.com/media/FtMn73MX0AgLffZ.jpg</t>
  </si>
  <si>
    <t>https://t.co/n2cVeoOleE https://pbs.twimg.com/media/FtIMGWzWAAgH8vJ.jpg</t>
  </si>
  <si>
    <t>https://t.co/UCsfg0AFCD https://pbs.twimg.com/media/FtDuKlNXsAArlHB.jpg</t>
  </si>
  <si>
    <t>https://t.co/6FpbwQkJ6D https://pbs.twimg.com/media/FtCZj-EacAEshCt.jpg</t>
  </si>
  <si>
    <t>https://t.co/WbhpXpCdSV https://pbs.twimg.com/media/Fs4SAuGWAAEZezT.jpg</t>
  </si>
  <si>
    <t>https://t.co/AmrjXnqi1C https://pbs.twimg.com/media/Fpk3a1lX0AAthOo.jpg</t>
  </si>
  <si>
    <t>https://t.co/VCZhTsjBDd https://pbs.twimg.com/media/FnLLg-oWAAQ16zu.jpg</t>
  </si>
  <si>
    <t>https://t.co/faSGKfCjAo https://pbs.twimg.com/media/FnKSL7SakAA2FSh.jpg</t>
  </si>
  <si>
    <t>https://t.co/Mei0bYZZe9 https://pbs.twimg.com/media/FnAstUvXgAEykht.jpg</t>
  </si>
  <si>
    <t>https://t.co/wKvdfJY3vO https://pbs.twimg.com/media/Fx3smO8WAAA-cPl.jpg</t>
  </si>
  <si>
    <t>https://t.co/47ivb6PNsX https://pbs.twimg.com/media/FuLObBKWYAIwiZX.jpg</t>
  </si>
  <si>
    <t>https://t.co/z5QqEC9Sqh https://pbs.twimg.com/media/FuFOJjeWYAEjgHe.jpg</t>
  </si>
  <si>
    <t>https://t.co/nWB2DCXcqJ https://pbs.twimg.com/media/FuAKkFxWwAg8OQt.jpg</t>
  </si>
  <si>
    <t>https://t.co/cw2OTdNgHG https://pbs.twimg.com/media/Ft8B7bjXgAAix_6.jpg</t>
  </si>
  <si>
    <t>https://t.co/uTjj8eXPoL https://pbs.twimg.com/media/FrHcPAPXoBQs99J.jpg</t>
  </si>
  <si>
    <t>https://t.co/X8lWKszAR8 https://pbs.twimg.com/media/FrG1bXzaEAAiYIo.jpg</t>
  </si>
  <si>
    <t>https://t.co/y6P83yBtOZ https://pbs.twimg.com/media/Fq89lExWYAc-d1B.jpg</t>
  </si>
  <si>
    <t>https://t.co/0Q2BUX8Xwk https://pbs.twimg.com/media/Fq86OOEWIAE3-Ch.jpg</t>
  </si>
  <si>
    <t>https://t.co/yLefiINeM1 https://pbs.twimg.com/media/Fq8sgC_XsAI6nsQ.jpg</t>
  </si>
  <si>
    <t>https://t.co/SJutZ8s8To https://pbs.twimg.com/media/FoiBqFaWAAAFaI1.jpg</t>
  </si>
  <si>
    <t>https://t.co/6o5FbeMO1I https://pbs.twimg.com/media/FodALxnXEAAzE3T.jpg</t>
  </si>
  <si>
    <t>https://t.co/f4jBdqUEOy https://pbs.twimg.com/media/FzJ1X23X0AAKZQ6.jpg</t>
  </si>
  <si>
    <t>https://t.co/5BzaFESRjV https://pbs.twimg.com/media/FxdsIG7WwAEsj9S.jpg</t>
  </si>
  <si>
    <t>https://t.co/KdMo8bSgQV https://pbs.twimg.com/media/FvISsv2WcAEZZuV.jpg</t>
  </si>
  <si>
    <t>https://t.co/eJh4veYVKO https://pbs.twimg.com/media/FrwFGy1XwAAzYO-.jpg</t>
  </si>
  <si>
    <t>https://t.co/BJAKiRszsU https://pbs.twimg.com/media/Fo3m2rjXECkogS9.jpg</t>
  </si>
  <si>
    <t>https://t.co/6n9ZNIboyL https://pbs.twimg.com/media/Fo2911kX0AAPtih.jpg</t>
  </si>
  <si>
    <t>https://t.co/fqL191eOgr https://pbs.twimg.com/media/FotS9kzWAAYwLsO.jpg</t>
  </si>
  <si>
    <t>https://t.co/hXjEOLuyEj https://pbs.twimg.com/media/FooQk-kXEAQ_v9V.jpg</t>
  </si>
  <si>
    <t>https://t.co/lNv19SCEUV https://pbs.twimg.com/media/Fom9_njX0AMaVOw.jpg</t>
  </si>
  <si>
    <t>https://t.co/yicasC7rGg https://pbs.twimg.com/media/Flt0GMAWQAU6Zti.jpg</t>
  </si>
  <si>
    <t>https://t.co/fhXrsWUjj0 https://pbs.twimg.com/media/FlpZ83eXoAMbVot.jpg</t>
  </si>
  <si>
    <t>https://t.co/I70VotrxGa https://pbs.twimg.com/media/FlocHH0X0AEP1ah.jpg</t>
  </si>
  <si>
    <t>https://t.co/SQRYOZCmjZ https://pbs.twimg.com/media/FlkxHzZXgAUt3fa.jpg</t>
  </si>
  <si>
    <t>https://t.co/dvnwOR0ba1 https://pbs.twimg.com/media/Flj-5-MXkAA_K0p.jpg</t>
  </si>
  <si>
    <t>https://t.co/CoFaqQZj4A https://pbs.twimg.com/media/FlfNA6IXgAMF388.jpg</t>
  </si>
  <si>
    <t>https://t.co/sJu8GJRT5K https://pbs.twimg.com/media/FlefBxkX0AIH80X.jpg</t>
  </si>
  <si>
    <t>https://t.co/V2myw3b4f8 https://pbs.twimg.com/media/FzO9Jc4aMAAo66P.jpg</t>
  </si>
  <si>
    <t>https://t.co/GGfa8e7lUr https://pbs.twimg.com/media/FxTXYU7WYAEP0Gc.jpg</t>
  </si>
  <si>
    <t>https://t.co/TYEmqyggVX https://pbs.twimg.com/media/FuqYDCOWAAwuEnJ.jpg</t>
  </si>
  <si>
    <t>https://t.co/3KBWgRrenW https://pbs.twimg.com/media/Ft7IDbnXoAEdS--.jpg</t>
  </si>
  <si>
    <t>https://t.co/odOKNVknEm https://pbs.twimg.com/media/FtsPDGRWYAAfrvF.jpg</t>
  </si>
  <si>
    <t>https://t.co/XYesKfhtYb https://pbs.twimg.com/media/FrbP_8wWIAIh_DH.jpg</t>
  </si>
  <si>
    <t>https://t.co/thFQGmjRux https://pbs.twimg.com/media/FrbMJzzWAAEeJjT.jpg</t>
  </si>
  <si>
    <t>https://t.co/TqzJNmKaNI https://pbs.twimg.com/media/FrWmiPTXsAEqOZK.jpg</t>
  </si>
  <si>
    <t>https://t.co/6EftqUtMSv https://pbs.twimg.com/media/FrWgJesakAUNTQi.jpg</t>
  </si>
  <si>
    <t>https://t.co/SkzBIF1bVf https://pbs.twimg.com/media/FpGKje2aYAU4WIY.jpg</t>
  </si>
  <si>
    <t>https://t.co/gUYtkO4Ozb https://pbs.twimg.com/media/FmW7UG-X0AAd7GX.jpg</t>
  </si>
  <si>
    <t>https://t.co/EdEsRZrd4a https://pbs.twimg.com/media/FmR3dGRXEAAI3aS.jpg</t>
  </si>
  <si>
    <t>https://t.co/urNLCnLOJL https://pbs.twimg.com/media/F5dDGt5XAAEO9X3.jpg</t>
  </si>
  <si>
    <t>https://t.co/ELzU7VfQIc https://pbs.twimg.com/media/F5nWUiaXMAAj7v0.jpg</t>
  </si>
  <si>
    <t>https://t.co/jTgggUsR7T https://pbs.twimg.com/media/F5Xm-BEWkAEBPIX.jpg</t>
  </si>
  <si>
    <t>https://t.co/tGT6fFD1S6 https://pbs.twimg.com/media/F6f_w0qWMAAyKlz.jpg</t>
  </si>
  <si>
    <t>https://t.co/cCuQJtxTpD https://pbs.twimg.com/media/F57qGhsXwAA53c1.jpg</t>
  </si>
  <si>
    <t>https://t.co/bEtDIiWAM1 https://pbs.twimg.com/media/F5h6LXWW4AABa0J.jpg</t>
  </si>
  <si>
    <t>https://t.co/sTajzewG8T https://pbs.twimg.com/media/F6a2OP6W0AAX05N.jpg</t>
  </si>
  <si>
    <t>https://t.co/fnuNviHeJC https://pbs.twimg.com/media/F6QQdfAW8AADoJE.jpg</t>
  </si>
  <si>
    <t>https://t.co/OM5tkcixeH https://pbs.twimg.com/media/F6GP0OiXUAAj-9A.jpg</t>
  </si>
  <si>
    <t>https://t.co/VOvI9Csv8H https://pbs.twimg.com/media/F5xpfV6W8AAkcJO.jpg</t>
  </si>
  <si>
    <t>https://t.co/TDJ33NG6iB https://pbs.twimg.com/ext_tw_video_thumb/1670155838877577219/pu/img/PEQARqHbuQ4V0ddt.jpg</t>
  </si>
  <si>
    <t>https://t.co/9iq7ZofkJ7 https://pbs.twimg.com/media/FzEZSPGX0AA3SCn.jpg</t>
  </si>
  <si>
    <t>https://t.co/eulCkuPXQY https://pbs.twimg.com/media/FzuWKvpaIAAYf_G.jpg</t>
  </si>
  <si>
    <t>https://t.co/c6Ab9sJflC https://pbs.twimg.com/media/Fr_cUFNXsAgBime.jpg</t>
  </si>
  <si>
    <t>https://t.co/YqS7xf0quF https://pbs.twimg.com/media/Fr-5PNRWAAEBYND.jpg</t>
  </si>
  <si>
    <t>https://t.co/ct06uaHE6Y https://pbs.twimg.com/media/Fmh7M2kXEAExI6x.jpg</t>
  </si>
  <si>
    <t>https://t.co/I9HghP0tTt https://pbs.twimg.com/media/F5RxfAdWQAA9qXU.jpg</t>
  </si>
  <si>
    <t>https://t.co/fYHDx9gOgv https://pbs.twimg.com/media/F5NDXOVWEAA0Px2.jpg</t>
  </si>
  <si>
    <t>https://t.co/BNM8xFxo1J https://pbs.twimg.com/media/F6VAeACWMAA5qPz.jpg</t>
  </si>
  <si>
    <t>https://t.co/T6QrI7HEht https://pbs.twimg.com/ext_tw_video_thumb/1699173165639823360/pu/img/UUlP5Mksh-siW5YD.jpg</t>
  </si>
  <si>
    <t>https://t.co/VxVth0yhj6 https://pbs.twimg.com/media/F65DmSKXoAE6puJ.jpg</t>
  </si>
  <si>
    <t>https://t.co/84whTvknC6 https://pbs.twimg.com/ext_tw_video_thumb/1622425098635415559/pu/img/v0NR_ktzmZLr4nsz.jpg</t>
  </si>
  <si>
    <t>https://t.co/xDYsjqJ3aq https://pbs.twimg.com/ext_tw_video_thumb/1704096299417538561/pu/img/KL_DnOyxVgdkI7bm.jpg</t>
  </si>
  <si>
    <t>https://t.co/BMAbD11ofn https://pbs.twimg.com/media/Ft7Y5fsX0AA8wzJ.jpg</t>
  </si>
  <si>
    <t>https://t.co/tzUECGaEcK https://pbs.twimg.com/tweet_video_thumb/Fn_axsvXgAgiges.jpg</t>
  </si>
  <si>
    <t>https://t.co/obDQKAP0hW https://t.co/obDQKAP0hW https://t.co/obDQKAP0hW https://pbs.twimg.com/media/FpeghT7XoAgobSC.jpg https://pbs.twimg.com/media/FpeghuFWIAAcPmg.png https://pbs.twimg.com/media/FpegiFZXsAIIYPA.png</t>
  </si>
  <si>
    <t>https://t.co/w9lXULvzij https://t.co/w9lXULvzij https://t.co/w9lXULvzij https://pbs.twimg.com/media/FmBEJmZXEAErqef.jpg https://pbs.twimg.com/media/FmBEKDnWQAE4flW.png https://pbs.twimg.com/media/FmBEKaDXwAE-hG8.png</t>
  </si>
  <si>
    <t>https://t.co/JmCXfzUC90 https://t.co/JmCXfzUC90 https://t.co/JmCXfzUC90 https://pbs.twimg.com/media/Fs5i2LuWAAAgf4t.jpg https://pbs.twimg.com/media/Fs5i2oFXwAAVkdv.png https://pbs.twimg.com/media/Fs5i3EDX0AAhnp8.png</t>
  </si>
  <si>
    <t>https://t.co/m24hmNAjrG https://pbs.twimg.com/tweet_video_thumb/FrdFzS3XsAADAeE.jpg</t>
  </si>
  <si>
    <t>https://t.co/3CXRZzkKDM https://pbs.twimg.com/tweet_video_thumb/Fu6Uas2WIAEMLgB.jpg</t>
  </si>
  <si>
    <t>https://t.co/fP2lHBqaYm https://t.co/fP2lHBqaYm https://t.co/fP2lHBqaYm https://pbs.twimg.com/media/FzyXwjYXwAAGhKI.jpg https://pbs.twimg.com/media/FzyXw-cWIAIVXP6.png https://pbs.twimg.com/media/FzyXxXEXwAAxA2I.png</t>
  </si>
  <si>
    <t>https://t.co/rReC1Xukxd https://pbs.twimg.com/tweet_video_thumb/F5Snss4XkAEf87T.jpg</t>
  </si>
  <si>
    <t>https://t.co/71u9ruemI1 https://pbs.twimg.com/tweet_video_thumb/F13XpJnXwAI4X1x.jpg</t>
  </si>
  <si>
    <t>https://t.co/sFCTteO1mI https://t.co/sFCTteO1mI https://t.co/sFCTteO1mI https://pbs.twimg.com/media/FwWyZUDXwAMdZi5.jpg https://pbs.twimg.com/media/FwWyZyGWYAUdIwA.png https://pbs.twimg.com/media/FwWyaObX0AIbyFa.png</t>
  </si>
  <si>
    <t>https://t.co/BqyhrnjLlO https://t.co/BqyhrnjLlO https://t.co/BqyhrnjLlO https://pbs.twimg.com/media/F6sXBbmXgAA5jOw.jpg https://pbs.twimg.com/media/F6sXB4NWsAAjaBk.png https://pbs.twimg.com/media/F6sXCTlWcAANa4v.png</t>
  </si>
  <si>
    <t>https://t.co/wVCFLpziCM https://t.co/wVCFLpziCM https://t.co/wVCFLpziCM https://pbs.twimg.com/media/F3MwLi-WMAI1-cy.jpg https://pbs.twimg.com/media/F3MwMA_XEAAsx3x.png https://pbs.twimg.com/media/F3MwMZkXIAAo9ni.png</t>
  </si>
  <si>
    <t>https://t.co/AFYs2VdAX2 https://pbs.twimg.com/tweet_video_thumb/FyZ7T_wWcAY_187.jpg</t>
  </si>
  <si>
    <t>https://t.co/e7ThBKmmK1 https://pbs.twimg.com/ext_tw_video_thumb/1701252757917749248/pu/img/q30cABcHHXmoqK-2.jpg</t>
  </si>
  <si>
    <t>https://t.co/Jj1PqLZtZF https://pbs.twimg.com/media/F34gj4GWoAE5L_I.jpg</t>
  </si>
  <si>
    <t>https://t.co/CY00fDtJ09 https://pbs.twimg.com/ext_tw_video_thumb/1627768506723848192/pu/img/ptVVwdq4iPicsj1n.jpg</t>
  </si>
  <si>
    <t>https://t.co/COROPswlWx https://pbs.twimg.com/ext_tw_video_thumb/1627656275516432385/pu/img/D4DweBbufTcbAQqr.jpg</t>
  </si>
  <si>
    <t>https://t.co/tRYaLWn0uY https://pbs.twimg.com/ext_tw_video_thumb/1627406123048247297/pu/img/YyCyHqukoNMTXjlm.jpg</t>
  </si>
  <si>
    <t>https://t.co/wOiqsav0Pr https://pbs.twimg.com/ext_tw_video_thumb/1627293889529802754/pu/img/ZtkNdNGi6-znd7YX.jpg</t>
  </si>
  <si>
    <t>https://t.co/AkT2oeCxE7 https://pbs.twimg.com/ext_tw_video_thumb/1627043733500993536/pu/img/v2dEk9BFJfRWTudy.jpg</t>
  </si>
  <si>
    <t>https://t.co/ZOZbwzLcNz https://pbs.twimg.com/ext_tw_video_thumb/1626931486527037441/pu/img/HctQSur_pX4LTLoV.jpg</t>
  </si>
  <si>
    <t>https://t.co/bZgg8HhogL https://t.co/bZgg8HhogL https://t.co/bZgg8HhogL https://t.co/bZgg8HhogL https://pbs.twimg.com/media/FrENrfiXoAEww5D.jpg https://pbs.twimg.com/media/FrENrqcX0AMqnZV.jpg https://pbs.twimg.com/media/FrENfOiX0AEEqzU.jpg https://pbs.twimg.com/media/FrENfOvWIAAY7bv.jpg</t>
  </si>
  <si>
    <t>https://t.co/NtnU3fCbUN https://t.co/NtnU3fCbUN https://t.co/NtnU3fCbUN https://t.co/NtnU3fCbUN https://pbs.twimg.com/media/FpB45GRWAAojMja.jpg https://pbs.twimg.com/media/FpB47B3WABUf4vg.jpg https://pbs.twimg.com/media/FpB48quXEAA9gX1.jpg https://pbs.twimg.com/media/FpB4-2mWACE2kOA.jpg</t>
  </si>
  <si>
    <t>https://t.co/xhc4vvBOUS https://t.co/xhc4vvBOUS https://t.co/xhc4vvBOUS https://t.co/xhc4vvBOUS https://pbs.twimg.com/media/Ftm11FRXgAI234W.jpg https://pbs.twimg.com/media/Ftm127KWwAQtZtk.jpg https://pbs.twimg.com/media/Ftm15rKXgAQaf8_.jpg https://pbs.twimg.com/media/Ftm17dMWAAgdDeP.jpg</t>
  </si>
  <si>
    <t>https://t.co/O9yNUH4Ivv https://t.co/O9yNUH4Ivv https://t.co/O9yNUH4Ivv https://t.co/O9yNUH4Ivv https://pbs.twimg.com/media/FwWLFrAWAB87PhD.jpg https://pbs.twimg.com/media/FwWLHMmWcAAGaM9.jpg https://pbs.twimg.com/media/FwWLIw7WAAcI-dW.jpg https://pbs.twimg.com/media/FwWLK5tWACU1rcu.jpg</t>
  </si>
  <si>
    <t>https://t.co/0AzuM0eDBM https://t.co/0AzuM0eDBM https://t.co/0AzuM0eDBM https://pbs.twimg.com/media/FzUp4YlXoAAqQ8O.jpg https://pbs.twimg.com/media/FzUp5tpWwAY41wO.jpg https://pbs.twimg.com/media/FzUp6ysWAAASXrp.jpg</t>
  </si>
  <si>
    <t>https://t.co/nIsaNv2laZ https://pbs.twimg.com/media/F2sJ3JCXwAAFps-.jpg</t>
  </si>
  <si>
    <t>https://t.co/7ShTktvyZL https://pbs.twimg.com/media/F3cSwEcWIAAURc3.jpg</t>
  </si>
  <si>
    <t>https://t.co/NhnanaYZEZ https://pbs.twimg.com/media/Fxtn-WPWYAIq6cq.jpg</t>
  </si>
  <si>
    <t>https://t.co/jofOMrzxbf https://pbs.twimg.com/media/Fr1LHugX0AEeKsZ.jpg</t>
  </si>
  <si>
    <t>https://t.co/Yn9ADCLSMJ https://pbs.twimg.com/media/Ft6Bx95X0AYAAku.jpg</t>
  </si>
  <si>
    <t>https://t.co/8y5YQc63Wk https://pbs.twimg.com/media/FmO8WWlWYAEnx6g.png</t>
  </si>
  <si>
    <t>https://t.co/ZcvCEM28rN https://pbs.twimg.com/media/F5usCPGXoAACOgp.jpg</t>
  </si>
  <si>
    <t>https://t.co/Prpv0WbZgl https://pbs.twimg.com/media/FmR2H23XwAMwh4B.jpg</t>
  </si>
  <si>
    <t>https://t.co/Jto5oc3tgu https://pbs.twimg.com/media/F1FN9qaWYAEy4wx.jpg</t>
  </si>
  <si>
    <t>https://t.co/HMAflCyxBQ https://pbs.twimg.com/media/FpC4xgaWIAEo3fD.jpg</t>
  </si>
  <si>
    <t>https://t.co/FtjMONcO7c https://pbs.twimg.com/ext_tw_video_thumb/1696197231844495360/pu/img/ya7jcGbybnsRhQrN.jpg</t>
  </si>
  <si>
    <t>https://t.co/LiPARb08Ov https://pbs.twimg.com/ext_tw_video_thumb/1699127266398109696/pu/img/xWP5lFyZVRGeATKC.jpg</t>
  </si>
  <si>
    <t>https://t.co/Leq8x3bgr3 https://pbs.twimg.com/ext_tw_video_thumb/1694691130921693184/pu/img/LA7n38pxGqVto-Je.jpg</t>
  </si>
  <si>
    <t>https://t.co/gLxCzBxAmf https://pbs.twimg.com/media/F2H_1yQXEAEIzJ2.jpg</t>
  </si>
  <si>
    <t>https://t.co/wM7LXSPh1m https://pbs.twimg.com/media/F1CXjWCWAAE_0WP.jpg</t>
  </si>
  <si>
    <t>https://t.co/ZZA77PUebE https://pbs.twimg.com/tweet_video_thumb/FmM0mDmXoAAMTmn.jpg</t>
  </si>
  <si>
    <t>https://t.co/k0lDHsYbdQ https://pbs.twimg.com/media/FxnwZ5-XoAECVoT.jpg</t>
  </si>
  <si>
    <t>https://t.co/03dic3c4oY https://pbs.twimg.com/media/F2YODfaXUAEOP7t.jpg</t>
  </si>
  <si>
    <t>https://t.co/3TdXVMfJeu https://pbs.twimg.com/ext_tw_video_thumb/1662125468231901184/pu/img/bLnB_1Z1I5h9IKnt.jpg</t>
  </si>
  <si>
    <t>https://t.co/wQu7q7bh8g https://pbs.twimg.com/ext_tw_video_thumb/1614704434931539969/pu/img/QnTmx4CtRUU8jJ85.jpg</t>
  </si>
  <si>
    <t>https://t.co/YrYGyyuPWu https://pbs.twimg.com/media/Fz8suZ7WIAM5ynD.jpg</t>
  </si>
  <si>
    <t>https://t.co/DqIdg7QHtO https://pbs.twimg.com/media/Fz8skb3WIAAb-2Y.jpg</t>
  </si>
  <si>
    <t>https://t.co/bcZH9AgrO8 https://pbs.twimg.com/media/Fz8s5PRXgAI-D7v.jpg</t>
  </si>
  <si>
    <t>https://t.co/pL8dZWU6Tm https://pbs.twimg.com/media/Fz8sYL9WwAEBXNc.jpg</t>
  </si>
  <si>
    <t>https://t.co/8R4dxZJypP https://pbs.twimg.com/media/Fz8sEAuWYAA8ggJ.jpg</t>
  </si>
  <si>
    <t>https://t.co/zsRm0c0l4D https://pbs.twimg.com/media/Fz8rXVmXsAEYvmT.jpg</t>
  </si>
  <si>
    <t>https://t.co/2oDx1tM5tt https://pbs.twimg.com/ext_tw_video_thumb/1662108480277299201/pu/img/m01_RlcvW8NEDqkj.jpg</t>
  </si>
  <si>
    <t>https://t.co/8Ppnf2Ep7O https://pbs.twimg.com/ext_tw_video_thumb/1678062228337991680/pu/img/mYlNnFOGUN-FstvS.jpg</t>
  </si>
  <si>
    <t>https://t.co/n5L6ZFD8Lb https://pbs.twimg.com/media/FrSxfGSWAAAuKX5.jpg</t>
  </si>
  <si>
    <t>https://t.co/IXWtbiRdUU https://pbs.twimg.com/media/F1Pw-ZiWcAARKca.jpg</t>
  </si>
  <si>
    <t>https://t.co/VNGclpNv9e https://pbs.twimg.com/media/FqUVMBnXgAEs63u.jpg</t>
  </si>
  <si>
    <t>https://t.co/KlH1qjj02s https://pbs.twimg.com/ext_tw_video_thumb/1648058768771502100/pu/img/viHrlOcDm3Dh1T93.jpg</t>
  </si>
  <si>
    <t>https://t.co/lAPC6Fhmn9 https://pbs.twimg.com/media/FtsT8IDXwAANSzw.jpg</t>
  </si>
  <si>
    <t>https://t.co/spKnPfSNwv https://pbs.twimg.com/media/FxiqkD7acAMMwae.jpg</t>
  </si>
  <si>
    <t>https://t.co/tek85PiLbL https://pbs.twimg.com/media/FuFc0wgXoAQoShC.jpg</t>
  </si>
  <si>
    <t>https://t.co/aKOSMscVfq https://pbs.twimg.com/media/Fm1_jycaMAQTz37.jpg</t>
  </si>
  <si>
    <t>https://t.co/glmBH1wxOE https://pbs.twimg.com/ext_tw_video_thumb/1679568418536603651/pu/img/kaZrVN401aX1dLO3.jpg</t>
  </si>
  <si>
    <t>https://t.co/tRnoUxHY0f https://pbs.twimg.com/media/F6ZApcRXMAAezXi.jpg</t>
  </si>
  <si>
    <t>https://t.co/RusmnFzLtj https://pbs.twimg.com/media/Fmx7zZ-X0AUABV-.jpg</t>
  </si>
  <si>
    <t>https://t.co/K2ZSreaNxl https://pbs.twimg.com/media/Frr-KaUX0AA-1z7.jpg</t>
  </si>
  <si>
    <t>https://t.co/qPLuqsotMJ https://pbs.twimg.com/media/FlpBrpCWIAADO1u.jpg</t>
  </si>
  <si>
    <t>https://t.co/FgaHHdHr0i https://pbs.twimg.com/ext_tw_video_thumb/1675593605799456773/pu/img/bXQtFEsg1YHFlX6Y.jpg</t>
  </si>
  <si>
    <t>https://t.co/zRY8dce078 https://pbs.twimg.com/media/Fnv0jsZXwAAgjVs.jpg</t>
  </si>
  <si>
    <t>https://t.co/UBk82KOS9F https://pbs.twimg.com/media/FxVB5VzaEAAeUce.jpg</t>
  </si>
  <si>
    <t>https://t.co/XRYTu8QkyA https://pbs.twimg.com/ext_tw_video_thumb/1669860153498431489/pu/img/GFF1DEgE5dOrOQVp.jpg</t>
  </si>
  <si>
    <t>https://t.co/826u4XKS1Y https://pbs.twimg.com/media/FtCr7uGWYAAbiBy.jpg</t>
  </si>
  <si>
    <t>https://t.co/wxaCkVxhUl https://pbs.twimg.com/media/Fyl3GlTXsAI5ioC.png</t>
  </si>
  <si>
    <t>https://t.co/BWd8DEnK0m https://pbs.twimg.com/media/FlgqZaQXwAAPAKN.jpg</t>
  </si>
  <si>
    <t>https://t.co/ustePENlk9 https://pbs.twimg.com/media/F2kC_fuXoAExl6f.jpg</t>
  </si>
  <si>
    <t>https://t.co/NTlWfoqYmU https://pbs.twimg.com/media/F1hsUyoXgAIGTQq.jpg</t>
  </si>
  <si>
    <t>https://t.co/aJ6OpHkgql https://pbs.twimg.com/media/FzJmvHvacAAzLvH.jpg</t>
  </si>
  <si>
    <t>https://t.co/uyRFBFjP65 https://pbs.twimg.com/media/FtX_hkoXoBUDfmZ.jpg</t>
  </si>
  <si>
    <t>https://t.co/Pv2flpomMN https://t.co/Pv2flpomMN https://t.co/Pv2flpomMN https://t.co/Pv2flpomMN https://pbs.twimg.com/ext_tw_video_thumb/1700601687327510528/pu/img/IXe4OknvKuabcuyh.jpg https://pbs.twimg.com/media/F5nATJjXwAA0sSP.jpg https://pbs.twimg.com/media/F5nATaSWQAA9fjc.jpg https://pbs.twimg.com/media/F5nATqnWMAAu5NR.jpg</t>
  </si>
  <si>
    <t>https://t.co/E84oDQfJut https://pbs.twimg.com/media/FmJX1bBagAAhF7M.jpg</t>
  </si>
  <si>
    <t>https://t.co/c9f58irNiS https://pbs.twimg.com/media/F1ZP69iWAAALHgo.jpg</t>
  </si>
  <si>
    <t>https://t.co/dV2zxYOeLT https://pbs.twimg.com/media/Fo9ODpQWYAMZhub.jpg</t>
  </si>
  <si>
    <t>https://t.co/9wTyGgxmO2 https://pbs.twimg.com/media/Fo8GwZrWcAAfuCX.jpg</t>
  </si>
  <si>
    <t>https://t.co/xRZw80QGL0 https://pbs.twimg.com/media/F680Qj3W4AE-Ydo.png</t>
  </si>
  <si>
    <t>https://t.co/oBpOhh1V1q https://pbs.twimg.com/media/F31zVrkWIAET67h.jpg</t>
  </si>
  <si>
    <t>https://t.co/5qrhbWkqXG https://pbs.twimg.com/media/FvOafFnWIBkua3n.jpg</t>
  </si>
  <si>
    <t>https://t.co/BzWfMCnqrh https://t.co/BzWfMCnqrh https://t.co/BzWfMCnqrh https://pbs.twimg.com/media/FsBXN3DWYAEY65l.jpg https://pbs.twimg.com/media/FsBXOA5WAAclXhw.jpg https://pbs.twimg.com/media/FsBXOMhWAAAo1DD.jpg</t>
  </si>
  <si>
    <t>https://t.co/2GrtgzXZQA https://pbs.twimg.com/ext_tw_video_thumb/1665912726219022338/pu/img/81DQpCp7Ikr88qrt.jpg</t>
  </si>
  <si>
    <t>https://t.co/dYc10If1Qy https://pbs.twimg.com/media/FxUKSOwWABIv7jZ.jpg</t>
  </si>
  <si>
    <t>https://t.co/ZYPn3c5uLT https://pbs.twimg.com/ext_tw_video_thumb/1666268935820308480/pu/img/Hkq2J9iOF-Rq6W_X.jpg</t>
  </si>
  <si>
    <t>https://t.co/uq2D2hoxzX https://pbs.twimg.com/ext_tw_video_thumb/1664759198536679425/pu/img/1cWaZ6V-Kc1R_hBp.jpg</t>
  </si>
  <si>
    <t>https://t.co/lMlV5GycRO https://pbs.twimg.com/media/Fxpbd7kWcAUO5VD.jpg</t>
  </si>
  <si>
    <t>https://t.co/W2ikbIQbrb https://pbs.twimg.com/media/F4ybpTEXIAAw6sF.jpg</t>
  </si>
  <si>
    <t>https://t.co/4OcvnB8CKm https://pbs.twimg.com/media/F5hKT0tWQAAkG_R.jpg</t>
  </si>
  <si>
    <t>https://t.co/yKiikODFgB https://pbs.twimg.com/ext_tw_video_thumb/1651761267755941888/pu/img/J75MVVRMt0gPjXlA.jpg</t>
  </si>
  <si>
    <t>https://t.co/ZhNp2fEqie https://pbs.twimg.com/ext_tw_video_thumb/1637490369507074048/pu/img/oh_E9mmUqnYhf1vE.jpg</t>
  </si>
  <si>
    <t>https://t.co/9NHuvD7pQB https://pbs.twimg.com/ext_tw_video_thumb/1642451955149684736/pu/img/SiRzh-W1otVL5pXh.jpg</t>
  </si>
  <si>
    <t>https://t.co/dGRwZDiUHR https://pbs.twimg.com/ext_tw_video_thumb/1642089574707998720/pu/img/f9c4cBwjB7ItMUG1.jpg</t>
  </si>
  <si>
    <t>https://t.co/K3i7qyioC9 https://pbs.twimg.com/ext_tw_video_thumb/1641727212855459840/pu/img/46iVhWxHNqapkZE1.jpg</t>
  </si>
  <si>
    <t>https://t.co/uP6HcPMyu0 https://pbs.twimg.com/ext_tw_video_thumb/1641459811471507457/pu/img/OJGryQ2fTvQX-qdY.jpg</t>
  </si>
  <si>
    <t>https://t.co/EMffh8Mkj3 https://pbs.twimg.com/ext_tw_video_thumb/1643711779657089025/pu/img/Oaz6UK-K1fnRpZ2N.jpg</t>
  </si>
  <si>
    <t>https://t.co/bfcFL7p0C0 https://pbs.twimg.com/media/FldzPeCWQAAEpDp.jpg</t>
  </si>
  <si>
    <t>https://t.co/Scug2Dt897 https://pbs.twimg.com/media/FvmTzcKXwAEmt8p.jpg</t>
  </si>
  <si>
    <t>https://t.co/l32V4DBI6x https://pbs.twimg.com/media/F0GvlfDWwAEc8kI.jpg</t>
  </si>
  <si>
    <t>https://t.co/hFo310hZ7G https://pbs.twimg.com/media/F68fhNNW0AAO2ER.jpg</t>
  </si>
  <si>
    <t>https://t.co/xNeb0uUI0G https://pbs.twimg.com/media/FrSM08tWwAAB5zK.jpg</t>
  </si>
  <si>
    <t>https://t.co/j8cJN8Zs1i https://t.co/j8cJN8Zs1i https://t.co/j8cJN8Zs1i https://pbs.twimg.com/media/FqQWFH-WwAM2YuO.png https://pbs.twimg.com/media/FqQWFKuWcAInleI.png https://pbs.twimg.com/media/FqQWFQHWwAAJygi.jpg</t>
  </si>
  <si>
    <t>https://t.co/nNjAwKpfCf https://t.co/nNjAwKpfCf https://t.co/nNjAwKpfCf https://t.co/nNjAwKpfCf https://pbs.twimg.com/media/F0OQx7aXgAIdoLw.jpg https://pbs.twimg.com/media/F0OQx7kXsAA2w5r.jpg https://pbs.twimg.com/media/F0OQx7iWYAIqm2D.jpg https://pbs.twimg.com/media/F0OQx7fWIAEzP8y.jpg</t>
  </si>
  <si>
    <t>https://t.co/LLoZ7Y0xJo https://pbs.twimg.com/media/FvlJlBiXgAII1b_.jpg</t>
  </si>
  <si>
    <t>https://t.co/rumzxX4eLU https://pbs.twimg.com/ext_tw_video_thumb/1620885529599385605/pu/img/sAREy8wfM8vq0I7e.jpg</t>
  </si>
  <si>
    <t>https://t.co/nIhjZ1l6qC https://pbs.twimg.com/media/FufatGjWIAAVQQ3.jpg</t>
  </si>
  <si>
    <t>https://t.co/Xwqpzjf3xh https://pbs.twimg.com/media/Fv5WSJlWcAEH67c.jpg</t>
  </si>
  <si>
    <t>https://t.co/8gCrQhhWm6 https://pbs.twimg.com/media/FvoOjHgXgAA0nBv.jpg</t>
  </si>
  <si>
    <t>https://t.co/Zid3Z3rZMD https://pbs.twimg.com/media/F0UUkP7XoAExrnn.png</t>
  </si>
  <si>
    <t>https://t.co/AWPtFtEqwq https://pbs.twimg.com/media/FxOvTLGWAAAIMvz.png</t>
  </si>
  <si>
    <t>https://t.co/haasHhA9b7 https://pbs.twimg.com/media/FrvfcTKX0AAAUTE.jpg</t>
  </si>
  <si>
    <t>https://t.co/XODEGcrteL https://pbs.twimg.com/ext_tw_video_thumb/1630262542059569156/pu/img/8Py07he3m8g9wjVe.jpg</t>
  </si>
  <si>
    <t>https://t.co/qVF7csNXUZ https://pbs.twimg.com/media/F60WqiNWsAAPnhj.jpg</t>
  </si>
  <si>
    <t>https://t.co/RVpGMDkqaM https://pbs.twimg.com/media/Fq4TSrXWIAIMbnV.jpg</t>
  </si>
  <si>
    <t>https://t.co/LZT9G2yg8w https://pbs.twimg.com/ext_tw_video_thumb/1672239775833628676/pu/img/BozyiVEKbxDiFWsK.jpg</t>
  </si>
  <si>
    <t>https://t.co/IjaUDWmXFn https://pbs.twimg.com/media/Fp_bnohWYAEuTDt.jpg</t>
  </si>
  <si>
    <t>https://t.co/aaUQpyVZT7 https://pbs.twimg.com/media/FzZqENIXwAAeZdf.jpg</t>
  </si>
  <si>
    <t>https://t.co/D7v4J1bhsU https://pbs.twimg.com/media/Fv9Qd_pWcAMgy0B.jpg</t>
  </si>
  <si>
    <t>https://t.co/8pVXA00WuV https://pbs.twimg.com/media/Fx4b8FkWAAEHBVg.jpg</t>
  </si>
  <si>
    <t>https://t.co/5H92CLzRyn https://pbs.twimg.com/media/Fl0VYETX0A0Rig_.jpg</t>
  </si>
  <si>
    <t>https://t.co/z8f213YEaD https://pbs.twimg.com/media/FnL4gjQXkAAw72q.jpg</t>
  </si>
  <si>
    <t>https://t.co/WFyVPpsOSi https://pbs.twimg.com/ext_tw_video_thumb/1666813375538663434/pu/img/HSqnfhDfqUN1QvbN.jpg</t>
  </si>
  <si>
    <t>https://t.co/KnoEwBhJt8 https://pbs.twimg.com/ext_tw_video_thumb/1623017537142235139/pu/img/balOD4uo9BD-hh-b.jpg</t>
  </si>
  <si>
    <t>https://t.co/kYCy5Szl5q https://pbs.twimg.com/media/Ftc7lxRXwAE9eFI.jpg</t>
  </si>
  <si>
    <t>https://t.co/ewy60sRYms https://pbs.twimg.com/media/Fub6_hXWIAI1mXY.png</t>
  </si>
  <si>
    <t>https://t.co/4bWVXyEyGW https://pbs.twimg.com/media/FwQafyaaMAAdPfx.jpg</t>
  </si>
  <si>
    <t>https://t.co/rNG9Z2xMvj https://pbs.twimg.com/media/Fr6YdJTX0AAlARk.jpg</t>
  </si>
  <si>
    <t>https://t.co/ZiY7K2Qvaa https://pbs.twimg.com/ext_tw_video_thumb/1685449925218189312/pu/img/N4EwLaUd-3A0pKuD.jpg</t>
  </si>
  <si>
    <t>https://t.co/p2XR85MKYe https://pbs.twimg.com/ext_tw_video_thumb/1687077755597328384/pu/img/c1LOQez_oL7adfV2.jpg</t>
  </si>
  <si>
    <t>https://t.co/hymCMkGCpA https://pbs.twimg.com/media/FwuAszXX0AIOS8A.jpg</t>
  </si>
  <si>
    <t>https://t.co/tHJgYPCCDT https://pbs.twimg.com/media/F15RA1FX0AQ5obJ.jpg</t>
  </si>
  <si>
    <t>https://t.co/8obOy6tAHW https://pbs.twimg.com/media/F15Sm9qXsAAZ-ss.jpg</t>
  </si>
  <si>
    <t>https://t.co/UgF6huXOxw https://pbs.twimg.com/media/Fy_QruxXoAAa1id.jpg</t>
  </si>
  <si>
    <t>https://t.co/SyL6wU9bsn https://pbs.twimg.com/media/Fy15rHjWAAAIIaJ.jpg</t>
  </si>
  <si>
    <t>https://t.co/L7yRlZQSZD https://pbs.twimg.com/media/FyvkBqgWIAExdAb.jpg</t>
  </si>
  <si>
    <t>https://t.co/9iPIRzYvDH https://pbs.twimg.com/media/FzJwvmeXsAQr9-i.jpg</t>
  </si>
  <si>
    <t>https://t.co/Sqpug2rz6k https://pbs.twimg.com/media/FzoRCxtXsAEIQWO.jpg</t>
  </si>
  <si>
    <t>https://t.co/we64cr7OUX https://pbs.twimg.com/media/Fzye0v-X0AAYf_b.jpg</t>
  </si>
  <si>
    <t>https://t.co/Kk5skczWQ3 https://pbs.twimg.com/media/F4NseY3WIAA8pMK.jpg</t>
  </si>
  <si>
    <t>https://t.co/dh3FV03Utn https://pbs.twimg.com/media/FvSGR9aWwAU1I4Z.jpg</t>
  </si>
  <si>
    <t>https://t.co/3Nwtm8QB5j https://pbs.twimg.com/media/F552P8DXMAAj7iG.jpg</t>
  </si>
  <si>
    <t>https://t.co/xU9altVlb3 https://pbs.twimg.com/media/FvDQptUXoAQEMKh.jpg</t>
  </si>
  <si>
    <t>https://t.co/tFWRvysNzd https://pbs.twimg.com/media/Flts9Y_WQAEdqUU.jpg</t>
  </si>
  <si>
    <t>https://t.co/qEiqWEtJ1T https://pbs.twimg.com/media/Fo8lo-GXEAwR8VQ.jpg</t>
  </si>
  <si>
    <t>https://t.co/FV95wMvWya https://pbs.twimg.com/media/FmhZb_CXgAAbKGm.jpg</t>
  </si>
  <si>
    <t>https://t.co/AtfswIhcPt https://pbs.twimg.com/media/FqYCF6gXoAEX0sZ.jpg</t>
  </si>
  <si>
    <t>https://t.co/lSNkZjEHDB https://pbs.twimg.com/media/FoJFthiXgAA_OE1.jpg</t>
  </si>
  <si>
    <t>https://t.co/DPY6tAUMfI https://pbs.twimg.com/ext_tw_video_thumb/1613371908946362369/pu/img/awyZuEzcS3flOhc_.jpg</t>
  </si>
  <si>
    <t>https://t.co/IESXgwNtor https://pbs.twimg.com/ext_tw_video_thumb/1658229609136025600/pu/img/bffIGp8ZJ6PDVHYz.jpg</t>
  </si>
  <si>
    <t>https://t.co/olETgR8PyU https://pbs.twimg.com/media/F6FU4uhXsAACIuF.jpg</t>
  </si>
  <si>
    <t>https://t.co/GxxNGu3a8X https://pbs.twimg.com/media/Fw_6iD1WAAYZnv4.jpg</t>
  </si>
  <si>
    <t>https://t.co/KbWp89f9LG https://pbs.twimg.com/media/F3rHrtebEAAVpSp.jpg</t>
  </si>
  <si>
    <t>https://t.co/7VNueF4qgM https://pbs.twimg.com/media/F3gHtpGawAETjmv.jpg</t>
  </si>
  <si>
    <t>https://t.co/H5yYPvv2JR https://pbs.twimg.com/media/FrBeAD_WIAEO6OG.jpg</t>
  </si>
  <si>
    <t>https://t.co/2KT1CINOgW https://pbs.twimg.com/media/FtYogc1WYAEuzgZ.jpg</t>
  </si>
  <si>
    <t>https://t.co/w5bsz5cu92 https://pbs.twimg.com/ext_tw_video_thumb/1664690877191651328/pu/img/L7di8PVhInXJP4wc.jpg</t>
  </si>
  <si>
    <t>https://t.co/xSrkeJHiad https://pbs.twimg.com/media/FmOM0DvX0BgI58m.jpg</t>
  </si>
  <si>
    <t>https://t.co/wYUGQRvYoj https://pbs.twimg.com/ext_tw_video_thumb/1682532721204011009/pu/img/m0DRPGsXxajHOJf-.jpg</t>
  </si>
  <si>
    <t>https://t.co/4v92gCXgX1 https://pbs.twimg.com/media/FledwWpWIAU3crV.jpg</t>
  </si>
  <si>
    <t>https://t.co/omVps4A5HU https://pbs.twimg.com/media/FxVymdKWwAMEdmf.jpg</t>
  </si>
  <si>
    <t>https://t.co/RNw1mS43ez https://pbs.twimg.com/ext_tw_video_thumb/1625510598225043459/pu/img/q7JYAMwbcvcEfb4G.jpg</t>
  </si>
  <si>
    <t>https://t.co/j2SJ5HM7io https://pbs.twimg.com/media/FsOujcgWcAInlLl.jpg</t>
  </si>
  <si>
    <t>https://t.co/oR70fCx3Ez https://pbs.twimg.com/media/F2YcRt9XQAk8BIv.jpg</t>
  </si>
  <si>
    <t>https://t.co/zoYK0xUK71 https://pbs.twimg.com/media/F5vsiDuWQAAsk_7.jpg</t>
  </si>
  <si>
    <t>https://t.co/NH8vRoWlIv https://pbs.twimg.com/media/F0xGB-7WYAAlbYr.jpg</t>
  </si>
  <si>
    <t>https://t.co/AyJO05T0Et https://pbs.twimg.com/media/Fz4r1-3XgAAPzsa.jpg</t>
  </si>
  <si>
    <t>https://t.co/sxAAOXBN5I https://pbs.twimg.com/ext_tw_video_thumb/1611727677181886464/pu/img/lCPfmnoGJMifL_Uo.jpg</t>
  </si>
  <si>
    <t>https://t.co/t6xJvWxBgH https://pbs.twimg.com/media/Fl9_cxBX0AA1mKy.jpg</t>
  </si>
  <si>
    <t>https://t.co/XBmuqYVuIQ https://pbs.twimg.com/media/Fu1vgSyX0AA8qu4.jpg</t>
  </si>
  <si>
    <t>https://t.co/J0bC7fDdt7 https://pbs.twimg.com/ext_tw_video_thumb/1626340773015834632/pu/img/C22WzZDYHRbRBA-F.jpg</t>
  </si>
  <si>
    <t>https://t.co/FwHkEVpnYY https://pbs.twimg.com/media/F4oqbINWIAAmeg7.jpg</t>
  </si>
  <si>
    <t>https://t.co/B6CQFMHXvE https://pbs.twimg.com/media/F4jXIWFWYAAYUtV.jpg</t>
  </si>
  <si>
    <t>https://t.co/5yyUv3nR9L https://pbs.twimg.com/media/Fmk1UdPWAAAgjOG.jpg</t>
  </si>
  <si>
    <t>https://t.co/ahgZla2D4R https://pbs.twimg.com/media/FoTcepJXoBAddny.jpg</t>
  </si>
  <si>
    <t>https://t.co/087zMLzkwh https://pbs.twimg.com/media/Foh10tMWYAAK5yd.jpg</t>
  </si>
  <si>
    <t>https://t.co/KusltoGJ7I https://pbs.twimg.com/media/FrVl5DIXgAMJCNH.jpg</t>
  </si>
  <si>
    <t>https://t.co/MYPiSsqWBE https://pbs.twimg.com/ext_tw_video_thumb/1684710913297801216/pu/img/xg9smZm0Qh8p2Afb.jpg</t>
  </si>
  <si>
    <t>https://t.co/PgjDLJp6sU https://pbs.twimg.com/ext_tw_video_thumb/1654676344163164162/pu/img/rG3oZgnD5k1-J0p7.jpg</t>
  </si>
  <si>
    <t>https://t.co/57AYpcxqBc https://pbs.twimg.com/media/Fp9bV9iWwAYAb9L.png</t>
  </si>
  <si>
    <t>https://t.co/8GOQiwLMcr https://pbs.twimg.com/media/Fp-XHh9WwAMXUbK.jpg</t>
  </si>
  <si>
    <t>https://t.co/S3dxDiBmo1 https://pbs.twimg.com/amplify_video_thumb/1694690860661653504/img/9jbZavpvPE3C97Ln.jpg</t>
  </si>
  <si>
    <t>https://t.co/gdC2CUS33I https://t.co/gdC2CUS33I https://t.co/gdC2CUS33I https://t.co/gdC2CUS33I https://pbs.twimg.com/media/F0e-l7zX0AE8iZe.jpg https://pbs.twimg.com/media/F0e-l71WwAAoGqo.jpg https://pbs.twimg.com/media/F0e-l7_WwAET4LL.jpg https://pbs.twimg.com/media/F0e-l78XsAARAUu.jpg</t>
  </si>
  <si>
    <t>https://t.co/qA9QSfwoix https://pbs.twimg.com/media/FnBXCTJaMAAXiXm.jpg</t>
  </si>
  <si>
    <t>https://t.co/PBbJYsDwbq https://t.co/PBbJYsDwbq https://t.co/PBbJYsDwbq https://pbs.twimg.com/media/F1_OThPXsAYhHP-.jpg https://pbs.twimg.com/media/F1_OThTXwAEXpTg.jpg https://pbs.twimg.com/media/F1_OThPWYAI_lck.jpg</t>
  </si>
  <si>
    <t>https://t.co/t0OupAPA7x https://pbs.twimg.com/ext_tw_video_thumb/1650671788098035713/pu/img/on7DCLdjjcF6e9Ep.jpg</t>
  </si>
  <si>
    <t>https://t.co/VMj6YbEIGT https://pbs.twimg.com/ext_tw_video_thumb/1648768648700387330/pu/img/26Qrda6XAp5itdly.jpg</t>
  </si>
  <si>
    <t>https://t.co/fFyilGDwzB https://pbs.twimg.com/media/FyazsY6XsAA643q.jpg</t>
  </si>
  <si>
    <t>https://t.co/mcVBGgMkbZ https://pbs.twimg.com/ext_tw_video_thumb/1623338800876253184/pu/img/TcsgD-5OW2v80Ysr.jpg</t>
  </si>
  <si>
    <t>https://t.co/U9i0GJ1bG1 https://pbs.twimg.com/ext_tw_video_thumb/1623016800404361219/pu/img/PVhmz3uzWQbZG_T1.jpg</t>
  </si>
  <si>
    <t>https://t.co/ws3vJGs8qd https://pbs.twimg.com/media/Fue94vOWIAItmGs.jpg</t>
  </si>
  <si>
    <t>https://t.co/Ux9OuGd033 https://pbs.twimg.com/media/Fue-EuwXgAcvMwV.jpg</t>
  </si>
  <si>
    <t>https://t.co/sgCQO3hLpn https://pbs.twimg.com/media/Fz5bOjwWwAA317l.jpg</t>
  </si>
  <si>
    <t>https://t.co/ufe1e5rAUE https://pbs.twimg.com/ext_tw_video_thumb/1691183634508644353/pu/img/ByUm4w36y6fcvWwc.jpg</t>
  </si>
  <si>
    <t>https://t.co/5djdeqfS18 https://pbs.twimg.com/media/Fo9ODZvWYAUQG-Y.jpg</t>
  </si>
  <si>
    <t>https://t.co/yQlJIk0rMW https://pbs.twimg.com/media/Fo8GwNuX0AA7UD8.jpg</t>
  </si>
  <si>
    <t>https://t.co/DQKDRUSoFW https://pbs.twimg.com/ext_tw_video_thumb/1701263917773635584/pu/img/TY4cjUA2eVspTB62.jpg</t>
  </si>
  <si>
    <t>https://t.co/j6Eu7JyRil https://pbs.twimg.com/media/FxkRkZnXsAIFrE1.jpg</t>
  </si>
  <si>
    <t>https://t.co/s8QycHDrS3 https://pbs.twimg.com/media/FwBcbJWXgAAWVvJ.jpg</t>
  </si>
  <si>
    <t>https://t.co/7MLoUaEIGl https://pbs.twimg.com/amplify_video_thumb/1681830448559685635/img/xK0n4Pzjhr_tTmZA.jpg</t>
  </si>
  <si>
    <t>https://t.co/btJnyUK2Ht https://pbs.twimg.com/amplify_video_thumb/1692776419498094593/img/wp7FX6Tz0HexP5eu.jpg</t>
  </si>
  <si>
    <t>https://t.co/TnPMJwCjOY https://pbs.twimg.com/media/FprTtJ7WIAEoDAl.jpg</t>
  </si>
  <si>
    <t>https://t.co/VhL4NmsT5E https://pbs.twimg.com/media/Fxfdxk5WcAwyh2o.jpg</t>
  </si>
  <si>
    <t>https://t.co/UICgRV3WFm https://pbs.twimg.com/ext_tw_video_thumb/1649775264140869632/pu/img/P8p9XjZuiIzIvVQR.jpg</t>
  </si>
  <si>
    <t>https://t.co/lUHxc31LJO https://pbs.twimg.com/tweet_video_thumb/FuREYZaWYAAPsdx.jpg</t>
  </si>
  <si>
    <t>https://t.co/O8cXCkRyuL https://pbs.twimg.com/tweet_video_thumb/FvKW-ejWcAAQyVo.jpg</t>
  </si>
  <si>
    <t>https://t.co/BFuwvPu5p3 https://pbs.twimg.com/media/FxYVjasXoAAyCEi.jpg</t>
  </si>
  <si>
    <t>https://t.co/HQJwNKbxOf https://pbs.twimg.com/ext_tw_video_thumb/1652099210957795328/pu/img/I9RQQ6d_LZJFTxEo.jpg</t>
  </si>
  <si>
    <t>https://t.co/klfkr73PcQ https://pbs.twimg.com/tweet_video_thumb/Ftcf7lRWwAAvNwK.jpg</t>
  </si>
  <si>
    <t>https://t.co/ohILShPUKw https://pbs.twimg.com/tweet_video_thumb/F15cchWXsBESjSc.jpg</t>
  </si>
  <si>
    <t>https://t.co/R7xmpwaC0P https://pbs.twimg.com/tweet_video_thumb/Fs4curLXsAM9vFR.jpg</t>
  </si>
  <si>
    <t>https://t.co/Y1lOAWY8Je https://pbs.twimg.com/media/FyhJuPMWYAAvDUF.jpg</t>
  </si>
  <si>
    <t>https://t.co/L0EVMLWlMv https://pbs.twimg.com/ext_tw_video_thumb/1675912346005385234/pu/img/ZI8onQc08S6Gp9_A.jpg</t>
  </si>
  <si>
    <t>https://t.co/5cWqrl1tAT https://pbs.twimg.com/media/FmXzo8sWAAEg97d.jpg</t>
  </si>
  <si>
    <t>https://t.co/7zplc172wT https://pbs.twimg.com/ext_tw_video_thumb/1675133007550717952/pu/img/VcImqPcyhYXlXNYL.jpg</t>
  </si>
  <si>
    <t>https://t.co/ACWcfmByIN https://pbs.twimg.com/media/FzLq3GsWIAEcr6t.jpg</t>
  </si>
  <si>
    <t>https://t.co/1YToi8DSb0 https://pbs.twimg.com/media/Frim-SAX0AAQR88.jpg</t>
  </si>
  <si>
    <t>https://t.co/Qqpy8596FO https://pbs.twimg.com/media/FrJF3vWWAAIuZSy.jpg</t>
  </si>
  <si>
    <t>https://t.co/1MQNOQIOyG https://pbs.twimg.com/media/FrMmktXXsBo7tFQ.jpg</t>
  </si>
  <si>
    <t>https://t.co/LN3TC7KOP6 https://pbs.twimg.com/media/FzoonJsWcAAr8SH.jpg</t>
  </si>
  <si>
    <t>https://t.co/JqiVH49HCS https://pbs.twimg.com/media/F1PwqXOWcAATrGt.jpg</t>
  </si>
  <si>
    <t>https://t.co/gZh4PpssB7 https://pbs.twimg.com/media/F3VgKIeW0AADcnF.jpg</t>
  </si>
  <si>
    <t>https://t.co/EJaoweG1Z0 https://pbs.twimg.com/ext_tw_video_thumb/1691418439175266304/pu/img/xue6WcpYTegrElk6.jpg</t>
  </si>
  <si>
    <t>https://t.co/vMFvILQGaF https://pbs.twimg.com/media/Fle-AKfXoAE6Hvq.jpg</t>
  </si>
  <si>
    <t>https://t.co/QsCNUweLaZ https://pbs.twimg.com/media/FmBvelkXgAAshzs.jpg</t>
  </si>
  <si>
    <t>https://t.co/9JbyvhQm9j https://pbs.twimg.com/media/Fu4xCiAWwAAD8A8.jpg</t>
  </si>
  <si>
    <t>https://t.co/grvy5bnjNO https://pbs.twimg.com/media/FsQJQC5WIBgxDgT.jpg</t>
  </si>
  <si>
    <t>https://t.co/fYMIdpsVmK https://pbs.twimg.com/media/FnLhy-pXwAAln-U.jpg</t>
  </si>
  <si>
    <t>https://t.co/rHLgU97w5I https://pbs.twimg.com/media/FpAzpMhaAAQzKEr.jpg</t>
  </si>
  <si>
    <t>https://t.co/AiBVgN11DX https://pbs.twimg.com/ext_tw_video_thumb/1618562666074673152/pu/img/lwazrlMmbgrQfouz.jpg</t>
  </si>
  <si>
    <t>https://t.co/i8ZZ1SOVgn https://pbs.twimg.com/ext_tw_video_thumb/1683885713517862913/pu/img/TUksuPPeQR7h_agC.jpg</t>
  </si>
  <si>
    <t>https://t.co/66HYEQwXvO https://pbs.twimg.com/media/FraGrfUWYAAzIbN.jpg</t>
  </si>
  <si>
    <t>https://t.co/fjc8yQ2r67 https://pbs.twimg.com/ext_tw_video_thumb/1643208969777815555/pu/img/MXaTc-61Cz47VBDR.jpg</t>
  </si>
  <si>
    <t>https://t.co/CnXHSmNGVX https://pbs.twimg.com/ext_tw_video_thumb/1631428603610120192/pu/img/T49--2lxXtkdSR5l.jpg</t>
  </si>
  <si>
    <t>https://t.co/HWOAyQ4TMX https://pbs.twimg.com/media/FrXZDAxWIBA1K7M.jpg</t>
  </si>
  <si>
    <t>https://t.co/TIR2GJ7WiH https://pbs.twimg.com/ext_tw_video_thumb/1650579512352989197/pu/img/Jt5juX1n-oBYqfmF.jpg</t>
  </si>
  <si>
    <t>https://t.co/SrrgNuR4Ag https://pbs.twimg.com/media/FvN-TtEWYAEohmh.jpg</t>
  </si>
  <si>
    <t>https://t.co/8mMwtZ8mwM https://pbs.twimg.com/media/FxTyrwOXwAEzq_k.jpg</t>
  </si>
  <si>
    <t>https://t.co/i7uILzTEQJ https://pbs.twimg.com/media/F04Nt2IWwAA7rFs.jpg</t>
  </si>
  <si>
    <t>https://t.co/MYIgoYPifZ https://pbs.twimg.com/media/F3werozWgAAetSV.jpg</t>
  </si>
  <si>
    <t>https://t.co/FpwpH7jlom https://pbs.twimg.com/media/F3qn0oxXgAk2Ttg.jpg</t>
  </si>
  <si>
    <t>https://t.co/hRlGv9NN6X https://pbs.twimg.com/media/F0TnzB6X0AEHq0D.jpg</t>
  </si>
  <si>
    <t>https://t.co/igwflnahlG https://t.co/igwflnahlG https://t.co/igwflnahlG https://t.co/igwflnahlG https://pbs.twimg.com/media/F3ldGRbXsAU5S69.png https://pbs.twimg.com/media/F3ldGRaXAAEsaER.png https://pbs.twimg.com/media/F3ldGRZWIAAujDB.png https://pbs.twimg.com/media/F3ldGRZXsAIy5BP.png</t>
  </si>
  <si>
    <t>https://t.co/5STf8ezCvr https://t.co/5STf8ezCvr https://pbs.twimg.com/media/FqjwAX1XoAklHRG.jpg https://pbs.twimg.com/media/FqjwA7aXoAIOHbi.jpg</t>
  </si>
  <si>
    <t>https://t.co/dOiw1vQotG https://pbs.twimg.com/media/Fq3sGM2WwAAvefN.jpg</t>
  </si>
  <si>
    <t>https://t.co/6y1BMp2aSj https://pbs.twimg.com/media/F4PlNi9agAAhlIy.jpg</t>
  </si>
  <si>
    <t>https://t.co/7doEz4lbkp https://pbs.twimg.com/ext_tw_video_thumb/1667315307457785858/pu/img/E_v56zhUzyf2-z8R.jpg</t>
  </si>
  <si>
    <t>https://t.co/s5KqFQgfk5 https://pbs.twimg.com/ext_tw_video_thumb/1637621348695519238/pu/img/rhNGZk9U9BuyZZng.jpg</t>
  </si>
  <si>
    <t>https://t.co/5bnDQVYhBn https://pbs.twimg.com/ext_tw_video_thumb/1650969299966623746/pu/img/UlAfbxAPKy02rqmx.jpg</t>
  </si>
  <si>
    <t>https://t.co/HeKOZjSQLo https://pbs.twimg.com/ext_tw_video_thumb/1662220794670219265/pu/img/6TFvAqtY4HrzZOx3.jpg</t>
  </si>
  <si>
    <t>https://t.co/6m9iuvpWi1 https://pbs.twimg.com/ext_tw_video_thumb/1666572331043389440/pu/img/9RDhsjFZTN3aQCEw.jpg</t>
  </si>
  <si>
    <t>https://t.co/PJYycU2EIs https://pbs.twimg.com/ext_tw_video_thumb/1687622074074869760/pu/img/EIkpPZd7P5R60T04.jpg</t>
  </si>
  <si>
    <t>https://t.co/eTLunFs1sB https://pbs.twimg.com/ext_tw_video_thumb/1672671737677316098/pu/img/fs2coaT6FGC8ER89.jpg</t>
  </si>
  <si>
    <t>https://t.co/bwpjaqykyJ https://pbs.twimg.com/tweet_video_thumb/FuGAK34WAAAvqS8.jpg</t>
  </si>
  <si>
    <t>https://t.co/7oalXcFgLu https://pbs.twimg.com/ext_tw_video_thumb/1693747766181105665/pu/img/5itfVZQ-Pk86sbYU.jpg</t>
  </si>
  <si>
    <t>https://t.co/thSRJvjMeq https://pbs.twimg.com/ext_tw_video_thumb/1638657848207986689/pu/img/FcrATZyf58JHBoow.jpg</t>
  </si>
  <si>
    <t>https://t.co/PAEZONL8fB https://pbs.twimg.com/media/Fv3TUywXwAkwxBv.jpg</t>
  </si>
  <si>
    <t>https://t.co/EsDULX8sJa https://pbs.twimg.com/ext_tw_video_thumb/1668030491717513223/pu/img/xqwrcRvhIgeUpCQv.jpg</t>
  </si>
  <si>
    <t>https://t.co/avUprKqfXp https://pbs.twimg.com/ext_tw_video_thumb/1624088966969405455/pu/img/Otf4VOXpcvrhaJDC.jpg</t>
  </si>
  <si>
    <t>https://t.co/qlUhbq7nfB https://pbs.twimg.com/ext_tw_video_thumb/1632040715650727941/pu/img/XP3iI_F0ENqmF2R9.jpg</t>
  </si>
  <si>
    <t>https://t.co/32pMtT9oEY https://pbs.twimg.com/media/FxXBPJwWwAAOzgW.jpg</t>
  </si>
  <si>
    <t>https://t.co/Wz6mgKVGDu https://pbs.twimg.com/media/F2uWptHaQAM7TPw.jpg</t>
  </si>
  <si>
    <t>https://t.co/nJUzhbVTmb https://pbs.twimg.com/media/FxiD0kLWYAI2EFL.jpg</t>
  </si>
  <si>
    <t>https://t.co/jHfsayDGXe https://pbs.twimg.com/media/Frrf-SfWYAIxEo_.jpg</t>
  </si>
  <si>
    <t>https://t.co/k1Zhj4LkMc https://pbs.twimg.com/amplify_video_thumb/1705907387255693312/img/UEpgO1RFA7n2311T.jpg</t>
  </si>
  <si>
    <t>https://t.co/dax6C31SUx https://pbs.twimg.com/ext_tw_video_thumb/1667167164476915715/pu/img/yt-_Z2chLNtCApeO.jpg</t>
  </si>
  <si>
    <t>https://t.co/YQOQsx1kGC https://pbs.twimg.com/media/F6Vpe2AW8AAp6Xz.jpg</t>
  </si>
  <si>
    <t>https://t.co/2SMCrbyYAQ https://pbs.twimg.com/media/F6pzHJ8WIAEtiMd.jpg</t>
  </si>
  <si>
    <t>https://t.co/IaQqq1C3hy https://pbs.twimg.com/ext_tw_video_thumb/1704632628492554240/pu/img/Fs_gIDErQzsG-10o.jpg</t>
  </si>
  <si>
    <t>https://t.co/ejqWPvDf5n https://pbs.twimg.com/ext_tw_video_thumb/1707182412893995008/pu/img/_fZV_sxJWK1aqwQy.jpg</t>
  </si>
  <si>
    <t>https://t.co/4AsYU4N68Q https://pbs.twimg.com/media/F5W1xIgaYAAedmO.jpg</t>
  </si>
  <si>
    <t>https://t.co/sBp6LJwu57 https://pbs.twimg.com/tweet_video_thumb/FpH0QgKWAAEViYg.jpg</t>
  </si>
  <si>
    <t>https://t.co/nZjo9QZsDv https://pbs.twimg.com/tweet_video_thumb/FwfYoJHXgAASd14.jpg</t>
  </si>
  <si>
    <t>https://t.co/95RXEp1JPM https://pbs.twimg.com/tweet_video_thumb/F30NqY5W0AAFSrn.jpg</t>
  </si>
  <si>
    <t>https://t.co/fBv7uVENjo https://pbs.twimg.com/media/FrL7MhOWcAAG5Vh.jpg</t>
  </si>
  <si>
    <t>https://t.co/DCyvhUxuZN https://pbs.twimg.com/media/FpuzZDXXgAQT26-.jpg</t>
  </si>
  <si>
    <t>https://t.co/jQeb5rRm5I https://pbs.twimg.com/media/FvsnnfFaEAMFRH9.jpg</t>
  </si>
  <si>
    <t>https://t.co/ew3GUTrFyG https://pbs.twimg.com/media/F0wycG4aUAgoAql.jpg</t>
  </si>
  <si>
    <t>https://t.co/DWGLAY1z9M https://t.co/DWGLAY1z9M https://t.co/DWGLAY1z9M https://pbs.twimg.com/media/Fs4eW-RWcAIL0sc.jpg https://pbs.twimg.com/media/Fs4eW-TXsAMjvb8.jpg https://pbs.twimg.com/media/Fs4eW-SX0AcDDUp.jpg</t>
  </si>
  <si>
    <t>https://t.co/xNhYg1N7tV https://pbs.twimg.com/ext_tw_video_thumb/1700563019590238208/pu/img/1LwRh--8UT_ogwWd.jpg</t>
  </si>
  <si>
    <t>https://t.co/eRe2FWsj2J https://pbs.twimg.com/ext_tw_video_thumb/1701712178464567296/pu/img/Lr9fmt9fyjcr062Y.jpg</t>
  </si>
  <si>
    <t>https://t.co/qpWP04doMU https://pbs.twimg.com/ext_tw_video_thumb/1704886920700903424/pu/img/BkSdlT4Lef1rEywc.jpg</t>
  </si>
  <si>
    <t>https://t.co/c14OQNnFu7 https://pbs.twimg.com/media/FrG4UleWcAAJaUT.jpg</t>
  </si>
  <si>
    <t>https://t.co/0FG3dsrZu8 https://pbs.twimg.com/media/FrG4UleWcAAJaUT.jpg</t>
  </si>
  <si>
    <t>https://t.co/AVcuP71DXa https://pbs.twimg.com/media/FrG4UleWcAAJaUT.jpg</t>
  </si>
  <si>
    <t>https://t.co/M3pXIeOeKi https://pbs.twimg.com/media/FrG4UleWcAAJaUT.jpg</t>
  </si>
  <si>
    <t>https://t.co/9T2RFB2pRE https://pbs.twimg.com/media/FrG4UleWcAAJaUT.jpg</t>
  </si>
  <si>
    <t>https://t.co/vgQyA6he09 https://pbs.twimg.com/media/FrG4UleWcAAJaUT.jpg</t>
  </si>
  <si>
    <t>https://t.co/yom1IvxI0j https://pbs.twimg.com/media/Fn-3VbSXoAIy9zw.jpg</t>
  </si>
  <si>
    <t>https://t.co/UILivF19jV https://pbs.twimg.com/ext_tw_video_thumb/1620733116989022212/pu/img/GHdkTDmPbsVLqeJT.jpg</t>
  </si>
  <si>
    <t>https://t.co/sCd1ZuB6k0 https://pbs.twimg.com/ext_tw_video_thumb/1620481491103784977/pu/img/gss5qdKvpiuwUXkb.jpg</t>
  </si>
  <si>
    <t>https://t.co/vZFJxiu6g9 https://pbs.twimg.com/media/FuwC-onXoAg3-0b.jpg</t>
  </si>
  <si>
    <t>https://t.co/CzMBdmoVt2 https://pbs.twimg.com/ext_tw_video_thumb/1682486792090705925/pu/img/8wRZXpHzu-4r4sXE.jpg</t>
  </si>
  <si>
    <t>https://t.co/hDm17jQAwm https://pbs.twimg.com/media/FrNhFdUXoAMkcRH.jpg</t>
  </si>
  <si>
    <t>https://t.co/FgPfnzbYKa https://pbs.twimg.com/ext_tw_video_thumb/1615466368886874132/pu/img/0mCAktdj10gDWFnM.jpg</t>
  </si>
  <si>
    <t>https://t.co/ppcmRunOVv https://pbs.twimg.com/media/F62xnrjXQAAvms3.jpg</t>
  </si>
  <si>
    <t>https://t.co/3f3hLDTTWF https://pbs.twimg.com/ext_tw_video_thumb/1698839796112658432/pu/img/NPMtUEBvlCPy1tHC.jpg</t>
  </si>
  <si>
    <t>https://t.co/TeyfnkAe5H https://pbs.twimg.com/media/FxYmtysagAExWAF.png</t>
  </si>
  <si>
    <t>https://t.co/IEuy6hJxAY https://pbs.twimg.com/media/Frl1dt0WwAIC58S.jpg</t>
  </si>
  <si>
    <t>https://t.co/cYV4UPV8qh https://pbs.twimg.com/media/FpgCNu7XsAIfHl1.png</t>
  </si>
  <si>
    <t>https://t.co/Vi6Wl0sFSl https://pbs.twimg.com/media/FmyOjr4WIAATU8R.png</t>
  </si>
  <si>
    <t>https://t.co/Dyh4lsvYMc https://pbs.twimg.com/media/FmyNaLVWYAIj1_3.png</t>
  </si>
  <si>
    <t>https://t.co/p3hCODYySV https://pbs.twimg.com/media/Fo9RfIQXwAQiObD.png</t>
  </si>
  <si>
    <t>https://t.co/ylKy82qZJB https://pbs.twimg.com/media/Fo9QV0uXoAEN3hG.png</t>
  </si>
  <si>
    <t>https://t.co/Hvg6hdzIrY https://pbs.twimg.com/media/Fr2nSb5WIAABWuW.png</t>
  </si>
  <si>
    <t>https://t.co/hb6NLJD0n8 https://pbs.twimg.com/media/FrxjaxKWAAAlT-v.png</t>
  </si>
  <si>
    <t>https://t.co/P7URzeaJyr https://pbs.twimg.com/media/FpcMKfoXoAQ-PVj.png</t>
  </si>
  <si>
    <t>https://t.co/TKsvwkT0cZ https://pbs.twimg.com/media/FmI_jVBX0CU8LjR.png</t>
  </si>
  <si>
    <t>https://t.co/a0a23EnbSF https://pbs.twimg.com/media/FmHtJxBWIAIvlG3.png</t>
  </si>
  <si>
    <t>https://t.co/ddqeFZBV94 https://pbs.twimg.com/media/Fst9OkNWAAEauun.jpg</t>
  </si>
  <si>
    <t>https://t.co/diFh7rdcnO https://pbs.twimg.com/media/Fso4OD_XoAcsL7h.png</t>
  </si>
  <si>
    <t>https://t.co/72HZpNOYPJ https://pbs.twimg.com/media/Fso3EuCWcAgb7if.png</t>
  </si>
  <si>
    <t>https://t.co/1MSXC7HnCK https://pbs.twimg.com/media/Fso17wLXsAIDu30.jpg</t>
  </si>
  <si>
    <t>https://t.co/rnRRXY9Ibi https://pbs.twimg.com/media/Fsk-u6QWAAM-Kf4.png</t>
  </si>
  <si>
    <t>https://t.co/dKe8WqfuXh https://pbs.twimg.com/media/Fsf63kGWcAAUm2e.jpg</t>
  </si>
  <si>
    <t>https://t.co/ccz60ChA8I https://pbs.twimg.com/media/FnaGl13XwAIATG6.png</t>
  </si>
  <si>
    <t>https://t.co/YPY4swC0sh https://pbs.twimg.com/media/FnaFcYcWYAM0bGw.png</t>
  </si>
  <si>
    <t>https://t.co/Ue9abO8L7J https://pbs.twimg.com/media/FuRQIi6WYAI3Wgr.png</t>
  </si>
  <si>
    <t>https://t.co/xFkHVIbrC8 https://pbs.twimg.com/media/FuRO_YiWYAEaA6P.png</t>
  </si>
  <si>
    <t>https://t.co/psWhUizdrI https://pbs.twimg.com/media/FuMA0xPWAAMBsLV.jpg</t>
  </si>
  <si>
    <t>https://t.co/yUb3v14qIU https://pbs.twimg.com/media/FqfGiwbWYAMyxCV.png</t>
  </si>
  <si>
    <t>https://t.co/9vdePPLsMn https://pbs.twimg.com/media/FthhtWkWcAQP8pE.png</t>
  </si>
  <si>
    <t>https://t.co/qlZBEjxS5Q https://pbs.twimg.com/media/Fthgjw_WcAACE_H.jpg</t>
  </si>
  <si>
    <t>https://t.co/04YZSFFMJ5 https://pbs.twimg.com/media/FtdF5xRX0BUyLS5.jpg</t>
  </si>
  <si>
    <t>https://t.co/DLkv9ktkZZ https://pbs.twimg.com/media/Fp1_jDXXsAIaBSe.png</t>
  </si>
  <si>
    <t>https://t.co/sew9pcNTCS https://pbs.twimg.com/media/Fp19QVWXgAAvoIs.png</t>
  </si>
  <si>
    <t>https://t.co/VMRKTBkqZL https://pbs.twimg.com/media/Fn_h16SWQAIQS6u.png</t>
  </si>
  <si>
    <t>https://t.co/G8xel57fwI https://pbs.twimg.com/media/Fn-PcRnWAAMk9Tb.png</t>
  </si>
  <si>
    <t>https://t.co/78QkbuHWpL https://pbs.twimg.com/media/FuwCzn2XoAArEox.jpg</t>
  </si>
  <si>
    <t>https://t.co/tLRYZILX64 https://pbs.twimg.com/media/FrxhIeJWcAIqO7d.jpg</t>
  </si>
  <si>
    <t>https://t.co/XqIHv2wMUC https://pbs.twimg.com/media/FuHU-9aWcAEEZ22.jpg</t>
  </si>
  <si>
    <t>https://t.co/8CcCj6UX5P https://pbs.twimg.com/media/FrHMUHYWcAQ-bSU.png</t>
  </si>
  <si>
    <t>https://t.co/HOhRKabJOn https://pbs.twimg.com/media/Fq43opPXoAIEVYy.png</t>
  </si>
  <si>
    <t>https://t.co/8SMGnMTYGC https://pbs.twimg.com/media/FzE9jJBXgAIPLfn.jpg</t>
  </si>
  <si>
    <t>https://t.co/sAlgZSigCo https://pbs.twimg.com/media/FzzehUJWcAAjgJl.jpg</t>
  </si>
  <si>
    <t>https://t.co/mALVcKVavS https://pbs.twimg.com/media/FzpKZnuXwBIcnWP.jpg</t>
  </si>
  <si>
    <t>https://t.co/lM1746LHZP https://pbs.twimg.com/media/Fzj6nVOXgAAH4I-.jpg</t>
  </si>
  <si>
    <t>https://t.co/WSwkd5C2lp https://pbs.twimg.com/media/FwQ3GH8X0AAeuk2.jpg</t>
  </si>
  <si>
    <t>https://t.co/MheNwU4Ouj https://pbs.twimg.com/ext_tw_video_thumb/1662186929025105933/pu/img/E3RUjBr8cs9FyqFn.jpg</t>
  </si>
  <si>
    <t>https://t.co/FT012hegLR https://pbs.twimg.com/ext_tw_video_thumb/1613277455380250625/pu/img/slHSvp4Nm1IMAbhW.jpg</t>
  </si>
  <si>
    <t>https://t.co/qkajmGS887 https://pbs.twimg.com/media/FnXdf-oX0AIBiuU.jpg</t>
  </si>
  <si>
    <t>https://t.co/6RVcs208Pg https://pbs.twimg.com/ext_tw_video_thumb/1669358811159875586/pu/img/uHcFOV3us6ylzJwC.jpg</t>
  </si>
  <si>
    <t>https://t.co/GXumq6vF9z https://pbs.twimg.com/media/FmWpztRXwAI4Buy.jpg</t>
  </si>
  <si>
    <t>https://t.co/1G0fSIaHI3 https://pbs.twimg.com/media/FxAkrkFXwAEYqWO.jpg</t>
  </si>
  <si>
    <t>https://t.co/bQrJU5MjsK https://pbs.twimg.com/media/FlsD96vXEAAJdrg.jpg</t>
  </si>
  <si>
    <t>https://t.co/PAyxauSJHw https://pbs.twimg.com/media/Fo8mVMUWYAAy9jm.jpg</t>
  </si>
  <si>
    <t>https://t.co/QbCDxu6ck7 https://pbs.twimg.com/media/FmiGjxFWIAIh4L0.jpg</t>
  </si>
  <si>
    <t>https://t.co/K0eUiJOwZg https://pbs.twimg.com/media/FqWwJQKXsAIiOMa.jpg</t>
  </si>
  <si>
    <t>https://t.co/yFYDaKFsMl https://pbs.twimg.com/media/FoGjnx1WQAAU-V3.jpg</t>
  </si>
  <si>
    <t>https://t.co/GPAC7T9gxv https://pbs.twimg.com/media/FtcSKmracAE2ilq.jpg</t>
  </si>
  <si>
    <t>https://t.co/CjNeaNDcYT https://pbs.twimg.com/media/FtcHmA2aQAACFPS.png</t>
  </si>
  <si>
    <t>https://t.co/xNq9NVPOBw https://pbs.twimg.com/media/FuADdJ-WIAMzR6x.png</t>
  </si>
  <si>
    <t>https://t.co/i5Hey7eZlM https://pbs.twimg.com/media/FycRbd_WAAQtlXf.png</t>
  </si>
  <si>
    <t>https://t.co/1zK9xcEMe4 https://pbs.twimg.com/media/FzJ4oyeXoAEJ8Cd.png</t>
  </si>
  <si>
    <t>https://t.co/kaN2jI1uH9 https://pbs.twimg.com/media/FtWjUaGXoAMKZqY.jpg</t>
  </si>
  <si>
    <t>https://t.co/9DPt3vir8d https://pbs.twimg.com/media/Fs9aoG1WcAEpE_h.jpg</t>
  </si>
  <si>
    <t>https://t.co/gCZ3Okt9QO https://pbs.twimg.com/media/FnLqtMUXEBQIQx3.jpg</t>
  </si>
  <si>
    <t>https://t.co/SwxtEJtRhu https://pbs.twimg.com/media/FnLWCF6WAQM287F.jpg</t>
  </si>
  <si>
    <t>https://t.co/uPMzhtcwjg https://pbs.twimg.com/media/FwaHfgsWYAA8k0a.jpg</t>
  </si>
  <si>
    <t>https://t.co/j01iwC7mH4 https://pbs.twimg.com/media/FnzJivqXwAIYDJR.jpg</t>
  </si>
  <si>
    <t>https://t.co/ztoYo7nWPg https://pbs.twimg.com/media/FnuEcD5WIAI-4i7.jpg</t>
  </si>
  <si>
    <t>https://t.co/Bm5aavf0hI https://pbs.twimg.com/media/FwMFYRZX0AA2-42.jpg</t>
  </si>
  <si>
    <t>https://t.co/npHT60hyCb https://pbs.twimg.com/media/FxXxYoBWIAEHeak.jpg</t>
  </si>
  <si>
    <t>https://t.co/tLaav5uARq https://pbs.twimg.com/media/Fml5tmaWQAIx3sp.jpg</t>
  </si>
  <si>
    <t>https://t.co/EJKPmpEHCQ https://pbs.twimg.com/media/F4S9XSlWkAAAQK6.jpg</t>
  </si>
  <si>
    <t>https://t.co/7ji4gwfoNR https://pbs.twimg.com/media/F634FwGXoAA7drq.jpg</t>
  </si>
  <si>
    <t>https://t.co/TxeG7ZFx2d https://pbs.twimg.com/media/Fuj4yJAWcAA2DMr.jpg</t>
  </si>
  <si>
    <t>https://t.co/3H6tE7L0Ru https://pbs.twimg.com/ext_tw_video_thumb/1662880900382707715/pu/img/OPsqwOfqfHd9lEcV.jpg</t>
  </si>
  <si>
    <t>https://t.co/UlEq8UkzMC https://pbs.twimg.com/media/FrSGnxCWcAYr92n.jpg</t>
  </si>
  <si>
    <t>https://t.co/xoCWbArmqj https://pbs.twimg.com/media/F6eRN8dWYAALWA2.jpg</t>
  </si>
  <si>
    <t>https://t.co/j6vsnUXBSx https://pbs.twimg.com/tweet_video_thumb/FnMMCzEWYAEfjkX.jpg</t>
  </si>
  <si>
    <t>https://t.co/qSiUZ06let https://pbs.twimg.com/tweet_video_thumb/Fpw-83QXsAAqgbk.jpg</t>
  </si>
  <si>
    <t>https://t.co/V4rnuBuJqR https://pbs.twimg.com/tweet_video_thumb/FvO9TCzXgAMTTRt.jpg</t>
  </si>
  <si>
    <t>https://t.co/Xg3xmnBYne https://pbs.twimg.com/tweet_video_thumb/FyXzTLlXoAEZuMI.jpg</t>
  </si>
  <si>
    <t>https://t.co/W5U5VywPgs https://pbs.twimg.com/tweet_video_thumb/F37JAH1WIAEBos1.jpg</t>
  </si>
  <si>
    <t>https://t.co/5G1gOrcGRj https://pbs.twimg.com/tweet_video_thumb/F015_UNX0AAykoQ.jpg</t>
  </si>
  <si>
    <t>https://t.co/DLOqEbUBBs https://pbs.twimg.com/tweet_video_thumb/Fsy9eSJXgAAmid2.jpg</t>
  </si>
  <si>
    <t>https://t.co/u4fcuxnyE1 https://pbs.twimg.com/tweet_video_thumb/F6aH-u_WMAAcK0U.jpg</t>
  </si>
  <si>
    <t>https://t.co/tktm9ZfHI7 https://pbs.twimg.com/media/FqtPIvsWYAEluML.jpg</t>
  </si>
  <si>
    <t>https://t.co/aUYVnlO2jj https://pbs.twimg.com/media/FuLJsXNXwAMF-Ge.jpg</t>
  </si>
  <si>
    <t>https://t.co/kqjGkR8LgV https://pbs.twimg.com/media/FoeFKixWAAE6RS-.jpg</t>
  </si>
  <si>
    <t>https://t.co/rdBiZ6Cr1A https://pbs.twimg.com/media/FsmxqoRWwAAQE4I.jpg</t>
  </si>
  <si>
    <t>https://t.co/F38JHwZEQK https://pbs.twimg.com/ext_tw_video_thumb/1619134940959883264/pu/img/a8yCGsfCSZ9IQwyq.jpg</t>
  </si>
  <si>
    <t>https://t.co/q6byitUtOp https://pbs.twimg.com/media/Flz6AZrXEAgWzZt.jpg</t>
  </si>
  <si>
    <t>https://t.co/aIRlj9h2G5 https://pbs.twimg.com/ext_tw_video_thumb/1626704451523297282/pu/img/nUKFvofvJmJOvY-s.jpg</t>
  </si>
  <si>
    <t>https://t.co/JponKZdJe0 https://pbs.twimg.com/ext_tw_video_thumb/1627736871722749954/pu/img/a7uz2s_k175F1jQj.jpg</t>
  </si>
  <si>
    <t>https://t.co/PBSSizmjOr https://pbs.twimg.com/media/FsAcIvoWcAESvWK.jpg</t>
  </si>
  <si>
    <t>https://t.co/Fuz6Apa31f https://pbs.twimg.com/media/FuE48QMXwAMOo2t.jpg</t>
  </si>
  <si>
    <t>https://t.co/5qRtnIv6vs https://pbs.twimg.com/media/F2XCD8XXkAAJQyA.jpg</t>
  </si>
  <si>
    <t>https://t.co/KK4FwbDuth https://pbs.twimg.com/ext_tw_video_thumb/1652349607299391492/pu/img/GcLOqMMXpPnXxGaU.jpg</t>
  </si>
  <si>
    <t>https://t.co/KzUDa1InTV https://pbs.twimg.com/media/Fq4ViKZX0AYpe90.jpg</t>
  </si>
  <si>
    <t>https://t.co/pO7ORuNUbm https://pbs.twimg.com/media/F0xzyEyXoAAgreY.jpg</t>
  </si>
  <si>
    <t>https://t.co/pH7iFv2azO https://pbs.twimg.com/media/F5rPCkBWwAA3p-1.jpg</t>
  </si>
  <si>
    <t>https://t.co/nFgeJbcqZp https://pbs.twimg.com/media/FyX6D9nXwAEx-Kz.jpg</t>
  </si>
  <si>
    <t>https://t.co/kl2KJaraMn https://pbs.twimg.com/media/FxP2uJPWYAEYDra.jpg</t>
  </si>
  <si>
    <t>https://t.co/3si4fb4Z88 https://pbs.twimg.com/media/F1udoHGXoAE4fZJ.jpg</t>
  </si>
  <si>
    <t>https://t.co/EZu5YguePW https://pbs.twimg.com/media/FnrXEGcWYAEcijV.jpg</t>
  </si>
  <si>
    <t>https://t.co/WB0f8Dw7IW https://pbs.twimg.com/media/F3bJZO8W8AEkRoM.jpg</t>
  </si>
  <si>
    <t>https://t.co/Y4I7UMC3GB https://pbs.twimg.com/media/F3bHIiRXcAAzG7_.jpg</t>
  </si>
  <si>
    <t>https://t.co/sjcgnQrHtO https://pbs.twimg.com/media/F4A04QpXwAA3Xxp.jpg</t>
  </si>
  <si>
    <t>https://t.co/psDmWs21Nr https://pbs.twimg.com/media/F5IJCB4WYAAAyRU.jpg</t>
  </si>
  <si>
    <t>https://t.co/66AqrAJPoO https://pbs.twimg.com/media/F4jazx8XQAAze-k.jpg</t>
  </si>
  <si>
    <t>https://t.co/RDKZhO8vc5 https://pbs.twimg.com/media/F5IJV_KWMAA0gm6.jpg</t>
  </si>
  <si>
    <t>https://t.co/Rpf0o7dPVE https://pbs.twimg.com/media/F5rRWaIXQAE9Grh.jpg</t>
  </si>
  <si>
    <t>https://t.co/RwsThQlUqo https://pbs.twimg.com/media/F5rRtHpWgAABqVI.jpg</t>
  </si>
  <si>
    <t>https://t.co/ar8THKIM76 https://pbs.twimg.com/media/F5rSKK5WwAAlva0.jpg</t>
  </si>
  <si>
    <t>https://t.co/zvI7p0YKRt https://pbs.twimg.com/media/F5rSYpLXUAAx2j2.jpg</t>
  </si>
  <si>
    <t>https://t.co/nWcmBR8Mme https://pbs.twimg.com/media/Fsjob3AXwAA4Lyu.jpg</t>
  </si>
  <si>
    <t>https://t.co/Ajm1AwPXE2 https://pbs.twimg.com/media/F0TkThdXoAE2p8V.jpg</t>
  </si>
  <si>
    <t>https://t.co/c9eJYydwfz https://pbs.twimg.com/media/FxEoxUzaMAALzyG.jpg</t>
  </si>
  <si>
    <t>https://t.co/GRtsuKHQTO https://pbs.twimg.com/media/F6A1rRHXcAANkk7.jpg</t>
  </si>
  <si>
    <t>https://t.co/QMblHHwyv5 https://t.co/QMblHHwyv5 https://pbs.twimg.com/media/Fs9AmxtWYAERpZ8.jpg https://pbs.twimg.com/media/Fs9AmxwXoAA9_Cv.jpg</t>
  </si>
  <si>
    <t>https://t.co/BVnT5Vl70t https://pbs.twimg.com/ext_tw_video_thumb/1625288479599984640/pu/img/QwQDYA20kLZcX6th.jpg</t>
  </si>
  <si>
    <t>https://t.co/QUUwMybYFK https://pbs.twimg.com/media/Ft8I9DxX0AQtjeE.jpg</t>
  </si>
  <si>
    <t>https://t.co/KgNRTccI2q https://t.co/KgNRTccI2q https://pbs.twimg.com/media/FrJKqxbWwAA1dsw.jpg https://pbs.twimg.com/media/FrJKq8aWcAUaFzH.jpg</t>
  </si>
  <si>
    <t>https://t.co/uSiQDZ9OgN https://pbs.twimg.com/media/FtoDfktWcAQ0p0v.jpg</t>
  </si>
  <si>
    <t>https://t.co/7pYPbLrLi6 https://pbs.twimg.com/media/FpwfembX0AAX5ld.jpg</t>
  </si>
  <si>
    <t>https://t.co/bDGv2FaK4i https://pbs.twimg.com/media/FwhNj6mWAAA8NVC.jpg</t>
  </si>
  <si>
    <t>https://t.co/b8jUVlvbvV https://pbs.twimg.com/media/FwgGcSuX0AENX0t.jpg</t>
  </si>
  <si>
    <t>https://t.co/g2pYHj3ovY https://pbs.twimg.com/media/FzKrghgXoBQdIkM.jpg</t>
  </si>
  <si>
    <t>https://t.co/ULJsQrfZEP https://pbs.twimg.com/media/FrcVxzMWABsUpFu.jpg</t>
  </si>
  <si>
    <t>https://t.co/TLVRJqYm4G https://pbs.twimg.com/ext_tw_video_thumb/1704097453593493504/pu/img/BS1RJm8ybX4Jyyrw.jpg</t>
  </si>
  <si>
    <t>https://t.co/1DkJOeZueL https://pbs.twimg.com/tweet_video_thumb/FuferFgXgAMaqQG.jpg</t>
  </si>
  <si>
    <t>https://t.co/i5AdlCG2t1 https://pbs.twimg.com/media/FmpDVALX0AEoY10.jpg</t>
  </si>
  <si>
    <t>https://t.co/24Lim6gbu2 https://t.co/24Lim6gbu2 https://t.co/24Lim6gbu2 https://pbs.twimg.com/media/F1BWTwoWwAIT38b.jpg https://pbs.twimg.com/media/F1BWT4KWwAY5YCs.jpg https://pbs.twimg.com/media/F1BWUAJWwA8wcW9.jpg</t>
  </si>
  <si>
    <t>https://t.co/yFOUoV4qI2 https://t.co/yFOUoV4qI2 https://pbs.twimg.com/media/F50114GWcAEhJT1.jpg https://pbs.twimg.com/media/F50114HWAAAH4zl.jpg</t>
  </si>
  <si>
    <t>https://t.co/KWz0gzvIS2 https://pbs.twimg.com/ext_tw_video_thumb/1702378401527664640/pu/img/euarJSBSewEjT3eC.jpg</t>
  </si>
  <si>
    <t>https://t.co/EgACMGq50C https://pbs.twimg.com/media/Fmmz_sqWAAwu4Cu.jpg</t>
  </si>
  <si>
    <t>https://t.co/22x7dw6mYU https://pbs.twimg.com/media/FqOjiWgXsAAtaIq.jpg</t>
  </si>
  <si>
    <t>https://t.co/SsLkjTHdCP https://pbs.twimg.com/media/Fo3AgwrXsAEEroH.jpg</t>
  </si>
  <si>
    <t>https://t.co/mhdUj0ddWE https://pbs.twimg.com/media/FlirzO0XEAAkWJV.jpg</t>
  </si>
  <si>
    <t>https://t.co/TXoGUFN4Dm https://pbs.twimg.com/media/FsiirRVWIAEfGwk.jpg</t>
  </si>
  <si>
    <t>https://t.co/jkNKzTWoo0 https://pbs.twimg.com/media/FnO1LnDWIAEzTb6.jpg</t>
  </si>
  <si>
    <t>https://t.co/RBx5ys8gjB https://pbs.twimg.com/media/Fw0oKvrXsAAFK1m.jpg</t>
  </si>
  <si>
    <t>https://t.co/vlLWW0Wdvb https://pbs.twimg.com/media/Fx2V5FSWwAA4EJC.jpg</t>
  </si>
  <si>
    <t>https://t.co/fTOi7XnuOY https://pbs.twimg.com/media/FygqZxVaIAEu0QY.jpg</t>
  </si>
  <si>
    <t>https://t.co/fzJZjid3wI https://pbs.twimg.com/media/FzUIqR7XsAAr-Bq.jpg</t>
  </si>
  <si>
    <t>https://t.co/HARu4x2zsL https://pbs.twimg.com/ext_tw_video_thumb/1674746105278365698/pu/img/FDlyC6VV3jNlBtaA.jpg</t>
  </si>
  <si>
    <t>https://t.co/WdAxCUoHtZ https://pbs.twimg.com/media/Fw_n-9DakAIKdhB.jpg</t>
  </si>
  <si>
    <t>https://t.co/ZIgu9NnjXX https://pbs.twimg.com/media/FxkjbVaXsAEjCrg.jpg</t>
  </si>
  <si>
    <t>https://t.co/GtWMPOEIcz https://pbs.twimg.com/media/FxUm7aFWwAAv25F.png</t>
  </si>
  <si>
    <t>https://t.co/g2hReRL4ZW https://pbs.twimg.com/media/F0837GPWcAAfHDo.jpg</t>
  </si>
  <si>
    <t>https://t.co/32kbymVVGE https://pbs.twimg.com/media/FyIusD_WAAc4Y2j.png</t>
  </si>
  <si>
    <t>https://t.co/oxR9SSc6CS https://pbs.twimg.com/media/FwRNOvFWYAAvQ5G.png</t>
  </si>
  <si>
    <t>https://t.co/ACVA3veXrf https://pbs.twimg.com/media/Fv8834YX0BEqyiW.png</t>
  </si>
  <si>
    <t>https://t.co/vHNY7SiXC8 https://pbs.twimg.com/media/F3SJuQwWYAAqYh9.jpg</t>
  </si>
  <si>
    <t>https://t.co/jC7vEHk1J8 https://pbs.twimg.com/media/FxeoOlsWwBAGndk.png</t>
  </si>
  <si>
    <t>https://t.co/cgkEHyKHB7 https://pbs.twimg.com/media/Fu0SV1kXsBwS_Yq.png</t>
  </si>
  <si>
    <t>https://t.co/J4v7qvr6Ca https://pbs.twimg.com/media/F5WwS2SXAAASurN.jpg</t>
  </si>
  <si>
    <t>https://t.co/CgQq0JfOuS https://pbs.twimg.com/media/F2n5KFZXQAY74-W.jpg</t>
  </si>
  <si>
    <t>https://t.co/WQr0Ln3oT5 https://pbs.twimg.com/media/F5_eLu-bMAADV6S.jpg</t>
  </si>
  <si>
    <t>https://t.co/PFRKaHKSR6 https://pbs.twimg.com/media/F5RrULaW0AAQxXi.jpg</t>
  </si>
  <si>
    <t>https://t.co/txoozusdiw https://pbs.twimg.com/media/Fy_i4RZWIAAuTgY.png</t>
  </si>
  <si>
    <t>https://t.co/5NGxvVFPs1 https://pbs.twimg.com/media/Fy5yEDXXsAIKqsE.png</t>
  </si>
  <si>
    <t>https://t.co/zt5vYKSJaJ https://pbs.twimg.com/media/F69z-80WgAArPbD.jpg</t>
  </si>
  <si>
    <t>https://t.co/pImvx94waV https://pbs.twimg.com/media/F6fJA7TXUAAXQhY.jpg</t>
  </si>
  <si>
    <t>https://t.co/exLlIOPrHh https://pbs.twimg.com/media/F3GQoZ8WkAApYfw.jpg</t>
  </si>
  <si>
    <t>https://t.co/vbtGggJ8q8 https://pbs.twimg.com/media/Fulwg-2WAAMtezW.png</t>
  </si>
  <si>
    <t>photo</t>
  </si>
  <si>
    <t>video</t>
  </si>
  <si>
    <t>animated_gif</t>
  </si>
  <si>
    <t>photo photo photo photo</t>
  </si>
  <si>
    <t>photo photo</t>
  </si>
  <si>
    <t>photo photo photo</t>
  </si>
  <si>
    <t>video photo photo photo</t>
  </si>
  <si>
    <t>Twitter for Android</t>
  </si>
  <si>
    <t>Hootsuite Inc.</t>
  </si>
  <si>
    <t>Twitter for iPhone</t>
  </si>
  <si>
    <t>Instagram</t>
  </si>
  <si>
    <t>Twitter Web App</t>
  </si>
  <si>
    <t>Etus Brasil</t>
  </si>
  <si>
    <t>HubSpot</t>
  </si>
  <si>
    <t>mLabs - Gestão de Redes Sociais</t>
  </si>
  <si>
    <t>TNweb</t>
  </si>
  <si>
    <t>LinkedIn</t>
  </si>
  <si>
    <t>TweetDeck</t>
  </si>
  <si>
    <t>Metricool</t>
  </si>
  <si>
    <t>Tikket from SocialGest</t>
  </si>
  <si>
    <t>MakeAmaneciendo</t>
  </si>
  <si>
    <t>TweetDeck Web App</t>
  </si>
  <si>
    <t>dlvr.it</t>
  </si>
  <si>
    <t>Spreaker</t>
  </si>
  <si>
    <t>Twitter Media Studio</t>
  </si>
  <si>
    <t>Semrush Social Media Tool</t>
  </si>
  <si>
    <t>erased6540979_9WDUyreCn0</t>
  </si>
  <si>
    <t>Samir News</t>
  </si>
  <si>
    <t>erased1352296_tcbmdWftiW</t>
  </si>
  <si>
    <t>Postcron App</t>
  </si>
  <si>
    <t>DevappBoris</t>
  </si>
  <si>
    <t>erased25600203_HQ387EgiEW</t>
  </si>
  <si>
    <t>send post twitter</t>
  </si>
  <si>
    <t>Nelio Content</t>
  </si>
  <si>
    <t>Buffer</t>
  </si>
  <si>
    <t>El Solucionario App</t>
  </si>
  <si>
    <t>IFTTT</t>
  </si>
  <si>
    <t>Mundiware Elite CS 2</t>
  </si>
  <si>
    <t>InTouch - Pat Zaby</t>
  </si>
  <si>
    <t>1661725522391625729framemktdig</t>
  </si>
  <si>
    <t>Missinglettr Social</t>
  </si>
  <si>
    <t>Canva</t>
  </si>
  <si>
    <t>Twitter for iPad</t>
  </si>
  <si>
    <t>Make (formerly Integromat)</t>
  </si>
  <si>
    <t>Social Reputation</t>
  </si>
  <si>
    <t>Missinglettr</t>
  </si>
  <si>
    <t>CoSchedule</t>
  </si>
  <si>
    <t>swonkie</t>
  </si>
  <si>
    <t>Swonkie App</t>
  </si>
  <si>
    <t>Repurpose io</t>
  </si>
  <si>
    <t>1654230495356502016flouds_</t>
  </si>
  <si>
    <t>Twitter for Advertisers</t>
  </si>
  <si>
    <t>Jetpack.com</t>
  </si>
  <si>
    <t>erased17574753_guMjSTjr3t</t>
  </si>
  <si>
    <t>Auto Publicador Twitter 2</t>
  </si>
  <si>
    <t>Zoho Social</t>
  </si>
  <si>
    <t>es</t>
  </si>
  <si>
    <t>pt</t>
  </si>
  <si>
    <t>ca</t>
  </si>
  <si>
    <t>qme</t>
  </si>
  <si>
    <t>qht</t>
  </si>
  <si>
    <t>en</t>
  </si>
  <si>
    <t>und</t>
  </si>
  <si>
    <t>it</t>
  </si>
  <si>
    <t>eu</t>
  </si>
  <si>
    <t>19:03:32</t>
  </si>
  <si>
    <t>12:51:13</t>
  </si>
  <si>
    <t>11:35:41</t>
  </si>
  <si>
    <t>18:49:35</t>
  </si>
  <si>
    <t>01:30:07</t>
  </si>
  <si>
    <t>13:09:15</t>
  </si>
  <si>
    <t>18:32:59</t>
  </si>
  <si>
    <t>10:40:41</t>
  </si>
  <si>
    <t>10:07:02</t>
  </si>
  <si>
    <t>23:26:19</t>
  </si>
  <si>
    <t>15:20:02</t>
  </si>
  <si>
    <t>15:19:43</t>
  </si>
  <si>
    <t>22:41:20</t>
  </si>
  <si>
    <t>22:16:00</t>
  </si>
  <si>
    <t>10:15:00</t>
  </si>
  <si>
    <t>13:00:26</t>
  </si>
  <si>
    <t>15:01:37</t>
  </si>
  <si>
    <t>15:01:27</t>
  </si>
  <si>
    <t>13:00:30</t>
  </si>
  <si>
    <t>15:01:23</t>
  </si>
  <si>
    <t>14:46:41</t>
  </si>
  <si>
    <t>14:34:49</t>
  </si>
  <si>
    <t>13:01:16</t>
  </si>
  <si>
    <t>15:00:32</t>
  </si>
  <si>
    <t>15:30:22</t>
  </si>
  <si>
    <t>15:02:03</t>
  </si>
  <si>
    <t>12:31:07</t>
  </si>
  <si>
    <t>15:01:18</t>
  </si>
  <si>
    <t>15:02:21</t>
  </si>
  <si>
    <t>11:02:23</t>
  </si>
  <si>
    <t>17:32:03</t>
  </si>
  <si>
    <t>14:45:59</t>
  </si>
  <si>
    <t>14:00:30</t>
  </si>
  <si>
    <t>15:01:16</t>
  </si>
  <si>
    <t>18:30:20</t>
  </si>
  <si>
    <t>15:02:38</t>
  </si>
  <si>
    <t>17:46:53</t>
  </si>
  <si>
    <t>15:06:48</t>
  </si>
  <si>
    <t>16:54:03</t>
  </si>
  <si>
    <t>19:20:02</t>
  </si>
  <si>
    <t>20:58:43</t>
  </si>
  <si>
    <t>14:17:37</t>
  </si>
  <si>
    <t>19:53:00</t>
  </si>
  <si>
    <t>21:00:36</t>
  </si>
  <si>
    <t>19:39:02</t>
  </si>
  <si>
    <t>19:55:17</t>
  </si>
  <si>
    <t>10:39:36</t>
  </si>
  <si>
    <t>01:12:40</t>
  </si>
  <si>
    <t>14:00:02</t>
  </si>
  <si>
    <t>14:20:42</t>
  </si>
  <si>
    <t>21:08:19</t>
  </si>
  <si>
    <t>03:32:24</t>
  </si>
  <si>
    <t>21:17:35</t>
  </si>
  <si>
    <t>13:32:26</t>
  </si>
  <si>
    <t>15:02:48</t>
  </si>
  <si>
    <t>09:00:49</t>
  </si>
  <si>
    <t>20:03:59</t>
  </si>
  <si>
    <t>14:33:14</t>
  </si>
  <si>
    <t>02:07:10</t>
  </si>
  <si>
    <t>22:29:01</t>
  </si>
  <si>
    <t>17:33:33</t>
  </si>
  <si>
    <t>05:10:31</t>
  </si>
  <si>
    <t>19:37:32</t>
  </si>
  <si>
    <t>18:00:31</t>
  </si>
  <si>
    <t>14:45:42</t>
  </si>
  <si>
    <t>16:19:27</t>
  </si>
  <si>
    <t>14:00:11</t>
  </si>
  <si>
    <t>13:27:34</t>
  </si>
  <si>
    <t>21:08:22</t>
  </si>
  <si>
    <t>15:48:13</t>
  </si>
  <si>
    <t>19:27:13</t>
  </si>
  <si>
    <t>19:12:17</t>
  </si>
  <si>
    <t>21:04:19</t>
  </si>
  <si>
    <t>02:56:59</t>
  </si>
  <si>
    <t>14:58:27</t>
  </si>
  <si>
    <t>11:48:08</t>
  </si>
  <si>
    <t>11:51:49</t>
  </si>
  <si>
    <t>19:34:25</t>
  </si>
  <si>
    <t>14:46:43</t>
  </si>
  <si>
    <t>01:35:24</t>
  </si>
  <si>
    <t>12:02:33</t>
  </si>
  <si>
    <t>14:03:00</t>
  </si>
  <si>
    <t>04:01:15</t>
  </si>
  <si>
    <t>16:01:59</t>
  </si>
  <si>
    <t>09:01:33</t>
  </si>
  <si>
    <t>22:40:31</t>
  </si>
  <si>
    <t>14:02:07</t>
  </si>
  <si>
    <t>19:55:51</t>
  </si>
  <si>
    <t>11:52:44</t>
  </si>
  <si>
    <t>17:01:21</t>
  </si>
  <si>
    <t>12:56:43</t>
  </si>
  <si>
    <t>13:49:07</t>
  </si>
  <si>
    <t>00:00:03</t>
  </si>
  <si>
    <t>22:35:59</t>
  </si>
  <si>
    <t>00:04:03</t>
  </si>
  <si>
    <t>22:36:03</t>
  </si>
  <si>
    <t>22:52:49</t>
  </si>
  <si>
    <t>00:51:41</t>
  </si>
  <si>
    <t>11:26:45</t>
  </si>
  <si>
    <t>21:44:24</t>
  </si>
  <si>
    <t>23:28:32</t>
  </si>
  <si>
    <t>09:20:56</t>
  </si>
  <si>
    <t>11:00:18</t>
  </si>
  <si>
    <t>15:51:25</t>
  </si>
  <si>
    <t>10:01:22</t>
  </si>
  <si>
    <t>15:16:31</t>
  </si>
  <si>
    <t>15:04:45</t>
  </si>
  <si>
    <t>00:00:05</t>
  </si>
  <si>
    <t>12:00:24</t>
  </si>
  <si>
    <t>15:54:56</t>
  </si>
  <si>
    <t>01:54:34</t>
  </si>
  <si>
    <t>17:07:23</t>
  </si>
  <si>
    <t>17:46:38</t>
  </si>
  <si>
    <t>16:54:20</t>
  </si>
  <si>
    <t>05:20:00</t>
  </si>
  <si>
    <t>19:04:58</t>
  </si>
  <si>
    <t>01:20:34</t>
  </si>
  <si>
    <t>21:30:58</t>
  </si>
  <si>
    <t>16:53:21</t>
  </si>
  <si>
    <t>14:21:35</t>
  </si>
  <si>
    <t>12:48:06</t>
  </si>
  <si>
    <t>16:00:58</t>
  </si>
  <si>
    <t>16:59:00</t>
  </si>
  <si>
    <t>17:52:52</t>
  </si>
  <si>
    <t>13:41:49</t>
  </si>
  <si>
    <t>18:48:25</t>
  </si>
  <si>
    <t>19:18:39</t>
  </si>
  <si>
    <t>16:19:52</t>
  </si>
  <si>
    <t>14:00:49</t>
  </si>
  <si>
    <t>11:14:09</t>
  </si>
  <si>
    <t>09:30:20</t>
  </si>
  <si>
    <t>11:30:33</t>
  </si>
  <si>
    <t>12:00:57</t>
  </si>
  <si>
    <t>03:01:49</t>
  </si>
  <si>
    <t>17:11:27</t>
  </si>
  <si>
    <t>12:35:12</t>
  </si>
  <si>
    <t>17:33:01</t>
  </si>
  <si>
    <t>04:45:24</t>
  </si>
  <si>
    <t>09:42:35</t>
  </si>
  <si>
    <t>10:54:28</t>
  </si>
  <si>
    <t>16:08:14</t>
  </si>
  <si>
    <t>14:42:26</t>
  </si>
  <si>
    <t>16:02:59</t>
  </si>
  <si>
    <t>10:21:33</t>
  </si>
  <si>
    <t>19:43:01</t>
  </si>
  <si>
    <t>20:18:35</t>
  </si>
  <si>
    <t>20:00:01</t>
  </si>
  <si>
    <t>16:15:00</t>
  </si>
  <si>
    <t>18:06:00</t>
  </si>
  <si>
    <t>18:40:00</t>
  </si>
  <si>
    <t>19:36:00</t>
  </si>
  <si>
    <t>18:38:00</t>
  </si>
  <si>
    <t>19:12:00</t>
  </si>
  <si>
    <t>18:08:00</t>
  </si>
  <si>
    <t>19:08:00</t>
  </si>
  <si>
    <t>05:14:37</t>
  </si>
  <si>
    <t>05:45:38</t>
  </si>
  <si>
    <t>05:20:02</t>
  </si>
  <si>
    <t>04:00:21</t>
  </si>
  <si>
    <t>04:00:07</t>
  </si>
  <si>
    <t>00:07:12</t>
  </si>
  <si>
    <t>18:41:10</t>
  </si>
  <si>
    <t>20:28:05</t>
  </si>
  <si>
    <t>12:23:52</t>
  </si>
  <si>
    <t>14:13:48</t>
  </si>
  <si>
    <t>15:05:50</t>
  </si>
  <si>
    <t>15:01:25</t>
  </si>
  <si>
    <t>14:57:06</t>
  </si>
  <si>
    <t>14:55:43</t>
  </si>
  <si>
    <t>14:40:40</t>
  </si>
  <si>
    <t>14:26:14</t>
  </si>
  <si>
    <t>14:24:59</t>
  </si>
  <si>
    <t>14:19:15</t>
  </si>
  <si>
    <t>14:07:38</t>
  </si>
  <si>
    <t>14:00:41</t>
  </si>
  <si>
    <t>13:46:54</t>
  </si>
  <si>
    <t>14:52:55</t>
  </si>
  <si>
    <t>17:37:03</t>
  </si>
  <si>
    <t>17:25:34</t>
  </si>
  <si>
    <t>16:04:20</t>
  </si>
  <si>
    <t>16:03:34</t>
  </si>
  <si>
    <t>16:13:25</t>
  </si>
  <si>
    <t>13:39:48</t>
  </si>
  <si>
    <t>16:00:36</t>
  </si>
  <si>
    <t>09:04:27</t>
  </si>
  <si>
    <t>13:57:27</t>
  </si>
  <si>
    <t>18:58:55</t>
  </si>
  <si>
    <t>17:02:09</t>
  </si>
  <si>
    <t>20:30:35</t>
  </si>
  <si>
    <t>09:17:51</t>
  </si>
  <si>
    <t>23:20:23</t>
  </si>
  <si>
    <t>18:09:43</t>
  </si>
  <si>
    <t>23:35:41</t>
  </si>
  <si>
    <t>17:38:50</t>
  </si>
  <si>
    <t>12:02:02</t>
  </si>
  <si>
    <t>15:09:49</t>
  </si>
  <si>
    <t>10:44:05</t>
  </si>
  <si>
    <t>23:30:53</t>
  </si>
  <si>
    <t>10:08:00</t>
  </si>
  <si>
    <t>10:08:01</t>
  </si>
  <si>
    <t>14:04:43</t>
  </si>
  <si>
    <t>19:10:37</t>
  </si>
  <si>
    <t>16:00:06</t>
  </si>
  <si>
    <t>22:45:02</t>
  </si>
  <si>
    <t>18:02:18</t>
  </si>
  <si>
    <t>10:29:42</t>
  </si>
  <si>
    <t>20:50:39</t>
  </si>
  <si>
    <t>23:25:40</t>
  </si>
  <si>
    <t>21:57:16</t>
  </si>
  <si>
    <t>22:04:36</t>
  </si>
  <si>
    <t>15:09:31</t>
  </si>
  <si>
    <t>15:50:03</t>
  </si>
  <si>
    <t>17:02:23</t>
  </si>
  <si>
    <t>20:02:02</t>
  </si>
  <si>
    <t>15:56:21</t>
  </si>
  <si>
    <t>12:23:47</t>
  </si>
  <si>
    <t>04:40:18</t>
  </si>
  <si>
    <t>17:41:25</t>
  </si>
  <si>
    <t>20:05:49</t>
  </si>
  <si>
    <t>17:31:33</t>
  </si>
  <si>
    <t>15:48:11</t>
  </si>
  <si>
    <t>15:23:41</t>
  </si>
  <si>
    <t>15:52:12</t>
  </si>
  <si>
    <t>18:21:02</t>
  </si>
  <si>
    <t>18:57:27</t>
  </si>
  <si>
    <t>16:43:52</t>
  </si>
  <si>
    <t>16:42:33</t>
  </si>
  <si>
    <t>17:09:06</t>
  </si>
  <si>
    <t>17:37:18</t>
  </si>
  <si>
    <t>21:18:05</t>
  </si>
  <si>
    <t>21:28:03</t>
  </si>
  <si>
    <t>15:13:06</t>
  </si>
  <si>
    <t>18:00:33</t>
  </si>
  <si>
    <t>15:23:05</t>
  </si>
  <si>
    <t>21:18:06</t>
  </si>
  <si>
    <t>21:43:05</t>
  </si>
  <si>
    <t>21:23:04</t>
  </si>
  <si>
    <t>21:33:20</t>
  </si>
  <si>
    <t>21:23:07</t>
  </si>
  <si>
    <t>15:03:04</t>
  </si>
  <si>
    <t>15:18:09</t>
  </si>
  <si>
    <t>18:43:04</t>
  </si>
  <si>
    <t>21:33:04</t>
  </si>
  <si>
    <t>21:38:07</t>
  </si>
  <si>
    <t>15:38:06</t>
  </si>
  <si>
    <t>16:58:38</t>
  </si>
  <si>
    <t>19:30:55</t>
  </si>
  <si>
    <t>15:03:07</t>
  </si>
  <si>
    <t>15:23:06</t>
  </si>
  <si>
    <t>15:18:05</t>
  </si>
  <si>
    <t>15:13:04</t>
  </si>
  <si>
    <t>21:13:05</t>
  </si>
  <si>
    <t>21:38:04</t>
  </si>
  <si>
    <t>15:08:05</t>
  </si>
  <si>
    <t>23:33:06</t>
  </si>
  <si>
    <t>03:02:00</t>
  </si>
  <si>
    <t>21:35:39</t>
  </si>
  <si>
    <t>01:41:24</t>
  </si>
  <si>
    <t>00:25:59</t>
  </si>
  <si>
    <t>17:54:04</t>
  </si>
  <si>
    <t>03:25:44</t>
  </si>
  <si>
    <t>19:35:45</t>
  </si>
  <si>
    <t>16:48:29</t>
  </si>
  <si>
    <t>15:15:46</t>
  </si>
  <si>
    <t>20:16:45</t>
  </si>
  <si>
    <t>12:03:07</t>
  </si>
  <si>
    <t>11:06:30</t>
  </si>
  <si>
    <t>04:01:03</t>
  </si>
  <si>
    <t>22:51:48</t>
  </si>
  <si>
    <t>01:41:35</t>
  </si>
  <si>
    <t>20:30:26</t>
  </si>
  <si>
    <t>11:15:00</t>
  </si>
  <si>
    <t>14:19:40</t>
  </si>
  <si>
    <t>19:13:23</t>
  </si>
  <si>
    <t>14:43:40</t>
  </si>
  <si>
    <t>14:43:08</t>
  </si>
  <si>
    <t>18:02:39</t>
  </si>
  <si>
    <t>12:33:38</t>
  </si>
  <si>
    <t>18:50:30</t>
  </si>
  <si>
    <t>14:50:30</t>
  </si>
  <si>
    <t>15:50:00</t>
  </si>
  <si>
    <t>21:32:24</t>
  </si>
  <si>
    <t>00:38:27</t>
  </si>
  <si>
    <t>20:46:23</t>
  </si>
  <si>
    <t>18:44:01</t>
  </si>
  <si>
    <t>14:13:00</t>
  </si>
  <si>
    <t>16:59:37</t>
  </si>
  <si>
    <t>17:10:28</t>
  </si>
  <si>
    <t>16:32:20</t>
  </si>
  <si>
    <t>14:30:30</t>
  </si>
  <si>
    <t>17:56:09</t>
  </si>
  <si>
    <t>15:22:36</t>
  </si>
  <si>
    <t>16:33:58</t>
  </si>
  <si>
    <t>21:48:49</t>
  </si>
  <si>
    <t>16:20:53</t>
  </si>
  <si>
    <t>19:15:11</t>
  </si>
  <si>
    <t>16:30:00</t>
  </si>
  <si>
    <t>23:00:12</t>
  </si>
  <si>
    <t>00:26:28</t>
  </si>
  <si>
    <t>20:50:00</t>
  </si>
  <si>
    <t>19:45:43</t>
  </si>
  <si>
    <t>18:53:35</t>
  </si>
  <si>
    <t>18:00:00</t>
  </si>
  <si>
    <t>16:03:39</t>
  </si>
  <si>
    <t>23:42:08</t>
  </si>
  <si>
    <t>01:54:41</t>
  </si>
  <si>
    <t>12:22:14</t>
  </si>
  <si>
    <t>17:08:20</t>
  </si>
  <si>
    <t>15:10:02</t>
  </si>
  <si>
    <t>14:00:43</t>
  </si>
  <si>
    <t>22:01:36</t>
  </si>
  <si>
    <t>21:06:05</t>
  </si>
  <si>
    <t>23:25:16</t>
  </si>
  <si>
    <t>16:24:01</t>
  </si>
  <si>
    <t>21:00:11</t>
  </si>
  <si>
    <t>17:02:49</t>
  </si>
  <si>
    <t>19:57:44</t>
  </si>
  <si>
    <t>14:46:51</t>
  </si>
  <si>
    <t>20:48:01</t>
  </si>
  <si>
    <t>19:18:24</t>
  </si>
  <si>
    <t>12:09:38</t>
  </si>
  <si>
    <t>22:59:00</t>
  </si>
  <si>
    <t>21:39:07</t>
  </si>
  <si>
    <t>17:39:23</t>
  </si>
  <si>
    <t>16:06:38</t>
  </si>
  <si>
    <t>08:45:10</t>
  </si>
  <si>
    <t>19:36:39</t>
  </si>
  <si>
    <t>21:32:25</t>
  </si>
  <si>
    <t>19:53:24</t>
  </si>
  <si>
    <t>21:45:34</t>
  </si>
  <si>
    <t>15:18:36</t>
  </si>
  <si>
    <t>15:40:32</t>
  </si>
  <si>
    <t>08:18:06</t>
  </si>
  <si>
    <t>15:05:11</t>
  </si>
  <si>
    <t>01:36:00</t>
  </si>
  <si>
    <t>13:01:14</t>
  </si>
  <si>
    <t>22:56:38</t>
  </si>
  <si>
    <t>20:36:38</t>
  </si>
  <si>
    <t>10:01:46</t>
  </si>
  <si>
    <t>14:46:00</t>
  </si>
  <si>
    <t>00:13:59</t>
  </si>
  <si>
    <t>22:38:31</t>
  </si>
  <si>
    <t>18:46:59</t>
  </si>
  <si>
    <t>12:15:04</t>
  </si>
  <si>
    <t>16:03:03</t>
  </si>
  <si>
    <t>02:48:18</t>
  </si>
  <si>
    <t>03:50:53</t>
  </si>
  <si>
    <t>16:40:27</t>
  </si>
  <si>
    <t>19:41:35</t>
  </si>
  <si>
    <t>17:47:41</t>
  </si>
  <si>
    <t>17:37:17</t>
  </si>
  <si>
    <t>12:57:59</t>
  </si>
  <si>
    <t>11:36:26</t>
  </si>
  <si>
    <t>13:48:05</t>
  </si>
  <si>
    <t>11:20:10</t>
  </si>
  <si>
    <t>22:51:14</t>
  </si>
  <si>
    <t>11:26:46</t>
  </si>
  <si>
    <t>13:42:24</t>
  </si>
  <si>
    <t>12:09:22</t>
  </si>
  <si>
    <t>12:58:31</t>
  </si>
  <si>
    <t>12:11:08</t>
  </si>
  <si>
    <t>21:06:37</t>
  </si>
  <si>
    <t>12:00:04</t>
  </si>
  <si>
    <t>11:51:02</t>
  </si>
  <si>
    <t>20:05:03</t>
  </si>
  <si>
    <t>23:21:50</t>
  </si>
  <si>
    <t>16:20:56</t>
  </si>
  <si>
    <t>20:14:47</t>
  </si>
  <si>
    <t>11:28:33</t>
  </si>
  <si>
    <t>19:30:00</t>
  </si>
  <si>
    <t>18:00:05</t>
  </si>
  <si>
    <t>14:30:52</t>
  </si>
  <si>
    <t>21:30:11</t>
  </si>
  <si>
    <t>21:30:10</t>
  </si>
  <si>
    <t>15:11:54</t>
  </si>
  <si>
    <t>03:31:25</t>
  </si>
  <si>
    <t>14:03:44</t>
  </si>
  <si>
    <t>17:28:27</t>
  </si>
  <si>
    <t>13:04:00</t>
  </si>
  <si>
    <t>05:13:10</t>
  </si>
  <si>
    <t>14:40:18</t>
  </si>
  <si>
    <t>14:35:22</t>
  </si>
  <si>
    <t>18:25:06</t>
  </si>
  <si>
    <t>20:01:33</t>
  </si>
  <si>
    <t>19:55:20</t>
  </si>
  <si>
    <t>20:23:22</t>
  </si>
  <si>
    <t>13:01:28</t>
  </si>
  <si>
    <t>12:30:18</t>
  </si>
  <si>
    <t>11:05:17</t>
  </si>
  <si>
    <t>21:01:36</t>
  </si>
  <si>
    <t>20:35:17</t>
  </si>
  <si>
    <t>15:30:19</t>
  </si>
  <si>
    <t>12:30:22</t>
  </si>
  <si>
    <t>17:30:19</t>
  </si>
  <si>
    <t>15:01:28</t>
  </si>
  <si>
    <t>13:02:28</t>
  </si>
  <si>
    <t>10:30:14</t>
  </si>
  <si>
    <t>19:00:23</t>
  </si>
  <si>
    <t>17:01:02</t>
  </si>
  <si>
    <t>20:00:59</t>
  </si>
  <si>
    <t>12:00:29</t>
  </si>
  <si>
    <t>17:30:20</t>
  </si>
  <si>
    <t>16:00:32</t>
  </si>
  <si>
    <t>17:30:13</t>
  </si>
  <si>
    <t>11:01:27</t>
  </si>
  <si>
    <t>17:01:16</t>
  </si>
  <si>
    <t>14:00:47</t>
  </si>
  <si>
    <t>14:00:21</t>
  </si>
  <si>
    <t>13:01:20</t>
  </si>
  <si>
    <t>10:30:17</t>
  </si>
  <si>
    <t>14:00:33</t>
  </si>
  <si>
    <t>17:00:22</t>
  </si>
  <si>
    <t>20:30:16</t>
  </si>
  <si>
    <t>12:01:27</t>
  </si>
  <si>
    <t>15:30:20</t>
  </si>
  <si>
    <t>16:30:21</t>
  </si>
  <si>
    <t>19:30:17</t>
  </si>
  <si>
    <t>19:00:19</t>
  </si>
  <si>
    <t>15:01:21</t>
  </si>
  <si>
    <t>14:31:06</t>
  </si>
  <si>
    <t>19:00:59</t>
  </si>
  <si>
    <t>19:00:58</t>
  </si>
  <si>
    <t>18:01:21</t>
  </si>
  <si>
    <t>13:30:23</t>
  </si>
  <si>
    <t>16:30:20</t>
  </si>
  <si>
    <t>13:15:12</t>
  </si>
  <si>
    <t>19:05:14</t>
  </si>
  <si>
    <t>12:04:06</t>
  </si>
  <si>
    <t>11:55:36</t>
  </si>
  <si>
    <t>11:50:17</t>
  </si>
  <si>
    <t>01:48:08</t>
  </si>
  <si>
    <t>21:15:24</t>
  </si>
  <si>
    <t>23:32:32</t>
  </si>
  <si>
    <t>00:52:35</t>
  </si>
  <si>
    <t>11:56:05</t>
  </si>
  <si>
    <t>11:53:39</t>
  </si>
  <si>
    <t>16:15:25</t>
  </si>
  <si>
    <t>02:56:54</t>
  </si>
  <si>
    <t>22:38:06</t>
  </si>
  <si>
    <t>22:42:26</t>
  </si>
  <si>
    <t>22:38:39</t>
  </si>
  <si>
    <t>22:27:46</t>
  </si>
  <si>
    <t>22:25:01</t>
  </si>
  <si>
    <t>16:55:15</t>
  </si>
  <si>
    <t>14:08:21</t>
  </si>
  <si>
    <t>13:42:03</t>
  </si>
  <si>
    <t>13:41:40</t>
  </si>
  <si>
    <t>21:24:04</t>
  </si>
  <si>
    <t>21:14:49</t>
  </si>
  <si>
    <t>22:31:27</t>
  </si>
  <si>
    <t>22:30:58</t>
  </si>
  <si>
    <t>22:27:23</t>
  </si>
  <si>
    <t>00:06:55</t>
  </si>
  <si>
    <t>00:05:34</t>
  </si>
  <si>
    <t>23:22:07</t>
  </si>
  <si>
    <t>23:18:53</t>
  </si>
  <si>
    <t>15:45:54</t>
  </si>
  <si>
    <t>15:07:43</t>
  </si>
  <si>
    <t>12:46:20</t>
  </si>
  <si>
    <t>12:17:50</t>
  </si>
  <si>
    <t>11:50:30</t>
  </si>
  <si>
    <t>23:59:07</t>
  </si>
  <si>
    <t>15:00:16</t>
  </si>
  <si>
    <t>23:20:02</t>
  </si>
  <si>
    <t>23:05:39</t>
  </si>
  <si>
    <t>15:02:57</t>
  </si>
  <si>
    <t>14:57:33</t>
  </si>
  <si>
    <t>23:21:36</t>
  </si>
  <si>
    <t>00:30:04</t>
  </si>
  <si>
    <t>15:41:23</t>
  </si>
  <si>
    <t>15:38:49</t>
  </si>
  <si>
    <t>00:03:50</t>
  </si>
  <si>
    <t>00:26:35</t>
  </si>
  <si>
    <t>22:45:42</t>
  </si>
  <si>
    <t>01:16:44</t>
  </si>
  <si>
    <t>01:14:27</t>
  </si>
  <si>
    <t>01:07:07</t>
  </si>
  <si>
    <t>01:06:14</t>
  </si>
  <si>
    <t>00:46:02</t>
  </si>
  <si>
    <t>19:08:17</t>
  </si>
  <si>
    <t>19:06:02</t>
  </si>
  <si>
    <t>00:56:02</t>
  </si>
  <si>
    <t>23:48:42</t>
  </si>
  <si>
    <t>23:31:48</t>
  </si>
  <si>
    <t>00:03:08</t>
  </si>
  <si>
    <t>15:10:29</t>
  </si>
  <si>
    <t>14:48:10</t>
  </si>
  <si>
    <t>14:44:22</t>
  </si>
  <si>
    <t>14:24:29</t>
  </si>
  <si>
    <t>14:15:30</t>
  </si>
  <si>
    <t>01:46:17</t>
  </si>
  <si>
    <t>15:46:45</t>
  </si>
  <si>
    <t>12:53:04</t>
  </si>
  <si>
    <t>12:29:46</t>
  </si>
  <si>
    <t>12:12:28</t>
  </si>
  <si>
    <t>12:04:50</t>
  </si>
  <si>
    <t>00:08:10</t>
  </si>
  <si>
    <t>23:15:41</t>
  </si>
  <si>
    <t>22:07:48</t>
  </si>
  <si>
    <t>17:06:17</t>
  </si>
  <si>
    <t>21:38:24</t>
  </si>
  <si>
    <t>21:37:57</t>
  </si>
  <si>
    <t>15:03:59</t>
  </si>
  <si>
    <t>14:18:40</t>
  </si>
  <si>
    <t>03:50:56</t>
  </si>
  <si>
    <t>03:46:14</t>
  </si>
  <si>
    <t>03:39:26</t>
  </si>
  <si>
    <t>03:36:50</t>
  </si>
  <si>
    <t>03:22:27</t>
  </si>
  <si>
    <t>03:04:42</t>
  </si>
  <si>
    <t>01:02:41</t>
  </si>
  <si>
    <t>00:52:32</t>
  </si>
  <si>
    <t>00:38:17</t>
  </si>
  <si>
    <t>17:07:15</t>
  </si>
  <si>
    <t>21:38:47</t>
  </si>
  <si>
    <t>21:35:47</t>
  </si>
  <si>
    <t>21:19:31</t>
  </si>
  <si>
    <t>21:10:30</t>
  </si>
  <si>
    <t>20:55:08</t>
  </si>
  <si>
    <t>00:59:24</t>
  </si>
  <si>
    <t>15:09:06</t>
  </si>
  <si>
    <t>15:05:35</t>
  </si>
  <si>
    <t>14:47:29</t>
  </si>
  <si>
    <t>14:35:19</t>
  </si>
  <si>
    <t>14:49:41</t>
  </si>
  <si>
    <t>14:49:12</t>
  </si>
  <si>
    <t>11:17:22</t>
  </si>
  <si>
    <t>23:31:26</t>
  </si>
  <si>
    <t>23:05:02</t>
  </si>
  <si>
    <t>22:31:52</t>
  </si>
  <si>
    <t>15:30:58</t>
  </si>
  <si>
    <t>12:45:22</t>
  </si>
  <si>
    <t>12:44:13</t>
  </si>
  <si>
    <t>23:53:55</t>
  </si>
  <si>
    <t>22:58:32</t>
  </si>
  <si>
    <t>01:41:56</t>
  </si>
  <si>
    <t>22:41:23</t>
  </si>
  <si>
    <t>15:48:44</t>
  </si>
  <si>
    <t>23:33:35</t>
  </si>
  <si>
    <t>23:22:50</t>
  </si>
  <si>
    <t>23:14:35</t>
  </si>
  <si>
    <t>23:12:01</t>
  </si>
  <si>
    <t>22:55:28</t>
  </si>
  <si>
    <t>22:16:47</t>
  </si>
  <si>
    <t>15:19:01</t>
  </si>
  <si>
    <t>15:09:09</t>
  </si>
  <si>
    <t>00:34:48</t>
  </si>
  <si>
    <t>21:41:04</t>
  </si>
  <si>
    <t>00:55:13</t>
  </si>
  <si>
    <t>00:25:47</t>
  </si>
  <si>
    <t>00:24:54</t>
  </si>
  <si>
    <t>14:38:54</t>
  </si>
  <si>
    <t>15:28:17</t>
  </si>
  <si>
    <t>17:25:09</t>
  </si>
  <si>
    <t>17:19:58</t>
  </si>
  <si>
    <t>16:27:24</t>
  </si>
  <si>
    <t>14:38:53</t>
  </si>
  <si>
    <t>14:37:36</t>
  </si>
  <si>
    <t>14:35:49</t>
  </si>
  <si>
    <t>16:48:12</t>
  </si>
  <si>
    <t>16:33:45</t>
  </si>
  <si>
    <t>15:59:28</t>
  </si>
  <si>
    <t>14:34:55</t>
  </si>
  <si>
    <t>13:15:10</t>
  </si>
  <si>
    <t>23:37:58</t>
  </si>
  <si>
    <t>22:12:27</t>
  </si>
  <si>
    <t>22:10:03</t>
  </si>
  <si>
    <t>21:58:02</t>
  </si>
  <si>
    <t>21:54:38</t>
  </si>
  <si>
    <t>21:45:54</t>
  </si>
  <si>
    <t>19:28:22</t>
  </si>
  <si>
    <t>19:27:16</t>
  </si>
  <si>
    <t>19:26:34</t>
  </si>
  <si>
    <t>19:25:10</t>
  </si>
  <si>
    <t>19:19:29</t>
  </si>
  <si>
    <t>19:18:14</t>
  </si>
  <si>
    <t>19:14:48</t>
  </si>
  <si>
    <t>19:14:10</t>
  </si>
  <si>
    <t>19:13:31</t>
  </si>
  <si>
    <t>19:12:53</t>
  </si>
  <si>
    <t>19:09:51</t>
  </si>
  <si>
    <t>19:04:16</t>
  </si>
  <si>
    <t>18:55:31</t>
  </si>
  <si>
    <t>18:53:22</t>
  </si>
  <si>
    <t>15:11:03</t>
  </si>
  <si>
    <t>15:00:19</t>
  </si>
  <si>
    <t>14:55:19</t>
  </si>
  <si>
    <t>14:46:36</t>
  </si>
  <si>
    <t>14:41:36</t>
  </si>
  <si>
    <t>14:40:49</t>
  </si>
  <si>
    <t>14:40:14</t>
  </si>
  <si>
    <t>14:27:26</t>
  </si>
  <si>
    <t>14:05:33</t>
  </si>
  <si>
    <t>13:59:11</t>
  </si>
  <si>
    <t>12:44:03</t>
  </si>
  <si>
    <t>12:36:09</t>
  </si>
  <si>
    <t>12:31:40</t>
  </si>
  <si>
    <t>02:30:06</t>
  </si>
  <si>
    <t>02:23:39</t>
  </si>
  <si>
    <t>02:22:35</t>
  </si>
  <si>
    <t>01:39:09</t>
  </si>
  <si>
    <t>23:02:47</t>
  </si>
  <si>
    <t>12:20:09</t>
  </si>
  <si>
    <t>12:17:07</t>
  </si>
  <si>
    <t>19:32:14</t>
  </si>
  <si>
    <t>19:18:58</t>
  </si>
  <si>
    <t>18:52:23</t>
  </si>
  <si>
    <t>23:33:50</t>
  </si>
  <si>
    <t>23:14:46</t>
  </si>
  <si>
    <t>21:59:04</t>
  </si>
  <si>
    <t>19:51:24</t>
  </si>
  <si>
    <t>20:26:13</t>
  </si>
  <si>
    <t>14:29:45</t>
  </si>
  <si>
    <t>15:04:39</t>
  </si>
  <si>
    <t>15:03:45</t>
  </si>
  <si>
    <t>14:31:24</t>
  </si>
  <si>
    <t>13:41:14</t>
  </si>
  <si>
    <t>13:40:25</t>
  </si>
  <si>
    <t>13:37:20</t>
  </si>
  <si>
    <t>19:58:59</t>
  </si>
  <si>
    <t>21:13:36</t>
  </si>
  <si>
    <t>20:18:31</t>
  </si>
  <si>
    <t>20:10:50</t>
  </si>
  <si>
    <t>20:00:27</t>
  </si>
  <si>
    <t>19:52:14</t>
  </si>
  <si>
    <t>23:10:10</t>
  </si>
  <si>
    <t>22:58:34</t>
  </si>
  <si>
    <t>22:56:46</t>
  </si>
  <si>
    <t>22:54:48</t>
  </si>
  <si>
    <t>23:47:24</t>
  </si>
  <si>
    <t>23:57:12</t>
  </si>
  <si>
    <t>23:47:25</t>
  </si>
  <si>
    <t>23:29:33</t>
  </si>
  <si>
    <t>21:40:21</t>
  </si>
  <si>
    <t>02:07:43</t>
  </si>
  <si>
    <t>15:01:46</t>
  </si>
  <si>
    <t>14:09:42</t>
  </si>
  <si>
    <t>14:07:24</t>
  </si>
  <si>
    <t>14:05:37</t>
  </si>
  <si>
    <t>13:59:22</t>
  </si>
  <si>
    <t>13:57:59</t>
  </si>
  <si>
    <t>15:24:17</t>
  </si>
  <si>
    <t>15:20:56</t>
  </si>
  <si>
    <t>00:40:10</t>
  </si>
  <si>
    <t>00:34:44</t>
  </si>
  <si>
    <t>00:29:57</t>
  </si>
  <si>
    <t>00:27:07</t>
  </si>
  <si>
    <t>00:18:30</t>
  </si>
  <si>
    <t>00:17:53</t>
  </si>
  <si>
    <t>23:56:48</t>
  </si>
  <si>
    <t>15:24:16</t>
  </si>
  <si>
    <t>12:53:01</t>
  </si>
  <si>
    <t>00:40:31</t>
  </si>
  <si>
    <t>00:39:25</t>
  </si>
  <si>
    <t>00:29:31</t>
  </si>
  <si>
    <t>00:21:44</t>
  </si>
  <si>
    <t>00:08:32</t>
  </si>
  <si>
    <t>23:52:05</t>
  </si>
  <si>
    <t>23:48:36</t>
  </si>
  <si>
    <t>02:20:18</t>
  </si>
  <si>
    <t>19:59:50</t>
  </si>
  <si>
    <t>19:39:40</t>
  </si>
  <si>
    <t>19:37:50</t>
  </si>
  <si>
    <t>21:52:49</t>
  </si>
  <si>
    <t>15:39:51</t>
  </si>
  <si>
    <t>23:19:36</t>
  </si>
  <si>
    <t>00:55:49</t>
  </si>
  <si>
    <t>23:10:09</t>
  </si>
  <si>
    <t>22:04:04</t>
  </si>
  <si>
    <t>21:52:58</t>
  </si>
  <si>
    <t>21:35:32</t>
  </si>
  <si>
    <t>15:09:34</t>
  </si>
  <si>
    <t>21:51:34</t>
  </si>
  <si>
    <t>20:55:52</t>
  </si>
  <si>
    <t>20:08:00</t>
  </si>
  <si>
    <t>20:05:15</t>
  </si>
  <si>
    <t>20:03:35</t>
  </si>
  <si>
    <t>20:02:44</t>
  </si>
  <si>
    <t>19:31:30</t>
  </si>
  <si>
    <t>19:25:16</t>
  </si>
  <si>
    <t>22:53:20</t>
  </si>
  <si>
    <t>00:35:55</t>
  </si>
  <si>
    <t>00:20:16</t>
  </si>
  <si>
    <t>23:35:13</t>
  </si>
  <si>
    <t>23:31:35</t>
  </si>
  <si>
    <t>21:59:33</t>
  </si>
  <si>
    <t>20:29:06</t>
  </si>
  <si>
    <t>13:19:16</t>
  </si>
  <si>
    <t>14:23:18</t>
  </si>
  <si>
    <t>14:20:03</t>
  </si>
  <si>
    <t>01:47:54</t>
  </si>
  <si>
    <t>01:23:59</t>
  </si>
  <si>
    <t>23:38:10</t>
  </si>
  <si>
    <t>16:18:53</t>
  </si>
  <si>
    <t>01:20:39</t>
  </si>
  <si>
    <t>15:48:25</t>
  </si>
  <si>
    <t>16:52:23</t>
  </si>
  <si>
    <t>13:08:07</t>
  </si>
  <si>
    <t>14:45:12</t>
  </si>
  <si>
    <t>21:14:29</t>
  </si>
  <si>
    <t>13:33:49</t>
  </si>
  <si>
    <t>13:28:25</t>
  </si>
  <si>
    <t>06:58:36</t>
  </si>
  <si>
    <t>06:29:43</t>
  </si>
  <si>
    <t>11:53:36</t>
  </si>
  <si>
    <t>21:01:50</t>
  </si>
  <si>
    <t>16:55:00</t>
  </si>
  <si>
    <t>16:17:47</t>
  </si>
  <si>
    <t>15:53:34</t>
  </si>
  <si>
    <t>18:52:49</t>
  </si>
  <si>
    <t>16:03:13</t>
  </si>
  <si>
    <t>17:06:09</t>
  </si>
  <si>
    <t>16:41:03</t>
  </si>
  <si>
    <t>22:23:41</t>
  </si>
  <si>
    <t>10:57:50</t>
  </si>
  <si>
    <t>13:52:24</t>
  </si>
  <si>
    <t>23:49:04</t>
  </si>
  <si>
    <t>12:18:42</t>
  </si>
  <si>
    <t>11:25:20</t>
  </si>
  <si>
    <t>10:13:28</t>
  </si>
  <si>
    <t>11:39:25</t>
  </si>
  <si>
    <t>10:26:20</t>
  </si>
  <si>
    <t>09:06:38</t>
  </si>
  <si>
    <t>09:47:40</t>
  </si>
  <si>
    <t>16:09:10</t>
  </si>
  <si>
    <t>11:54:09</t>
  </si>
  <si>
    <t>11:22:29</t>
  </si>
  <si>
    <t>11:58:56</t>
  </si>
  <si>
    <t>01:30:12</t>
  </si>
  <si>
    <t>11:44:12</t>
  </si>
  <si>
    <t>15:46:17</t>
  </si>
  <si>
    <t>11:12:47</t>
  </si>
  <si>
    <t>13:49:57</t>
  </si>
  <si>
    <t>00:35:25</t>
  </si>
  <si>
    <t>23:03:30</t>
  </si>
  <si>
    <t>19:17:37</t>
  </si>
  <si>
    <t>11:30:05</t>
  </si>
  <si>
    <t>00:46:50</t>
  </si>
  <si>
    <t>12:17:08</t>
  </si>
  <si>
    <t>10:44:40</t>
  </si>
  <si>
    <t>03:14:09</t>
  </si>
  <si>
    <t>11:47:25</t>
  </si>
  <si>
    <t>22:55:42</t>
  </si>
  <si>
    <t>09:41:03</t>
  </si>
  <si>
    <t>00:18:22</t>
  </si>
  <si>
    <t>11:29:17</t>
  </si>
  <si>
    <t>21:59:35</t>
  </si>
  <si>
    <t>11:44:14</t>
  </si>
  <si>
    <t>16:51:35</t>
  </si>
  <si>
    <t>10:33:34</t>
  </si>
  <si>
    <t>12:01:12</t>
  </si>
  <si>
    <t>16:09:19</t>
  </si>
  <si>
    <t>11:52:54</t>
  </si>
  <si>
    <t>10:10:28</t>
  </si>
  <si>
    <t>11:58:46</t>
  </si>
  <si>
    <t>15:27:31</t>
  </si>
  <si>
    <t>10:00:14</t>
  </si>
  <si>
    <t>21:25:10</t>
  </si>
  <si>
    <t>10:57:45</t>
  </si>
  <si>
    <t>10:22:25</t>
  </si>
  <si>
    <t>12:02:23</t>
  </si>
  <si>
    <t>20:32:50</t>
  </si>
  <si>
    <t>11:06:36</t>
  </si>
  <si>
    <t>10:13:48</t>
  </si>
  <si>
    <t>09:43:45</t>
  </si>
  <si>
    <t>11:46:51</t>
  </si>
  <si>
    <t>17:45:41</t>
  </si>
  <si>
    <t>09:50:50</t>
  </si>
  <si>
    <t>10:32:15</t>
  </si>
  <si>
    <t>10:44:18</t>
  </si>
  <si>
    <t>11:19:36</t>
  </si>
  <si>
    <t>02:39:26</t>
  </si>
  <si>
    <t>16:23:51</t>
  </si>
  <si>
    <t>17:48:20</t>
  </si>
  <si>
    <t>11:14:01</t>
  </si>
  <si>
    <t>21:16:05</t>
  </si>
  <si>
    <t>14:55:04</t>
  </si>
  <si>
    <t>09:23:29</t>
  </si>
  <si>
    <t>11:46:34</t>
  </si>
  <si>
    <t>13:37:31</t>
  </si>
  <si>
    <t>17:09:37</t>
  </si>
  <si>
    <t>11:08:55</t>
  </si>
  <si>
    <t>17:26:39</t>
  </si>
  <si>
    <t>22:25:30</t>
  </si>
  <si>
    <t>15:18:23</t>
  </si>
  <si>
    <t>13:02:59</t>
  </si>
  <si>
    <t>11:20:42</t>
  </si>
  <si>
    <t>21:11:54</t>
  </si>
  <si>
    <t>11:27:08</t>
  </si>
  <si>
    <t>12:48:01</t>
  </si>
  <si>
    <t>10:26:03</t>
  </si>
  <si>
    <t>17:58:12</t>
  </si>
  <si>
    <t>03:17:20</t>
  </si>
  <si>
    <t>16:46:12</t>
  </si>
  <si>
    <t>18:00:52</t>
  </si>
  <si>
    <t>17:36:26</t>
  </si>
  <si>
    <t>18:13:00</t>
  </si>
  <si>
    <t>23:20:48</t>
  </si>
  <si>
    <t>17:37:29</t>
  </si>
  <si>
    <t>22:12:45</t>
  </si>
  <si>
    <t>21:27:26</t>
  </si>
  <si>
    <t>22:02:32</t>
  </si>
  <si>
    <t>20:18:48</t>
  </si>
  <si>
    <t>20:48:23</t>
  </si>
  <si>
    <t>17:27:28</t>
  </si>
  <si>
    <t>23:17:22</t>
  </si>
  <si>
    <t>18:15:32</t>
  </si>
  <si>
    <t>23:27:55</t>
  </si>
  <si>
    <t>18:17:52</t>
  </si>
  <si>
    <t>16:49:26</t>
  </si>
  <si>
    <t>18:53:15</t>
  </si>
  <si>
    <t>19:03:53</t>
  </si>
  <si>
    <t>19:02:29</t>
  </si>
  <si>
    <t>17:51:57</t>
  </si>
  <si>
    <t>17:51:02</t>
  </si>
  <si>
    <t>21:33:23</t>
  </si>
  <si>
    <t>21:31:27</t>
  </si>
  <si>
    <t>19:33:13</t>
  </si>
  <si>
    <t>16:22:16</t>
  </si>
  <si>
    <t>20:30:20</t>
  </si>
  <si>
    <t>14:21:04</t>
  </si>
  <si>
    <t>19:43:27</t>
  </si>
  <si>
    <t>09:39:14</t>
  </si>
  <si>
    <t>09:34:12</t>
  </si>
  <si>
    <t>09:27:15</t>
  </si>
  <si>
    <t>07:52:35</t>
  </si>
  <si>
    <t>10:42:18</t>
  </si>
  <si>
    <t>09:25:21</t>
  </si>
  <si>
    <t>19:17:10</t>
  </si>
  <si>
    <t>07:35:00</t>
  </si>
  <si>
    <t>01:45:17</t>
  </si>
  <si>
    <t>17:14:16</t>
  </si>
  <si>
    <t>22:32:11</t>
  </si>
  <si>
    <t>23:16:39</t>
  </si>
  <si>
    <t>22:31:48</t>
  </si>
  <si>
    <t>07:55:00</t>
  </si>
  <si>
    <t>07:45:30</t>
  </si>
  <si>
    <t>05:55:00</t>
  </si>
  <si>
    <t>11:49:53</t>
  </si>
  <si>
    <t>00:48:29</t>
  </si>
  <si>
    <t>21:42:08</t>
  </si>
  <si>
    <t>03:01:24</t>
  </si>
  <si>
    <t>20:28:43</t>
  </si>
  <si>
    <t>20:03:38</t>
  </si>
  <si>
    <t>18:52:28</t>
  </si>
  <si>
    <t>15:09:03</t>
  </si>
  <si>
    <t>21:12:00</t>
  </si>
  <si>
    <t>22:49:04</t>
  </si>
  <si>
    <t>01:13:38</t>
  </si>
  <si>
    <t>14:40:09</t>
  </si>
  <si>
    <t>14:40:12</t>
  </si>
  <si>
    <t>14:40:10</t>
  </si>
  <si>
    <t>20:54:57</t>
  </si>
  <si>
    <t>20:30:11</t>
  </si>
  <si>
    <t>19:59:56</t>
  </si>
  <si>
    <t>03:00:05</t>
  </si>
  <si>
    <t>05:30:04</t>
  </si>
  <si>
    <t>14:16:27</t>
  </si>
  <si>
    <t>14:30:11</t>
  </si>
  <si>
    <t>13:56:27</t>
  </si>
  <si>
    <t>17:22:29</t>
  </si>
  <si>
    <t>04:27:42</t>
  </si>
  <si>
    <t>06:29:06</t>
  </si>
  <si>
    <t>06:27:41</t>
  </si>
  <si>
    <t>00:14:54</t>
  </si>
  <si>
    <t>02:34:21</t>
  </si>
  <si>
    <t>05:53:35</t>
  </si>
  <si>
    <t>05:50:35</t>
  </si>
  <si>
    <t>01:38:49</t>
  </si>
  <si>
    <t>02:57:55</t>
  </si>
  <si>
    <t>05:48:25</t>
  </si>
  <si>
    <t>03:32:56</t>
  </si>
  <si>
    <t>03:14:52</t>
  </si>
  <si>
    <t>06:05:54</t>
  </si>
  <si>
    <t>03:26:17</t>
  </si>
  <si>
    <t>04:48:14</t>
  </si>
  <si>
    <t>01:20:14</t>
  </si>
  <si>
    <t>00:23:55</t>
  </si>
  <si>
    <t>16:00:26</t>
  </si>
  <si>
    <t>13:45:22</t>
  </si>
  <si>
    <t>21:56:31</t>
  </si>
  <si>
    <t>17:16:05</t>
  </si>
  <si>
    <t>18:02:07</t>
  </si>
  <si>
    <t>03:45:43</t>
  </si>
  <si>
    <t>03:45:40</t>
  </si>
  <si>
    <t>18:37:38</t>
  </si>
  <si>
    <t>14:16:33</t>
  </si>
  <si>
    <t>18:19:41</t>
  </si>
  <si>
    <t>17:08:35</t>
  </si>
  <si>
    <t>17:08:32</t>
  </si>
  <si>
    <t>17:08:30</t>
  </si>
  <si>
    <t>17:08:18</t>
  </si>
  <si>
    <t>17:08:13</t>
  </si>
  <si>
    <t>18:55:11</t>
  </si>
  <si>
    <t>00:10:53</t>
  </si>
  <si>
    <t>18:41:51</t>
  </si>
  <si>
    <t>17:40:19</t>
  </si>
  <si>
    <t>21:34:43</t>
  </si>
  <si>
    <t>18:31:07</t>
  </si>
  <si>
    <t>18:55:04</t>
  </si>
  <si>
    <t>18:54:34</t>
  </si>
  <si>
    <t>20:24:34</t>
  </si>
  <si>
    <t>19:16:23</t>
  </si>
  <si>
    <t>19:38:32</t>
  </si>
  <si>
    <t>16:53:18</t>
  </si>
  <si>
    <t>16:53:04</t>
  </si>
  <si>
    <t>18:43:02</t>
  </si>
  <si>
    <t>22:46:09</t>
  </si>
  <si>
    <t>10:06:19</t>
  </si>
  <si>
    <t>10:38:01</t>
  </si>
  <si>
    <t>11:16:25</t>
  </si>
  <si>
    <t>11:20:22</t>
  </si>
  <si>
    <t>10:18:36</t>
  </si>
  <si>
    <t>16:31:41</t>
  </si>
  <si>
    <t>10:39:03</t>
  </si>
  <si>
    <t>11:02:03</t>
  </si>
  <si>
    <t>11:00:02</t>
  </si>
  <si>
    <t>12:37:30</t>
  </si>
  <si>
    <t>13:14:30</t>
  </si>
  <si>
    <t>19:04:35</t>
  </si>
  <si>
    <t>17:24:01</t>
  </si>
  <si>
    <t>01:15:24</t>
  </si>
  <si>
    <t>21:43:19</t>
  </si>
  <si>
    <t>23:19:02</t>
  </si>
  <si>
    <t>12:40:57</t>
  </si>
  <si>
    <t>12:56:50</t>
  </si>
  <si>
    <t>12:34:00</t>
  </si>
  <si>
    <t>12:18:34</t>
  </si>
  <si>
    <t>11:11:05</t>
  </si>
  <si>
    <t>11:22:58</t>
  </si>
  <si>
    <t>01:19:59</t>
  </si>
  <si>
    <t>22:54:27</t>
  </si>
  <si>
    <t>21:14:32</t>
  </si>
  <si>
    <t>09:37:51</t>
  </si>
  <si>
    <t>13:04:48</t>
  </si>
  <si>
    <t>12:29:22</t>
  </si>
  <si>
    <t>10:19:21</t>
  </si>
  <si>
    <t>14:06:33</t>
  </si>
  <si>
    <t>00:17:40</t>
  </si>
  <si>
    <t>01:03:43</t>
  </si>
  <si>
    <t>20:57:46</t>
  </si>
  <si>
    <t>18:11:09</t>
  </si>
  <si>
    <t>16:52:42</t>
  </si>
  <si>
    <t>21:30:05</t>
  </si>
  <si>
    <t>19:53:41</t>
  </si>
  <si>
    <t>16:51:25</t>
  </si>
  <si>
    <t>19:41:08</t>
  </si>
  <si>
    <t>01:05:00</t>
  </si>
  <si>
    <t>15:42:15</t>
  </si>
  <si>
    <t>15:34:40</t>
  </si>
  <si>
    <t>15:29:52</t>
  </si>
  <si>
    <t>15:22:43</t>
  </si>
  <si>
    <t>20:32:30</t>
  </si>
  <si>
    <t>10:33:12</t>
  </si>
  <si>
    <t>16:38:26</t>
  </si>
  <si>
    <t>09:52:07</t>
  </si>
  <si>
    <t>11:00:16</t>
  </si>
  <si>
    <t>12:28:30</t>
  </si>
  <si>
    <t>12:27:34</t>
  </si>
  <si>
    <t>12:25:51</t>
  </si>
  <si>
    <t>12:25:25</t>
  </si>
  <si>
    <t>12:24:45</t>
  </si>
  <si>
    <t>12:24:08</t>
  </si>
  <si>
    <t>12:22:35</t>
  </si>
  <si>
    <t>12:22:23</t>
  </si>
  <si>
    <t>10:00:25</t>
  </si>
  <si>
    <t>18:50:01</t>
  </si>
  <si>
    <t>23:28:49</t>
  </si>
  <si>
    <t>10:00:24</t>
  </si>
  <si>
    <t>10:00:13</t>
  </si>
  <si>
    <t>11:08:41</t>
  </si>
  <si>
    <t>11:08:08</t>
  </si>
  <si>
    <t>11:07:37</t>
  </si>
  <si>
    <t>18:08:35</t>
  </si>
  <si>
    <t>13:20:19</t>
  </si>
  <si>
    <t>10:49:20</t>
  </si>
  <si>
    <t>14:44:57</t>
  </si>
  <si>
    <t>10:07:23</t>
  </si>
  <si>
    <t>11:16:51</t>
  </si>
  <si>
    <t>11:33:47</t>
  </si>
  <si>
    <t>11:02:19</t>
  </si>
  <si>
    <t>23:29:30</t>
  </si>
  <si>
    <t>12:27:54</t>
  </si>
  <si>
    <t>18:28:16</t>
  </si>
  <si>
    <t>17:09:11</t>
  </si>
  <si>
    <t>13:48:57</t>
  </si>
  <si>
    <t>05:56:01</t>
  </si>
  <si>
    <t>11:48:37</t>
  </si>
  <si>
    <t>15:25:52</t>
  </si>
  <si>
    <t>17:00:35</t>
  </si>
  <si>
    <t>15:52:47</t>
  </si>
  <si>
    <t>02:51:44</t>
  </si>
  <si>
    <t>15:14:25</t>
  </si>
  <si>
    <t>17:50:08</t>
  </si>
  <si>
    <t>17:43:28</t>
  </si>
  <si>
    <t>18:50:07</t>
  </si>
  <si>
    <t>13:03:16</t>
  </si>
  <si>
    <t>14:23:36</t>
  </si>
  <si>
    <t>14:17:33</t>
  </si>
  <si>
    <t>19:53:57</t>
  </si>
  <si>
    <t>19:48:24</t>
  </si>
  <si>
    <t>19:35:31</t>
  </si>
  <si>
    <t>15:29:34</t>
  </si>
  <si>
    <t>19:26:29</t>
  </si>
  <si>
    <t>17:17:14</t>
  </si>
  <si>
    <t>22:28:34</t>
  </si>
  <si>
    <t>22:26:11</t>
  </si>
  <si>
    <t>22:25:24</t>
  </si>
  <si>
    <t>19:03:02</t>
  </si>
  <si>
    <t>19:02:19</t>
  </si>
  <si>
    <t>20:23:58</t>
  </si>
  <si>
    <t>15:36:13</t>
  </si>
  <si>
    <t>01:33:51</t>
  </si>
  <si>
    <t>15:42:47</t>
  </si>
  <si>
    <t>02:38:47</t>
  </si>
  <si>
    <t>02:31:52</t>
  </si>
  <si>
    <t>02:23:42</t>
  </si>
  <si>
    <t>03:44:28</t>
  </si>
  <si>
    <t>03:40:03</t>
  </si>
  <si>
    <t>03:39:49</t>
  </si>
  <si>
    <t>03:27:30</t>
  </si>
  <si>
    <t>14:24:22</t>
  </si>
  <si>
    <t>22:24:37</t>
  </si>
  <si>
    <t>22:24:14</t>
  </si>
  <si>
    <t>22:23:36</t>
  </si>
  <si>
    <t>05:50:11</t>
  </si>
  <si>
    <t>22:30:51</t>
  </si>
  <si>
    <t>18:04:35</t>
  </si>
  <si>
    <t>17:58:37</t>
  </si>
  <si>
    <t>18:00:11</t>
  </si>
  <si>
    <t>17:58:38</t>
  </si>
  <si>
    <t>17:59:11</t>
  </si>
  <si>
    <t>17:58:51</t>
  </si>
  <si>
    <t>17:59:09</t>
  </si>
  <si>
    <t>17:59:42</t>
  </si>
  <si>
    <t>15:00:33</t>
  </si>
  <si>
    <t>00:00:00</t>
  </si>
  <si>
    <t>17:00:01</t>
  </si>
  <si>
    <t>02:00:01</t>
  </si>
  <si>
    <t>23:29:53</t>
  </si>
  <si>
    <t>21:15:19</t>
  </si>
  <si>
    <t>10:21:13</t>
  </si>
  <si>
    <t>22:22:10</t>
  </si>
  <si>
    <t>21:56:38</t>
  </si>
  <si>
    <t>14:29:50</t>
  </si>
  <si>
    <t>21:26:04</t>
  </si>
  <si>
    <t>18:45:47</t>
  </si>
  <si>
    <t>14:08:10</t>
  </si>
  <si>
    <t>17:00:14</t>
  </si>
  <si>
    <t>17:29:32</t>
  </si>
  <si>
    <t>13:51:22</t>
  </si>
  <si>
    <t>17:40:54</t>
  </si>
  <si>
    <t>17:38:37</t>
  </si>
  <si>
    <t>17:37:56</t>
  </si>
  <si>
    <t>14:41:02</t>
  </si>
  <si>
    <t>14:08:24</t>
  </si>
  <si>
    <t>13:42:47</t>
  </si>
  <si>
    <t>20:47:55</t>
  </si>
  <si>
    <t>14:48:46</t>
  </si>
  <si>
    <t>13:59:40</t>
  </si>
  <si>
    <t>15:10:06</t>
  </si>
  <si>
    <t>13:58:16</t>
  </si>
  <si>
    <t>15:12:55</t>
  </si>
  <si>
    <t>15:23:54</t>
  </si>
  <si>
    <t>13:33:14</t>
  </si>
  <si>
    <t>21:52:14</t>
  </si>
  <si>
    <t>14:41:56</t>
  </si>
  <si>
    <t>14:10:38</t>
  </si>
  <si>
    <t>16:31:17</t>
  </si>
  <si>
    <t>18:47:07</t>
  </si>
  <si>
    <t>13:26:07</t>
  </si>
  <si>
    <t>17:55:13</t>
  </si>
  <si>
    <t>15:17:50</t>
  </si>
  <si>
    <t>18:47:56</t>
  </si>
  <si>
    <t>15:03:35</t>
  </si>
  <si>
    <t>14:21:43</t>
  </si>
  <si>
    <t>18:23:20</t>
  </si>
  <si>
    <t>13:44:58</t>
  </si>
  <si>
    <t>13:50:46</t>
  </si>
  <si>
    <t>15:07:34</t>
  </si>
  <si>
    <t>13:59:01</t>
  </si>
  <si>
    <t>13:27:20</t>
  </si>
  <si>
    <t>13:58:57</t>
  </si>
  <si>
    <t>17:17:34</t>
  </si>
  <si>
    <t>20:59:11</t>
  </si>
  <si>
    <t>14:43:52</t>
  </si>
  <si>
    <t>16:16:31</t>
  </si>
  <si>
    <t>15:01:33</t>
  </si>
  <si>
    <t>15:42:49</t>
  </si>
  <si>
    <t>21:13:03</t>
  </si>
  <si>
    <t>14:45:50</t>
  </si>
  <si>
    <t>14:02:20</t>
  </si>
  <si>
    <t>17:22:11</t>
  </si>
  <si>
    <t>20:32:55</t>
  </si>
  <si>
    <t>14:23:17</t>
  </si>
  <si>
    <t>15:14:07</t>
  </si>
  <si>
    <t>13:58:02</t>
  </si>
  <si>
    <t>17:44:18</t>
  </si>
  <si>
    <t>13:33:50</t>
  </si>
  <si>
    <t>16:53:30</t>
  </si>
  <si>
    <t>15:49:07</t>
  </si>
  <si>
    <t>13:47:59</t>
  </si>
  <si>
    <t>14:14:13</t>
  </si>
  <si>
    <t>18:58:00</t>
  </si>
  <si>
    <t>17:21:40</t>
  </si>
  <si>
    <t>14:32:08</t>
  </si>
  <si>
    <t>16:31:33</t>
  </si>
  <si>
    <t>16:16:51</t>
  </si>
  <si>
    <t>15:16:54</t>
  </si>
  <si>
    <t>14:28:12</t>
  </si>
  <si>
    <t>15:03:40</t>
  </si>
  <si>
    <t>14:36:19</t>
  </si>
  <si>
    <t>14:36:57</t>
  </si>
  <si>
    <t>14:22:25</t>
  </si>
  <si>
    <t>14:45:03</t>
  </si>
  <si>
    <t>19:02:45</t>
  </si>
  <si>
    <t>18:59:38</t>
  </si>
  <si>
    <t>19:31:07</t>
  </si>
  <si>
    <t>13:30:18</t>
  </si>
  <si>
    <t>14:37:19</t>
  </si>
  <si>
    <t>18:04:36</t>
  </si>
  <si>
    <t>13:34:33</t>
  </si>
  <si>
    <t>20:27:46</t>
  </si>
  <si>
    <t>16:48:21</t>
  </si>
  <si>
    <t>18:31:52</t>
  </si>
  <si>
    <t>15:11:04</t>
  </si>
  <si>
    <t>14:28:25</t>
  </si>
  <si>
    <t>14:30:05</t>
  </si>
  <si>
    <t>18:57:10</t>
  </si>
  <si>
    <t>14:45:08</t>
  </si>
  <si>
    <t>17:21:27</t>
  </si>
  <si>
    <t>13:40:37</t>
  </si>
  <si>
    <t>13:23:49</t>
  </si>
  <si>
    <t>16:00:59</t>
  </si>
  <si>
    <t>15:33:05</t>
  </si>
  <si>
    <t>14:53:25</t>
  </si>
  <si>
    <t>14:13:16</t>
  </si>
  <si>
    <t>14:38:19</t>
  </si>
  <si>
    <t>08:00:28</t>
  </si>
  <si>
    <t>21:43:15</t>
  </si>
  <si>
    <t>21:43:25</t>
  </si>
  <si>
    <t>20:22:14</t>
  </si>
  <si>
    <t>21:43:13</t>
  </si>
  <si>
    <t>20:22:15</t>
  </si>
  <si>
    <t>20:22:21</t>
  </si>
  <si>
    <t>21:43:26</t>
  </si>
  <si>
    <t>21:43:22</t>
  </si>
  <si>
    <t>19:46:19</t>
  </si>
  <si>
    <t>13:15:28</t>
  </si>
  <si>
    <t>16:45:54</t>
  </si>
  <si>
    <t>14:20:45</t>
  </si>
  <si>
    <t>11:47:31</t>
  </si>
  <si>
    <t>17:28:37</t>
  </si>
  <si>
    <t>19:10:29</t>
  </si>
  <si>
    <t>18:30:29</t>
  </si>
  <si>
    <t>21:30:32</t>
  </si>
  <si>
    <t>02:41:39</t>
  </si>
  <si>
    <t>11:33:20</t>
  </si>
  <si>
    <t>21:15:34</t>
  </si>
  <si>
    <t>10:46:18</t>
  </si>
  <si>
    <t>19:51:53</t>
  </si>
  <si>
    <t>10:29:09</t>
  </si>
  <si>
    <t>11:39:52</t>
  </si>
  <si>
    <t>13:19:32</t>
  </si>
  <si>
    <t>17:14:57</t>
  </si>
  <si>
    <t>13:03:27</t>
  </si>
  <si>
    <t>10:01:12</t>
  </si>
  <si>
    <t>10:26:45</t>
  </si>
  <si>
    <t>11:50:35</t>
  </si>
  <si>
    <t>15:58:44</t>
  </si>
  <si>
    <t>21:11:14</t>
  </si>
  <si>
    <t>08:20:18</t>
  </si>
  <si>
    <t>08:20:17</t>
  </si>
  <si>
    <t>21:07:19</t>
  </si>
  <si>
    <t>22:15:19</t>
  </si>
  <si>
    <t>21:15:13</t>
  </si>
  <si>
    <t>11:31:24</t>
  </si>
  <si>
    <t>21:07:20</t>
  </si>
  <si>
    <t>07:20:20</t>
  </si>
  <si>
    <t>20:11:20</t>
  </si>
  <si>
    <t>07:20:21</t>
  </si>
  <si>
    <t>07:20:29</t>
  </si>
  <si>
    <t>18:51:35</t>
  </si>
  <si>
    <t>14:21:28</t>
  </si>
  <si>
    <t>15:14:14</t>
  </si>
  <si>
    <t>00:00:04</t>
  </si>
  <si>
    <t>13:05:00</t>
  </si>
  <si>
    <t>16:37:53</t>
  </si>
  <si>
    <t>20:34:03</t>
  </si>
  <si>
    <t>13:08:04</t>
  </si>
  <si>
    <t>20:34:15</t>
  </si>
  <si>
    <t>13:08:06</t>
  </si>
  <si>
    <t>20:34:33</t>
  </si>
  <si>
    <t>13:08:00</t>
  </si>
  <si>
    <t>02:20:32</t>
  </si>
  <si>
    <t>23:00:01</t>
  </si>
  <si>
    <t>17:30:00</t>
  </si>
  <si>
    <t>17:45:00</t>
  </si>
  <si>
    <t>20:00:00</t>
  </si>
  <si>
    <t>13:19:59</t>
  </si>
  <si>
    <t>21:40:36</t>
  </si>
  <si>
    <t>16:55:22</t>
  </si>
  <si>
    <t>14:29:26</t>
  </si>
  <si>
    <t>09:38:12</t>
  </si>
  <si>
    <t>21:25:03</t>
  </si>
  <si>
    <t>12:12:11</t>
  </si>
  <si>
    <t>01:00:49</t>
  </si>
  <si>
    <t>10:59:00</t>
  </si>
  <si>
    <t>19:28:10</t>
  </si>
  <si>
    <t>20:15:06</t>
  </si>
  <si>
    <t>18:51:14</t>
  </si>
  <si>
    <t>11:50:41</t>
  </si>
  <si>
    <t>13:49:00</t>
  </si>
  <si>
    <t>15:29:45</t>
  </si>
  <si>
    <t>16:53:38</t>
  </si>
  <si>
    <t>16:52:32</t>
  </si>
  <si>
    <t>16:25:49</t>
  </si>
  <si>
    <t>16:25:23</t>
  </si>
  <si>
    <t>02:12:03</t>
  </si>
  <si>
    <t>14:26:10</t>
  </si>
  <si>
    <t>14:25:23</t>
  </si>
  <si>
    <t>14:01:08</t>
  </si>
  <si>
    <t>18:45:59</t>
  </si>
  <si>
    <t>16:32:29</t>
  </si>
  <si>
    <t>20:21:21</t>
  </si>
  <si>
    <t>12:00:03</t>
  </si>
  <si>
    <t>18:23:29</t>
  </si>
  <si>
    <t>17:05:17</t>
  </si>
  <si>
    <t>22:37:42</t>
  </si>
  <si>
    <t>22:52:18</t>
  </si>
  <si>
    <t>14:03:42</t>
  </si>
  <si>
    <t>22:37:39</t>
  </si>
  <si>
    <t>21:18:18</t>
  </si>
  <si>
    <t>21:16:44</t>
  </si>
  <si>
    <t>14:07:58</t>
  </si>
  <si>
    <t>18:44:20</t>
  </si>
  <si>
    <t>19:15:43</t>
  </si>
  <si>
    <t>14:32:29</t>
  </si>
  <si>
    <t>13:37:02</t>
  </si>
  <si>
    <t>16:06:36</t>
  </si>
  <si>
    <t>06:33:54</t>
  </si>
  <si>
    <t>23:36:51</t>
  </si>
  <si>
    <t>18:14:06</t>
  </si>
  <si>
    <t>18:28:17</t>
  </si>
  <si>
    <t>12:40:45</t>
  </si>
  <si>
    <t>21:07:02</t>
  </si>
  <si>
    <t>13:27:50</t>
  </si>
  <si>
    <t>12:49:55</t>
  </si>
  <si>
    <t>00:20:04</t>
  </si>
  <si>
    <t>15:31:00</t>
  </si>
  <si>
    <t>16:25:55</t>
  </si>
  <si>
    <t>16:02:47</t>
  </si>
  <si>
    <t>19:22:29</t>
  </si>
  <si>
    <t>15:29:59</t>
  </si>
  <si>
    <t>14:09:00</t>
  </si>
  <si>
    <t>07:09:00</t>
  </si>
  <si>
    <t>20:30:00</t>
  </si>
  <si>
    <t>05:39:00</t>
  </si>
  <si>
    <t>19:38:00</t>
  </si>
  <si>
    <t>23:12:00</t>
  </si>
  <si>
    <t>19:40:00</t>
  </si>
  <si>
    <t>20:32:00</t>
  </si>
  <si>
    <t>17:37:00</t>
  </si>
  <si>
    <t>07:36:00</t>
  </si>
  <si>
    <t>11:34:43</t>
  </si>
  <si>
    <t>14:48:52</t>
  </si>
  <si>
    <t>11:41:37</t>
  </si>
  <si>
    <t>00:18:06</t>
  </si>
  <si>
    <t>15:23:17</t>
  </si>
  <si>
    <t>22:10:20</t>
  </si>
  <si>
    <t>14:54:57</t>
  </si>
  <si>
    <t>22:51:27</t>
  </si>
  <si>
    <t>21:30:51</t>
  </si>
  <si>
    <t>16:31:44</t>
  </si>
  <si>
    <t>16:13:24</t>
  </si>
  <si>
    <t>20:37:41</t>
  </si>
  <si>
    <t>20:36:09</t>
  </si>
  <si>
    <t>09:38:18</t>
  </si>
  <si>
    <t>08:19:52</t>
  </si>
  <si>
    <t>08:22:51</t>
  </si>
  <si>
    <t>04:30:16</t>
  </si>
  <si>
    <t>19:10:14</t>
  </si>
  <si>
    <t>09:52:00</t>
  </si>
  <si>
    <t>20:20:16</t>
  </si>
  <si>
    <t>17:42:45</t>
  </si>
  <si>
    <t>13:48:11</t>
  </si>
  <si>
    <t>21:54:54</t>
  </si>
  <si>
    <t>14:52:06</t>
  </si>
  <si>
    <t>11:50:32</t>
  </si>
  <si>
    <t>03:27:50</t>
  </si>
  <si>
    <t>03:22:42</t>
  </si>
  <si>
    <t>19:39:59</t>
  </si>
  <si>
    <t>19:37:35</t>
  </si>
  <si>
    <t>19:35:21</t>
  </si>
  <si>
    <t>19:31:03</t>
  </si>
  <si>
    <t>17:30:36</t>
  </si>
  <si>
    <t>17:23:37</t>
  </si>
  <si>
    <t>21:01:15</t>
  </si>
  <si>
    <t>00:53:34</t>
  </si>
  <si>
    <t>15:01:29</t>
  </si>
  <si>
    <t>19:08:45</t>
  </si>
  <si>
    <t>13:09:57</t>
  </si>
  <si>
    <t>17:59:06</t>
  </si>
  <si>
    <t>20:05:35</t>
  </si>
  <si>
    <t>19:37:25</t>
  </si>
  <si>
    <t>16:18:44</t>
  </si>
  <si>
    <t>05:00:01</t>
  </si>
  <si>
    <t>20:29:57</t>
  </si>
  <si>
    <t>22:15:26</t>
  </si>
  <si>
    <t>00:12:28</t>
  </si>
  <si>
    <t>19:44:49</t>
  </si>
  <si>
    <t>17:59:05</t>
  </si>
  <si>
    <t>15:43:55</t>
  </si>
  <si>
    <t>19:45:15</t>
  </si>
  <si>
    <t>14:57:34</t>
  </si>
  <si>
    <t>14:32:00</t>
  </si>
  <si>
    <t>14:33:00</t>
  </si>
  <si>
    <t>14:30:00</t>
  </si>
  <si>
    <t>13:32:22</t>
  </si>
  <si>
    <t>19:01:14</t>
  </si>
  <si>
    <t>20:07:15</t>
  </si>
  <si>
    <t>07:34:53</t>
  </si>
  <si>
    <t>03:38:30</t>
  </si>
  <si>
    <t>11:00:11</t>
  </si>
  <si>
    <t>20:48:18</t>
  </si>
  <si>
    <t>21:12:06</t>
  </si>
  <si>
    <t>16:00:35</t>
  </si>
  <si>
    <t>17:24:27</t>
  </si>
  <si>
    <t>13:47:16</t>
  </si>
  <si>
    <t>13:45:49</t>
  </si>
  <si>
    <t>12:01:57</t>
  </si>
  <si>
    <t>20:33:41</t>
  </si>
  <si>
    <t>18:54:09</t>
  </si>
  <si>
    <t>23:17:43</t>
  </si>
  <si>
    <t>16:33:11</t>
  </si>
  <si>
    <t>02:45:49</t>
  </si>
  <si>
    <t>18:12:28</t>
  </si>
  <si>
    <t>02:20:51</t>
  </si>
  <si>
    <t>22:21:41</t>
  </si>
  <si>
    <t>21:19:34</t>
  </si>
  <si>
    <t>01:22:06</t>
  </si>
  <si>
    <t>12:11:59</t>
  </si>
  <si>
    <t>13:01:57</t>
  </si>
  <si>
    <t>16:03:26</t>
  </si>
  <si>
    <t>15:07:09</t>
  </si>
  <si>
    <t>16:53:14</t>
  </si>
  <si>
    <t>10:21:20</t>
  </si>
  <si>
    <t>01:34:22</t>
  </si>
  <si>
    <t>16:25:19</t>
  </si>
  <si>
    <t>09:00:42</t>
  </si>
  <si>
    <t>09:00:44</t>
  </si>
  <si>
    <t>09:00:53</t>
  </si>
  <si>
    <t>15:18:22</t>
  </si>
  <si>
    <t>20:26:54</t>
  </si>
  <si>
    <t>12:03:58</t>
  </si>
  <si>
    <t>10:19:03</t>
  </si>
  <si>
    <t>10:30:04</t>
  </si>
  <si>
    <t>10:34:07</t>
  </si>
  <si>
    <t>10:40:29</t>
  </si>
  <si>
    <t>19:30:10</t>
  </si>
  <si>
    <t>10:24:47</t>
  </si>
  <si>
    <t>00:35:53</t>
  </si>
  <si>
    <t>13:22:51</t>
  </si>
  <si>
    <t>00:20:57</t>
  </si>
  <si>
    <t>17:46:36</t>
  </si>
  <si>
    <t>20:34:09</t>
  </si>
  <si>
    <t>21:31:01</t>
  </si>
  <si>
    <t>04:51:32</t>
  </si>
  <si>
    <t>20:43:33</t>
  </si>
  <si>
    <t>15:54:11</t>
  </si>
  <si>
    <t>07:29:51</t>
  </si>
  <si>
    <t>17:38:27</t>
  </si>
  <si>
    <t>14:58:31</t>
  </si>
  <si>
    <t>02:59:27</t>
  </si>
  <si>
    <t>19:12:09</t>
  </si>
  <si>
    <t>01:44:31</t>
  </si>
  <si>
    <t>16:56:32</t>
  </si>
  <si>
    <t>12:00:28</t>
  </si>
  <si>
    <t>17:45:01</t>
  </si>
  <si>
    <t>20:35:41</t>
  </si>
  <si>
    <t>00:49:39</t>
  </si>
  <si>
    <t>16:01:00</t>
  </si>
  <si>
    <t>20:10:37</t>
  </si>
  <si>
    <t>16:52:45</t>
  </si>
  <si>
    <t>19:59:01</t>
  </si>
  <si>
    <t>20:02:53</t>
  </si>
  <si>
    <t>20:15:31</t>
  </si>
  <si>
    <t>18:48:16</t>
  </si>
  <si>
    <t>13:47:08</t>
  </si>
  <si>
    <t>21:00:01</t>
  </si>
  <si>
    <t>16:20:58</t>
  </si>
  <si>
    <t>21:12:32</t>
  </si>
  <si>
    <t>19:22:50</t>
  </si>
  <si>
    <t>16:22:20</t>
  </si>
  <si>
    <t>21:31:13</t>
  </si>
  <si>
    <t>14:31:12</t>
  </si>
  <si>
    <t>21:31:22</t>
  </si>
  <si>
    <t>10:46:28</t>
  </si>
  <si>
    <t>21:00:27</t>
  </si>
  <si>
    <t>21:00:53</t>
  </si>
  <si>
    <t>14:32:31</t>
  </si>
  <si>
    <t>17:57:58</t>
  </si>
  <si>
    <t>18:02:04</t>
  </si>
  <si>
    <t>14:00:01</t>
  </si>
  <si>
    <t>23:36:59</t>
  </si>
  <si>
    <t>14:29:09</t>
  </si>
  <si>
    <t>14:45:46</t>
  </si>
  <si>
    <t>00:47:19</t>
  </si>
  <si>
    <t>12:27:46</t>
  </si>
  <si>
    <t>08:30:07</t>
  </si>
  <si>
    <t>12:00:01</t>
  </si>
  <si>
    <t>13:19:49</t>
  </si>
  <si>
    <t>17:42:42</t>
  </si>
  <si>
    <t>12:10:23</t>
  </si>
  <si>
    <t>14:16:05</t>
  </si>
  <si>
    <t>12:25:48</t>
  </si>
  <si>
    <t>12:02:13</t>
  </si>
  <si>
    <t>11:54:24</t>
  </si>
  <si>
    <t>12:04:21</t>
  </si>
  <si>
    <t>14:55:21</t>
  </si>
  <si>
    <t>16:14:32</t>
  </si>
  <si>
    <t>14:06:06</t>
  </si>
  <si>
    <t>18:15:31</t>
  </si>
  <si>
    <t>15:01:06</t>
  </si>
  <si>
    <t>12:25:17</t>
  </si>
  <si>
    <t>18:15:23</t>
  </si>
  <si>
    <t>18:15:39</t>
  </si>
  <si>
    <t>18:25:13</t>
  </si>
  <si>
    <t>03:07:03</t>
  </si>
  <si>
    <t>21:55:29</t>
  </si>
  <si>
    <t>17:25:49</t>
  </si>
  <si>
    <t>15:01:02</t>
  </si>
  <si>
    <t>10:56:43</t>
  </si>
  <si>
    <t>19:51:18</t>
  </si>
  <si>
    <t>18:46:33</t>
  </si>
  <si>
    <t>15:30:52</t>
  </si>
  <si>
    <t>21:56:12</t>
  </si>
  <si>
    <t>21:47:24</t>
  </si>
  <si>
    <t>13:34:26</t>
  </si>
  <si>
    <t>22:01:54</t>
  </si>
  <si>
    <t>17:50:31</t>
  </si>
  <si>
    <t>21:33:07</t>
  </si>
  <si>
    <t>01:45:22</t>
  </si>
  <si>
    <t>02:24:38</t>
  </si>
  <si>
    <t>23:27:48</t>
  </si>
  <si>
    <t>15:05:24</t>
  </si>
  <si>
    <t>10:16:48</t>
  </si>
  <si>
    <t>17:33:09</t>
  </si>
  <si>
    <t>01:48:15</t>
  </si>
  <si>
    <t>15:01:53</t>
  </si>
  <si>
    <t>13:18:49</t>
  </si>
  <si>
    <t>13:34:44</t>
  </si>
  <si>
    <t>17:28:03</t>
  </si>
  <si>
    <t>12:37:25</t>
  </si>
  <si>
    <t>15:49:58</t>
  </si>
  <si>
    <t>16:56:49</t>
  </si>
  <si>
    <t>14:15:41</t>
  </si>
  <si>
    <t>18:00:49</t>
  </si>
  <si>
    <t>00:00:01</t>
  </si>
  <si>
    <t>19:17:43</t>
  </si>
  <si>
    <t>22:00:48</t>
  </si>
  <si>
    <t>17:35:12</t>
  </si>
  <si>
    <t>16:52:48</t>
  </si>
  <si>
    <t>07:01:45</t>
  </si>
  <si>
    <t>18:31:24</t>
  </si>
  <si>
    <t>13:36:29</t>
  </si>
  <si>
    <t>11:21:09</t>
  </si>
  <si>
    <t>23:43:14</t>
  </si>
  <si>
    <t>14:09:13</t>
  </si>
  <si>
    <t>20:34:22</t>
  </si>
  <si>
    <t>02:36:27</t>
  </si>
  <si>
    <t>20:50:37</t>
  </si>
  <si>
    <t>08:27:15</t>
  </si>
  <si>
    <t>12:47:01</t>
  </si>
  <si>
    <t>12:40:29</t>
  </si>
  <si>
    <t>03:24:55</t>
  </si>
  <si>
    <t>05:51:46</t>
  </si>
  <si>
    <t>20:00:31</t>
  </si>
  <si>
    <t>09:02:43</t>
  </si>
  <si>
    <t>13:03:08</t>
  </si>
  <si>
    <t>16:28:59</t>
  </si>
  <si>
    <t>14:02:28</t>
  </si>
  <si>
    <t>12:45:53</t>
  </si>
  <si>
    <t>19:56:31</t>
  </si>
  <si>
    <t>01:23:58</t>
  </si>
  <si>
    <t>19:21:36</t>
  </si>
  <si>
    <t>11:26:50</t>
  </si>
  <si>
    <t>15:12:01</t>
  </si>
  <si>
    <t>21:36:00</t>
  </si>
  <si>
    <t>13:47:04</t>
  </si>
  <si>
    <t>13:47:52</t>
  </si>
  <si>
    <t>20:24:38</t>
  </si>
  <si>
    <t>20:23:05</t>
  </si>
  <si>
    <t>18:29:33</t>
  </si>
  <si>
    <t>22:33:38</t>
  </si>
  <si>
    <t>16:00:34</t>
  </si>
  <si>
    <t>12:36:51</t>
  </si>
  <si>
    <t>16:01:04</t>
  </si>
  <si>
    <t>16:43:27</t>
  </si>
  <si>
    <t>00:57:17</t>
  </si>
  <si>
    <t>05:52:44</t>
  </si>
  <si>
    <t>19:59:47</t>
  </si>
  <si>
    <t>22:53:27</t>
  </si>
  <si>
    <t>14:01:24</t>
  </si>
  <si>
    <t>19:00:22</t>
  </si>
  <si>
    <t>21:00:43</t>
  </si>
  <si>
    <t>17:00:55</t>
  </si>
  <si>
    <t>15:00:55</t>
  </si>
  <si>
    <t>00:00:19</t>
  </si>
  <si>
    <t>02:27:35</t>
  </si>
  <si>
    <t>23:00:15</t>
  </si>
  <si>
    <t>13:40:11</t>
  </si>
  <si>
    <t>00:00:16</t>
  </si>
  <si>
    <t>22:55:46</t>
  </si>
  <si>
    <t>19:00:17</t>
  </si>
  <si>
    <t>02:46:14</t>
  </si>
  <si>
    <t>16:01:13</t>
  </si>
  <si>
    <t>17:00:33</t>
  </si>
  <si>
    <t>19:15:35</t>
  </si>
  <si>
    <t>17:00:17</t>
  </si>
  <si>
    <t>16:00:54</t>
  </si>
  <si>
    <t>17:00:46</t>
  </si>
  <si>
    <t>17:00:20</t>
  </si>
  <si>
    <t>00:55:04</t>
  </si>
  <si>
    <t>13:15:16</t>
  </si>
  <si>
    <t>18:19:21</t>
  </si>
  <si>
    <t>13:23:34</t>
  </si>
  <si>
    <t>23:09:39</t>
  </si>
  <si>
    <t>23:58:20</t>
  </si>
  <si>
    <t>01:03:12</t>
  </si>
  <si>
    <t>17:24:57</t>
  </si>
  <si>
    <t>11:30:38</t>
  </si>
  <si>
    <t>10:32:27</t>
  </si>
  <si>
    <t>14:08:46</t>
  </si>
  <si>
    <t>14:47:40</t>
  </si>
  <si>
    <t>14:01:51</t>
  </si>
  <si>
    <t>11:56:11</t>
  </si>
  <si>
    <t>15:37:29</t>
  </si>
  <si>
    <t>20:57:42</t>
  </si>
  <si>
    <t>17:26:16</t>
  </si>
  <si>
    <t>17:04:52</t>
  </si>
  <si>
    <t>11:29:32</t>
  </si>
  <si>
    <t>14:01:02</t>
  </si>
  <si>
    <t>20:10:59</t>
  </si>
  <si>
    <t>09:40:00</t>
  </si>
  <si>
    <t>14:46:45</t>
  </si>
  <si>
    <t>19:21:39</t>
  </si>
  <si>
    <t>13:55:12</t>
  </si>
  <si>
    <t>17:21:35</t>
  </si>
  <si>
    <t>17:49:02</t>
  </si>
  <si>
    <t>10:53:21</t>
  </si>
  <si>
    <t>17:03:45</t>
  </si>
  <si>
    <t>11:12:17</t>
  </si>
  <si>
    <t>17:16:14</t>
  </si>
  <si>
    <t>18:30:15</t>
  </si>
  <si>
    <t>02:00:00</t>
  </si>
  <si>
    <t>16:51:16</t>
  </si>
  <si>
    <t>16:29:25</t>
  </si>
  <si>
    <t>01:00:53</t>
  </si>
  <si>
    <t>19:45:12</t>
  </si>
  <si>
    <t>16:27:31</t>
  </si>
  <si>
    <t>22:29:08</t>
  </si>
  <si>
    <t>16:22:43</t>
  </si>
  <si>
    <t>19:01:45</t>
  </si>
  <si>
    <t>12:31:52</t>
  </si>
  <si>
    <t>15:57:05</t>
  </si>
  <si>
    <t>09:07:24</t>
  </si>
  <si>
    <t>20:42:22</t>
  </si>
  <si>
    <t>23:40:50</t>
  </si>
  <si>
    <t>01:06:03</t>
  </si>
  <si>
    <t>21:06:21</t>
  </si>
  <si>
    <t>22:15:16</t>
  </si>
  <si>
    <t>22:26:53</t>
  </si>
  <si>
    <t>00:30:59</t>
  </si>
  <si>
    <t>18:23:25</t>
  </si>
  <si>
    <t>17:26:33</t>
  </si>
  <si>
    <t>02:50:20</t>
  </si>
  <si>
    <t>11:45:02</t>
  </si>
  <si>
    <t>22:12:37</t>
  </si>
  <si>
    <t>21:44:38</t>
  </si>
  <si>
    <t>18:00:34</t>
  </si>
  <si>
    <t>17:27:17</t>
  </si>
  <si>
    <t>23:00:46</t>
  </si>
  <si>
    <t>16:54:05</t>
  </si>
  <si>
    <t>15:30:35</t>
  </si>
  <si>
    <t>07:31:48</t>
  </si>
  <si>
    <t>23:35:08</t>
  </si>
  <si>
    <t>10:59:14</t>
  </si>
  <si>
    <t>00:49:22</t>
  </si>
  <si>
    <t>16:35:43</t>
  </si>
  <si>
    <t>02:20:24</t>
  </si>
  <si>
    <t>17:24:22</t>
  </si>
  <si>
    <t>02:05:07</t>
  </si>
  <si>
    <t>15:10:12</t>
  </si>
  <si>
    <t>12:01:31</t>
  </si>
  <si>
    <t>11:28:26</t>
  </si>
  <si>
    <t>11:25:43</t>
  </si>
  <si>
    <t>18:48:24</t>
  </si>
  <si>
    <t>13:58:29</t>
  </si>
  <si>
    <t>01:12:37</t>
  </si>
  <si>
    <t>22:35:22</t>
  </si>
  <si>
    <t>21:15:16</t>
  </si>
  <si>
    <t>13:00:43</t>
  </si>
  <si>
    <t>19:34:20</t>
  </si>
  <si>
    <t>11:30:08</t>
  </si>
  <si>
    <t>06:11:42</t>
  </si>
  <si>
    <t>13:50:16</t>
  </si>
  <si>
    <t>21:40:00</t>
  </si>
  <si>
    <t>11:08:59</t>
  </si>
  <si>
    <t>02:28:36</t>
  </si>
  <si>
    <t>19:24:21</t>
  </si>
  <si>
    <t>23:04:54</t>
  </si>
  <si>
    <t>23:56:45</t>
  </si>
  <si>
    <t>16:53:48</t>
  </si>
  <si>
    <t>16:48:10</t>
  </si>
  <si>
    <t>22:35:14</t>
  </si>
  <si>
    <t>12:15:16</t>
  </si>
  <si>
    <t>13:09:16</t>
  </si>
  <si>
    <t>09:01:34</t>
  </si>
  <si>
    <t>14:15:24</t>
  </si>
  <si>
    <t>12:16:37</t>
  </si>
  <si>
    <t>15:40:07</t>
  </si>
  <si>
    <t>16:08:07</t>
  </si>
  <si>
    <t>17:34:02</t>
  </si>
  <si>
    <t>21:40:43</t>
  </si>
  <si>
    <t>17:35:19</t>
  </si>
  <si>
    <t>23:36:55</t>
  </si>
  <si>
    <t>00:31:00</t>
  </si>
  <si>
    <t>18:37:56</t>
  </si>
  <si>
    <t>19:56:37</t>
  </si>
  <si>
    <t>08:35:19</t>
  </si>
  <si>
    <t>10:37:57</t>
  </si>
  <si>
    <t>17:58:07</t>
  </si>
  <si>
    <t>23:19:31</t>
  </si>
  <si>
    <t>17:00:37</t>
  </si>
  <si>
    <t>21:00:16</t>
  </si>
  <si>
    <t>11:30:16</t>
  </si>
  <si>
    <t>11:43:03</t>
  </si>
  <si>
    <t>14:54:35</t>
  </si>
  <si>
    <t>22:34:22</t>
  </si>
  <si>
    <t>19:59:53</t>
  </si>
  <si>
    <t>22:59:18</t>
  </si>
  <si>
    <t>22:38:24</t>
  </si>
  <si>
    <t>22:33:27</t>
  </si>
  <si>
    <t>21:27:23</t>
  </si>
  <si>
    <t>18:15:00</t>
  </si>
  <si>
    <t>20:25:06</t>
  </si>
  <si>
    <t>21:44:55</t>
  </si>
  <si>
    <t>19:30:40</t>
  </si>
  <si>
    <t>22:04:11</t>
  </si>
  <si>
    <t>22:38:14</t>
  </si>
  <si>
    <t>13:10:54</t>
  </si>
  <si>
    <t>22:07:15</t>
  </si>
  <si>
    <t>23:11:51</t>
  </si>
  <si>
    <t>22:04:56</t>
  </si>
  <si>
    <t>21:49:52</t>
  </si>
  <si>
    <t>18:23:34</t>
  </si>
  <si>
    <t>07:52:48</t>
  </si>
  <si>
    <t>23:27:18</t>
  </si>
  <si>
    <t>15:06:00</t>
  </si>
  <si>
    <t>17:24:33</t>
  </si>
  <si>
    <t>13:53:30</t>
  </si>
  <si>
    <t>14:58:35</t>
  </si>
  <si>
    <t>12:29:10</t>
  </si>
  <si>
    <t>15:03:36</t>
  </si>
  <si>
    <t>15:27:05</t>
  </si>
  <si>
    <t>21:27:04</t>
  </si>
  <si>
    <t>21:22:03</t>
  </si>
  <si>
    <t>21:27:05</t>
  </si>
  <si>
    <t>21:22:05</t>
  </si>
  <si>
    <t>21:12:05</t>
  </si>
  <si>
    <t>21:37:05</t>
  </si>
  <si>
    <t>21:32:04</t>
  </si>
  <si>
    <t>21:17:05</t>
  </si>
  <si>
    <t>15:17:05</t>
  </si>
  <si>
    <t>15:07:05</t>
  </si>
  <si>
    <t>15:22:04</t>
  </si>
  <si>
    <t>15:17:07</t>
  </si>
  <si>
    <t>21:17:03</t>
  </si>
  <si>
    <t>21:42:05</t>
  </si>
  <si>
    <t>15:12:04</t>
  </si>
  <si>
    <t>21:52:04</t>
  </si>
  <si>
    <t>21:47:04</t>
  </si>
  <si>
    <t>21:22:06</t>
  </si>
  <si>
    <t>15:22:05</t>
  </si>
  <si>
    <t>21:37:03</t>
  </si>
  <si>
    <t>21:42:06</t>
  </si>
  <si>
    <t>15:42:05</t>
  </si>
  <si>
    <t>21:22:04</t>
  </si>
  <si>
    <t>21:27:06</t>
  </si>
  <si>
    <t>23:37:04</t>
  </si>
  <si>
    <t>16:12:07</t>
  </si>
  <si>
    <t>21:27:03</t>
  </si>
  <si>
    <t>15:57:06</t>
  </si>
  <si>
    <t>17:24:11</t>
  </si>
  <si>
    <t>16:41:08</t>
  </si>
  <si>
    <t>16:37:23</t>
  </si>
  <si>
    <t>16:12:20</t>
  </si>
  <si>
    <t>16:37:30</t>
  </si>
  <si>
    <t>15:58:53</t>
  </si>
  <si>
    <t>07:23:33</t>
  </si>
  <si>
    <t>09:48:53</t>
  </si>
  <si>
    <t>08:16:31</t>
  </si>
  <si>
    <t>20:00:34</t>
  </si>
  <si>
    <t>18:08:05</t>
  </si>
  <si>
    <t>18:07:06</t>
  </si>
  <si>
    <t>20:51:59</t>
  </si>
  <si>
    <t>21:58:50</t>
  </si>
  <si>
    <t>02:58:19</t>
  </si>
  <si>
    <t>14:59:12</t>
  </si>
  <si>
    <t>12:56:46</t>
  </si>
  <si>
    <t>11:40:00</t>
  </si>
  <si>
    <t>08:11:53</t>
  </si>
  <si>
    <t>14:58:18</t>
  </si>
  <si>
    <t>01:27:17</t>
  </si>
  <si>
    <t>22:55:24</t>
  </si>
  <si>
    <t>18:18:22</t>
  </si>
  <si>
    <t>06:27:23</t>
  </si>
  <si>
    <t>18:18:32</t>
  </si>
  <si>
    <t>18:18:12</t>
  </si>
  <si>
    <t>06:27:14</t>
  </si>
  <si>
    <t>06:27:12</t>
  </si>
  <si>
    <t>18:18:41</t>
  </si>
  <si>
    <t>15:01:05</t>
  </si>
  <si>
    <t>14:14:53</t>
  </si>
  <si>
    <t>13:43:08</t>
  </si>
  <si>
    <t>18:16:20</t>
  </si>
  <si>
    <t>14:50:33</t>
  </si>
  <si>
    <t>19:47:42</t>
  </si>
  <si>
    <t>12:18:19</t>
  </si>
  <si>
    <t>15:09:50</t>
  </si>
  <si>
    <t>11:42:19</t>
  </si>
  <si>
    <t>12:20:05</t>
  </si>
  <si>
    <t>18:18:25</t>
  </si>
  <si>
    <t>11:02:11</t>
  </si>
  <si>
    <t>12:00:34</t>
  </si>
  <si>
    <t>12:26:19</t>
  </si>
  <si>
    <t>13:00:40</t>
  </si>
  <si>
    <t>12:42:52</t>
  </si>
  <si>
    <t>21:03:48</t>
  </si>
  <si>
    <t>11:12:01</t>
  </si>
  <si>
    <t>10:31:36</t>
  </si>
  <si>
    <t>13:10:10</t>
  </si>
  <si>
    <t>14:17:07</t>
  </si>
  <si>
    <t>10:42:01</t>
  </si>
  <si>
    <t>14:09:24</t>
  </si>
  <si>
    <t>13:22:53</t>
  </si>
  <si>
    <t>10:21:30</t>
  </si>
  <si>
    <t>10:47:36</t>
  </si>
  <si>
    <t>16:48:32</t>
  </si>
  <si>
    <t>10:07:39</t>
  </si>
  <si>
    <t>17:58:05</t>
  </si>
  <si>
    <t>19:03:41</t>
  </si>
  <si>
    <t>13:40:14</t>
  </si>
  <si>
    <t>22:26:14</t>
  </si>
  <si>
    <t>22:26:22</t>
  </si>
  <si>
    <t>21:26:14</t>
  </si>
  <si>
    <t>21:26:15</t>
  </si>
  <si>
    <t>14:15:28</t>
  </si>
  <si>
    <t>14:26:15</t>
  </si>
  <si>
    <t>18:21:24</t>
  </si>
  <si>
    <t>15:14:40</t>
  </si>
  <si>
    <t>17:30:22</t>
  </si>
  <si>
    <t>20:05:59</t>
  </si>
  <si>
    <t>05:39:13</t>
  </si>
  <si>
    <t>00:47:17</t>
  </si>
  <si>
    <t>19:08:16</t>
  </si>
  <si>
    <t>01:15:49</t>
  </si>
  <si>
    <t>17:29:20</t>
  </si>
  <si>
    <t>09:30:30</t>
  </si>
  <si>
    <t>12:45:30</t>
  </si>
  <si>
    <t>08:17:12</t>
  </si>
  <si>
    <t>18:01:45</t>
  </si>
  <si>
    <t>22:43:35</t>
  </si>
  <si>
    <t>09:55:00</t>
  </si>
  <si>
    <t>21:53:58</t>
  </si>
  <si>
    <t>19:01:21</t>
  </si>
  <si>
    <t>18:14:46</t>
  </si>
  <si>
    <t>22:05:55</t>
  </si>
  <si>
    <t>18:29:07</t>
  </si>
  <si>
    <t>18:59:35</t>
  </si>
  <si>
    <t>12:15:18</t>
  </si>
  <si>
    <t>17:44:51</t>
  </si>
  <si>
    <t>10:53:55</t>
  </si>
  <si>
    <t>01:14:47</t>
  </si>
  <si>
    <t>23:50:43</t>
  </si>
  <si>
    <t>06:56:00</t>
  </si>
  <si>
    <t>15:39:16</t>
  </si>
  <si>
    <t>18:51:01</t>
  </si>
  <si>
    <t>18:48:10</t>
  </si>
  <si>
    <t>16:30:28</t>
  </si>
  <si>
    <t>18:58:04</t>
  </si>
  <si>
    <t>12:35:45</t>
  </si>
  <si>
    <t>23:30:26</t>
  </si>
  <si>
    <t>18:08:18</t>
  </si>
  <si>
    <t>18:07:14</t>
  </si>
  <si>
    <t>18:45:32</t>
  </si>
  <si>
    <t>13:07:00</t>
  </si>
  <si>
    <t>13:27:00</t>
  </si>
  <si>
    <t>13:13:46</t>
  </si>
  <si>
    <t>19:14:55</t>
  </si>
  <si>
    <t>13:37:00</t>
  </si>
  <si>
    <t>15:30:00</t>
  </si>
  <si>
    <t>13:30:00</t>
  </si>
  <si>
    <t>19:15:49</t>
  </si>
  <si>
    <t>19:15:18</t>
  </si>
  <si>
    <t>19:15:09</t>
  </si>
  <si>
    <t>19:14:59</t>
  </si>
  <si>
    <t>19:14:51</t>
  </si>
  <si>
    <t>15:50:46</t>
  </si>
  <si>
    <t>17:10:17</t>
  </si>
  <si>
    <t>15:00:02</t>
  </si>
  <si>
    <t>22:13:41</t>
  </si>
  <si>
    <t>17:52:05</t>
  </si>
  <si>
    <t>18:38:36</t>
  </si>
  <si>
    <t>04:39:59</t>
  </si>
  <si>
    <t>20:31:54</t>
  </si>
  <si>
    <t>13:16:20</t>
  </si>
  <si>
    <t>00:22:32</t>
  </si>
  <si>
    <t>19:28:41</t>
  </si>
  <si>
    <t>01:24:09</t>
  </si>
  <si>
    <t>21:52:25</t>
  </si>
  <si>
    <t>20:08:51</t>
  </si>
  <si>
    <t>20:46:09</t>
  </si>
  <si>
    <t>15:35:26</t>
  </si>
  <si>
    <t>18:32:49</t>
  </si>
  <si>
    <t>16:50:35</t>
  </si>
  <si>
    <t>18:45:46</t>
  </si>
  <si>
    <t>11:37:57</t>
  </si>
  <si>
    <t>16:10:18</t>
  </si>
  <si>
    <t>21:51:57</t>
  </si>
  <si>
    <t>02:41:26</t>
  </si>
  <si>
    <t>19:35:01</t>
  </si>
  <si>
    <t>12:36:58</t>
  </si>
  <si>
    <t>23:05:19</t>
  </si>
  <si>
    <t>23:03:23</t>
  </si>
  <si>
    <t>23:02:04</t>
  </si>
  <si>
    <t>17:47:16</t>
  </si>
  <si>
    <t>16:15:12</t>
  </si>
  <si>
    <t>10:45:13</t>
  </si>
  <si>
    <t>09:55:14</t>
  </si>
  <si>
    <t>10:45:12</t>
  </si>
  <si>
    <t>15:15:11</t>
  </si>
  <si>
    <t>09:30:16</t>
  </si>
  <si>
    <t>15:15:00</t>
  </si>
  <si>
    <t>11:46:30</t>
  </si>
  <si>
    <t>22:07:09</t>
  </si>
  <si>
    <t>18:30:12</t>
  </si>
  <si>
    <t>22:36:18</t>
  </si>
  <si>
    <t>20:17:38</t>
  </si>
  <si>
    <t>22:43:50</t>
  </si>
  <si>
    <t>23:11:49</t>
  </si>
  <si>
    <t>18:10:48</t>
  </si>
  <si>
    <t>19:46:56</t>
  </si>
  <si>
    <t>22:24:58</t>
  </si>
  <si>
    <t>18:59:31</t>
  </si>
  <si>
    <t>17:08:27</t>
  </si>
  <si>
    <t>12:36:15</t>
  </si>
  <si>
    <t>16:23:22</t>
  </si>
  <si>
    <t>17:28:33</t>
  </si>
  <si>
    <t>14:08:41</t>
  </si>
  <si>
    <t>16:43:44</t>
  </si>
  <si>
    <t>14:39:19</t>
  </si>
  <si>
    <t>11:47:56</t>
  </si>
  <si>
    <t>16:40:28</t>
  </si>
  <si>
    <t>17:44:08</t>
  </si>
  <si>
    <t>14:59:48</t>
  </si>
  <si>
    <t>21:26:33</t>
  </si>
  <si>
    <t>-48,677489,-27,061288 
-48,677489,-26,9542747 
-48,568874,-26,9542747 
-48,568874,-27,061288 
-48,677489,-27,061288</t>
  </si>
  <si>
    <t>-46,9657883,-23,5529444 
-46,9657883,-23,469113 
-46,798869,-23,469113 
-46,798869,-23,5529444 
-46,9657883,-23,5529444</t>
  </si>
  <si>
    <t>-56,430439,-34,937896 
-56,430439,-34,701599 
-56,029341,-34,701599 
-56,029341,-34,937896 
-56,430439,-34,937896</t>
  </si>
  <si>
    <t>-35,019805,-8,157554 
-35,019805,-7,929652 
-34,858893,-7,929652 
-34,858893,-8,157554 
-35,019805,-8,157554</t>
  </si>
  <si>
    <t>-58,5317922,-34,674453 
-58,5317922,-34,534177 
-58,353494,-34,534177 
-58,353494,-34,674453 
-58,5317922,-34,674453</t>
  </si>
  <si>
    <t>-58,500948,-34,817177 
-58,500948,-34,688414 
-58,336764,-34,688414 
-58,336764,-34,817177 
-58,500948,-34,817177</t>
  </si>
  <si>
    <t>-58,714401,-34,9100403 
-58,714401,-34,634696 
-58,46421,-34,634696 
-58,46421,-34,9100403 
-58,714401,-34,9100403</t>
  </si>
  <si>
    <t>-46,703986,-23,58598 
-46,703986,-23,5447564 
-46,6708614,-23,5447564 
-46,6708614,-23,58598 
-46,703986,-23,58598</t>
  </si>
  <si>
    <t>-46,62556,-21,307335 
-46,62556,-21,152334 
-46,403249,-21,152334 
-46,403249,-21,307335 
-46,62556,-21,307335</t>
  </si>
  <si>
    <t>-73,1964389986563,7,04893000034879 
-73,1964389986563,7,24065599791148 
-73,0689549960066,7,24065599791148 
-73,0689549960066,7,04893000034879 
-73,1964389986563,7,04893000034879</t>
  </si>
  <si>
    <t>-46,826039,-24,008814 
-46,826039,-23,356792 
-46,365052,-23,356792 
-46,365052,-24,008814 
-46,826039,-24,008814</t>
  </si>
  <si>
    <t>-100,421037,25,4805381 
-100,421037,25,802899 
-100,166146,25,802899 
-100,166146,25,4805381 
-100,421037,25,4805381</t>
  </si>
  <si>
    <t>-100,425188,25,5835569 
-100,425188,25,7170179 
-100,3068775,25,7170179 
-100,3068775,25,5835569 
-100,425188,25,5835569</t>
  </si>
  <si>
    <t>-4,9903284,41,2305673 
-4,9903284,41,438878 
-4,8146937,41,438878 
-4,8146937,41,2305673 
-4,9903284,41,2305673</t>
  </si>
  <si>
    <t>-65,778264,-34,998735 
-65,778264,-29,503325 
-61,777678,-29,503325 
-61,777678,-34,998735 
-65,778264,-34,998735</t>
  </si>
  <si>
    <t>-48,836158,-27,5421404 
-48,836158,-27,320841 
-48,6227834,-27,320841 
-48,6227834,-27,5421404 
-48,836158,-27,5421404</t>
  </si>
  <si>
    <t>-75,5573030021059,9,21673999595252 
-75,5573030021059,9,4144709957045 
-75,311125001233,9,4144709957045 
-75,311125001233,9,21673999595252 
-75,5573030021059,9,21673999595252</t>
  </si>
  <si>
    <t>-99,180678,19,444937 
-99,180678,19,592375 
-99,0511034,19,592375 
-99,0511034,19,444937 
-99,180678,19,444937</t>
  </si>
  <si>
    <t>-101,169792,21,9593569 
-101,169792,22,6628819 
-100,74123,22,6628819 
-100,74123,21,9593569 
-101,169792,21,9593569</t>
  </si>
  <si>
    <t>-49,3916434,-25,6447517 
-49,3916434,-25,3457471 
-49,1852775,-25,3457471 
-49,1852775,-25,6447517 
-49,3916434,-25,6447517</t>
  </si>
  <si>
    <t>-3,8890049,40,3120713 
-3,8890049,40,6435181 
-3,5180102,40,6435181 
-3,5180102,40,3120713 
-3,8890049,40,3120713</t>
  </si>
  <si>
    <t>-58,644732,-34,654376 
-58,644732,-34,546888 
-58,5224777,-34,546888 
-58,5224777,-34,654376 
-58,644732,-34,654376</t>
  </si>
  <si>
    <t>-43,248736,-22,909115 
-43,248736,-22,90252 
-43,237605,-22,90252 
-43,237605,-22,909115 
-43,248736,-22,909115</t>
  </si>
  <si>
    <t>-43,263232,-22,918393 
-43,263232,-22,907187 
-43,2353,-22,907187 
-43,2353,-22,918393 
-43,263232,-22,918393</t>
  </si>
  <si>
    <t>-40,3257634,-20,305923 
-40,3257634,-20,2906 
-40,3096179,-20,2906 
-40,3096179,-20,305923 
-40,3257634,-20,305923</t>
  </si>
  <si>
    <t>-44,062789,-20,059816 
-44,062789,-19,777568 
-43,856856,-19,777568 
-43,856856,-20,059816 
-44,062789,-20,059816</t>
  </si>
  <si>
    <t>-68,0339966,10,1125402 
-68,0339966,10,2401114 
-67,9569168,10,2401114 
-67,9569168,10,1125402 
-68,0339966,10,1125402</t>
  </si>
  <si>
    <t>-15,5255036,28,0248125 
-15,5255036,28,1812125 
-15,3941943,28,1812125 
-15,3941943,28,0248125 
-15,5255036,28,0248125</t>
  </si>
  <si>
    <t>-43,795449,-23,08302 
-43,795449,-22,7398234 
-43,0877068,-22,7398234 
-43,0877068,-23,08302 
-43,795449,-23,08302</t>
  </si>
  <si>
    <t>-40,703685,-20,7493646 
-40,703685,-20,4452811 
-40,3765824,-20,4452811 
-40,3765824,-20,7493646 
-40,703685,-20,7493646</t>
  </si>
  <si>
    <t>-65,5325137,-24,871621 
-65,5325137,-24,74685 
-65,358702,-24,74685 
-65,358702,-24,871621 
-65,5325137,-24,871621</t>
  </si>
  <si>
    <t>-73,1587639972776,7,00661899754931 
-73,1587639972776,7,12071400038788 
-73,0340630037008,7,12071400038788 
-73,0340630037008,7,00661899754931 
-73,1587639972776,7,00661899754931</t>
  </si>
  <si>
    <t>-99,364536,19,049016 
-99,364536,19,592375 
-98,940657,19,592375 
-98,940657,19,049016 
-99,364536,19,049016</t>
  </si>
  <si>
    <t>-84,0791779,9,4674778 
-84,0791779,10,1360865 
-83,3168182,10,1360865 
-83,3168182,9,4674778 
-84,0791779,9,4674778</t>
  </si>
  <si>
    <t>-75,7745879973321,4,67152799683655 
-75,7745879973321,4,95156600378807 
-75,4501749985263,4,95156600378807 
-75,4501749985263,4,67152799683655 
-75,7745879973321,4,67152799683655</t>
  </si>
  <si>
    <t>-77,8861000778241,-13,3233069582008 
-77,8861000778241,-10,269973980131 
-75,5081560807494,-10,269973980131 
-75,5081560807494,-13,3233069582008 
-77,8861000778241,-13,3233069582008</t>
  </si>
  <si>
    <t>Brasil</t>
  </si>
  <si>
    <t>Uruguai</t>
  </si>
  <si>
    <t>Argentina</t>
  </si>
  <si>
    <t>Colombia</t>
  </si>
  <si>
    <t>México</t>
  </si>
  <si>
    <t>Espanha</t>
  </si>
  <si>
    <t>Venezuela</t>
  </si>
  <si>
    <t>Costa Rica</t>
  </si>
  <si>
    <t>Peru</t>
  </si>
  <si>
    <t>BR</t>
  </si>
  <si>
    <t>UY</t>
  </si>
  <si>
    <t>AR</t>
  </si>
  <si>
    <t>CO</t>
  </si>
  <si>
    <t>MX</t>
  </si>
  <si>
    <t>ES</t>
  </si>
  <si>
    <t>VE</t>
  </si>
  <si>
    <t>CR</t>
  </si>
  <si>
    <t>PE</t>
  </si>
  <si>
    <t>Balneário Camboriú, Brasil</t>
  </si>
  <si>
    <t>Barueri, Brasil</t>
  </si>
  <si>
    <t>Montevideu, Uruguai</t>
  </si>
  <si>
    <t>Recife, Brasil</t>
  </si>
  <si>
    <t>Ciudad Autónoma de Buenos Aires, Argentina</t>
  </si>
  <si>
    <t>Lomas de Zamora, Argentina</t>
  </si>
  <si>
    <t>González Catán, Argentina</t>
  </si>
  <si>
    <t>Pinheiros, São Paulo</t>
  </si>
  <si>
    <t>Juruaia, Brasil</t>
  </si>
  <si>
    <t>Bucaramanga, Colombia</t>
  </si>
  <si>
    <t>São Paulo, Brasil</t>
  </si>
  <si>
    <t>Monterrey, Nuevo León</t>
  </si>
  <si>
    <t>San Pedro Garza García, Nuevo León</t>
  </si>
  <si>
    <t>Medina del Campo, España</t>
  </si>
  <si>
    <t>Córdoba, Argentina</t>
  </si>
  <si>
    <t>Biguaçu, Brasil</t>
  </si>
  <si>
    <t>Sincelejo, Colombia</t>
  </si>
  <si>
    <t>Gustavo A. Madero, Distrito Federal</t>
  </si>
  <si>
    <t>San Luis Potosí, México</t>
  </si>
  <si>
    <t>Curitiba, Brasil</t>
  </si>
  <si>
    <t>Madrid, España</t>
  </si>
  <si>
    <t>Caseros, Argentina</t>
  </si>
  <si>
    <t>São Francisco Xavier, Rio de Janeiro</t>
  </si>
  <si>
    <t>Vila Isabel, Rio de Janeiro</t>
  </si>
  <si>
    <t>Maruípe, Vitória</t>
  </si>
  <si>
    <t>Belo Horizonte, Brasil</t>
  </si>
  <si>
    <t>Valencia, Venezuela</t>
  </si>
  <si>
    <t>Las Palmas de Gran Canaria, España</t>
  </si>
  <si>
    <t>Rio de Janeiro, Brasil</t>
  </si>
  <si>
    <t>Guarapari, Brasil</t>
  </si>
  <si>
    <t>Salta, Argentina</t>
  </si>
  <si>
    <t>Floridablanca, Colombia</t>
  </si>
  <si>
    <t>Distrito Federal, México</t>
  </si>
  <si>
    <t>Cartago, Costa Rica</t>
  </si>
  <si>
    <t>Santa Rosa de Cabal, Colombia</t>
  </si>
  <si>
    <t>Lima, Peru</t>
  </si>
  <si>
    <t>f0849ab7d3658fec</t>
  </si>
  <si>
    <t>5997e92637149a16</t>
  </si>
  <si>
    <t>01a9dbb9232f0fac</t>
  </si>
  <si>
    <t>f207b85be9f1513e</t>
  </si>
  <si>
    <t>018f1cde6bad9747</t>
  </si>
  <si>
    <t>000ceddc32916a4c</t>
  </si>
  <si>
    <t>0138a2ed609c5a53</t>
  </si>
  <si>
    <t>6c1a4aae4a7f7e5b</t>
  </si>
  <si>
    <t>8bfde3a2abd56135</t>
  </si>
  <si>
    <t>015ebf2571d0d8ce</t>
  </si>
  <si>
    <t>68e019afec7d0ba5</t>
  </si>
  <si>
    <t>b19e24ce42ccd6aa</t>
  </si>
  <si>
    <t>305867481351611b</t>
  </si>
  <si>
    <t>3c6195325c4b7136</t>
  </si>
  <si>
    <t>0b79f7e718cb54b9</t>
  </si>
  <si>
    <t>77c15e08a456c529</t>
  </si>
  <si>
    <t>00698a5d6382c442</t>
  </si>
  <si>
    <t>6f1840cee437e17a</t>
  </si>
  <si>
    <t>e825dd87e48f45ed</t>
  </si>
  <si>
    <t>6d5542f8d837770d</t>
  </si>
  <si>
    <t>206c436ce43a43a3</t>
  </si>
  <si>
    <t>014f72200f706d3f</t>
  </si>
  <si>
    <t>3c60c07eb09afdf0</t>
  </si>
  <si>
    <t>7c91ae49fb6908a3</t>
  </si>
  <si>
    <t>138819d1f9e254d1</t>
  </si>
  <si>
    <t>d9d978b087a92583</t>
  </si>
  <si>
    <t>012af435641420c7</t>
  </si>
  <si>
    <t>00ab08eef1b62e92</t>
  </si>
  <si>
    <t>97bcdfca1a2dca59</t>
  </si>
  <si>
    <t>c3298d9d79922899</t>
  </si>
  <si>
    <t>0085b01d4f65f576</t>
  </si>
  <si>
    <t>00cc64bf0c951160</t>
  </si>
  <si>
    <t>72ee18b0510eb501</t>
  </si>
  <si>
    <t>00cbad4318310a30</t>
  </si>
  <si>
    <t>0127ef192251650c</t>
  </si>
  <si>
    <t>011746fd707b3b1b</t>
  </si>
  <si>
    <t>Balneário Camboriú</t>
  </si>
  <si>
    <t>Barueri</t>
  </si>
  <si>
    <t>Montevideu</t>
  </si>
  <si>
    <t>Recife</t>
  </si>
  <si>
    <t>Ciudad Autónoma de Buenos Aires</t>
  </si>
  <si>
    <t>Lomas de Zamora</t>
  </si>
  <si>
    <t>González Catán</t>
  </si>
  <si>
    <t>Pinheiros</t>
  </si>
  <si>
    <t>Juruaia</t>
  </si>
  <si>
    <t>Bucaramanga</t>
  </si>
  <si>
    <t>São Paulo</t>
  </si>
  <si>
    <t>Monterrey</t>
  </si>
  <si>
    <t>San Pedro Garza García</t>
  </si>
  <si>
    <t>Medina del Campo</t>
  </si>
  <si>
    <t>Córdoba</t>
  </si>
  <si>
    <t>Biguaçu</t>
  </si>
  <si>
    <t>Sincelejo</t>
  </si>
  <si>
    <t>Gustavo A. Madero</t>
  </si>
  <si>
    <t>San Luis Potosí</t>
  </si>
  <si>
    <t>Curitiba</t>
  </si>
  <si>
    <t>Madrid</t>
  </si>
  <si>
    <t>Caseros</t>
  </si>
  <si>
    <t>São Francisco Xavier</t>
  </si>
  <si>
    <t>Vila Isabel</t>
  </si>
  <si>
    <t>Maruípe</t>
  </si>
  <si>
    <t>Belo Horizonte</t>
  </si>
  <si>
    <t>Valencia</t>
  </si>
  <si>
    <t>Las Palmas de Gran Canaria</t>
  </si>
  <si>
    <t>Rio de Janeiro</t>
  </si>
  <si>
    <t>Guarapari</t>
  </si>
  <si>
    <t>Salta</t>
  </si>
  <si>
    <t>Floridablanca</t>
  </si>
  <si>
    <t>Distrito Federal</t>
  </si>
  <si>
    <t>Cartago</t>
  </si>
  <si>
    <t>Santa Rosa de Cabal</t>
  </si>
  <si>
    <t>Lima</t>
  </si>
  <si>
    <t>city</t>
  </si>
  <si>
    <t>admin</t>
  </si>
  <si>
    <t>neighborhood</t>
  </si>
  <si>
    <t>3_1646227564552425474</t>
  </si>
  <si>
    <t>3_1636330389823184897</t>
  </si>
  <si>
    <t>3_1630278990878392321</t>
  </si>
  <si>
    <t>7_1695608414821384192</t>
  </si>
  <si>
    <t>3_1631642884129673218</t>
  </si>
  <si>
    <t>3_1671865729937702913</t>
  </si>
  <si>
    <t>7_1624785758954438658</t>
  </si>
  <si>
    <t>3_1633120681561841665</t>
  </si>
  <si>
    <t>3_1666067541439938560</t>
  </si>
  <si>
    <t>7_1629496741778055171</t>
  </si>
  <si>
    <t>7_1622245277137518593</t>
  </si>
  <si>
    <t>3_1620792790408957956</t>
  </si>
  <si>
    <t>7_1664980527298772992</t>
  </si>
  <si>
    <t>3_1654863720907001858</t>
  </si>
  <si>
    <t>3_1638563774763266053</t>
  </si>
  <si>
    <t>7_1626960196881858565</t>
  </si>
  <si>
    <t>7_1647215935219007488</t>
  </si>
  <si>
    <t>7_1637106856551227394</t>
  </si>
  <si>
    <t>3_1625510763023540225</t>
  </si>
  <si>
    <t>7_1625450321190215683</t>
  </si>
  <si>
    <t>7_1679181797651775498</t>
  </si>
  <si>
    <t>7_1679140001072726018</t>
  </si>
  <si>
    <t>3_1659197267373596675</t>
  </si>
  <si>
    <t>3_1642180330604974084</t>
  </si>
  <si>
    <t>3_1691517694380568576</t>
  </si>
  <si>
    <t>3_1643992613970907138</t>
  </si>
  <si>
    <t>7_1702015955566465024</t>
  </si>
  <si>
    <t>3_1623699940080852993</t>
  </si>
  <si>
    <t>3_1698739735169011712</t>
  </si>
  <si>
    <t>3_1651667537354977280</t>
  </si>
  <si>
    <t>3_1677421907967193088</t>
  </si>
  <si>
    <t>3_1681307235488772106</t>
  </si>
  <si>
    <t>3_1679579698953592833</t>
  </si>
  <si>
    <t>3_1668346147717406736</t>
  </si>
  <si>
    <t>7_1650668907462574086</t>
  </si>
  <si>
    <t>3_1692189267622051840</t>
  </si>
  <si>
    <t>16_1696165908274655233</t>
  </si>
  <si>
    <t>3_1700979524421476352</t>
  </si>
  <si>
    <t>3_1667374065609474049</t>
  </si>
  <si>
    <t>3_1611109609091043329 3_1611109609225293824 3_1611109609489530883 3_1611109609795715074</t>
  </si>
  <si>
    <t>7_1658759396749373442</t>
  </si>
  <si>
    <t>3_1686105165378555904</t>
  </si>
  <si>
    <t>3_1674600429013942273</t>
  </si>
  <si>
    <t>3_1645554255485435904</t>
  </si>
  <si>
    <t>3_1637145195576713218</t>
  </si>
  <si>
    <t>3_1643243916198641665</t>
  </si>
  <si>
    <t>3_1648070919397539840</t>
  </si>
  <si>
    <t>3_1651614230221582337</t>
  </si>
  <si>
    <t>7_1683559424160309254</t>
  </si>
  <si>
    <t>3_1632458965874544640</t>
  </si>
  <si>
    <t>7_1626777729822560259</t>
  </si>
  <si>
    <t>7_1661023744230584321</t>
  </si>
  <si>
    <t>7_1654090492852809728</t>
  </si>
  <si>
    <t>7_1697215551297253376</t>
  </si>
  <si>
    <t>3_1645601407955812352</t>
  </si>
  <si>
    <t>3_1616405815472136196</t>
  </si>
  <si>
    <t>3_1616073741288587264</t>
  </si>
  <si>
    <t>3_1612660812816044032</t>
  </si>
  <si>
    <t>3_1612117416078712835</t>
  </si>
  <si>
    <t>3_1612011613078290432</t>
  </si>
  <si>
    <t>3_1698697951269310464</t>
  </si>
  <si>
    <t>7_1644791130490322950</t>
  </si>
  <si>
    <t>3_1617490417859133441</t>
  </si>
  <si>
    <t>3_1635687567076077569</t>
  </si>
  <si>
    <t>3_1611721583143358471</t>
  </si>
  <si>
    <t>3_1662972022580826112</t>
  </si>
  <si>
    <t>3_1669473849476300801</t>
  </si>
  <si>
    <t>3_1673482279878811650</t>
  </si>
  <si>
    <t>3_1658602228297416706</t>
  </si>
  <si>
    <t>3_1690858460768862208</t>
  </si>
  <si>
    <t>3_1665521730838773761</t>
  </si>
  <si>
    <t>3_1704457050170724352</t>
  </si>
  <si>
    <t>3_1689754589531082752</t>
  </si>
  <si>
    <t>3_1632161120122175488</t>
  </si>
  <si>
    <t>7_1612378627597008896</t>
  </si>
  <si>
    <t>3_1653064585845575681</t>
  </si>
  <si>
    <t>7_1617527182796156929</t>
  </si>
  <si>
    <t>3_1667320691622834177</t>
  </si>
  <si>
    <t>3_1622928257405386752</t>
  </si>
  <si>
    <t>16_1666111428959371264</t>
  </si>
  <si>
    <t>3_1617702362453352448</t>
  </si>
  <si>
    <t>3_1623364616133672960</t>
  </si>
  <si>
    <t>3_1694437675611152384</t>
  </si>
  <si>
    <t>7_1626658805315428362</t>
  </si>
  <si>
    <t>7_1697419005756141568</t>
  </si>
  <si>
    <t>7_1697360528643850240</t>
  </si>
  <si>
    <t>7_1697290847371313152</t>
  </si>
  <si>
    <t>3_1626587665104773120</t>
  </si>
  <si>
    <t>3_1656642315266723840</t>
  </si>
  <si>
    <t>3_1658865174650994688 3_1658865184532754432 3_1658865187636510724 3_1658865194104135681</t>
  </si>
  <si>
    <t>7_1632076585426616320</t>
  </si>
  <si>
    <t>7_1631288661416222725</t>
  </si>
  <si>
    <t>3_1661444048282943523 3_1661444052334641160</t>
  </si>
  <si>
    <t>3_1673330475874545665 3_1673330476075868162</t>
  </si>
  <si>
    <t>3_1682322100449673216</t>
  </si>
  <si>
    <t>3_1681989959345946624</t>
  </si>
  <si>
    <t>3_1672465696318431233</t>
  </si>
  <si>
    <t>3_1667257053067333669</t>
  </si>
  <si>
    <t>3_1663953117279289354</t>
  </si>
  <si>
    <t>3_1701983795119833088</t>
  </si>
  <si>
    <t>13_1669413869951807488</t>
  </si>
  <si>
    <t>3_1683574482680545281</t>
  </si>
  <si>
    <t>7_1613874230138912769</t>
  </si>
  <si>
    <t>3_1701247436109283328</t>
  </si>
  <si>
    <t>3_1702375915592773632</t>
  </si>
  <si>
    <t>3_1702372490046062592</t>
  </si>
  <si>
    <t>3_1705251675584266240</t>
  </si>
  <si>
    <t>3_1705251490267357185</t>
  </si>
  <si>
    <t>3_1688584116961198080</t>
  </si>
  <si>
    <t>7_1686044144366456833</t>
  </si>
  <si>
    <t>3_1613173233615765505</t>
  </si>
  <si>
    <t>3_1625932676375904261</t>
  </si>
  <si>
    <t>7_1663591547143585818</t>
  </si>
  <si>
    <t>16_1672172094434471937</t>
  </si>
  <si>
    <t>7_1612149227483811840</t>
  </si>
  <si>
    <t>3_1617667411271892993</t>
  </si>
  <si>
    <t>3_1706362637892644864</t>
  </si>
  <si>
    <t>3_1679441059204431873</t>
  </si>
  <si>
    <t>7_1685070305901842432</t>
  </si>
  <si>
    <t>3_1631219847601307649</t>
  </si>
  <si>
    <t>3_1641366654041964547</t>
  </si>
  <si>
    <t>3_1671807234823663618</t>
  </si>
  <si>
    <t>3_1651513514417086464</t>
  </si>
  <si>
    <t>3_1681954095094026240</t>
  </si>
  <si>
    <t>3_1621073249168752640</t>
  </si>
  <si>
    <t>3_1702247815504691200</t>
  </si>
  <si>
    <t>3_1692100955121000448</t>
  </si>
  <si>
    <t>3_1661660374666452992</t>
  </si>
  <si>
    <t>3_1687179176904671232</t>
  </si>
  <si>
    <t>3_1628424400482582533</t>
  </si>
  <si>
    <t>7_1700570100749791232</t>
  </si>
  <si>
    <t>3_1625605320905990145</t>
  </si>
  <si>
    <t>3_1627782154838020097</t>
  </si>
  <si>
    <t>3_1612829894030856193</t>
  </si>
  <si>
    <t>3_1643292924086480896</t>
  </si>
  <si>
    <t>3_1628052694068867072</t>
  </si>
  <si>
    <t>3_1615820851793772547</t>
  </si>
  <si>
    <t>3_1649529209952280582</t>
  </si>
  <si>
    <t>3_1649161782651486210</t>
  </si>
  <si>
    <t>3_1632490689152819202</t>
  </si>
  <si>
    <t>3_1651697246260396032</t>
  </si>
  <si>
    <t>3_1638292733415641095</t>
  </si>
  <si>
    <t>3_1638290160084238337</t>
  </si>
  <si>
    <t>3_1646529439801524224</t>
  </si>
  <si>
    <t>3_1646172086942023685</t>
  </si>
  <si>
    <t>3_1646170837886681093</t>
  </si>
  <si>
    <t>3_1645860025397661733</t>
  </si>
  <si>
    <t>3_1629595358136262661</t>
  </si>
  <si>
    <t>3_1621261705933164548</t>
  </si>
  <si>
    <t>3_1621171105628147719</t>
  </si>
  <si>
    <t>3_1642934600002420739</t>
  </si>
  <si>
    <t>3_1642610487144611840</t>
  </si>
  <si>
    <t>3_1642543179802058753</t>
  </si>
  <si>
    <t>3_1642185828347641860</t>
  </si>
  <si>
    <t>3_1642184563915980801</t>
  </si>
  <si>
    <t>3_1642183298003660801</t>
  </si>
  <si>
    <t>3_1641911515438624769</t>
  </si>
  <si>
    <t>3_1641555412934688771</t>
  </si>
  <si>
    <t>3_1618626835058655233</t>
  </si>
  <si>
    <t>3_1648832118364020742</t>
  </si>
  <si>
    <t>3_1634303882674176005</t>
  </si>
  <si>
    <t>3_1618444112432177153</t>
  </si>
  <si>
    <t>3_1620173360142626816 3_1620173385488814083 3_1620173416426000386 3_1620173482482094082</t>
  </si>
  <si>
    <t>7_1628116230304370692</t>
  </si>
  <si>
    <t>7_1623725446192848898</t>
  </si>
  <si>
    <t>3_1633849061357887491</t>
  </si>
  <si>
    <t>3_1646245990033248256</t>
  </si>
  <si>
    <t>7_1618345507243302915</t>
  </si>
  <si>
    <t>3_1705964398374711296</t>
  </si>
  <si>
    <t>3_1623331719582547968</t>
  </si>
  <si>
    <t>3_1623331579484332034</t>
  </si>
  <si>
    <t>7_1659258179312656386</t>
  </si>
  <si>
    <t>3_1616225557401722880</t>
  </si>
  <si>
    <t>3_1615598445087145984</t>
  </si>
  <si>
    <t>3_1618700243943432219</t>
  </si>
  <si>
    <t>3_1621259544922816514</t>
  </si>
  <si>
    <t>3_1633265444244144128</t>
  </si>
  <si>
    <t>3_1638643254827667456</t>
  </si>
  <si>
    <t>3_1620154944555819019</t>
  </si>
  <si>
    <t>7_1610408179581452289</t>
  </si>
  <si>
    <t>7_1628815167386427393</t>
  </si>
  <si>
    <t>3_1628777321334276100 3_1628777321338482691</t>
  </si>
  <si>
    <t>3_1671556995080503297</t>
  </si>
  <si>
    <t>3_1671273915362975747</t>
  </si>
  <si>
    <t>3_1684239293584121857</t>
  </si>
  <si>
    <t>3_1613171874254446593 3_1613171874254540801 3_1613171874275491840</t>
  </si>
  <si>
    <t>3_1705307378428608512 3_1705307384707522560 3_1705307403632201728</t>
  </si>
  <si>
    <t>3_1620495509889622017</t>
  </si>
  <si>
    <t>3_1698764424171982848</t>
  </si>
  <si>
    <t>3_1631631055479291904</t>
  </si>
  <si>
    <t>3_1661781253928910848</t>
  </si>
  <si>
    <t>3_1671156122085117952</t>
  </si>
  <si>
    <t>3_1633972238696292356 3_1633972238603911168</t>
  </si>
  <si>
    <t>3_1689311578032676871</t>
  </si>
  <si>
    <t>7_1620889645574758414</t>
  </si>
  <si>
    <t>3_1693668826620059648</t>
  </si>
  <si>
    <t>3_1695163313934516224</t>
  </si>
  <si>
    <t>3_1695085157781315586</t>
  </si>
  <si>
    <t>3_1706410219553628161</t>
  </si>
  <si>
    <t>3_1704213368259620864</t>
  </si>
  <si>
    <t>3_1646848182318428160</t>
  </si>
  <si>
    <t>3_1695546689896013824</t>
  </si>
  <si>
    <t>3_1653152090171088896</t>
  </si>
  <si>
    <t>3_1638233857324359699</t>
  </si>
  <si>
    <t>7_1663215192610598912</t>
  </si>
  <si>
    <t>3_1677071104307806211</t>
  </si>
  <si>
    <t>3_1684221684172066820</t>
  </si>
  <si>
    <t>3_1685314366650888192</t>
  </si>
  <si>
    <t>3_1635918275480518658</t>
  </si>
  <si>
    <t>7_1616089350831308801</t>
  </si>
  <si>
    <t>3_1704308391437336576</t>
  </si>
  <si>
    <t>3_1700281997195706368</t>
  </si>
  <si>
    <t>7_1700609096699777025</t>
  </si>
  <si>
    <t>7_1701173867358650368</t>
  </si>
  <si>
    <t>7_1703782154151317504</t>
  </si>
  <si>
    <t>7_1705011804789723137</t>
  </si>
  <si>
    <t>7_1704988197267079168</t>
  </si>
  <si>
    <t>3_1666879493154144263</t>
  </si>
  <si>
    <t>7_1670767078519734274</t>
  </si>
  <si>
    <t>7_1663214228516360193</t>
  </si>
  <si>
    <t>7_1674973108690714630</t>
  </si>
  <si>
    <t>7_1652520792402403329</t>
  </si>
  <si>
    <t>3_1617942125999493125</t>
  </si>
  <si>
    <t>3_1617939593575206915</t>
  </si>
  <si>
    <t>3_1616057321309831168</t>
  </si>
  <si>
    <t>3_1615672678211358726</t>
  </si>
  <si>
    <t>3_1612446102019608577</t>
  </si>
  <si>
    <t>3_1615307985227550722</t>
  </si>
  <si>
    <t>3_1667302756498001923</t>
  </si>
  <si>
    <t>3_1667131011631546370</t>
  </si>
  <si>
    <t>3_1666802831972773888</t>
  </si>
  <si>
    <t>3_1666054664402378752</t>
  </si>
  <si>
    <t>3_1697231979282935808</t>
  </si>
  <si>
    <t>3_1664242824773087232</t>
  </si>
  <si>
    <t>3_1611469298219814915</t>
  </si>
  <si>
    <t>3_1611331758133313539</t>
  </si>
  <si>
    <t>3_1609879933601419266</t>
  </si>
  <si>
    <t>3_1617614405306355756 3_1617614405436416000 3_1617614405214081034 3_1617614405377658886</t>
  </si>
  <si>
    <t>7_1679583739435794436</t>
  </si>
  <si>
    <t>3_1687102496362438658</t>
  </si>
  <si>
    <t>7_1707092594352619520</t>
  </si>
  <si>
    <t>3_1681310571856285696</t>
  </si>
  <si>
    <t>3_1638291938297118720</t>
  </si>
  <si>
    <t>3_1638291936896331776</t>
  </si>
  <si>
    <t>7_1616453327381749761</t>
  </si>
  <si>
    <t>7_1630047865878790145</t>
  </si>
  <si>
    <t>7_1687464285872496640</t>
  </si>
  <si>
    <t>3_1622642304585433088</t>
  </si>
  <si>
    <t>7_1646380867445723137</t>
  </si>
  <si>
    <t>3_1651234752840585217</t>
  </si>
  <si>
    <t>3_1651233507685851139</t>
  </si>
  <si>
    <t>3_1662162959068430345</t>
  </si>
  <si>
    <t>3_1610365765076783104</t>
  </si>
  <si>
    <t>3_1621960616352124929</t>
  </si>
  <si>
    <t>3_1612434378268753921</t>
  </si>
  <si>
    <t>3_1634894583946518528</t>
  </si>
  <si>
    <t>3_1624001551781007360</t>
  </si>
  <si>
    <t>3_1623789230441857024</t>
  </si>
  <si>
    <t>3_1623782607124144131</t>
  </si>
  <si>
    <t>3_1623381273086513153</t>
  </si>
  <si>
    <t>3_1676252102409035779</t>
  </si>
  <si>
    <t>3_1645403845558665218</t>
  </si>
  <si>
    <t>3_1681355731918897179</t>
  </si>
  <si>
    <t>3_1622611436567465985</t>
  </si>
  <si>
    <t>3_1622581487924047872</t>
  </si>
  <si>
    <t>3_1622180791995301893</t>
  </si>
  <si>
    <t>3_1620497236927946782</t>
  </si>
  <si>
    <t>3_1683885076763881477</t>
  </si>
  <si>
    <t>3_1681031258258694145</t>
  </si>
  <si>
    <t>3_1679098397549031425</t>
  </si>
  <si>
    <t>3_1678819020772896784</t>
  </si>
  <si>
    <t>3_1620089585932926978</t>
  </si>
  <si>
    <t>3_1619387378954649600</t>
  </si>
  <si>
    <t>3_1618564768683499520</t>
  </si>
  <si>
    <t>7_1703454037117382656</t>
  </si>
  <si>
    <t>3_1685289266564268032</t>
  </si>
  <si>
    <t>3_1624407996221587458</t>
  </si>
  <si>
    <t>3_1624393145138946048</t>
  </si>
  <si>
    <t>3_1624355131482406916</t>
  </si>
  <si>
    <t>3_1624045656888295431</t>
  </si>
  <si>
    <t>3_1611769725121331200</t>
  </si>
  <si>
    <t>3_1611460159905079299</t>
  </si>
  <si>
    <t>3_1610969724728254466</t>
  </si>
  <si>
    <t>3_1610659901633593345</t>
  </si>
  <si>
    <t>3_1610312618916331522</t>
  </si>
  <si>
    <t>3_1609995512437956611</t>
  </si>
  <si>
    <t>3_1609987970211225603</t>
  </si>
  <si>
    <t>3_1609927834381832195</t>
  </si>
  <si>
    <t>7_1707040124729524224</t>
  </si>
  <si>
    <t>7_1706383270017941505</t>
  </si>
  <si>
    <t>7_1705658489685647360</t>
  </si>
  <si>
    <t>7_1704918710429929472</t>
  </si>
  <si>
    <t>3_1696878027005681664</t>
  </si>
  <si>
    <t>3_1688588392408268813</t>
  </si>
  <si>
    <t>3_1701634273663393792</t>
  </si>
  <si>
    <t>7_1678842831144615936</t>
  </si>
  <si>
    <t>3_1693957205106507776</t>
  </si>
  <si>
    <t>3_1693954487797309441</t>
  </si>
  <si>
    <t>3_1693953727323877377</t>
  </si>
  <si>
    <t>3_1692715027160018945</t>
  </si>
  <si>
    <t>3_1685398635905679361</t>
  </si>
  <si>
    <t>3_1669125692213043201</t>
  </si>
  <si>
    <t>3_1662985246365679618</t>
  </si>
  <si>
    <t>3_1647931907676553216</t>
  </si>
  <si>
    <t>3_1647931311170920449</t>
  </si>
  <si>
    <t>3_1636400780721762306</t>
  </si>
  <si>
    <t>3_1636199827133329411</t>
  </si>
  <si>
    <t>3_1625625445239603200</t>
  </si>
  <si>
    <t>3_1614754906690273280</t>
  </si>
  <si>
    <t>3_1614753953605992452</t>
  </si>
  <si>
    <t>3_1614751215870410753</t>
  </si>
  <si>
    <t>3_1614750524393259014</t>
  </si>
  <si>
    <t>3_1613942759928336399</t>
  </si>
  <si>
    <t>3_1701236230527049729</t>
  </si>
  <si>
    <t>3_1701233489855557632</t>
  </si>
  <si>
    <t>3_1701229616139042816</t>
  </si>
  <si>
    <t>3_1701229517056913408</t>
  </si>
  <si>
    <t>3_1700525650358964224</t>
  </si>
  <si>
    <t>3_1698446782676520961</t>
  </si>
  <si>
    <t>3_1698444366824591360</t>
  </si>
  <si>
    <t>3_1690853596034662400</t>
  </si>
  <si>
    <t>3_1690853471891689472</t>
  </si>
  <si>
    <t>3_1690852572867735552</t>
  </si>
  <si>
    <t>3_1665510469870796802</t>
  </si>
  <si>
    <t>3_1665510126831255552</t>
  </si>
  <si>
    <t>3_1665499195518730240</t>
  </si>
  <si>
    <t>3_1665498374978584576</t>
  </si>
  <si>
    <t>3_1649076931428483074</t>
  </si>
  <si>
    <t>3_1649067293479976961</t>
  </si>
  <si>
    <t>3_1648306958909177856</t>
  </si>
  <si>
    <t>3_1648299783600197641</t>
  </si>
  <si>
    <t>3_1648292899686162433</t>
  </si>
  <si>
    <t>3_1648113886330060805</t>
  </si>
  <si>
    <t>3_1635294702378586112</t>
  </si>
  <si>
    <t>3_1635058089735995394</t>
  </si>
  <si>
    <t>3_1635054469741150209</t>
  </si>
  <si>
    <t>3_1703424302123479040</t>
  </si>
  <si>
    <t>3_1703422943903047680</t>
  </si>
  <si>
    <t>3_1702100235080654848</t>
  </si>
  <si>
    <t>3_1691608206680723456</t>
  </si>
  <si>
    <t>3_1670819055001825292</t>
  </si>
  <si>
    <t>3_1670818409750188033</t>
  </si>
  <si>
    <t>3_1662972977527357447</t>
  </si>
  <si>
    <t>3_1662253922516443136</t>
  </si>
  <si>
    <t>3_1661141372546547715</t>
  </si>
  <si>
    <t>3_1645234318330003466</t>
  </si>
  <si>
    <t>3_1645233745434140672</t>
  </si>
  <si>
    <t>3_1645231896949915649</t>
  </si>
  <si>
    <t>3_1645231645102948356</t>
  </si>
  <si>
    <t>3_1645226592291942400</t>
  </si>
  <si>
    <t>3_1617600112334671876</t>
  </si>
  <si>
    <t>3_1617599545172426781</t>
  </si>
  <si>
    <t>3_1617325237695037440</t>
  </si>
  <si>
    <t>3_1616583517298638848</t>
  </si>
  <si>
    <t>3_1616579260696731649</t>
  </si>
  <si>
    <t>3_1703922628312883200</t>
  </si>
  <si>
    <t>3_1703426196480868352</t>
  </si>
  <si>
    <t>3_1701246253093277696</t>
  </si>
  <si>
    <t>3_1701245296590696448</t>
  </si>
  <si>
    <t>3_1701240295302606848</t>
  </si>
  <si>
    <t>3_1701238032450351104</t>
  </si>
  <si>
    <t>3_1697425605132787712</t>
  </si>
  <si>
    <t>3_1696912343303692288</t>
  </si>
  <si>
    <t>3_1693969521449529345</t>
  </si>
  <si>
    <t>3_1693963650082459648</t>
  </si>
  <si>
    <t>3_1693959313323167745</t>
  </si>
  <si>
    <t>3_1693957375919534082</t>
  </si>
  <si>
    <t>3_1690153158008336384</t>
  </si>
  <si>
    <t>3_1689777559729295362</t>
  </si>
  <si>
    <t>3_1689760478573056000</t>
  </si>
  <si>
    <t>3_1670840430978646023</t>
  </si>
  <si>
    <t>3_1652789517240213505</t>
  </si>
  <si>
    <t>3_1652789404983853061</t>
  </si>
  <si>
    <t>3_1638194742654562305</t>
  </si>
  <si>
    <t>3_1638183338274873344</t>
  </si>
  <si>
    <t>3_1637300588298874883</t>
  </si>
  <si>
    <t>3_1637299190890889217</t>
  </si>
  <si>
    <t>3_1637297562322337794</t>
  </si>
  <si>
    <t>3_1637297038915141632</t>
  </si>
  <si>
    <t>3_1637293422108131330</t>
  </si>
  <si>
    <t>3_1637288952217366531</t>
  </si>
  <si>
    <t>3_1624937063127699456</t>
  </si>
  <si>
    <t>3_1624934509622841344</t>
  </si>
  <si>
    <t>3_1624930920917569538</t>
  </si>
  <si>
    <t>3_1611771450918158340</t>
  </si>
  <si>
    <t>3_1610027840472244225</t>
  </si>
  <si>
    <t>3_1610027077947760643</t>
  </si>
  <si>
    <t>3_1610022984395247617</t>
  </si>
  <si>
    <t>3_1610020721832370176</t>
  </si>
  <si>
    <t>3_1610016852175982592</t>
  </si>
  <si>
    <t>3_1704299178321494016</t>
  </si>
  <si>
    <t>3_1703425845207904256</t>
  </si>
  <si>
    <t>3_1703424961472278528</t>
  </si>
  <si>
    <t>3_1703420292364636160</t>
  </si>
  <si>
    <t>3_1703417347594244097</t>
  </si>
  <si>
    <t>3_1701246636674985984</t>
  </si>
  <si>
    <t>3_1701246512192159744</t>
  </si>
  <si>
    <t>3_1700106038110752768</t>
  </si>
  <si>
    <t>3_1699928386112499712</t>
  </si>
  <si>
    <t>3_1699921740460179456</t>
  </si>
  <si>
    <t>3_1699913390687186944</t>
  </si>
  <si>
    <t>3_1694371654976077824</t>
  </si>
  <si>
    <t>3_1691068490596151296</t>
  </si>
  <si>
    <t>3_1691068200891322368</t>
  </si>
  <si>
    <t>3_1690874349954187266</t>
  </si>
  <si>
    <t>3_1690860409119502337</t>
  </si>
  <si>
    <t>3_1686552873503465472</t>
  </si>
  <si>
    <t>3_1686507437531283457</t>
  </si>
  <si>
    <t>3_1686403591517433856</t>
  </si>
  <si>
    <t>3_1686158187580243969</t>
  </si>
  <si>
    <t>3_1686154423288975360</t>
  </si>
  <si>
    <t>3_1686153403376803840</t>
  </si>
  <si>
    <t>3_1686152760993927168</t>
  </si>
  <si>
    <t>3_1686148588416438273</t>
  </si>
  <si>
    <t>3_1686138853457813506</t>
  </si>
  <si>
    <t>3_1664652841879756802</t>
  </si>
  <si>
    <t>3_1664650355190255617</t>
  </si>
  <si>
    <t>3_1655733010237358081</t>
  </si>
  <si>
    <t>3_1655689178208780291</t>
  </si>
  <si>
    <t>3_1655375760734015488</t>
  </si>
  <si>
    <t>3_1655368357619593216</t>
  </si>
  <si>
    <t>3_1655368132091867137</t>
  </si>
  <si>
    <t>3_1654495851681660939</t>
  </si>
  <si>
    <t>3_1654145924547981312</t>
  </si>
  <si>
    <t>3_1653812934919827468</t>
  </si>
  <si>
    <t>3_1653811640884768781</t>
  </si>
  <si>
    <t>3_1653436030085636099</t>
  </si>
  <si>
    <t>3_1640362755034165249</t>
  </si>
  <si>
    <t>3_1640362432374644736</t>
  </si>
  <si>
    <t>3_1640361984079044612</t>
  </si>
  <si>
    <t>3_1627349306804953090</t>
  </si>
  <si>
    <t>3_1627345699569381376</t>
  </si>
  <si>
    <t>3_1627337069088448512</t>
  </si>
  <si>
    <t>3_1627315791887577089</t>
  </si>
  <si>
    <t>3_1626570940032200706</t>
  </si>
  <si>
    <t>3_1613319328480247808</t>
  </si>
  <si>
    <t>3_1612210647474868227</t>
  </si>
  <si>
    <t>3_1612210041750274055</t>
  </si>
  <si>
    <t>3_1612207013097873414</t>
  </si>
  <si>
    <t>3_1612206162258104320</t>
  </si>
  <si>
    <t>3_1612203966061809664</t>
  </si>
  <si>
    <t>3_1706027807493537792</t>
  </si>
  <si>
    <t>3_1706027530375888896</t>
  </si>
  <si>
    <t>3_1706027336406093824</t>
  </si>
  <si>
    <t>3_1706027005664190464</t>
  </si>
  <si>
    <t>3_1706025571996545024</t>
  </si>
  <si>
    <t>3_1706025260653346816</t>
  </si>
  <si>
    <t>3_1706024395582357505</t>
  </si>
  <si>
    <t>3_1706024234944696320</t>
  </si>
  <si>
    <t>3_1706024070003781633</t>
  </si>
  <si>
    <t>3_1706023912570572800</t>
  </si>
  <si>
    <t>3_1706023149488271360</t>
  </si>
  <si>
    <t>3_1706021745415553024</t>
  </si>
  <si>
    <t>3_1706019540172259328</t>
  </si>
  <si>
    <t>3_1706018507278725120</t>
  </si>
  <si>
    <t>3_1704513501643845632</t>
  </si>
  <si>
    <t>3_1696538236959797248</t>
  </si>
  <si>
    <t>3_1696536997475856384</t>
  </si>
  <si>
    <t>3_1696534812868378624</t>
  </si>
  <si>
    <t>3_1696533554120032256</t>
  </si>
  <si>
    <t>3_1696533344849436672</t>
  </si>
  <si>
    <t>3_1696533212867276800</t>
  </si>
  <si>
    <t>3_1696529990224150528</t>
  </si>
  <si>
    <t>3_1696524133012746240</t>
  </si>
  <si>
    <t>3_1696522872901300224</t>
  </si>
  <si>
    <t>3_1688531441674551296</t>
  </si>
  <si>
    <t>3_1688529457047285761</t>
  </si>
  <si>
    <t>3_1688528327722606592</t>
  </si>
  <si>
    <t>3_1688376937289289729</t>
  </si>
  <si>
    <t>3_1688375315070844928</t>
  </si>
  <si>
    <t>3_1688375041421914112</t>
  </si>
  <si>
    <t>3_1688364114408591360</t>
  </si>
  <si>
    <t>3_1687962375406678016</t>
  </si>
  <si>
    <t>3_1668231694091005955</t>
  </si>
  <si>
    <t>3_1668230934414479361</t>
  </si>
  <si>
    <t>3_1650221049353519104</t>
  </si>
  <si>
    <t>3_1650217713216770050</t>
  </si>
  <si>
    <t>3_1650211020655214593</t>
  </si>
  <si>
    <t>3_1633974395117920256</t>
  </si>
  <si>
    <t>3_1633969597278826498</t>
  </si>
  <si>
    <t>3_1632500996181032960</t>
  </si>
  <si>
    <t>3_1632106479992860674</t>
  </si>
  <si>
    <t>3_1707129530492518400</t>
  </si>
  <si>
    <t>3_1704140721626796033</t>
  </si>
  <si>
    <t>3_1703424727241412608</t>
  </si>
  <si>
    <t>3_1703424498513461248</t>
  </si>
  <si>
    <t>3_1703416333231095810</t>
  </si>
  <si>
    <t>3_1701229409808568321</t>
  </si>
  <si>
    <t>3_1701229203583098880</t>
  </si>
  <si>
    <t>3_1701228425392914432</t>
  </si>
  <si>
    <t>3_1699150145042931713</t>
  </si>
  <si>
    <t>3_1698444150553632768</t>
  </si>
  <si>
    <t>3_1698430288047521793</t>
  </si>
  <si>
    <t>3_1698428350040100864</t>
  </si>
  <si>
    <t>3_1698425737454174208</t>
  </si>
  <si>
    <t>3_1698423671537160192</t>
  </si>
  <si>
    <t>3_1683253192115515393</t>
  </si>
  <si>
    <t>3_1683250274083766272</t>
  </si>
  <si>
    <t>3_1683249821669289984</t>
  </si>
  <si>
    <t>3_1683249328138117120</t>
  </si>
  <si>
    <t>3_1681088234267262976</t>
  </si>
  <si>
    <t>3_1678553983734956034</t>
  </si>
  <si>
    <t>3_1678551524681605121</t>
  </si>
  <si>
    <t>3_1678547028014510081</t>
  </si>
  <si>
    <t>3_1675982828561997825</t>
  </si>
  <si>
    <t>3_1675687728208396289</t>
  </si>
  <si>
    <t>3_1675157731940917249</t>
  </si>
  <si>
    <t>3_1675144640830357504</t>
  </si>
  <si>
    <t>3_1661010934398341123</t>
  </si>
  <si>
    <t>3_1661010491748265985</t>
  </si>
  <si>
    <t>3_1661008919333077000</t>
  </si>
  <si>
    <t>3_1661008560682311682</t>
  </si>
  <si>
    <t>3_1660667898443059200</t>
  </si>
  <si>
    <t>3_1660667051063607297</t>
  </si>
  <si>
    <t>3_1642688398434480128</t>
  </si>
  <si>
    <t>3_1642687030265085952</t>
  </si>
  <si>
    <t>3_1642685827611340801</t>
  </si>
  <si>
    <t>3_1642685114931920899</t>
  </si>
  <si>
    <t>3_1642682948578156544</t>
  </si>
  <si>
    <t>3_1642682791170134016</t>
  </si>
  <si>
    <t>3_1642677485673250817</t>
  </si>
  <si>
    <t>3_1641823720195891200</t>
  </si>
  <si>
    <t>3_1641060884486189057</t>
  </si>
  <si>
    <t>3_1640876532540358657</t>
  </si>
  <si>
    <t>3_1640876264939569153</t>
  </si>
  <si>
    <t>3_1640873778275143691</t>
  </si>
  <si>
    <t>3_1640871780150566916</t>
  </si>
  <si>
    <t>3_1640868483872219141</t>
  </si>
  <si>
    <t>3_1640864281360052229</t>
  </si>
  <si>
    <t>3_1640863481384562689</t>
  </si>
  <si>
    <t>3_1640539269809709056</t>
  </si>
  <si>
    <t>3_1619787411931774981</t>
  </si>
  <si>
    <t>3_1619782334236049419</t>
  </si>
  <si>
    <t>3_1619781875504930817</t>
  </si>
  <si>
    <t>3_1618003898161156105</t>
  </si>
  <si>
    <t>3_1707057455723683840</t>
  </si>
  <si>
    <t>3_1683255563956674562</t>
  </si>
  <si>
    <t>3_1681467840421830656</t>
  </si>
  <si>
    <t>3_1681441244415664128</t>
  </si>
  <si>
    <t>3_1680699839405862919</t>
  </si>
  <si>
    <t>3_1680697049652633604</t>
  </si>
  <si>
    <t>3_1680692662494527488</t>
  </si>
  <si>
    <t>3_1677334037159899136</t>
  </si>
  <si>
    <t>3_1673448931768819722</t>
  </si>
  <si>
    <t>3_1658577013777612801</t>
  </si>
  <si>
    <t>3_1657840190847631360</t>
  </si>
  <si>
    <t>3_1657839501220225026</t>
  </si>
  <si>
    <t>3_1657839070901329920</t>
  </si>
  <si>
    <t>3_1657838869746778112</t>
  </si>
  <si>
    <t>3_1657831009058996225</t>
  </si>
  <si>
    <t>3_1657829438405459969</t>
  </si>
  <si>
    <t>3_1646647782076194818</t>
  </si>
  <si>
    <t>3_1630003756103286786</t>
  </si>
  <si>
    <t>3_1629999818620694528</t>
  </si>
  <si>
    <t>3_1629988479433097217</t>
  </si>
  <si>
    <t>3_1629987563610972160</t>
  </si>
  <si>
    <t>3_1629602016614907904</t>
  </si>
  <si>
    <t>3_1629579229703618561</t>
  </si>
  <si>
    <t>3_1622948085486825472</t>
  </si>
  <si>
    <t>3_1622601830248116226</t>
  </si>
  <si>
    <t>3_1622601006780411906</t>
  </si>
  <si>
    <t>3_1622411727487778819</t>
  </si>
  <si>
    <t>3_1622405706295951362</t>
  </si>
  <si>
    <t>3_1621291911351861248</t>
  </si>
  <si>
    <t>3_1620456585276293123</t>
  </si>
  <si>
    <t>3_1672286341999075329 3_1672286342024159237</t>
  </si>
  <si>
    <t>3_1622945230038204420</t>
  </si>
  <si>
    <t>3_1641089097618841603</t>
  </si>
  <si>
    <t>3_1639012691959332864</t>
  </si>
  <si>
    <t>3_1645782173440704512</t>
  </si>
  <si>
    <t>3_1637083502029025282</t>
  </si>
  <si>
    <t>7_1626550410252001282</t>
  </si>
  <si>
    <t>7_1640821488294019073</t>
  </si>
  <si>
    <t>7_1651993237807038466</t>
  </si>
  <si>
    <t>7_1683510146377326593</t>
  </si>
  <si>
    <t>7_1680967252923883520</t>
  </si>
  <si>
    <t>7_1679563336063541250</t>
  </si>
  <si>
    <t>7_1701626153323069440</t>
  </si>
  <si>
    <t>7_1649095529979162624</t>
  </si>
  <si>
    <t>7_1704172099005263872</t>
  </si>
  <si>
    <t>3_1683241492930854915</t>
  </si>
  <si>
    <t>3_1684880837651951616</t>
  </si>
  <si>
    <t>3_1671516415361204227</t>
  </si>
  <si>
    <t>3_1683262981692375040</t>
  </si>
  <si>
    <t>3_1682364471438704640</t>
  </si>
  <si>
    <t>3_1681988656733593601</t>
  </si>
  <si>
    <t>3_1681970568768225280</t>
  </si>
  <si>
    <t>3_1681629811645480960</t>
  </si>
  <si>
    <t>3_1680524254826180609</t>
  </si>
  <si>
    <t>3_1680141810243457024</t>
  </si>
  <si>
    <t>3_1679789750859837444</t>
  </si>
  <si>
    <t>3_1677349034015481858</t>
  </si>
  <si>
    <t>3_1676922477950259200</t>
  </si>
  <si>
    <t>3_1674015403306098693</t>
  </si>
  <si>
    <t>3_1673662187099897858</t>
  </si>
  <si>
    <t>3_1673503957233070080</t>
  </si>
  <si>
    <t>3_1673296094875328513</t>
  </si>
  <si>
    <t>3_1672994630705508352</t>
  </si>
  <si>
    <t>3_1687058928499146754</t>
  </si>
  <si>
    <t>3_1683975457652211712</t>
  </si>
  <si>
    <t>3_1683836988515037184</t>
  </si>
  <si>
    <t>3_1683637030553616384</t>
  </si>
  <si>
    <t>3_1683251513441890306</t>
  </si>
  <si>
    <t>3_1683194634070007817</t>
  </si>
  <si>
    <t>3_1683077014658469889</t>
  </si>
  <si>
    <t>7_1682915081007316996</t>
  </si>
  <si>
    <t>3_1682726465538781184</t>
  </si>
  <si>
    <t>3_1681253643180290048</t>
  </si>
  <si>
    <t>3_1681140269343703040</t>
  </si>
  <si>
    <t>3_1680907047385153536</t>
  </si>
  <si>
    <t>3_1680712840125067265</t>
  </si>
  <si>
    <t>3_1679425696056201216</t>
  </si>
  <si>
    <t>3_1679284084961431553</t>
  </si>
  <si>
    <t>3_1679090546902458368</t>
  </si>
  <si>
    <t>7_1678886707507212289</t>
  </si>
  <si>
    <t>3_1678731919188537345</t>
  </si>
  <si>
    <t>3_1678446874808786944</t>
  </si>
  <si>
    <t>3_1675815033295589376</t>
  </si>
  <si>
    <t>3_1689607825549320193</t>
  </si>
  <si>
    <t>3_1689307881508651008</t>
  </si>
  <si>
    <t>3_1688880963793653760</t>
  </si>
  <si>
    <t>3_1688855182027743233</t>
  </si>
  <si>
    <t>3_1688520051383578624</t>
  </si>
  <si>
    <t>3_1688210191655804929</t>
  </si>
  <si>
    <t>3_1687765446357815297</t>
  </si>
  <si>
    <t>3_1690836911043014658</t>
  </si>
  <si>
    <t>3_1685967977995284480</t>
  </si>
  <si>
    <t>3_1685596698796560384</t>
  </si>
  <si>
    <t>3_1674387835120504833</t>
  </si>
  <si>
    <t>7_1674153873194229760</t>
  </si>
  <si>
    <t>3_1691406024370966528</t>
  </si>
  <si>
    <t>7_1687406431551537152</t>
  </si>
  <si>
    <t>3_1687398908698284032</t>
  </si>
  <si>
    <t>3_1684530781555662848</t>
  </si>
  <si>
    <t>3_1684258700708519941</t>
  </si>
  <si>
    <t>3_1674717115947917312</t>
  </si>
  <si>
    <t>3_1690310216405909504</t>
  </si>
  <si>
    <t>3_1689950862100062208</t>
  </si>
  <si>
    <t>3_1685248702309392384</t>
  </si>
  <si>
    <t>7_1685117722953179136</t>
  </si>
  <si>
    <t>3_1684962879278129161</t>
  </si>
  <si>
    <t>7_1684621704830586880</t>
  </si>
  <si>
    <t>3_1671114172925456384</t>
  </si>
  <si>
    <t>3_1691197012916523009</t>
  </si>
  <si>
    <t>3_1686752474244243457</t>
  </si>
  <si>
    <t>3_1686669031191855104</t>
  </si>
  <si>
    <t>3_1686342652009009152</t>
  </si>
  <si>
    <t>3_1672599834694434823</t>
  </si>
  <si>
    <t>3_1671928431200682011</t>
  </si>
  <si>
    <t>3_1703003020387115008</t>
  </si>
  <si>
    <t>3_1702373303183163392</t>
  </si>
  <si>
    <t>3_1702086125731381248</t>
  </si>
  <si>
    <t>3_1701253860117860352</t>
  </si>
  <si>
    <t>3_1694696803797463040</t>
  </si>
  <si>
    <t>3_1692134349691351040</t>
  </si>
  <si>
    <t>3_1691558355557396481</t>
  </si>
  <si>
    <t>3_1676553289335205890</t>
  </si>
  <si>
    <t>3_1670775438266757120</t>
  </si>
  <si>
    <t>3_1670377324200574978</t>
  </si>
  <si>
    <t>3_1670128725373992961</t>
  </si>
  <si>
    <t>3_1613215681461510145</t>
  </si>
  <si>
    <t>3_1612509712070868993</t>
  </si>
  <si>
    <t>3_1630985346073919488</t>
  </si>
  <si>
    <t>3_1620122913415503872</t>
  </si>
  <si>
    <t>3_1618750747444916227</t>
  </si>
  <si>
    <t>3_1618302037313355776</t>
  </si>
  <si>
    <t>3_1618008909469614099</t>
  </si>
  <si>
    <t>3_1625970043640238080</t>
  </si>
  <si>
    <t>3_1615107246257737728</t>
  </si>
  <si>
    <t>3_1625228006167052289</t>
  </si>
  <si>
    <t>3_1624148279696199680</t>
  </si>
  <si>
    <t>3_1609964492460527616</t>
  </si>
  <si>
    <t>3_1623821656572702720</t>
  </si>
  <si>
    <t>3_1623383458482647040</t>
  </si>
  <si>
    <t>3_1623101267978653698</t>
  </si>
  <si>
    <t>3_1628459060147417089</t>
  </si>
  <si>
    <t>3_1617564930051563520</t>
  </si>
  <si>
    <t>3_1616509164188225536</t>
  </si>
  <si>
    <t>3_1616149445883854849</t>
  </si>
  <si>
    <t>3_1616149091284840448</t>
  </si>
  <si>
    <t>3_1615768960796102657</t>
  </si>
  <si>
    <t>3_1615768731074056192</t>
  </si>
  <si>
    <t>3_1615462212952543233</t>
  </si>
  <si>
    <t>3_1615461803542351874</t>
  </si>
  <si>
    <t>3_1630289956588617729</t>
  </si>
  <si>
    <t>3_1620819820852936704</t>
  </si>
  <si>
    <t>3_1620519785724547072</t>
  </si>
  <si>
    <t>3_1612745868238589952</t>
  </si>
  <si>
    <t>3_1612382215786176512</t>
  </si>
  <si>
    <t>3_1630499858388865024</t>
  </si>
  <si>
    <t>3_1660554226546745344</t>
  </si>
  <si>
    <t>7_1667136770918477824</t>
  </si>
  <si>
    <t>7_1670956670841769985</t>
  </si>
  <si>
    <t>3_1636120597829918720</t>
  </si>
  <si>
    <t>3_1625329323577167875</t>
  </si>
  <si>
    <t>3_1613634068800831488</t>
  </si>
  <si>
    <t>3_1665367841514635264</t>
  </si>
  <si>
    <t>3_1664280691188854785</t>
  </si>
  <si>
    <t>3_1665005459621793792</t>
  </si>
  <si>
    <t>3_1664643080291508227</t>
  </si>
  <si>
    <t>3_1688746870120534017</t>
  </si>
  <si>
    <t>3_1701105802809896960</t>
  </si>
  <si>
    <t>7_1687470950760038401</t>
  </si>
  <si>
    <t>3_1610667474118123531</t>
  </si>
  <si>
    <t>3_1683473446372622338</t>
  </si>
  <si>
    <t>3_1630700909645766657</t>
  </si>
  <si>
    <t>3_1620362834315026432</t>
  </si>
  <si>
    <t>3_1620008420756652035</t>
  </si>
  <si>
    <t>3_1619655696856776704</t>
  </si>
  <si>
    <t>3_1619294302701584386</t>
  </si>
  <si>
    <t>3_1618916367029215232</t>
  </si>
  <si>
    <t>3_1618647874442608641</t>
  </si>
  <si>
    <t>3_1618196742561742848</t>
  </si>
  <si>
    <t>3_1617840141820727296</t>
  </si>
  <si>
    <t>3_1625087392754302976</t>
  </si>
  <si>
    <t>3_1624749532104867840</t>
  </si>
  <si>
    <t>3_1624396455241740289</t>
  </si>
  <si>
    <t>3_1624122170535182338</t>
  </si>
  <si>
    <t>3_1623734472754487296</t>
  </si>
  <si>
    <t>3_1623490713701740547</t>
  </si>
  <si>
    <t>3_1623074952940294147</t>
  </si>
  <si>
    <t>3_1627810084414803970</t>
  </si>
  <si>
    <t>3_1627287115196145664</t>
  </si>
  <si>
    <t>3_1626928726112870403</t>
  </si>
  <si>
    <t>3_1626560591438483461</t>
  </si>
  <si>
    <t>3_1626194319844466688</t>
  </si>
  <si>
    <t>3_1625814950793953280</t>
  </si>
  <si>
    <t>3_1625455554020749313</t>
  </si>
  <si>
    <t>3_1628927685370970112</t>
  </si>
  <si>
    <t>3_1628528672276721665</t>
  </si>
  <si>
    <t>3_1628141139785093122</t>
  </si>
  <si>
    <t>3_1617456563786076160</t>
  </si>
  <si>
    <t>3_1617146258203738112</t>
  </si>
  <si>
    <t>3_1616774954183278592</t>
  </si>
  <si>
    <t>3_1630150587080736768</t>
  </si>
  <si>
    <t>3_1629845373320671235</t>
  </si>
  <si>
    <t>3_1629636777844645889</t>
  </si>
  <si>
    <t>3_1629285981953183744</t>
  </si>
  <si>
    <t>3_1622701101169475603</t>
  </si>
  <si>
    <t>3_1622296784012812290</t>
  </si>
  <si>
    <t>3_1621914655424741379</t>
  </si>
  <si>
    <t>3_1621622071817080832</t>
  </si>
  <si>
    <t>3_1621235421752459266</t>
  </si>
  <si>
    <t>3_1620827165628534797</t>
  </si>
  <si>
    <t>3_1626668037964267520</t>
  </si>
  <si>
    <t>7_1651250288882335744</t>
  </si>
  <si>
    <t>7_1651248385653866497</t>
  </si>
  <si>
    <t>7_1651247104277245952</t>
  </si>
  <si>
    <t>7_1651245397782691846</t>
  </si>
  <si>
    <t>7_1658208669467549713</t>
  </si>
  <si>
    <t>3_1677356196645273600</t>
  </si>
  <si>
    <t>3_1628369964477325318</t>
  </si>
  <si>
    <t>3_1641777958787448833</t>
  </si>
  <si>
    <t>3_1630145821671931905</t>
  </si>
  <si>
    <t>3_1629916710701617153</t>
  </si>
  <si>
    <t>7_1650280518405980166</t>
  </si>
  <si>
    <t>3_1630870591589830656</t>
  </si>
  <si>
    <t>3_1630508157872095232 3_1630508158161412098 3_1630508157859426304</t>
  </si>
  <si>
    <t>3_1647919737312014337</t>
  </si>
  <si>
    <t>3_1654186270267002887</t>
  </si>
  <si>
    <t>3_1626572232804671488</t>
  </si>
  <si>
    <t>7_1626896287839682561</t>
  </si>
  <si>
    <t>3_1613914082599387136</t>
  </si>
  <si>
    <t>3_1666093825427927040</t>
  </si>
  <si>
    <t>3_1634496222739267584</t>
  </si>
  <si>
    <t>7_1623101634975858689</t>
  </si>
  <si>
    <t>3_1681350411192799233</t>
  </si>
  <si>
    <t>7_1667915788047511553</t>
  </si>
  <si>
    <t>7_1667577444415545344</t>
  </si>
  <si>
    <t>7_1667560375766622209</t>
  </si>
  <si>
    <t>7_1663377566969806848</t>
  </si>
  <si>
    <t>7_1664289249447890945</t>
  </si>
  <si>
    <t>7_1672663342035369985</t>
  </si>
  <si>
    <t>7_1672661658186006531</t>
  </si>
  <si>
    <t>7_1665068318011662339</t>
  </si>
  <si>
    <t>7_1664618499577200641</t>
  </si>
  <si>
    <t>7_1676597586679980039</t>
  </si>
  <si>
    <t>7_1676596122465320960</t>
  </si>
  <si>
    <t>7_1680304534843793411</t>
  </si>
  <si>
    <t>7_1680303250459820033</t>
  </si>
  <si>
    <t>7_1680300038793093120</t>
  </si>
  <si>
    <t>7_1678063790389092360</t>
  </si>
  <si>
    <t>3_1677761084663422976</t>
  </si>
  <si>
    <t>7_1677728489623920644</t>
  </si>
  <si>
    <t>7_1677082085557780481</t>
  </si>
  <si>
    <t>3_1665847510873653250</t>
  </si>
  <si>
    <t>3_1665847311837061127</t>
  </si>
  <si>
    <t>3_1683553366092259329 3_1683553373948133377 3_1683553380638048262 3_1683553388619874304</t>
  </si>
  <si>
    <t>3_1683553184835424257 3_1683553191412088834 3_1683553198575943683 3_1683553205563584513</t>
  </si>
  <si>
    <t>7_1679225057795616768</t>
  </si>
  <si>
    <t>3_1678790301165428736</t>
  </si>
  <si>
    <t>7_1678578244814090240</t>
  </si>
  <si>
    <t>7_1675530311688507394</t>
  </si>
  <si>
    <t>7_1675333026815922176</t>
  </si>
  <si>
    <t>7_1675331317548961793</t>
  </si>
  <si>
    <t>3_1675329365691777025</t>
  </si>
  <si>
    <t>7_1674986720280944640</t>
  </si>
  <si>
    <t>7_1674985991214448640</t>
  </si>
  <si>
    <t>7_1674985991856070662</t>
  </si>
  <si>
    <t>7_1674982313862524928</t>
  </si>
  <si>
    <t>7_1695804382678261760</t>
  </si>
  <si>
    <t>3_1665847117112385536</t>
  </si>
  <si>
    <t>3_1665847019556990978</t>
  </si>
  <si>
    <t>3_1665846857531117569</t>
  </si>
  <si>
    <t>7_1665734102589251587</t>
  </si>
  <si>
    <t>3_1694225498954489856</t>
  </si>
  <si>
    <t>7_1686867151192285184</t>
  </si>
  <si>
    <t>3_1701658074245660672</t>
  </si>
  <si>
    <t>3_1697670303864725504</t>
  </si>
  <si>
    <t>3_1702381739094528000</t>
  </si>
  <si>
    <t>3_1702743738575896576</t>
  </si>
  <si>
    <t>3_1703831039011962880</t>
  </si>
  <si>
    <t>3_1700207078160072704</t>
  </si>
  <si>
    <t>3_1705280584933572608</t>
  </si>
  <si>
    <t>3_1704918334100127744</t>
  </si>
  <si>
    <t>3_1617354453740392448</t>
  </si>
  <si>
    <t>3_1637535166636646400</t>
  </si>
  <si>
    <t>3_1634758525464313860</t>
  </si>
  <si>
    <t>3_1637529662984269827</t>
  </si>
  <si>
    <t>7_1623101720896176129</t>
  </si>
  <si>
    <t>3_1613645821546831877</t>
  </si>
  <si>
    <t>3_1653881266364727297</t>
  </si>
  <si>
    <t>3_1653768828042485760</t>
  </si>
  <si>
    <t>3_1653511187911393286</t>
  </si>
  <si>
    <t>3_1638612948825284621</t>
  </si>
  <si>
    <t>3_1638543089655480321</t>
  </si>
  <si>
    <t>3_1627714745905053711</t>
  </si>
  <si>
    <t>3_1626634960080601121</t>
  </si>
  <si>
    <t>3_1626580057618542592</t>
  </si>
  <si>
    <t>3_1613229473050009600</t>
  </si>
  <si>
    <t>3_1613228870194368546</t>
  </si>
  <si>
    <t>3_1613226635037184030</t>
  </si>
  <si>
    <t>3_1613184202517643268</t>
  </si>
  <si>
    <t>3_1613175991945334786</t>
  </si>
  <si>
    <t>3_1613169544872267776</t>
  </si>
  <si>
    <t>3_1612914145690525715</t>
  </si>
  <si>
    <t>3_1612823762981818368</t>
  </si>
  <si>
    <t>3_1612811404242731010</t>
  </si>
  <si>
    <t>3_1612466724204331008</t>
  </si>
  <si>
    <t>3_1650861780388937733</t>
  </si>
  <si>
    <t>3_1650518179825762309</t>
  </si>
  <si>
    <t>3_1649433781076369414</t>
  </si>
  <si>
    <t>3_1634185638483197952</t>
  </si>
  <si>
    <t>3_1633948820621996034</t>
  </si>
  <si>
    <t>3_1631666210835251201</t>
  </si>
  <si>
    <t>3_1631295939557072898</t>
  </si>
  <si>
    <t>3_1660684760299995136</t>
  </si>
  <si>
    <t>3_1659631781732073503</t>
  </si>
  <si>
    <t>3_1659551000758198277</t>
  </si>
  <si>
    <t>3_1659256332686434312</t>
  </si>
  <si>
    <t>3_1641471227343536129</t>
  </si>
  <si>
    <t>3_1641459720652242944</t>
  </si>
  <si>
    <t>3_1640425425368170530</t>
  </si>
  <si>
    <t>3_1620437636157509633</t>
  </si>
  <si>
    <t>3_1619339937354072064</t>
  </si>
  <si>
    <t>3_1619038355777372171</t>
  </si>
  <si>
    <t>3_1618968299261382656</t>
  </si>
  <si>
    <t>3_1618244983953170435</t>
  </si>
  <si>
    <t>3_1617901925139087361</t>
  </si>
  <si>
    <t>3_1658834507749793793</t>
  </si>
  <si>
    <t>3_1658464139583299584</t>
  </si>
  <si>
    <t>3_1658109710086569988</t>
  </si>
  <si>
    <t>3_1646200894063624193</t>
  </si>
  <si>
    <t>3_1630311600056827905</t>
  </si>
  <si>
    <t>3_1630217148839624704</t>
  </si>
  <si>
    <t>3_1669740741466226688</t>
  </si>
  <si>
    <t>3_1661749345694404621</t>
  </si>
  <si>
    <t>3_1661397341746745344</t>
  </si>
  <si>
    <t>3_1661118030015766540</t>
  </si>
  <si>
    <t>3_1645437932440895488</t>
  </si>
  <si>
    <t>3_1644702198301970440</t>
  </si>
  <si>
    <t>3_1644390117283332104</t>
  </si>
  <si>
    <t>3_1644075729544523776</t>
  </si>
  <si>
    <t>3_1643982707226210305</t>
  </si>
  <si>
    <t>3_1643270717620748289</t>
  </si>
  <si>
    <t>3_1628393674471100416</t>
  </si>
  <si>
    <t>3_1617578983607894020</t>
  </si>
  <si>
    <t>3_1617515949770575872</t>
  </si>
  <si>
    <t>3_1616841423399124993</t>
  </si>
  <si>
    <t>3_1665747578787332096</t>
  </si>
  <si>
    <t>3_1649107377134657538</t>
  </si>
  <si>
    <t>3_1648684864642637825</t>
  </si>
  <si>
    <t>3_1648329078758359048</t>
  </si>
  <si>
    <t>3_1648038109160898560</t>
  </si>
  <si>
    <t>3_1635330290032812052</t>
  </si>
  <si>
    <t>3_1635287621562929152</t>
  </si>
  <si>
    <t>3_1634592896903962631</t>
  </si>
  <si>
    <t>3_1634589205727682561</t>
  </si>
  <si>
    <t>3_1634574118828879874</t>
  </si>
  <si>
    <t>3_1623690225674223616</t>
  </si>
  <si>
    <t>3_1623336761731518464</t>
  </si>
  <si>
    <t>3_1671527464433078272</t>
  </si>
  <si>
    <t>3_1663917473891008513</t>
  </si>
  <si>
    <t>3_1653404573166366721</t>
  </si>
  <si>
    <t>3_1638189978738999296</t>
  </si>
  <si>
    <t>3_1625208867628978217</t>
  </si>
  <si>
    <t>3_1625163773160968192</t>
  </si>
  <si>
    <t>3_1624483308401721350</t>
  </si>
  <si>
    <t>3_1624128843077324804</t>
  </si>
  <si>
    <t>3_1624038041290526723</t>
  </si>
  <si>
    <t>3_1611008941365805061</t>
  </si>
  <si>
    <t>3_1610698718956724227</t>
  </si>
  <si>
    <t>3_1610630725421748225</t>
  </si>
  <si>
    <t>3_1610372351887114245</t>
  </si>
  <si>
    <t>3_1610317138685825024</t>
  </si>
  <si>
    <t>3_1609980807296286723</t>
  </si>
  <si>
    <t>3_1609930244642820098</t>
  </si>
  <si>
    <t>3_1671887856753848320</t>
  </si>
  <si>
    <t>3_1663190975341027329</t>
  </si>
  <si>
    <t>3_1651299391288770572</t>
  </si>
  <si>
    <t>3_1647974474942226433</t>
  </si>
  <si>
    <t>3_1646926634631454720</t>
  </si>
  <si>
    <t>3_1636724212143366146</t>
  </si>
  <si>
    <t>3_1636719983492202497</t>
  </si>
  <si>
    <t>3_1636397146772582401</t>
  </si>
  <si>
    <t>3_1636390124337664005</t>
  </si>
  <si>
    <t>3_1626233282638798853</t>
  </si>
  <si>
    <t>3_1613901995626188800</t>
  </si>
  <si>
    <t>3_1613545908288819200</t>
  </si>
  <si>
    <t>3_1699901167034105857</t>
  </si>
  <si>
    <t>3_1700625982632177664</t>
  </si>
  <si>
    <t>3_1699518387515199489</t>
  </si>
  <si>
    <t>3_1704612198218084352</t>
  </si>
  <si>
    <t>3_1702055107037216768</t>
  </si>
  <si>
    <t>3_1700243194997301248</t>
  </si>
  <si>
    <t>3_1704249864912031744</t>
  </si>
  <si>
    <t>3_1703504657778143232</t>
  </si>
  <si>
    <t>3_1702800261540958208</t>
  </si>
  <si>
    <t>3_1701350746417983488</t>
  </si>
  <si>
    <t>7_1670155838877577219</t>
  </si>
  <si>
    <t>3_1671144737812762624</t>
  </si>
  <si>
    <t>3_1674096797831274496</t>
  </si>
  <si>
    <t>3_1639271026939899912</t>
  </si>
  <si>
    <t>3_1639232460297732097</t>
  </si>
  <si>
    <t>3_1614675927148990465</t>
  </si>
  <si>
    <t>3_1699107736938496000</t>
  </si>
  <si>
    <t>3_1698775550712483840</t>
  </si>
  <si>
    <t>3_1703838918179696640</t>
  </si>
  <si>
    <t>7_1699173165639823360</t>
  </si>
  <si>
    <t>3_1706375633809416193</t>
  </si>
  <si>
    <t>7_1622425098635415559</t>
  </si>
  <si>
    <t>7_1704096299417538561</t>
  </si>
  <si>
    <t>3_1647992995935932416</t>
  </si>
  <si>
    <t>16_1621254938234945544</t>
  </si>
  <si>
    <t>3_1627946284463136776 3_1627946291484303360 3_1627946297742307330</t>
  </si>
  <si>
    <t>3_1612363598315065345 3_1612363606158360577 3_1612363612181479425</t>
  </si>
  <si>
    <t>3_1643359597036437504 3_1643359604649213952 3_1643359612157022208</t>
  </si>
  <si>
    <t>16_1636853737112186880</t>
  </si>
  <si>
    <t>16_1652421299728162817</t>
  </si>
  <si>
    <t>3_1674380021861957632 3_1674380029126385666 3_1674380035736715264</t>
  </si>
  <si>
    <t>16_1699167345829187585</t>
  </si>
  <si>
    <t>16_1683738937662095362</t>
  </si>
  <si>
    <t>3_1658928185705218051 3_1658928193770774533 3_1658928201375141890</t>
  </si>
  <si>
    <t>3_1705482197245853696 3_1705482204925571072 3_1705482212273975296</t>
  </si>
  <si>
    <t>3_1689747260119068674 3_1689747268176384000 3_1689747274774028288</t>
  </si>
  <si>
    <t>16_1668156295449309190</t>
  </si>
  <si>
    <t>7_1701252757917749248</t>
  </si>
  <si>
    <t>3_1692826310664429569</t>
  </si>
  <si>
    <t>7_1627768506723848192</t>
  </si>
  <si>
    <t>7_1627656275516432385</t>
  </si>
  <si>
    <t>7_1627406123048247297</t>
  </si>
  <si>
    <t>7_1627293889529802754</t>
  </si>
  <si>
    <t>7_1627043733500993536</t>
  </si>
  <si>
    <t>7_1626931486527037441</t>
  </si>
  <si>
    <t>3_1635103180563390465 3_1635103183491026947 3_1635102969841569793 3_1635102969895985152</t>
  </si>
  <si>
    <t>3_1625932387811983370 3_1625932420988928021 3_1625932449136971776 3_1625932486684311585</t>
  </si>
  <si>
    <t>3_1646547062333341698 3_1646547093979316228 3_1646547141224005636 3_1646547171833937928</t>
  </si>
  <si>
    <t>3_1658884967315669023 3_1658884993513320448 3_1658885020444917767 3_1658885057161855013</t>
  </si>
  <si>
    <t>3_1672288885286608896 3_1672288908120342534 3_1672288926654922752</t>
  </si>
  <si>
    <t>3_1687453328303702016</t>
  </si>
  <si>
    <t>3_1690840802136563712</t>
  </si>
  <si>
    <t>3_1665038808063041538</t>
  </si>
  <si>
    <t>3_1638548435547705345</t>
  </si>
  <si>
    <t>3_1647897209092952070</t>
  </si>
  <si>
    <t>3_1613340183734149121</t>
  </si>
  <si>
    <t>3_1701142438675456000</t>
  </si>
  <si>
    <t>3_1613544443864399875</t>
  </si>
  <si>
    <t>3_1680209857738072065</t>
  </si>
  <si>
    <t>3_1626002626134286337</t>
  </si>
  <si>
    <t>7_1696197231844495360</t>
  </si>
  <si>
    <t>7_1699127266398109696</t>
  </si>
  <si>
    <t>7_1694691130921693184</t>
  </si>
  <si>
    <t>3_1684909035101818881</t>
  </si>
  <si>
    <t>3_1680009294475821057</t>
  </si>
  <si>
    <t>16_1613190919934681088</t>
  </si>
  <si>
    <t>3_1664625865139920897</t>
  </si>
  <si>
    <t>3_1686050563631304705</t>
  </si>
  <si>
    <t>7_1662125468231901184</t>
  </si>
  <si>
    <t>7_1614704434931539969</t>
  </si>
  <si>
    <t>3_1675106762150518787</t>
  </si>
  <si>
    <t>3_1675106590871920640</t>
  </si>
  <si>
    <t>3_1675106948268654594</t>
  </si>
  <si>
    <t>3_1675106380443729921</t>
  </si>
  <si>
    <t>3_1675106033830617088</t>
  </si>
  <si>
    <t>3_1675105266340179969</t>
  </si>
  <si>
    <t>7_1662108480277299201</t>
  </si>
  <si>
    <t>7_1678062228337991680</t>
  </si>
  <si>
    <t>3_1636127712463945728</t>
  </si>
  <si>
    <t>3_1680952040736845824</t>
  </si>
  <si>
    <t>3_1631733736327839745</t>
  </si>
  <si>
    <t>7_1648058768771502100</t>
  </si>
  <si>
    <t>3_1646932012408750080</t>
  </si>
  <si>
    <t>3_1664267598819913731</t>
  </si>
  <si>
    <t>3_1648701000037933060</t>
  </si>
  <si>
    <t>3_1616088094108954628</t>
  </si>
  <si>
    <t>7_1679568418536603651</t>
  </si>
  <si>
    <t>3_1704120589714141184</t>
  </si>
  <si>
    <t>3_1615802489395204101</t>
  </si>
  <si>
    <t>3_1637900869319512064</t>
  </si>
  <si>
    <t>3_1610672034744246272</t>
  </si>
  <si>
    <t>7_1675593605799456773</t>
  </si>
  <si>
    <t>3_1620157385019998208</t>
  </si>
  <si>
    <t>3_1663308090744377344</t>
  </si>
  <si>
    <t>7_1669860153498431489</t>
  </si>
  <si>
    <t>3_1644002906465525760</t>
  </si>
  <si>
    <t>3_1668996091893755906</t>
  </si>
  <si>
    <t>3_1610083482818035712</t>
  </si>
  <si>
    <t>3_1686882825297960961</t>
  </si>
  <si>
    <t>3_1682213565267148802</t>
  </si>
  <si>
    <t>3_1671511371425673216</t>
  </si>
  <si>
    <t>3_1645502191107547157</t>
  </si>
  <si>
    <t>7_1700601687327510528 3_1700601769523396608 3_1700601774015397888 3_1700601778398441472</t>
  </si>
  <si>
    <t>13_1612929094202847237</t>
  </si>
  <si>
    <t>3_1681619385239076864</t>
  </si>
  <si>
    <t>3_1625603815025041411</t>
  </si>
  <si>
    <t>3_1625525419100237824</t>
  </si>
  <si>
    <t>3_1706640242906685441</t>
  </si>
  <si>
    <t>3_1692635851270791169</t>
  </si>
  <si>
    <t>3_1653835347048931353</t>
  </si>
  <si>
    <t>3_1639406159990775809 3_1639406162633162759 3_1639406165753724928</t>
  </si>
  <si>
    <t>7_1665912726219022338</t>
  </si>
  <si>
    <t>3_1663246945698054162</t>
  </si>
  <si>
    <t>7_1666268935820308480</t>
  </si>
  <si>
    <t>7_1664759198536679425</t>
  </si>
  <si>
    <t>3_1664743582031310853</t>
  </si>
  <si>
    <t>3_1696902293407342592</t>
  </si>
  <si>
    <t>3_1700190563759177728</t>
  </si>
  <si>
    <t>7_1651761267755941888</t>
  </si>
  <si>
    <t>7_1637490369507074048</t>
  </si>
  <si>
    <t>7_1642451955149684736</t>
  </si>
  <si>
    <t>7_1642089574707998720</t>
  </si>
  <si>
    <t>7_1641727212855459840</t>
  </si>
  <si>
    <t>7_1641459811471507457</t>
  </si>
  <si>
    <t>7_1643711779657089025</t>
  </si>
  <si>
    <t>3_1609882101406384128</t>
  </si>
  <si>
    <t>3_1655516849977671681</t>
  </si>
  <si>
    <t>3_1675813594884128769</t>
  </si>
  <si>
    <t>3_1706617439138533376</t>
  </si>
  <si>
    <t>3_1636087405919780864</t>
  </si>
  <si>
    <t>3_1631453242310705155 3_1631453243048882178 3_1631453244495937536</t>
  </si>
  <si>
    <t>3_1676342673748230146 3_1676342673790185472 3_1676342673781710850 3_1676342673769111553</t>
  </si>
  <si>
    <t>3_1655435238451937282</t>
  </si>
  <si>
    <t>7_1620885529599385605</t>
  </si>
  <si>
    <t>3_1650528256842407936</t>
  </si>
  <si>
    <t>3_1656856582729134081</t>
  </si>
  <si>
    <t>3_1655651809485094912</t>
  </si>
  <si>
    <t>3_1676769049248768001</t>
  </si>
  <si>
    <t>3_1662865431361617920</t>
  </si>
  <si>
    <t>3_1638148566752415744</t>
  </si>
  <si>
    <t>7_1630262542059569156</t>
  </si>
  <si>
    <t>3_1706044753836421120</t>
  </si>
  <si>
    <t>3_1634264926381285378</t>
  </si>
  <si>
    <t>7_1672239775833628676</t>
  </si>
  <si>
    <t>3_1630263064070086657</t>
  </si>
  <si>
    <t>3_1672640932091510784</t>
  </si>
  <si>
    <t>3_1657131664126930947</t>
  </si>
  <si>
    <t>3_1665799631274377217</t>
  </si>
  <si>
    <t>3_1611467744884543501</t>
  </si>
  <si>
    <t>3_1617628454282825728</t>
  </si>
  <si>
    <t>7_1666813375538663434</t>
  </si>
  <si>
    <t>7_1623017537142235139</t>
  </si>
  <si>
    <t>3_1645849708894601217</t>
  </si>
  <si>
    <t>3_1650282282672857090</t>
  </si>
  <si>
    <t>3_1658479696189992960</t>
  </si>
  <si>
    <t>3_1638914940890238976</t>
  </si>
  <si>
    <t>7_1685449925218189312</t>
  </si>
  <si>
    <t>7_1687077755597328384</t>
  </si>
  <si>
    <t>3_1660562394806996994</t>
  </si>
  <si>
    <t>3_1683872385374605316</t>
  </si>
  <si>
    <t>3_1683874140023926784</t>
  </si>
  <si>
    <t>3_1670783436485795840</t>
  </si>
  <si>
    <t>3_1670124818492948480</t>
  </si>
  <si>
    <t>3_1669678804111859713</t>
  </si>
  <si>
    <t>3_1671522374791966724</t>
  </si>
  <si>
    <t>3_1673668950922604545</t>
  </si>
  <si>
    <t>3_1674387790543441920</t>
  </si>
  <si>
    <t>3_1694317154147901440</t>
  </si>
  <si>
    <t>3_1654094606252818437</t>
  </si>
  <si>
    <t>3_1701927725382971392</t>
  </si>
  <si>
    <t>3_1653050478203215876</t>
  </si>
  <si>
    <t>3_1611001093651054593</t>
  </si>
  <si>
    <t>3_1625559376298709004</t>
  </si>
  <si>
    <t>3_1614638803725025280</t>
  </si>
  <si>
    <t>3_1631994215596007425</t>
  </si>
  <si>
    <t>3_1621935464205746176</t>
  </si>
  <si>
    <t>7_1613371908946362369</t>
  </si>
  <si>
    <t>7_1658229609136025600</t>
  </si>
  <si>
    <t>3_1702735467660161024</t>
  </si>
  <si>
    <t>3_1661822250574544902</t>
  </si>
  <si>
    <t>3_1691884163786543104</t>
  </si>
  <si>
    <t>3_1691110140785901569</t>
  </si>
  <si>
    <t>3_1634910019899498497</t>
  </si>
  <si>
    <t>3_1645547251811377153</t>
  </si>
  <si>
    <t>7_1664690877191651328</t>
  </si>
  <si>
    <t>3_1613287917513855000</t>
  </si>
  <si>
    <t>7_1682532721204011009</t>
  </si>
  <si>
    <t>3_1609928845846519813</t>
  </si>
  <si>
    <t>3_1663361642371923971</t>
  </si>
  <si>
    <t>7_1625510598225043459</t>
  </si>
  <si>
    <t>3_1640346613263527938</t>
  </si>
  <si>
    <t>3_1686066201217155081</t>
  </si>
  <si>
    <t>3_1701213354121904128</t>
  </si>
  <si>
    <t>3_1678793760988094464</t>
  </si>
  <si>
    <t>3_1674824317836689408</t>
  </si>
  <si>
    <t>7_1611727677181886464</t>
  </si>
  <si>
    <t>3_1612147323794083840</t>
  </si>
  <si>
    <t>3_1652099238904451072</t>
  </si>
  <si>
    <t>7_1626340773015834632</t>
  </si>
  <si>
    <t>3_1696214855206707200</t>
  </si>
  <si>
    <t>3_1695841798071934976</t>
  </si>
  <si>
    <t>3_1614880566951673856</t>
  </si>
  <si>
    <t>3_1622664184759558160</t>
  </si>
  <si>
    <t>3_1623677214012104704</t>
  </si>
  <si>
    <t>3_1636326070386393091</t>
  </si>
  <si>
    <t>7_1684710913297801216</t>
  </si>
  <si>
    <t>7_1654676344163164162</t>
  </si>
  <si>
    <t>3_1630122022985449478</t>
  </si>
  <si>
    <t>3_1630187745762000899</t>
  </si>
  <si>
    <t>13_1694690860661653504</t>
  </si>
  <si>
    <t>3_1677518945136398337 3_1677518945144717312 3_1677518945186660353 3_1677518945174138880</t>
  </si>
  <si>
    <t>3_1616887963237101568</t>
  </si>
  <si>
    <t>3_1684291620395528198 3_1684291620412309505 3_1684291620395442178</t>
  </si>
  <si>
    <t>7_1650671788098035713</t>
  </si>
  <si>
    <t>7_1648768648700387330</t>
  </si>
  <si>
    <t>3_1668218287170236416</t>
  </si>
  <si>
    <t>7_1623338800876253184</t>
  </si>
  <si>
    <t>7_1623016800404361219</t>
  </si>
  <si>
    <t>3_1650496570901536770</t>
  </si>
  <si>
    <t>3_1650496776934227975</t>
  </si>
  <si>
    <t>3_1674876417102757888</t>
  </si>
  <si>
    <t>7_1691183634508644353</t>
  </si>
  <si>
    <t>3_1625603810860097541</t>
  </si>
  <si>
    <t>3_1625525415891685376</t>
  </si>
  <si>
    <t>7_1701263917773635584</t>
  </si>
  <si>
    <t>3_1664380854339088386</t>
  </si>
  <si>
    <t>3_1657426284308299776</t>
  </si>
  <si>
    <t>13_1681830448559685635</t>
  </si>
  <si>
    <t>13_1692776419498094593</t>
  </si>
  <si>
    <t>3_1628846987960262657</t>
  </si>
  <si>
    <t>3_1664042431124238348</t>
  </si>
  <si>
    <t>7_1649775264140869632</t>
  </si>
  <si>
    <t>16_1649518549453398016</t>
  </si>
  <si>
    <t>16_1653550013295783936</t>
  </si>
  <si>
    <t>3_1663540810565001216</t>
  </si>
  <si>
    <t>7_1652099210957795328</t>
  </si>
  <si>
    <t>16_1645819297304854528</t>
  </si>
  <si>
    <t>16_1683884955741433873</t>
  </si>
  <si>
    <t>16_1643282502226784259</t>
  </si>
  <si>
    <t>3_1668664720641908736</t>
  </si>
  <si>
    <t>7_1675912346005385234</t>
  </si>
  <si>
    <t>3_1613963926294626305</t>
  </si>
  <si>
    <t>7_1675133007550717952</t>
  </si>
  <si>
    <t>3_1671656644118192129</t>
  </si>
  <si>
    <t>3_1637242053464674304</t>
  </si>
  <si>
    <t>3_1635446438594215938</t>
  </si>
  <si>
    <t>3_1635693501760385050</t>
  </si>
  <si>
    <t>3_1673694864603508736</t>
  </si>
  <si>
    <t>3_1680951696518705152</t>
  </si>
  <si>
    <t>3_1690362962337255424</t>
  </si>
  <si>
    <t>7_1691418439175266304</t>
  </si>
  <si>
    <t>3_1609964301833445377</t>
  </si>
  <si>
    <t>3_1612411237870043136</t>
  </si>
  <si>
    <t>3_1652312032849346560</t>
  </si>
  <si>
    <t>3_1640446335529656344</t>
  </si>
  <si>
    <t>3_1617603482105659392</t>
  </si>
  <si>
    <t>3_1625856248309743620</t>
  </si>
  <si>
    <t>7_1618562666074673152</t>
  </si>
  <si>
    <t>7_1683885713517862913</t>
  </si>
  <si>
    <t>3_1636643596295102464</t>
  </si>
  <si>
    <t>7_1643208969777815555</t>
  </si>
  <si>
    <t>7_1631428603610120192</t>
  </si>
  <si>
    <t>3_1636452685388849168</t>
  </si>
  <si>
    <t>7_1650579512352989197</t>
  </si>
  <si>
    <t>3_1653804365155557377</t>
  </si>
  <si>
    <t>3_1663220995900030977</t>
  </si>
  <si>
    <t>3_1679294792331608064</t>
  </si>
  <si>
    <t>3_1692261295020474368</t>
  </si>
  <si>
    <t>3_1691849132770557961</t>
  </si>
  <si>
    <t>3_1676719825161277441</t>
  </si>
  <si>
    <t>3_1691485497393131525 3_1691485497388892161 3_1691485497384640512 3_1691485497384742914</t>
  </si>
  <si>
    <t>3_1632818754110332937 3_1632818763660763138</t>
  </si>
  <si>
    <t>3_1634221831077937152</t>
  </si>
  <si>
    <t>3_1694449905706893312</t>
  </si>
  <si>
    <t>7_1667315307457785858</t>
  </si>
  <si>
    <t>7_1637621348695519238</t>
  </si>
  <si>
    <t>7_1650969299966623746</t>
  </si>
  <si>
    <t>7_1662220794670219265</t>
  </si>
  <si>
    <t>7_1666572331043389440</t>
  </si>
  <si>
    <t>7_1687622074074869760</t>
  </si>
  <si>
    <t>7_1672671737677316098</t>
  </si>
  <si>
    <t>16_1648739862881632256</t>
  </si>
  <si>
    <t>7_1693747766181105665</t>
  </si>
  <si>
    <t>7_1638657848207986689</t>
  </si>
  <si>
    <t>3_1656712592117710857</t>
  </si>
  <si>
    <t>7_1668030491717513223</t>
  </si>
  <si>
    <t>7_1624088966969405455</t>
  </si>
  <si>
    <t>7_1632040715650727941</t>
  </si>
  <si>
    <t>3_1663448103444201472</t>
  </si>
  <si>
    <t>3_1687608128609861635</t>
  </si>
  <si>
    <t>3_1664225001401114626</t>
  </si>
  <si>
    <t>3_1637867675710808066</t>
  </si>
  <si>
    <t>13_1705907387255693312</t>
  </si>
  <si>
    <t>7_1667167164476915715</t>
  </si>
  <si>
    <t>3_1703884012643610624</t>
  </si>
  <si>
    <t>3_1705301975678459905</t>
  </si>
  <si>
    <t>7_1704632628492554240</t>
  </si>
  <si>
    <t>7_1707182412893995008</t>
  </si>
  <si>
    <t>3_1699464290103877632</t>
  </si>
  <si>
    <t>16_1626349504805863425</t>
  </si>
  <si>
    <t>16_1659533171862503424</t>
  </si>
  <si>
    <t>16_1692524056849862656</t>
  </si>
  <si>
    <t>3_1635645807184474112</t>
  </si>
  <si>
    <t>3_1629092933205983236</t>
  </si>
  <si>
    <t>3_1655960847301349379</t>
  </si>
  <si>
    <t>3_1678772219567296520</t>
  </si>
  <si>
    <t>3_1643284294058536962 3_1643284294067007491 3_1643284294062821383</t>
  </si>
  <si>
    <t>7_1700563019590238208</t>
  </si>
  <si>
    <t>7_1701712178464567296</t>
  </si>
  <si>
    <t>7_1704886920700903424</t>
  </si>
  <si>
    <t>3_1635290803508506624</t>
  </si>
  <si>
    <t>3_1621215969606606850</t>
  </si>
  <si>
    <t>7_1620733116989022212</t>
  </si>
  <si>
    <t>7_1620481491103784977</t>
  </si>
  <si>
    <t>3_1651698438415818760</t>
  </si>
  <si>
    <t>7_1682486792090705925</t>
  </si>
  <si>
    <t>3_1635757836062924803</t>
  </si>
  <si>
    <t>7_1615466368886874132</t>
  </si>
  <si>
    <t>3_1706215129107349504</t>
  </si>
  <si>
    <t>7_1698839796112658432</t>
  </si>
  <si>
    <t>3_1663559680504004609</t>
  </si>
  <si>
    <t>3_1637469092901732354</t>
  </si>
  <si>
    <t>3_1628053700253036546</t>
  </si>
  <si>
    <t>3_1615823110044786688</t>
  </si>
  <si>
    <t>3_1615821847177617410</t>
  </si>
  <si>
    <t>3_1625607585737981956</t>
  </si>
  <si>
    <t>3_1625606326364643329</t>
  </si>
  <si>
    <t>3_1638649774600495104</t>
  </si>
  <si>
    <t>3_1638293675980488704</t>
  </si>
  <si>
    <t>3_1627783164746768388</t>
  </si>
  <si>
    <t>3_1612921492722929701</t>
  </si>
  <si>
    <t>3_1612830893608935426</t>
  </si>
  <si>
    <t>3_1642544178297962497</t>
  </si>
  <si>
    <t>3_1642186828370386951</t>
  </si>
  <si>
    <t>3_1642185568346861576</t>
  </si>
  <si>
    <t>3_1642184314791112706</t>
  </si>
  <si>
    <t>3_1641912514785968131</t>
  </si>
  <si>
    <t>3_1641556421689896960</t>
  </si>
  <si>
    <t>3_1618629100758876162</t>
  </si>
  <si>
    <t>3_1618627838730461187</t>
  </si>
  <si>
    <t>3_1649531471265161218</t>
  </si>
  <si>
    <t>3_1649530214349692929</t>
  </si>
  <si>
    <t>3_1649162795118624771</t>
  </si>
  <si>
    <t>3_1632491690362560515</t>
  </si>
  <si>
    <t>3_1646173095583969284</t>
  </si>
  <si>
    <t>3_1646171831366217728</t>
  </si>
  <si>
    <t>3_1645861047608266773</t>
  </si>
  <si>
    <t>3_1629598880353464322</t>
  </si>
  <si>
    <t>3_1629596359740325888</t>
  </si>
  <si>
    <t>3_1621262707172196354</t>
  </si>
  <si>
    <t>3_1621172106804199427</t>
  </si>
  <si>
    <t>3_1651698249231736832</t>
  </si>
  <si>
    <t>3_1638291162615148546</t>
  </si>
  <si>
    <t>3_1648833116696375297</t>
  </si>
  <si>
    <t>3_1635312785662832644</t>
  </si>
  <si>
    <t>3_1634304886186680322</t>
  </si>
  <si>
    <t>3_1671184610657533954</t>
  </si>
  <si>
    <t>3_1674457825399959552</t>
  </si>
  <si>
    <t>3_1673732015542222866</t>
  </si>
  <si>
    <t>3_1673362815187386368</t>
  </si>
  <si>
    <t>3_1658511141130194944</t>
  </si>
  <si>
    <t>7_1662186929025105933</t>
  </si>
  <si>
    <t>7_1613277455380250625</t>
  </si>
  <si>
    <t>3_1618443182567575554</t>
  </si>
  <si>
    <t>7_1669358811159875586</t>
  </si>
  <si>
    <t>3_1613882747273068546</t>
  </si>
  <si>
    <t>3_1661868593338892289</t>
  </si>
  <si>
    <t>3_1610885653989888000</t>
  </si>
  <si>
    <t>3_1625560136029724672</t>
  </si>
  <si>
    <t>3_1614688415441625090</t>
  </si>
  <si>
    <t>3_1631904112995446786</t>
  </si>
  <si>
    <t>3_1621757244617408512</t>
  </si>
  <si>
    <t>3_1645804162217832449</t>
  </si>
  <si>
    <t>3_1645792538471841792</t>
  </si>
  <si>
    <t>3_1648321263046107139</t>
  </si>
  <si>
    <t>3_1668321350568509444</t>
  </si>
  <si>
    <t>3_1671531053847126017</t>
  </si>
  <si>
    <t>3_1645400809872531459</t>
  </si>
  <si>
    <t>3_1643632034089168897</t>
  </si>
  <si>
    <t>3_1617613278301065236</t>
  </si>
  <si>
    <t>3_1617590547614400771</t>
  </si>
  <si>
    <t>3_1659162488154251264</t>
  </si>
  <si>
    <t>3_1620391564693454850</t>
  </si>
  <si>
    <t>3_1620034108586860546</t>
  </si>
  <si>
    <t>3_1658175002347294720</t>
  </si>
  <si>
    <t>3_1663501042745483265</t>
  </si>
  <si>
    <t>3_1614955765701165058</t>
  </si>
  <si>
    <t>3_1694687567621296128</t>
  </si>
  <si>
    <t>3_1706292611537936384</t>
  </si>
  <si>
    <t>3_1650842803725824000</t>
  </si>
  <si>
    <t>7_1662880900382707715</t>
  </si>
  <si>
    <t>3_1636080582378549254</t>
  </si>
  <si>
    <t>3_1704490652736577536</t>
  </si>
  <si>
    <t>16_1617649933363863553</t>
  </si>
  <si>
    <t>16_1629246380546961408</t>
  </si>
  <si>
    <t>16_1653873623042588675</t>
  </si>
  <si>
    <t>16_1668006747863228417</t>
  </si>
  <si>
    <t>16_1693011513877864449</t>
  </si>
  <si>
    <t>16_1679132364742578176</t>
  </si>
  <si>
    <t>16_1642896292048240640</t>
  </si>
  <si>
    <t>16_1704199020841676800</t>
  </si>
  <si>
    <t>3_1633486301511966721</t>
  </si>
  <si>
    <t>3_1649102177552547843</t>
  </si>
  <si>
    <t>3_1623412606869307393</t>
  </si>
  <si>
    <t>3_1642038885076090880</t>
  </si>
  <si>
    <t>7_1619134940959883264</t>
  </si>
  <si>
    <t>3_1611437651491491848</t>
  </si>
  <si>
    <t>7_1626704451523297282</t>
  </si>
  <si>
    <t>7_1627736871722749954</t>
  </si>
  <si>
    <t>3_1639341200913100801</t>
  </si>
  <si>
    <t>3_1648661546384474115</t>
  </si>
  <si>
    <t>3_1685967008519655424</t>
  </si>
  <si>
    <t>7_1652349607299391492</t>
  </si>
  <si>
    <t>3_1634267391432577030</t>
  </si>
  <si>
    <t>3_1678844065218011136</t>
  </si>
  <si>
    <t>3_1700899452221833216</t>
  </si>
  <si>
    <t>3_1668014182996885505</t>
  </si>
  <si>
    <t>3_1662943960044560385</t>
  </si>
  <si>
    <t>3_1683112198179102721</t>
  </si>
  <si>
    <t>3_1619843481442082817</t>
  </si>
  <si>
    <t>3_1690760145469370369</t>
  </si>
  <si>
    <t>3_1690757659576725504</t>
  </si>
  <si>
    <t>3_1693411601037115392</t>
  </si>
  <si>
    <t>3_1698429939941269504</t>
  </si>
  <si>
    <t>3_1695845842819694592</t>
  </si>
  <si>
    <t>3_1698430282808832000</t>
  </si>
  <si>
    <t>3_1700901992187510785</t>
  </si>
  <si>
    <t>3_1700902382362591232</t>
  </si>
  <si>
    <t>3_1700902881451229184</t>
  </si>
  <si>
    <t>3_1700903130097995776</t>
  </si>
  <si>
    <t>3_1641817629496164352</t>
  </si>
  <si>
    <t>3_1676715985338867713</t>
  </si>
  <si>
    <t>3_1662154565339459584</t>
  </si>
  <si>
    <t>3_1702419676590993408</t>
  </si>
  <si>
    <t>3_1643603423936274433 3_1643603423948939264</t>
  </si>
  <si>
    <t>7_1625288479599984640</t>
  </si>
  <si>
    <t>3_1648045833718321156</t>
  </si>
  <si>
    <t>3_1635451713371947008 3_1635451716320522245</t>
  </si>
  <si>
    <t>3_1646632454722056196</t>
  </si>
  <si>
    <t>3_1629211775773167616</t>
  </si>
  <si>
    <t>3_1659661742106869760</t>
  </si>
  <si>
    <t>3_1659583545818468353</t>
  </si>
  <si>
    <t>3_1671586986946174996</t>
  </si>
  <si>
    <t>3_1636800934872219675</t>
  </si>
  <si>
    <t>7_1704097453593493504</t>
  </si>
  <si>
    <t>16_1650532620248252419</t>
  </si>
  <si>
    <t>3_1615177444469755905</t>
  </si>
  <si>
    <t>3_1679937558480863234 3_1679937560502517766 3_1679937562645807119</t>
  </si>
  <si>
    <t>3_1701575433924276225 3_1701575433928441856</t>
  </si>
  <si>
    <t>7_1702378401527664640</t>
  </si>
  <si>
    <t>3_1615019848290926604</t>
  </si>
  <si>
    <t>3_1631327300590481408</t>
  </si>
  <si>
    <t>3_1625166709605773313</t>
  </si>
  <si>
    <t>3_1610225763424342016</t>
  </si>
  <si>
    <t>3_1641740928447553537</t>
  </si>
  <si>
    <t>3_1617835902222344193</t>
  </si>
  <si>
    <t>3_1661028002631757824</t>
  </si>
  <si>
    <t>3_1665652245101199360</t>
  </si>
  <si>
    <t>3_1668630284168994817</t>
  </si>
  <si>
    <t>3_1672252359097954304</t>
  </si>
  <si>
    <t>7_1674746105278365698</t>
  </si>
  <si>
    <t>3_1661801856249794562</t>
  </si>
  <si>
    <t>3_1664400489801297921</t>
  </si>
  <si>
    <t>3_1663278439439187968</t>
  </si>
  <si>
    <t>3_1679622674459291648</t>
  </si>
  <si>
    <t>3_1666946146600615943</t>
  </si>
  <si>
    <t>3_1658535478331596800</t>
  </si>
  <si>
    <t>3_1657110118620712977</t>
  </si>
  <si>
    <t>3_1690127188035526656</t>
  </si>
  <si>
    <t>3_1663983555926474768</t>
  </si>
  <si>
    <t>3_1651996804681019420</t>
  </si>
  <si>
    <t>3_1699458272258883584</t>
  </si>
  <si>
    <t>3_1687153487069528070</t>
  </si>
  <si>
    <t>3_1702323477339123712</t>
  </si>
  <si>
    <t>3_1699100953830412288</t>
  </si>
  <si>
    <t>3_1670803443148005376</t>
  </si>
  <si>
    <t>3_1670397925749403650</t>
  </si>
  <si>
    <t>3_1706710309111496704</t>
  </si>
  <si>
    <t>3_1704552001739116544</t>
  </si>
  <si>
    <t>3_1689290359073837056</t>
  </si>
  <si>
    <t>3_1650974450337054723</t>
  </si>
  <si>
    <t>1646227569409130498</t>
  </si>
  <si>
    <t>1613156575815901185</t>
  </si>
  <si>
    <t>1636330391656181760</t>
  </si>
  <si>
    <t>1630278992312893442</t>
  </si>
  <si>
    <t>1695609607509467433</t>
  </si>
  <si>
    <t>1631642895211024385</t>
  </si>
  <si>
    <t>1612155419371216900</t>
  </si>
  <si>
    <t>1613848500676227073</t>
  </si>
  <si>
    <t>1617463914551279617</t>
  </si>
  <si>
    <t>1619476999050772485</t>
  </si>
  <si>
    <t>1611382088653053954</t>
  </si>
  <si>
    <t>1610294845125320704</t>
  </si>
  <si>
    <t>1620915228421787648</t>
  </si>
  <si>
    <t>1650987045748379650</t>
  </si>
  <si>
    <t>1650805600341852160</t>
  </si>
  <si>
    <t>1671865732244594691</t>
  </si>
  <si>
    <t>1624785805733502976</t>
  </si>
  <si>
    <t>1633120683537362944</t>
  </si>
  <si>
    <t>1666067543113490433</t>
  </si>
  <si>
    <t>1629496787714072577</t>
  </si>
  <si>
    <t>1622245329453080578</t>
  </si>
  <si>
    <t>1620792792812343302</t>
  </si>
  <si>
    <t>1664980571963924481</t>
  </si>
  <si>
    <t>1654863723104722945</t>
  </si>
  <si>
    <t>1638563776822640649</t>
  </si>
  <si>
    <t>1626960241890934784</t>
  </si>
  <si>
    <t>1647215979334598659</t>
  </si>
  <si>
    <t>1637106912553467905</t>
  </si>
  <si>
    <t>1625510765162528768</t>
  </si>
  <si>
    <t>1625450376487919617</t>
  </si>
  <si>
    <t>1679181843843923968</t>
  </si>
  <si>
    <t>1679140050724872192</t>
  </si>
  <si>
    <t>1659197270208937985</t>
  </si>
  <si>
    <t>1642180334023327748</t>
  </si>
  <si>
    <t>1691517696058204160</t>
  </si>
  <si>
    <t>1643992616873373697</t>
  </si>
  <si>
    <t>1702016008628719925</t>
  </si>
  <si>
    <t>1623699943431995393</t>
  </si>
  <si>
    <t>1698741225757589806</t>
  </si>
  <si>
    <t>1651667540517572613</t>
  </si>
  <si>
    <t>1677421910303358976</t>
  </si>
  <si>
    <t>1681307239301414912</t>
  </si>
  <si>
    <t>1679579702028107776</t>
  </si>
  <si>
    <t>1635385394232717312</t>
  </si>
  <si>
    <t>1614346370420248578</t>
  </si>
  <si>
    <t>1668346252520747008</t>
  </si>
  <si>
    <t>1706619523590205947</t>
  </si>
  <si>
    <t>1650669118314496000</t>
  </si>
  <si>
    <t>1695435938535465329</t>
  </si>
  <si>
    <t>1696165916659101943</t>
  </si>
  <si>
    <t>1700979540619932077</t>
  </si>
  <si>
    <t>1667374123725766658</t>
  </si>
  <si>
    <t>1611109679001739264</t>
  </si>
  <si>
    <t>1624763361052221440</t>
  </si>
  <si>
    <t>1622974163437727745</t>
  </si>
  <si>
    <t>1658759465594679302</t>
  </si>
  <si>
    <t>1686105447298744320</t>
  </si>
  <si>
    <t>1615356576725860353</t>
  </si>
  <si>
    <t>1674600434252513281</t>
  </si>
  <si>
    <t>1645554506162397184</t>
  </si>
  <si>
    <t>1637145228388777985</t>
  </si>
  <si>
    <t>1675008961605402625</t>
  </si>
  <si>
    <t>1638263593845104642</t>
  </si>
  <si>
    <t>1678101840385257472</t>
  </si>
  <si>
    <t>1693635491365634205</t>
  </si>
  <si>
    <t>1678438794930839552</t>
  </si>
  <si>
    <t>1695073589471457777</t>
  </si>
  <si>
    <t>1643243917540831234</t>
  </si>
  <si>
    <t>1648070921536536576</t>
  </si>
  <si>
    <t>1651614232348172288</t>
  </si>
  <si>
    <t>1683559478786924544</t>
  </si>
  <si>
    <t>1632459030835654661</t>
  </si>
  <si>
    <t>1648794679981252608</t>
  </si>
  <si>
    <t>1626777771950190592</t>
  </si>
  <si>
    <t>1661023793496858624</t>
  </si>
  <si>
    <t>1654090530689523713</t>
  </si>
  <si>
    <t>1697215614572437911</t>
  </si>
  <si>
    <t>1671964877772955653</t>
  </si>
  <si>
    <t>1651961144662192130</t>
  </si>
  <si>
    <t>1645601410162073600</t>
  </si>
  <si>
    <t>1616405819460882433</t>
  </si>
  <si>
    <t>1616073746225168385</t>
  </si>
  <si>
    <t>1612660816389574657</t>
  </si>
  <si>
    <t>1612117420067491841</t>
  </si>
  <si>
    <t>1612011616886726656</t>
  </si>
  <si>
    <t>1694842149366337724</t>
  </si>
  <si>
    <t>1698697955383840934</t>
  </si>
  <si>
    <t>1644791183934103554</t>
  </si>
  <si>
    <t>1617490513384308737</t>
  </si>
  <si>
    <t>1635687574193811489</t>
  </si>
  <si>
    <t>1676938225628184577</t>
  </si>
  <si>
    <t>1611721594530938882</t>
  </si>
  <si>
    <t>1662972029526499328</t>
  </si>
  <si>
    <t>1669473856321380352</t>
  </si>
  <si>
    <t>1673482287621591040</t>
  </si>
  <si>
    <t>1658602235805278209</t>
  </si>
  <si>
    <t>1690858977662255104</t>
  </si>
  <si>
    <t>1665521739416125440</t>
  </si>
  <si>
    <t>1704457060174172465</t>
  </si>
  <si>
    <t>1689754597408002048</t>
  </si>
  <si>
    <t>1632161131723726849</t>
  </si>
  <si>
    <t>1612378881646006272</t>
  </si>
  <si>
    <t>1676184153295921153</t>
  </si>
  <si>
    <t>1653064588714295296</t>
  </si>
  <si>
    <t>1645728739093798915</t>
  </si>
  <si>
    <t>1617541796359450625</t>
  </si>
  <si>
    <t>1638919721549725697</t>
  </si>
  <si>
    <t>1667320694999220225</t>
  </si>
  <si>
    <t>1622928259837992964</t>
  </si>
  <si>
    <t>1666111439541600256</t>
  </si>
  <si>
    <t>1617702365561524227</t>
  </si>
  <si>
    <t>1703818008928415836</t>
  </si>
  <si>
    <t>1623377780225241088</t>
  </si>
  <si>
    <t>1623364620135047169</t>
  </si>
  <si>
    <t>1694580292735091192</t>
  </si>
  <si>
    <t>1626658986605813760</t>
  </si>
  <si>
    <t>1697419143094452462</t>
  </si>
  <si>
    <t>1697361360374403098</t>
  </si>
  <si>
    <t>1697291494787354950</t>
  </si>
  <si>
    <t>1626587668867072001</t>
  </si>
  <si>
    <t>1656642335051227136</t>
  </si>
  <si>
    <t>1658865198487203840</t>
  </si>
  <si>
    <t>1632425491507314688</t>
  </si>
  <si>
    <t>1632076656440492034</t>
  </si>
  <si>
    <t>1631288703388639235</t>
  </si>
  <si>
    <t>1661444055115464727</t>
  </si>
  <si>
    <t>1651667189236105217</t>
  </si>
  <si>
    <t>1678438899587194885</t>
  </si>
  <si>
    <t>1673330478026305538</t>
  </si>
  <si>
    <t>1652994814772641792</t>
  </si>
  <si>
    <t>1682322106770489345</t>
  </si>
  <si>
    <t>1681989969076801539</t>
  </si>
  <si>
    <t>1635611975194402816</t>
  </si>
  <si>
    <t>1674614185542516738</t>
  </si>
  <si>
    <t>1616483556716314626</t>
  </si>
  <si>
    <t>1676932811205296129</t>
  </si>
  <si>
    <t>1668310449014681618</t>
  </si>
  <si>
    <t>1672465924681613313</t>
  </si>
  <si>
    <t>1653334158612000768</t>
  </si>
  <si>
    <t>1622911665766367234</t>
  </si>
  <si>
    <t>1700179243513094336</t>
  </si>
  <si>
    <t>1633115897714946048</t>
  </si>
  <si>
    <t>1632773779649617920</t>
  </si>
  <si>
    <t>1706252592186056975</t>
  </si>
  <si>
    <t>1638264973330718720</t>
  </si>
  <si>
    <t>1667264952845979659</t>
  </si>
  <si>
    <t>1663998789450096640</t>
  </si>
  <si>
    <t>1701992886878019597</t>
  </si>
  <si>
    <t>1684988590483222530</t>
  </si>
  <si>
    <t>1684626202676342784</t>
  </si>
  <si>
    <t>1680286104581292036</t>
  </si>
  <si>
    <t>1620506199744544769</t>
  </si>
  <si>
    <t>1681010376974950405</t>
  </si>
  <si>
    <t>1640431492366241793</t>
  </si>
  <si>
    <t>1692236851078201399</t>
  </si>
  <si>
    <t>1615788111471984656</t>
  </si>
  <si>
    <t>1630798673406828545</t>
  </si>
  <si>
    <t>1628632152664416257</t>
  </si>
  <si>
    <t>1659428677837307908</t>
  </si>
  <si>
    <t>1669555486146830336</t>
  </si>
  <si>
    <t>1647812154093887488</t>
  </si>
  <si>
    <t>1668047259987001344</t>
  </si>
  <si>
    <t>1669414764106137601</t>
  </si>
  <si>
    <t>1683574796213268480</t>
  </si>
  <si>
    <t>1613874470728384512</t>
  </si>
  <si>
    <t>1618806453665689602</t>
  </si>
  <si>
    <t>1612090194596880386</t>
  </si>
  <si>
    <t>1612103288476041218</t>
  </si>
  <si>
    <t>1612102179266994183</t>
  </si>
  <si>
    <t>1612101094234099712</t>
  </si>
  <si>
    <t>1612100743602765824</t>
  </si>
  <si>
    <t>1612096957010288640</t>
  </si>
  <si>
    <t>1612093322696302593</t>
  </si>
  <si>
    <t>1612093012040876033</t>
  </si>
  <si>
    <t>1612091565781958661</t>
  </si>
  <si>
    <t>1612088641756479488</t>
  </si>
  <si>
    <t>1612086892786290690</t>
  </si>
  <si>
    <t>1612083426860883969</t>
  </si>
  <si>
    <t>1701247453532389571</t>
  </si>
  <si>
    <t>1702375921926152290</t>
  </si>
  <si>
    <t>1702373034919616628</t>
  </si>
  <si>
    <t>1705251692977988011</t>
  </si>
  <si>
    <t>1705251502875439203</t>
  </si>
  <si>
    <t>1688584136976482304</t>
  </si>
  <si>
    <t>1635274463658020866</t>
  </si>
  <si>
    <t>1686044197877354496</t>
  </si>
  <si>
    <t>1676154995991879680</t>
  </si>
  <si>
    <t>1613173245326376960</t>
  </si>
  <si>
    <t>1625932688057040897</t>
  </si>
  <si>
    <t>1663591639682564096</t>
  </si>
  <si>
    <t>1674153341528469506</t>
  </si>
  <si>
    <t>1672172102194016257</t>
  </si>
  <si>
    <t>1620200280553037828</t>
  </si>
  <si>
    <t>1612149564806406144</t>
  </si>
  <si>
    <t>1617667416003338243</t>
  </si>
  <si>
    <t>1706362640837083326</t>
  </si>
  <si>
    <t>1616768078351859714</t>
  </si>
  <si>
    <t>1611379517875945479</t>
  </si>
  <si>
    <t>1679441561661087744</t>
  </si>
  <si>
    <t>1685070353347813376</t>
  </si>
  <si>
    <t>1631234893316345856</t>
  </si>
  <si>
    <t>1641381753632829440</t>
  </si>
  <si>
    <t>1671822334217338880</t>
  </si>
  <si>
    <t>1651528614066761729</t>
  </si>
  <si>
    <t>1681969194449924096</t>
  </si>
  <si>
    <t>1621088040033681411</t>
  </si>
  <si>
    <t>1702262915053552112</t>
  </si>
  <si>
    <t>1692116054674211113</t>
  </si>
  <si>
    <t>1661675474244841473</t>
  </si>
  <si>
    <t>1661010270339358720</t>
  </si>
  <si>
    <t>1687179179094073344</t>
  </si>
  <si>
    <t>1628424402168688640</t>
  </si>
  <si>
    <t>1639760328291483648</t>
  </si>
  <si>
    <t>1700570340416434491</t>
  </si>
  <si>
    <t>1675814063190712321</t>
  </si>
  <si>
    <t>1612552454666592263</t>
  </si>
  <si>
    <t>1611141914627031044</t>
  </si>
  <si>
    <t>1651344718414872576</t>
  </si>
  <si>
    <t>1627791352728616960</t>
  </si>
  <si>
    <t>1613553767546490882</t>
  </si>
  <si>
    <t>1616463072511524870</t>
  </si>
  <si>
    <t>1619017992624545792</t>
  </si>
  <si>
    <t>1639356922678632451</t>
  </si>
  <si>
    <t>1613203165750644736</t>
  </si>
  <si>
    <t>1612424897237770243</t>
  </si>
  <si>
    <t>1646372715450777601</t>
  </si>
  <si>
    <t>1622651690389233665</t>
  </si>
  <si>
    <t>1621600869543288833</t>
  </si>
  <si>
    <t>1620837271330226176</t>
  </si>
  <si>
    <t>1651976613427281921</t>
  </si>
  <si>
    <t>1637837320064827393</t>
  </si>
  <si>
    <t>1625160922753912836</t>
  </si>
  <si>
    <t>1624111211900960792</t>
  </si>
  <si>
    <t>1609987251202662400</t>
  </si>
  <si>
    <t>1665761365145813005</t>
  </si>
  <si>
    <t>1648004027802681344</t>
  </si>
  <si>
    <t>1635327134255439873</t>
  </si>
  <si>
    <t>1623375432941768738</t>
  </si>
  <si>
    <t>1625605322202050560</t>
  </si>
  <si>
    <t>1627782156280905731</t>
  </si>
  <si>
    <t>1612829895863816194</t>
  </si>
  <si>
    <t>1643312614120857600</t>
  </si>
  <si>
    <t>1628052696182685699</t>
  </si>
  <si>
    <t>1615820853366734848</t>
  </si>
  <si>
    <t>1649529211218976768</t>
  </si>
  <si>
    <t>1649161787147800577</t>
  </si>
  <si>
    <t>1632490690599944192</t>
  </si>
  <si>
    <t>1651697248974123013</t>
  </si>
  <si>
    <t>1638292734724259841</t>
  </si>
  <si>
    <t>1638290164572200968</t>
  </si>
  <si>
    <t>1646529441093369858</t>
  </si>
  <si>
    <t>1646172088766431232</t>
  </si>
  <si>
    <t>1646170847860621312</t>
  </si>
  <si>
    <t>1645860028677607442</t>
  </si>
  <si>
    <t>1629595359973367808</t>
  </si>
  <si>
    <t>1621261707317239808</t>
  </si>
  <si>
    <t>1621171107616235523</t>
  </si>
  <si>
    <t>1642934645594505238</t>
  </si>
  <si>
    <t>1642610579519991808</t>
  </si>
  <si>
    <t>1642543186609405953</t>
  </si>
  <si>
    <t>1642185830419648513</t>
  </si>
  <si>
    <t>1642184565782355974</t>
  </si>
  <si>
    <t>1642183305058500608</t>
  </si>
  <si>
    <t>1641911516839440386</t>
  </si>
  <si>
    <t>1641555415996456961</t>
  </si>
  <si>
    <t>1618626836308656128</t>
  </si>
  <si>
    <t>1648832121690116099</t>
  </si>
  <si>
    <t>1634303884922331136</t>
  </si>
  <si>
    <t>1618444114567237632</t>
  </si>
  <si>
    <t>1620173922917568512</t>
  </si>
  <si>
    <t>1659373657997574144</t>
  </si>
  <si>
    <t>1676749298195738626</t>
  </si>
  <si>
    <t>1695857223899951431</t>
  </si>
  <si>
    <t>1701436907706552769</t>
  </si>
  <si>
    <t>1628116283655966720</t>
  </si>
  <si>
    <t>1623725536261406722</t>
  </si>
  <si>
    <t>1633849063496974339</t>
  </si>
  <si>
    <t>1646245992444960770</t>
  </si>
  <si>
    <t>1610607757727604737</t>
  </si>
  <si>
    <t>1639222148379348992</t>
  </si>
  <si>
    <t>1663032681125257218</t>
  </si>
  <si>
    <t>1668390675744784393</t>
  </si>
  <si>
    <t>1624222082283216897</t>
  </si>
  <si>
    <t>1618345571156365312</t>
  </si>
  <si>
    <t>1689233813358919680</t>
  </si>
  <si>
    <t>1706674906555978044</t>
  </si>
  <si>
    <t>1623399612814880769</t>
  </si>
  <si>
    <t>1623331737030873090</t>
  </si>
  <si>
    <t>1623331601965891584</t>
  </si>
  <si>
    <t>1659258209205469184</t>
  </si>
  <si>
    <t>1620762296023912450</t>
  </si>
  <si>
    <t>1617595646470389779</t>
  </si>
  <si>
    <t>1616448085084741634</t>
  </si>
  <si>
    <t>1620086937234055172</t>
  </si>
  <si>
    <t>1621260271015583750</t>
  </si>
  <si>
    <t>1633265890362810369</t>
  </si>
  <si>
    <t>1638643306765733888</t>
  </si>
  <si>
    <t>1621942671664087041</t>
  </si>
  <si>
    <t>1622599241268097025</t>
  </si>
  <si>
    <t>1694756357478490353</t>
  </si>
  <si>
    <t>1616483309587922967</t>
  </si>
  <si>
    <t>1702722023623925897</t>
  </si>
  <si>
    <t>1611007235387281408</t>
  </si>
  <si>
    <t>1628815991709868035</t>
  </si>
  <si>
    <t>1628777351332134912</t>
  </si>
  <si>
    <t>1671557079453118464</t>
  </si>
  <si>
    <t>1671273926826119168</t>
  </si>
  <si>
    <t>1636402165022601216</t>
  </si>
  <si>
    <t>1629198271431294979</t>
  </si>
  <si>
    <t>1684239655363915786</t>
  </si>
  <si>
    <t>1615846548637716480</t>
  </si>
  <si>
    <t>1650295103783567361</t>
  </si>
  <si>
    <t>1614001840760279040</t>
  </si>
  <si>
    <t>1705307406933127314</t>
  </si>
  <si>
    <t>1620495524368629761</t>
  </si>
  <si>
    <t>1700932148931502292</t>
  </si>
  <si>
    <t>1628787681265082370</t>
  </si>
  <si>
    <t>1660068420354822144</t>
  </si>
  <si>
    <t>1653216409189597187</t>
  </si>
  <si>
    <t>1631631063565869056</t>
  </si>
  <si>
    <t>1661781256441323520</t>
  </si>
  <si>
    <t>1706687581839040783</t>
  </si>
  <si>
    <t>1671156124530413574</t>
  </si>
  <si>
    <t>1661492669812441089</t>
  </si>
  <si>
    <t>1663290638283014147</t>
  </si>
  <si>
    <t>1633972249878249473</t>
  </si>
  <si>
    <t>1689311582851854336</t>
  </si>
  <si>
    <t>1620889774612697089</t>
  </si>
  <si>
    <t>1693670000035299375</t>
  </si>
  <si>
    <t>1695163570009305510</t>
  </si>
  <si>
    <t>1695085336181850524</t>
  </si>
  <si>
    <t>1706410249349984370</t>
  </si>
  <si>
    <t>1704213369996120489</t>
  </si>
  <si>
    <t>1646848184193351680</t>
  </si>
  <si>
    <t>1696296350269489378</t>
  </si>
  <si>
    <t>1653152092389769218</t>
  </si>
  <si>
    <t>1638233859522175014</t>
  </si>
  <si>
    <t>1663215281357967365</t>
  </si>
  <si>
    <t>1618530475685072898</t>
  </si>
  <si>
    <t>1670153502323093506</t>
  </si>
  <si>
    <t>1671269797454131203</t>
  </si>
  <si>
    <t>1673781596384800768</t>
  </si>
  <si>
    <t>1677071312945135616</t>
  </si>
  <si>
    <t>1684221688651698180</t>
  </si>
  <si>
    <t>1685314371335954432</t>
  </si>
  <si>
    <t>1635918281520365574</t>
  </si>
  <si>
    <t>1616089391558176768</t>
  </si>
  <si>
    <t>1704308393693835678</t>
  </si>
  <si>
    <t>1645774005926780928</t>
  </si>
  <si>
    <t>1700282023191912494</t>
  </si>
  <si>
    <t>1700609180019601749</t>
  </si>
  <si>
    <t>1701174184389341338</t>
  </si>
  <si>
    <t>1703782429683556793</t>
  </si>
  <si>
    <t>1705012528785375737</t>
  </si>
  <si>
    <t>1704988507322613931</t>
  </si>
  <si>
    <t>1666879511411949573</t>
  </si>
  <si>
    <t>1670767151412592640</t>
  </si>
  <si>
    <t>1663214376566784001</t>
  </si>
  <si>
    <t>1674973172951597056</t>
  </si>
  <si>
    <t>1652520875055259650</t>
  </si>
  <si>
    <t>1616838143935909889</t>
  </si>
  <si>
    <t>1674150322342699009</t>
  </si>
  <si>
    <t>1613259849717915664</t>
  </si>
  <si>
    <t>1617942228697223168</t>
  </si>
  <si>
    <t>1617939608364535808</t>
  </si>
  <si>
    <t>1616057382211321861</t>
  </si>
  <si>
    <t>1615674473801302016</t>
  </si>
  <si>
    <t>1612446111230304257</t>
  </si>
  <si>
    <t>1615307991988699138</t>
  </si>
  <si>
    <t>1667303367264071680</t>
  </si>
  <si>
    <t>1667131115834834946</t>
  </si>
  <si>
    <t>1666802862519894021</t>
  </si>
  <si>
    <t>1666054671813804036</t>
  </si>
  <si>
    <t>1697232399237623879</t>
  </si>
  <si>
    <t>1664243176612196354</t>
  </si>
  <si>
    <t>1611469308198109184</t>
  </si>
  <si>
    <t>1611331765808893953</t>
  </si>
  <si>
    <t>1609879940517842944</t>
  </si>
  <si>
    <t>1617614408120733707</t>
  </si>
  <si>
    <t>1619475872075104256</t>
  </si>
  <si>
    <t>1696558564272230471</t>
  </si>
  <si>
    <t>1679585182293143552</t>
  </si>
  <si>
    <t>1664594847733358594</t>
  </si>
  <si>
    <t>1687184057598398464</t>
  </si>
  <si>
    <t>1707092763387232530</t>
  </si>
  <si>
    <t>1681310574796484617</t>
  </si>
  <si>
    <t>1638291940746711040</t>
  </si>
  <si>
    <t>1638291938406178816</t>
  </si>
  <si>
    <t>1616453469895888899</t>
  </si>
  <si>
    <t>1630047927774134272</t>
  </si>
  <si>
    <t>1687464337097605120</t>
  </si>
  <si>
    <t>1615400669787344897</t>
  </si>
  <si>
    <t>1623306652857532416</t>
  </si>
  <si>
    <t>1646380988879228929</t>
  </si>
  <si>
    <t>1651234755873054722</t>
  </si>
  <si>
    <t>1651233510747779075</t>
  </si>
  <si>
    <t>1662162960788094991</t>
  </si>
  <si>
    <t>1610365769321451521</t>
  </si>
  <si>
    <t>1621960619426455554</t>
  </si>
  <si>
    <t>1677050627443105793</t>
  </si>
  <si>
    <t>1612434380068163585</t>
  </si>
  <si>
    <t>1634894586328883201</t>
  </si>
  <si>
    <t>1624001554620510218</t>
  </si>
  <si>
    <t>1623789232987725824</t>
  </si>
  <si>
    <t>1623782609753890817</t>
  </si>
  <si>
    <t>1623381274835427354</t>
  </si>
  <si>
    <t>1676252105131040769</t>
  </si>
  <si>
    <t>1645403847509114880</t>
  </si>
  <si>
    <t>1681355734724886529</t>
  </si>
  <si>
    <t>1622611438358478848</t>
  </si>
  <si>
    <t>1622581490147000322</t>
  </si>
  <si>
    <t>1622180794369286144</t>
  </si>
  <si>
    <t>1620497238681165842</t>
  </si>
  <si>
    <t>1683885080018661404</t>
  </si>
  <si>
    <t>1681031260255158273</t>
  </si>
  <si>
    <t>1679098399600041992</t>
  </si>
  <si>
    <t>1678819023318925312</t>
  </si>
  <si>
    <t>1620089587795202048</t>
  </si>
  <si>
    <t>1619387381936709633</t>
  </si>
  <si>
    <t>1618564770931556352</t>
  </si>
  <si>
    <t>1703454080977260751</t>
  </si>
  <si>
    <t>1685289268460109824</t>
  </si>
  <si>
    <t>1624407997974814727</t>
  </si>
  <si>
    <t>1624393147005513731</t>
  </si>
  <si>
    <t>1624355133252329472</t>
  </si>
  <si>
    <t>1624045658977050627</t>
  </si>
  <si>
    <t>1611769726845206535</t>
  </si>
  <si>
    <t>1611460162266570752</t>
  </si>
  <si>
    <t>1610969726875799555</t>
  </si>
  <si>
    <t>1610659903978315777</t>
  </si>
  <si>
    <t>1610312621160267777</t>
  </si>
  <si>
    <t>1609995514317094913</t>
  </si>
  <si>
    <t>1609987972136407048</t>
  </si>
  <si>
    <t>1609927836604813312</t>
  </si>
  <si>
    <t>1707040168396378495</t>
  </si>
  <si>
    <t>1706383313701585246</t>
  </si>
  <si>
    <t>1705658533415428148</t>
  </si>
  <si>
    <t>1704918754189103345</t>
  </si>
  <si>
    <t>1696878029476090212</t>
  </si>
  <si>
    <t>1688588394908073991</t>
  </si>
  <si>
    <t>1701634275592794275</t>
  </si>
  <si>
    <t>1632006783081369634</t>
  </si>
  <si>
    <t>1678842904725397505</t>
  </si>
  <si>
    <t>1693957211993547150</t>
  </si>
  <si>
    <t>1693955075406803430</t>
  </si>
  <si>
    <t>1693953734840123457</t>
  </si>
  <si>
    <t>1692715035020124213</t>
  </si>
  <si>
    <t>1685398644206268417</t>
  </si>
  <si>
    <t>1669125699850981381</t>
  </si>
  <si>
    <t>1662985251939921921</t>
  </si>
  <si>
    <t>1647931937128951809</t>
  </si>
  <si>
    <t>1647931323481305088</t>
  </si>
  <si>
    <t>1636400788624007169</t>
  </si>
  <si>
    <t>1636199834871799813</t>
  </si>
  <si>
    <t>1625625456513896450</t>
  </si>
  <si>
    <t>1614754912969134080</t>
  </si>
  <si>
    <t>1614753959733858306</t>
  </si>
  <si>
    <t>1614751221838913541</t>
  </si>
  <si>
    <t>1614750530118586370</t>
  </si>
  <si>
    <t>1613942766534262785</t>
  </si>
  <si>
    <t>1701236237581869286</t>
  </si>
  <si>
    <t>1701233495220035723</t>
  </si>
  <si>
    <t>1701229621620990211</t>
  </si>
  <si>
    <t>1701229522601804151</t>
  </si>
  <si>
    <t>1700525658550518266</t>
  </si>
  <si>
    <t>1698446788326244663</t>
  </si>
  <si>
    <t>1698444459766096183</t>
  </si>
  <si>
    <t>1690853600921001984</t>
  </si>
  <si>
    <t>1690853477881151488</t>
  </si>
  <si>
    <t>1690852577301102592</t>
  </si>
  <si>
    <t>1665510474920722434</t>
  </si>
  <si>
    <t>1665510133030350848</t>
  </si>
  <si>
    <t>1665499201151590400</t>
  </si>
  <si>
    <t>1665498385862782976</t>
  </si>
  <si>
    <t>1649076936881188864</t>
  </si>
  <si>
    <t>1649067325901922304</t>
  </si>
  <si>
    <t>1648306968770035717</t>
  </si>
  <si>
    <t>1648299796925407235</t>
  </si>
  <si>
    <t>1648292919030185986</t>
  </si>
  <si>
    <t>1648113894739550208</t>
  </si>
  <si>
    <t>1635294713866784772</t>
  </si>
  <si>
    <t>1635058095230689281</t>
  </si>
  <si>
    <t>1635054475638611968</t>
  </si>
  <si>
    <t>1703424308561785143</t>
  </si>
  <si>
    <t>1703422949716361726</t>
  </si>
  <si>
    <t>1702100244169679157</t>
  </si>
  <si>
    <t>1691608224988815798</t>
  </si>
  <si>
    <t>1670819069400940545</t>
  </si>
  <si>
    <t>1670818423792697344</t>
  </si>
  <si>
    <t>1662972984129191936</t>
  </si>
  <si>
    <t>1662253934470152194</t>
  </si>
  <si>
    <t>1661141379630919681</t>
  </si>
  <si>
    <t>1645234324948631552</t>
  </si>
  <si>
    <t>1645233751469826048</t>
  </si>
  <si>
    <t>1645231903098785792</t>
  </si>
  <si>
    <t>1645231683233300481</t>
  </si>
  <si>
    <t>1645226598352781314</t>
  </si>
  <si>
    <t>1617600124888420353</t>
  </si>
  <si>
    <t>1617599554597326849</t>
  </si>
  <si>
    <t>1617325250840260608</t>
  </si>
  <si>
    <t>1616583527235211265</t>
  </si>
  <si>
    <t>1616579275179671552</t>
  </si>
  <si>
    <t>1703922635384521014</t>
  </si>
  <si>
    <t>1703426203414081668</t>
  </si>
  <si>
    <t>1701246259237912980</t>
  </si>
  <si>
    <t>1701245302034878749</t>
  </si>
  <si>
    <t>1701240301048758329</t>
  </si>
  <si>
    <t>1701238038272057531</t>
  </si>
  <si>
    <t>1697425611164106780</t>
  </si>
  <si>
    <t>1696912348278042662</t>
  </si>
  <si>
    <t>1693969535852777957</t>
  </si>
  <si>
    <t>1693963671393783924</t>
  </si>
  <si>
    <t>1693959320336044068</t>
  </si>
  <si>
    <t>1693957398270988677</t>
  </si>
  <si>
    <t>1690153164035510272</t>
  </si>
  <si>
    <t>1689777568138829824</t>
  </si>
  <si>
    <t>1689760486185742337</t>
  </si>
  <si>
    <t>1670840437987328009</t>
  </si>
  <si>
    <t>1652789524148125696</t>
  </si>
  <si>
    <t>1652789411547889665</t>
  </si>
  <si>
    <t>1638194750313443330</t>
  </si>
  <si>
    <t>1638183345820512257</t>
  </si>
  <si>
    <t>1637300596137918464</t>
  </si>
  <si>
    <t>1637299413520379911</t>
  </si>
  <si>
    <t>1637297703720824833</t>
  </si>
  <si>
    <t>1637297050118176768</t>
  </si>
  <si>
    <t>1637293429263683584</t>
  </si>
  <si>
    <t>1637288960610254849</t>
  </si>
  <si>
    <t>1624937069905674242</t>
  </si>
  <si>
    <t>1624934515050160129</t>
  </si>
  <si>
    <t>1624930926252679170</t>
  </si>
  <si>
    <t>1611771457075351553</t>
  </si>
  <si>
    <t>1610027851709050880</t>
  </si>
  <si>
    <t>1610027095610073089</t>
  </si>
  <si>
    <t>1610023003424784390</t>
  </si>
  <si>
    <t>1610020733970780161</t>
  </si>
  <si>
    <t>1610016865371230211</t>
  </si>
  <si>
    <t>1704299184835227832</t>
  </si>
  <si>
    <t>1703425853173162026</t>
  </si>
  <si>
    <t>1703424967549833684</t>
  </si>
  <si>
    <t>1703420416205668593</t>
  </si>
  <si>
    <t>1703417353738862743</t>
  </si>
  <si>
    <t>1701246642639208827</t>
  </si>
  <si>
    <t>1701246517925892229</t>
  </si>
  <si>
    <t>1700106046235172954</t>
  </si>
  <si>
    <t>1699928393305706640</t>
  </si>
  <si>
    <t>1699921747091288332</t>
  </si>
  <si>
    <t>1699913401860825187</t>
  </si>
  <si>
    <t>1694371659451342965</t>
  </si>
  <si>
    <t>1691068495314681857</t>
  </si>
  <si>
    <t>1691068207975497729</t>
  </si>
  <si>
    <t>1690874354983145473</t>
  </si>
  <si>
    <t>1690860414505021441</t>
  </si>
  <si>
    <t>1686552883020398593</t>
  </si>
  <si>
    <t>1686507445009489920</t>
  </si>
  <si>
    <t>1686403599889268737</t>
  </si>
  <si>
    <t>1686158195939762181</t>
  </si>
  <si>
    <t>1686155489971728384</t>
  </si>
  <si>
    <t>1686153414516822021</t>
  </si>
  <si>
    <t>1686152767130173440</t>
  </si>
  <si>
    <t>1686148601909559296</t>
  </si>
  <si>
    <t>1686138866686685184</t>
  </si>
  <si>
    <t>1664652847424720896</t>
  </si>
  <si>
    <t>1664650364979671041</t>
  </si>
  <si>
    <t>1655733019108429827</t>
  </si>
  <si>
    <t>1655689299507961858</t>
  </si>
  <si>
    <t>1655375767654498311</t>
  </si>
  <si>
    <t>1655368363290361864</t>
  </si>
  <si>
    <t>1655368139960471552</t>
  </si>
  <si>
    <t>1654495894098649088</t>
  </si>
  <si>
    <t>1654145933163089920</t>
  </si>
  <si>
    <t>1653812953462845467</t>
  </si>
  <si>
    <t>1653811648921055237</t>
  </si>
  <si>
    <t>1653436035693690880</t>
  </si>
  <si>
    <t>1640362760092483586</t>
  </si>
  <si>
    <t>1640362437105811456</t>
  </si>
  <si>
    <t>1640361989925904384</t>
  </si>
  <si>
    <t>1627349340036497408</t>
  </si>
  <si>
    <t>1627345706200571904</t>
  </si>
  <si>
    <t>1627337078844411907</t>
  </si>
  <si>
    <t>1627315801958096897</t>
  </si>
  <si>
    <t>1626570952724054016</t>
  </si>
  <si>
    <t>1613319335354978304</t>
  </si>
  <si>
    <t>1612210652759883776</t>
  </si>
  <si>
    <t>1612210047844483074</t>
  </si>
  <si>
    <t>1612207022136561665</t>
  </si>
  <si>
    <t>1612206168658567169</t>
  </si>
  <si>
    <t>1612203970768035841</t>
  </si>
  <si>
    <t>1706027815395565976</t>
  </si>
  <si>
    <t>1706027537912979738</t>
  </si>
  <si>
    <t>1706027363899773288</t>
  </si>
  <si>
    <t>1706027012685537729</t>
  </si>
  <si>
    <t>1706025578548101413</t>
  </si>
  <si>
    <t>1706025267200688165</t>
  </si>
  <si>
    <t>1706024401525735582</t>
  </si>
  <si>
    <t>1706024240649052438</t>
  </si>
  <si>
    <t>1706024077066956952</t>
  </si>
  <si>
    <t>1706023918677508224</t>
  </si>
  <si>
    <t>1706023155343450484</t>
  </si>
  <si>
    <t>1706021752197837145</t>
  </si>
  <si>
    <t>1706019548468552020</t>
  </si>
  <si>
    <t>1706019006224715825</t>
  </si>
  <si>
    <t>1704513508518347154</t>
  </si>
  <si>
    <t>1696538275811635403</t>
  </si>
  <si>
    <t>1696537014550896890</t>
  </si>
  <si>
    <t>1696534822775328825</t>
  </si>
  <si>
    <t>1696533563674661157</t>
  </si>
  <si>
    <t>1696533367762936047</t>
  </si>
  <si>
    <t>1696533222489014404</t>
  </si>
  <si>
    <t>1696529997815861551</t>
  </si>
  <si>
    <t>1696524491307069638</t>
  </si>
  <si>
    <t>1696522889158398234</t>
  </si>
  <si>
    <t>1688531447580106752</t>
  </si>
  <si>
    <t>1688529461510049792</t>
  </si>
  <si>
    <t>1688528333904990208</t>
  </si>
  <si>
    <t>1688376942158852096</t>
  </si>
  <si>
    <t>1688375321064529921</t>
  </si>
  <si>
    <t>1688375050745819136</t>
  </si>
  <si>
    <t>1688364121446633472</t>
  </si>
  <si>
    <t>1687962383895965696</t>
  </si>
  <si>
    <t>1668231713674100736</t>
  </si>
  <si>
    <t>1668230950583521281</t>
  </si>
  <si>
    <t>1650221056664252416</t>
  </si>
  <si>
    <t>1650217720753926144</t>
  </si>
  <si>
    <t>1650211031057039360</t>
  </si>
  <si>
    <t>1633974405276549128</t>
  </si>
  <si>
    <t>1633969605692600320</t>
  </si>
  <si>
    <t>1632501002736640001</t>
  </si>
  <si>
    <t>1632106487739719680</t>
  </si>
  <si>
    <t>1707129538386272364</t>
  </si>
  <si>
    <t>1704140729335890378</t>
  </si>
  <si>
    <t>1703424734560481290</t>
  </si>
  <si>
    <t>1703424506088275997</t>
  </si>
  <si>
    <t>1703416368261955670</t>
  </si>
  <si>
    <t>1701229416880185576</t>
  </si>
  <si>
    <t>1701229208456843393</t>
  </si>
  <si>
    <t>1701228431915057644</t>
  </si>
  <si>
    <t>1699150151460290783</t>
  </si>
  <si>
    <t>1698444155700080699</t>
  </si>
  <si>
    <t>1698430293147836923</t>
  </si>
  <si>
    <t>1698428358705512577</t>
  </si>
  <si>
    <t>1698425743288434694</t>
  </si>
  <si>
    <t>1698423676591354119</t>
  </si>
  <si>
    <t>1683253197048102912</t>
  </si>
  <si>
    <t>1683250279498543104</t>
  </si>
  <si>
    <t>1683249827570655233</t>
  </si>
  <si>
    <t>1683249332953251841</t>
  </si>
  <si>
    <t>1681088242530111489</t>
  </si>
  <si>
    <t>1678553991012048896</t>
  </si>
  <si>
    <t>1678551531665096705</t>
  </si>
  <si>
    <t>1678547035346157568</t>
  </si>
  <si>
    <t>1675982838498246657</t>
  </si>
  <si>
    <t>1675687733702868992</t>
  </si>
  <si>
    <t>1675157753776545792</t>
  </si>
  <si>
    <t>1675144651253088256</t>
  </si>
  <si>
    <t>1661010948679925763</t>
  </si>
  <si>
    <t>1661010498782101510</t>
  </si>
  <si>
    <t>1661008926002003974</t>
  </si>
  <si>
    <t>1661008577241440258</t>
  </si>
  <si>
    <t>1660667907838181376</t>
  </si>
  <si>
    <t>1660667064074248195</t>
  </si>
  <si>
    <t>1642688406848167936</t>
  </si>
  <si>
    <t>1642687038200717312</t>
  </si>
  <si>
    <t>1642685834083155968</t>
  </si>
  <si>
    <t>1642685121575747586</t>
  </si>
  <si>
    <t>1642682954387275780</t>
  </si>
  <si>
    <t>1642682797335740420</t>
  </si>
  <si>
    <t>1642677492434477056</t>
  </si>
  <si>
    <t>1641823734930587650</t>
  </si>
  <si>
    <t>1641060895240364034</t>
  </si>
  <si>
    <t>1640876555495788544</t>
  </si>
  <si>
    <t>1640876277736394752</t>
  </si>
  <si>
    <t>1640873788647538694</t>
  </si>
  <si>
    <t>1640871829316198401</t>
  </si>
  <si>
    <t>1640868506676744192</t>
  </si>
  <si>
    <t>1640864368408625153</t>
  </si>
  <si>
    <t>1640863489416744961</t>
  </si>
  <si>
    <t>1640539280152862720</t>
  </si>
  <si>
    <t>1619787423491448834</t>
  </si>
  <si>
    <t>1619782348794650624</t>
  </si>
  <si>
    <t>1619781887379255296</t>
  </si>
  <si>
    <t>1618003917165723654</t>
  </si>
  <si>
    <t>1707057470621745295</t>
  </si>
  <si>
    <t>1683255572399894528</t>
  </si>
  <si>
    <t>1681467847170576384</t>
  </si>
  <si>
    <t>1681441254952042515</t>
  </si>
  <si>
    <t>1680699849610592259</t>
  </si>
  <si>
    <t>1680697056795533315</t>
  </si>
  <si>
    <t>1680692670044184576</t>
  </si>
  <si>
    <t>1677334046597173248</t>
  </si>
  <si>
    <t>1673448944183943170</t>
  </si>
  <si>
    <t>1658577025731264512</t>
  </si>
  <si>
    <t>1657840202889457667</t>
  </si>
  <si>
    <t>1657839512821612546</t>
  </si>
  <si>
    <t>1657839092418134021</t>
  </si>
  <si>
    <t>1657838877615243271</t>
  </si>
  <si>
    <t>1657831020622757888</t>
  </si>
  <si>
    <t>1657829448169951233</t>
  </si>
  <si>
    <t>1646647789680488449</t>
  </si>
  <si>
    <t>1630003763241951237</t>
  </si>
  <si>
    <t>1629999824513777666</t>
  </si>
  <si>
    <t>1629988485712027649</t>
  </si>
  <si>
    <t>1629987572440080393</t>
  </si>
  <si>
    <t>1629602023053176832</t>
  </si>
  <si>
    <t>1629579260913491973</t>
  </si>
  <si>
    <t>1622948108723183616</t>
  </si>
  <si>
    <t>1622601835067412482</t>
  </si>
  <si>
    <t>1622601016494415874</t>
  </si>
  <si>
    <t>1622411732533608448</t>
  </si>
  <si>
    <t>1622405711685685248</t>
  </si>
  <si>
    <t>1621291918624694278</t>
  </si>
  <si>
    <t>1620456596173381632</t>
  </si>
  <si>
    <t>1703942145780949470</t>
  </si>
  <si>
    <t>1707059629430120744</t>
  </si>
  <si>
    <t>1672286488183095311</t>
  </si>
  <si>
    <t>1622945303954423808</t>
  </si>
  <si>
    <t>1641089125859065859</t>
  </si>
  <si>
    <t>1639012764688568322</t>
  </si>
  <si>
    <t>1645782205539700739</t>
  </si>
  <si>
    <t>1637083537600905218</t>
  </si>
  <si>
    <t>1621040369306828800</t>
  </si>
  <si>
    <t>1689886795876413440</t>
  </si>
  <si>
    <t>1626550425892667397</t>
  </si>
  <si>
    <t>1640821522687225857</t>
  </si>
  <si>
    <t>1651993426408222740</t>
  </si>
  <si>
    <t>1683511808034840579</t>
  </si>
  <si>
    <t>1680968998110756864</t>
  </si>
  <si>
    <t>1679564556463493121</t>
  </si>
  <si>
    <t>1701627535170166932</t>
  </si>
  <si>
    <t>1649097132266381313</t>
  </si>
  <si>
    <t>1704173769588170940</t>
  </si>
  <si>
    <t>1683241500468019200</t>
  </si>
  <si>
    <t>1684880840432721920</t>
  </si>
  <si>
    <t>1671516419391889408</t>
  </si>
  <si>
    <t>1683262989791526914</t>
  </si>
  <si>
    <t>1682364474139844612</t>
  </si>
  <si>
    <t>1681988659334004736</t>
  </si>
  <si>
    <t>1681970572429803520</t>
  </si>
  <si>
    <t>1681629814459883520</t>
  </si>
  <si>
    <t>1680524257506336768</t>
  </si>
  <si>
    <t>1680141813133213697</t>
  </si>
  <si>
    <t>1679789753762193410</t>
  </si>
  <si>
    <t>1677349043318472705</t>
  </si>
  <si>
    <t>1676922480592666626</t>
  </si>
  <si>
    <t>1674015405969473537</t>
  </si>
  <si>
    <t>1673662190556000261</t>
  </si>
  <si>
    <t>1673503966548619264</t>
  </si>
  <si>
    <t>1673296097576361989</t>
  </si>
  <si>
    <t>1672994633058582528</t>
  </si>
  <si>
    <t>1687058930738814976</t>
  </si>
  <si>
    <t>1683975467299217410</t>
  </si>
  <si>
    <t>1683836991111307266</t>
  </si>
  <si>
    <t>1683637039810457603</t>
  </si>
  <si>
    <t>1683251521600000001</t>
  </si>
  <si>
    <t>1683194675224625152</t>
  </si>
  <si>
    <t>1683077017497919488</t>
  </si>
  <si>
    <t>1682915136846045185</t>
  </si>
  <si>
    <t>1682726469099745280</t>
  </si>
  <si>
    <t>1681253645877145600</t>
  </si>
  <si>
    <t>1681140271373754370</t>
  </si>
  <si>
    <t>1680907050107252739</t>
  </si>
  <si>
    <t>1680712842121494528</t>
  </si>
  <si>
    <t>1679425699512287236</t>
  </si>
  <si>
    <t>1679284094331416579</t>
  </si>
  <si>
    <t>1679090549804900352</t>
  </si>
  <si>
    <t>1678886780777508869</t>
  </si>
  <si>
    <t>1678731922816499713</t>
  </si>
  <si>
    <t>1678446881465147429</t>
  </si>
  <si>
    <t>1675815035933786113</t>
  </si>
  <si>
    <t>1689607828128792576</t>
  </si>
  <si>
    <t>1689307883454820353</t>
  </si>
  <si>
    <t>1688880965605572610</t>
  </si>
  <si>
    <t>1688855184489771009</t>
  </si>
  <si>
    <t>1688520053862326272</t>
  </si>
  <si>
    <t>1688210199658602497</t>
  </si>
  <si>
    <t>1687765448933113856</t>
  </si>
  <si>
    <t>1690836920203403264</t>
  </si>
  <si>
    <t>1685967981170327552</t>
  </si>
  <si>
    <t>1685596701896105985</t>
  </si>
  <si>
    <t>1674387837980999686</t>
  </si>
  <si>
    <t>1674153907747008512</t>
  </si>
  <si>
    <t>1691406026443046912</t>
  </si>
  <si>
    <t>1687406474832588800</t>
  </si>
  <si>
    <t>1687398910950547456</t>
  </si>
  <si>
    <t>1684530788589600769</t>
  </si>
  <si>
    <t>1684258703216611328</t>
  </si>
  <si>
    <t>1674717119257227264</t>
  </si>
  <si>
    <t>1690310218633060352</t>
  </si>
  <si>
    <t>1689950864725692416</t>
  </si>
  <si>
    <t>1685248705039904769</t>
  </si>
  <si>
    <t>1685117801311162369</t>
  </si>
  <si>
    <t>1684962886668492814</t>
  </si>
  <si>
    <t>1684621756609236992</t>
  </si>
  <si>
    <t>1671114175689400320</t>
  </si>
  <si>
    <t>1691197020650795009</t>
  </si>
  <si>
    <t>1686752481793994752</t>
  </si>
  <si>
    <t>1686669033364418560</t>
  </si>
  <si>
    <t>1686342654907334656</t>
  </si>
  <si>
    <t>1672599837085249539</t>
  </si>
  <si>
    <t>1671928440008720395</t>
  </si>
  <si>
    <t>1703003023012675630</t>
  </si>
  <si>
    <t>1702373305867555185</t>
  </si>
  <si>
    <t>1702086128239624319</t>
  </si>
  <si>
    <t>1701253862164681160</t>
  </si>
  <si>
    <t>1694696806636999058</t>
  </si>
  <si>
    <t>1692134352119894211</t>
  </si>
  <si>
    <t>1691558358115865079</t>
  </si>
  <si>
    <t>1676553292044705794</t>
  </si>
  <si>
    <t>1670775441102184449</t>
  </si>
  <si>
    <t>1670377326977388546</t>
  </si>
  <si>
    <t>1670128727974346754</t>
  </si>
  <si>
    <t>1674618089449635840</t>
  </si>
  <si>
    <t>1613215713367588865</t>
  </si>
  <si>
    <t>1612509727308800000</t>
  </si>
  <si>
    <t>1630985360489545736</t>
  </si>
  <si>
    <t>1620122924425547777</t>
  </si>
  <si>
    <t>1618750833809846273</t>
  </si>
  <si>
    <t>1618302048445009920</t>
  </si>
  <si>
    <t>1618008932840275972</t>
  </si>
  <si>
    <t>1625970062904393728</t>
  </si>
  <si>
    <t>1615107258521903105</t>
  </si>
  <si>
    <t>1625228016082378752</t>
  </si>
  <si>
    <t>1624148293499461632</t>
  </si>
  <si>
    <t>1609964606880882694</t>
  </si>
  <si>
    <t>1623823400899584000</t>
  </si>
  <si>
    <t>1623385055585247248</t>
  </si>
  <si>
    <t>1623101281081389056</t>
  </si>
  <si>
    <t>1628459070700269568</t>
  </si>
  <si>
    <t>1617565180388585473</t>
  </si>
  <si>
    <t>1616509177613979664</t>
  </si>
  <si>
    <t>1616149465760661504</t>
  </si>
  <si>
    <t>1616149112818225154</t>
  </si>
  <si>
    <t>1615768974444175361</t>
  </si>
  <si>
    <t>1615768744520810496</t>
  </si>
  <si>
    <t>1615462312781185024</t>
  </si>
  <si>
    <t>1615461826086727680</t>
  </si>
  <si>
    <t>1630289973881585664</t>
  </si>
  <si>
    <t>1620819835734347776</t>
  </si>
  <si>
    <t>1620519874522136577</t>
  </si>
  <si>
    <t>1635284845780951046</t>
  </si>
  <si>
    <t>1609998825598369794</t>
  </si>
  <si>
    <t>1612745873254907904</t>
  </si>
  <si>
    <t>1612382219204497408</t>
  </si>
  <si>
    <t>1630499865745563648</t>
  </si>
  <si>
    <t>1660554232221646854</t>
  </si>
  <si>
    <t>1699010057084531191</t>
  </si>
  <si>
    <t>1627962671025758213</t>
  </si>
  <si>
    <t>1669061437040525312</t>
  </si>
  <si>
    <t>1628659675037331459</t>
  </si>
  <si>
    <t>1615163317441515520</t>
  </si>
  <si>
    <t>1628805453432991746</t>
  </si>
  <si>
    <t>1628523072675278849</t>
  </si>
  <si>
    <t>1648103209066479616</t>
  </si>
  <si>
    <t>1660775496769060865</t>
  </si>
  <si>
    <t>1630839035139866625</t>
  </si>
  <si>
    <t>1615253966626988032</t>
  </si>
  <si>
    <t>1630109226604572672</t>
  </si>
  <si>
    <t>1648203453905391619</t>
  </si>
  <si>
    <t>1667136932134940675</t>
  </si>
  <si>
    <t>1670956751594704896</t>
  </si>
  <si>
    <t>1636120623398408193</t>
  </si>
  <si>
    <t>1625329329772142593</t>
  </si>
  <si>
    <t>1613634099062706189</t>
  </si>
  <si>
    <t>1694802667665523031</t>
  </si>
  <si>
    <t>1638252252325462016</t>
  </si>
  <si>
    <t>1664650340455546884</t>
  </si>
  <si>
    <t>1640461693934518272</t>
  </si>
  <si>
    <t>1647009103833694213</t>
  </si>
  <si>
    <t>1676761287362002946</t>
  </si>
  <si>
    <t>1665367843049799685</t>
  </si>
  <si>
    <t>1664280692900118535</t>
  </si>
  <si>
    <t>1665005460942991363</t>
  </si>
  <si>
    <t>1664643081776381955</t>
  </si>
  <si>
    <t>1642994117490925569</t>
  </si>
  <si>
    <t>1656033848050819072</t>
  </si>
  <si>
    <t>1649140863597965323</t>
  </si>
  <si>
    <t>1688746876646854656</t>
  </si>
  <si>
    <t>1701105809071931728</t>
  </si>
  <si>
    <t>1631659806321680384</t>
  </si>
  <si>
    <t>1687470994707947520</t>
  </si>
  <si>
    <t>1626218958004301831</t>
  </si>
  <si>
    <t>1609963351253127170</t>
  </si>
  <si>
    <t>1661756591497007104</t>
  </si>
  <si>
    <t>1641296114933440518</t>
  </si>
  <si>
    <t>1645312935554588672</t>
  </si>
  <si>
    <t>1645312576350302209</t>
  </si>
  <si>
    <t>1644493987582205952</t>
  </si>
  <si>
    <t>1643079528548368387</t>
  </si>
  <si>
    <t>1650739811584540673</t>
  </si>
  <si>
    <t>1650739059294187520</t>
  </si>
  <si>
    <t>1649950925241368577</t>
  </si>
  <si>
    <t>1653219687285628929</t>
  </si>
  <si>
    <t>1652507543720148992</t>
  </si>
  <si>
    <t>1651825678495502336</t>
  </si>
  <si>
    <t>1637296065215885315</t>
  </si>
  <si>
    <t>1656498077530824706</t>
  </si>
  <si>
    <t>1656178731075923969</t>
  </si>
  <si>
    <t>1648890804755111937</t>
  </si>
  <si>
    <t>1648549040961777666</t>
  </si>
  <si>
    <t>1634725957159223296</t>
  </si>
  <si>
    <t>1634711785662996482</t>
  </si>
  <si>
    <t>1610667478819930116</t>
  </si>
  <si>
    <t>1683473450105446403</t>
  </si>
  <si>
    <t>1625977381377769476</t>
  </si>
  <si>
    <t>1633516952860729359</t>
  </si>
  <si>
    <t>1651285542754025473</t>
  </si>
  <si>
    <t>1636574506629120000</t>
  </si>
  <si>
    <t>1636574497284190208</t>
  </si>
  <si>
    <t>1636436576463929351</t>
  </si>
  <si>
    <t>1663912351676989440</t>
  </si>
  <si>
    <t>1664698315756261376</t>
  </si>
  <si>
    <t>1674133788253737013</t>
  </si>
  <si>
    <t>1674102504466833410</t>
  </si>
  <si>
    <t>1674102494845075480</t>
  </si>
  <si>
    <t>1674102484749385747</t>
  </si>
  <si>
    <t>1674102433184636928</t>
  </si>
  <si>
    <t>1674102413978894336</t>
  </si>
  <si>
    <t>1623757419754008576</t>
  </si>
  <si>
    <t>1676383110227787776</t>
  </si>
  <si>
    <t>1661442400525451264</t>
  </si>
  <si>
    <t>1677371981493309441</t>
  </si>
  <si>
    <t>1677068583933714436</t>
  </si>
  <si>
    <t>1677022378293878797</t>
  </si>
  <si>
    <t>1666519157125292054</t>
  </si>
  <si>
    <t>1666519030721552405</t>
  </si>
  <si>
    <t>1658569149348474880</t>
  </si>
  <si>
    <t>1678845708584009728</t>
  </si>
  <si>
    <t>1675952183374753793</t>
  </si>
  <si>
    <t>1675910599669166087</t>
  </si>
  <si>
    <t>1675910542354001921</t>
  </si>
  <si>
    <t>1659268371010011136</t>
  </si>
  <si>
    <t>1630700912296570880</t>
  </si>
  <si>
    <t>1620362837259603969</t>
  </si>
  <si>
    <t>1620008423709618177</t>
  </si>
  <si>
    <t>1619655699226820615</t>
  </si>
  <si>
    <t>1619294305692286977</t>
  </si>
  <si>
    <t>1618916374155509760</t>
  </si>
  <si>
    <t>1618647877777235968</t>
  </si>
  <si>
    <t>1618196746009731072</t>
  </si>
  <si>
    <t>1617840144605933568</t>
  </si>
  <si>
    <t>1625087397577867264</t>
  </si>
  <si>
    <t>1624749535820931076</t>
  </si>
  <si>
    <t>1624396458148392960</t>
  </si>
  <si>
    <t>1624122173102096413</t>
  </si>
  <si>
    <t>1623734475812225030</t>
  </si>
  <si>
    <t>1623490718135365634</t>
  </si>
  <si>
    <t>1623074956727681024</t>
  </si>
  <si>
    <t>1627810086792970243</t>
  </si>
  <si>
    <t>1627287118035795968</t>
  </si>
  <si>
    <t>1626928729309032451</t>
  </si>
  <si>
    <t>1626560594923978752</t>
  </si>
  <si>
    <t>1626194322931568642</t>
  </si>
  <si>
    <t>1625814953801265159</t>
  </si>
  <si>
    <t>1625455556470136837</t>
  </si>
  <si>
    <t>1628927687879163904</t>
  </si>
  <si>
    <t>1628528674281586689</t>
  </si>
  <si>
    <t>1628141142289092615</t>
  </si>
  <si>
    <t>1617456566902599680</t>
  </si>
  <si>
    <t>1617146261617901573</t>
  </si>
  <si>
    <t>1616774956599373824</t>
  </si>
  <si>
    <t>1630150589127487490</t>
  </si>
  <si>
    <t>1629845375732334598</t>
  </si>
  <si>
    <t>1629636780818329604</t>
  </si>
  <si>
    <t>1629285984310288384</t>
  </si>
  <si>
    <t>1622701105003069450</t>
  </si>
  <si>
    <t>1622296786969706497</t>
  </si>
  <si>
    <t>1621914658553593859</t>
  </si>
  <si>
    <t>1621622074568499200</t>
  </si>
  <si>
    <t>1621235425728765953</t>
  </si>
  <si>
    <t>1620827169416175616</t>
  </si>
  <si>
    <t>1626668087993937921</t>
  </si>
  <si>
    <t>1684006871856709633</t>
  </si>
  <si>
    <t>1651250344242839552</t>
  </si>
  <si>
    <t>1651248435004096514</t>
  </si>
  <si>
    <t>1651247228504223744</t>
  </si>
  <si>
    <t>1651245428313059336</t>
  </si>
  <si>
    <t>1658208755874406425</t>
  </si>
  <si>
    <t>1706255522872086868</t>
  </si>
  <si>
    <t>1677356408151449609</t>
  </si>
  <si>
    <t>1626519855263358977</t>
  </si>
  <si>
    <t>1615302981842358273</t>
  </si>
  <si>
    <t>1628371150840512514</t>
  </si>
  <si>
    <t>1628370915804291073</t>
  </si>
  <si>
    <t>1628370484508123136</t>
  </si>
  <si>
    <t>1628370374588071939</t>
  </si>
  <si>
    <t>1628370205800898561</t>
  </si>
  <si>
    <t>1628370051580534784</t>
  </si>
  <si>
    <t>1641778013355245569</t>
  </si>
  <si>
    <t>1641777961266208768</t>
  </si>
  <si>
    <t>1630145823743918081</t>
  </si>
  <si>
    <t>1629916713415213058</t>
  </si>
  <si>
    <t>1650280595421888512</t>
  </si>
  <si>
    <t>1630870593489838081</t>
  </si>
  <si>
    <t>1630508160480952320</t>
  </si>
  <si>
    <t>1647920010067599360</t>
  </si>
  <si>
    <t>1647919871802368001</t>
  </si>
  <si>
    <t>1647919738918404096</t>
  </si>
  <si>
    <t>1654186272615723008</t>
  </si>
  <si>
    <t>1626572252719325188</t>
  </si>
  <si>
    <t>1626896641591545861</t>
  </si>
  <si>
    <t>1613914088433647617</t>
  </si>
  <si>
    <t>1666093828259057667</t>
  </si>
  <si>
    <t>1634496229353635841</t>
  </si>
  <si>
    <t>1610958500741488640</t>
  </si>
  <si>
    <t>1610600374439747584</t>
  </si>
  <si>
    <t>1609867682089963521</t>
  </si>
  <si>
    <t>1623101680026877953</t>
  </si>
  <si>
    <t>1614962649048965126</t>
  </si>
  <si>
    <t>1612154235562360832</t>
  </si>
  <si>
    <t>1681350415454027804</t>
  </si>
  <si>
    <t>1679488084210245632</t>
  </si>
  <si>
    <t>1634795360546684928</t>
  </si>
  <si>
    <t>1638145585772371970</t>
  </si>
  <si>
    <t>1667916061658828800</t>
  </si>
  <si>
    <t>1667577513034358784</t>
  </si>
  <si>
    <t>1667560448911130626</t>
  </si>
  <si>
    <t>1663377623655886849</t>
  </si>
  <si>
    <t>1664289304737202183</t>
  </si>
  <si>
    <t>1672663411161800705</t>
  </si>
  <si>
    <t>1672661732559339521</t>
  </si>
  <si>
    <t>1665068361145806849</t>
  </si>
  <si>
    <t>1664618686592720896</t>
  </si>
  <si>
    <t>1676597700853129228</t>
  </si>
  <si>
    <t>1676596179855896580</t>
  </si>
  <si>
    <t>1680304716926861314</t>
  </si>
  <si>
    <t>1680303319200284674</t>
  </si>
  <si>
    <t>1680300077162659840</t>
  </si>
  <si>
    <t>1678063856218767363</t>
  </si>
  <si>
    <t>1677761087423361024</t>
  </si>
  <si>
    <t>1677728561895964673</t>
  </si>
  <si>
    <t>1677082133687332864</t>
  </si>
  <si>
    <t>1665847513893437446</t>
  </si>
  <si>
    <t>1665847314496344065</t>
  </si>
  <si>
    <t>1683553394579865601</t>
  </si>
  <si>
    <t>1683553211146203138</t>
  </si>
  <si>
    <t>1679225106608914433</t>
  </si>
  <si>
    <t>1678790304118235136</t>
  </si>
  <si>
    <t>1678578315483836417</t>
  </si>
  <si>
    <t>1675530464864378881</t>
  </si>
  <si>
    <t>1675333167400603649</t>
  </si>
  <si>
    <t>1675331426282004480</t>
  </si>
  <si>
    <t>1675329368497836032</t>
  </si>
  <si>
    <t>1674987306720043010</t>
  </si>
  <si>
    <t>1674986195015589891</t>
  </si>
  <si>
    <t>1674986136026923009</t>
  </si>
  <si>
    <t>1674983037216407552</t>
  </si>
  <si>
    <t>1695804450961555847</t>
  </si>
  <si>
    <t>1665847119784161283</t>
  </si>
  <si>
    <t>1665847022383947780</t>
  </si>
  <si>
    <t>1665846860412514306</t>
  </si>
  <si>
    <t>1665734146914758656</t>
  </si>
  <si>
    <t>1694225501076767012</t>
  </si>
  <si>
    <t>1686867183488397312</t>
  </si>
  <si>
    <t>1701658079069143215</t>
  </si>
  <si>
    <t>1697670308742721991</t>
  </si>
  <si>
    <t>1702381743884357645</t>
  </si>
  <si>
    <t>1702743743487463737</t>
  </si>
  <si>
    <t>1703831043352993966</t>
  </si>
  <si>
    <t>1700207082841026841</t>
  </si>
  <si>
    <t>1705280588179988801</t>
  </si>
  <si>
    <t>1704918338000806154</t>
  </si>
  <si>
    <t>1617537777184247809</t>
  </si>
  <si>
    <t>1638329642879791109</t>
  </si>
  <si>
    <t>1634962460276051970</t>
  </si>
  <si>
    <t>1637635069811777541</t>
  </si>
  <si>
    <t>1623101774654541824</t>
  </si>
  <si>
    <t>1613645823224553483</t>
  </si>
  <si>
    <t>1706252510149620122</t>
  </si>
  <si>
    <t>1631782041665544193</t>
  </si>
  <si>
    <t>1653881274010857476</t>
  </si>
  <si>
    <t>1653768836368269314</t>
  </si>
  <si>
    <t>1653511196262187008</t>
  </si>
  <si>
    <t>1638612958203748372</t>
  </si>
  <si>
    <t>1638543094256742400</t>
  </si>
  <si>
    <t>1627714757737185295</t>
  </si>
  <si>
    <t>1626634966615326735</t>
  </si>
  <si>
    <t>1626580063184474112</t>
  </si>
  <si>
    <t>1613229479610187777</t>
  </si>
  <si>
    <t>1613228902431735808</t>
  </si>
  <si>
    <t>1613228732944158723</t>
  </si>
  <si>
    <t>1613184213167095810</t>
  </si>
  <si>
    <t>1613176000803921921</t>
  </si>
  <si>
    <t>1613169551977455618</t>
  </si>
  <si>
    <t>1612914152439160856</t>
  </si>
  <si>
    <t>1612823770309304320</t>
  </si>
  <si>
    <t>1612811415378616320</t>
  </si>
  <si>
    <t>1612466751836459010</t>
  </si>
  <si>
    <t>1650861787888377859</t>
  </si>
  <si>
    <t>1650518185727217667</t>
  </si>
  <si>
    <t>1649433788680753158</t>
  </si>
  <si>
    <t>1634185646011998209</t>
  </si>
  <si>
    <t>1633948834173706240</t>
  </si>
  <si>
    <t>1631666220427620353</t>
  </si>
  <si>
    <t>1631295956829257743</t>
  </si>
  <si>
    <t>1660684769212940288</t>
  </si>
  <si>
    <t>1659631787880923136</t>
  </si>
  <si>
    <t>1659551007364329476</t>
  </si>
  <si>
    <t>1659256339531538442</t>
  </si>
  <si>
    <t>1641471238257225730</t>
  </si>
  <si>
    <t>1641459728759898115</t>
  </si>
  <si>
    <t>1640425438240489485</t>
  </si>
  <si>
    <t>1620437643720011777</t>
  </si>
  <si>
    <t>1619339944400658432</t>
  </si>
  <si>
    <t>1619038363830591488</t>
  </si>
  <si>
    <t>1618968308417728518</t>
  </si>
  <si>
    <t>1618244993872953344</t>
  </si>
  <si>
    <t>1617901932257087493</t>
  </si>
  <si>
    <t>1658834511746957313</t>
  </si>
  <si>
    <t>1658464147372232705</t>
  </si>
  <si>
    <t>1658109716919189505</t>
  </si>
  <si>
    <t>1646200902569672706</t>
  </si>
  <si>
    <t>1630311607413743620</t>
  </si>
  <si>
    <t>1630217154900443137</t>
  </si>
  <si>
    <t>1669740750316158976</t>
  </si>
  <si>
    <t>1661749351994253313</t>
  </si>
  <si>
    <t>1661397347115343873</t>
  </si>
  <si>
    <t>1661118063599558682</t>
  </si>
  <si>
    <t>1645437938937786373</t>
  </si>
  <si>
    <t>1644702215943204865</t>
  </si>
  <si>
    <t>1644390124640141315</t>
  </si>
  <si>
    <t>1644075735445905410</t>
  </si>
  <si>
    <t>1643982714746601473</t>
  </si>
  <si>
    <t>1643270732464500740</t>
  </si>
  <si>
    <t>1628393681664221184</t>
  </si>
  <si>
    <t>1617578988494258185</t>
  </si>
  <si>
    <t>1617515955768201216</t>
  </si>
  <si>
    <t>1616841429782773762</t>
  </si>
  <si>
    <t>1665747587092164610</t>
  </si>
  <si>
    <t>1649107383514169354</t>
  </si>
  <si>
    <t>1648684872943255552</t>
  </si>
  <si>
    <t>1648329086127808515</t>
  </si>
  <si>
    <t>1648038116127567904</t>
  </si>
  <si>
    <t>1635330298769707008</t>
  </si>
  <si>
    <t>1635287631264350209</t>
  </si>
  <si>
    <t>1634592909117775876</t>
  </si>
  <si>
    <t>1634589211750793216</t>
  </si>
  <si>
    <t>1634574125007085569</t>
  </si>
  <si>
    <t>1623690231974137856</t>
  </si>
  <si>
    <t>1623336770954833920</t>
  </si>
  <si>
    <t>1671527472746078209</t>
  </si>
  <si>
    <t>1663917485211500548</t>
  </si>
  <si>
    <t>1653404579097182214</t>
  </si>
  <si>
    <t>1638189986401906690</t>
  </si>
  <si>
    <t>1625208873731690519</t>
  </si>
  <si>
    <t>1625163781595623424</t>
  </si>
  <si>
    <t>1624483314672312323</t>
  </si>
  <si>
    <t>1624128850085965827</t>
  </si>
  <si>
    <t>1624038047883960322</t>
  </si>
  <si>
    <t>1611008950312353793</t>
  </si>
  <si>
    <t>1610698727211110400</t>
  </si>
  <si>
    <t>1610630766496473088</t>
  </si>
  <si>
    <t>1610372366147915777</t>
  </si>
  <si>
    <t>1610317148324233219</t>
  </si>
  <si>
    <t>1609980814527275009</t>
  </si>
  <si>
    <t>1609930281158418435</t>
  </si>
  <si>
    <t>1671887870620221440</t>
  </si>
  <si>
    <t>1663190982072971265</t>
  </si>
  <si>
    <t>1651299397672501268</t>
  </si>
  <si>
    <t>1647974480587702279</t>
  </si>
  <si>
    <t>1646926654604730396</t>
  </si>
  <si>
    <t>1636724218195845121</t>
  </si>
  <si>
    <t>1636719989976707077</t>
  </si>
  <si>
    <t>1636397156016836608</t>
  </si>
  <si>
    <t>1636390134345269248</t>
  </si>
  <si>
    <t>1626233292428312589</t>
  </si>
  <si>
    <t>1613902001951080449</t>
  </si>
  <si>
    <t>1613545916870365185</t>
  </si>
  <si>
    <t>1669253524578770944</t>
  </si>
  <si>
    <t>1699901168862826509</t>
  </si>
  <si>
    <t>1700625984003715322</t>
  </si>
  <si>
    <t>1699518389645885751</t>
  </si>
  <si>
    <t>1704612200273600514</t>
  </si>
  <si>
    <t>1702055109218247117</t>
  </si>
  <si>
    <t>1700243196280746333</t>
  </si>
  <si>
    <t>1704249866350715164</t>
  </si>
  <si>
    <t>1703504659803939306</t>
  </si>
  <si>
    <t>1702800262925029865</t>
  </si>
  <si>
    <t>1701350747969863746</t>
  </si>
  <si>
    <t>1670155935426269184</t>
  </si>
  <si>
    <t>1671144739322621952</t>
  </si>
  <si>
    <t>1674096799353819136</t>
  </si>
  <si>
    <t>1639271034384785408</t>
  </si>
  <si>
    <t>1639232470678753281</t>
  </si>
  <si>
    <t>1614675939094298629</t>
  </si>
  <si>
    <t>1699107741006991410</t>
  </si>
  <si>
    <t>1698775557511553277</t>
  </si>
  <si>
    <t>1703838923011567975</t>
  </si>
  <si>
    <t>1699173191657132401</t>
  </si>
  <si>
    <t>1706375637580030411</t>
  </si>
  <si>
    <t>1622425259575021569</t>
  </si>
  <si>
    <t>1704096332372201664</t>
  </si>
  <si>
    <t>1648072736583950338</t>
  </si>
  <si>
    <t>1611313202327093248</t>
  </si>
  <si>
    <t>1646964512199790599</t>
  </si>
  <si>
    <t>1621093358470057985</t>
  </si>
  <si>
    <t>1639230548592807939</t>
  </si>
  <si>
    <t>1613526091427192833</t>
  </si>
  <si>
    <t>1634241442431287296</t>
  </si>
  <si>
    <t>1631641436524257282</t>
  </si>
  <si>
    <t>1662398541631815680</t>
  </si>
  <si>
    <t>1616744099603972097</t>
  </si>
  <si>
    <t>1675834417988751361</t>
  </si>
  <si>
    <t>1647993000545460225</t>
  </si>
  <si>
    <t>1621254942823424006</t>
  </si>
  <si>
    <t>1627946301181534208</t>
  </si>
  <si>
    <t>1612363616157581312</t>
  </si>
  <si>
    <t>1643359616951099393</t>
  </si>
  <si>
    <t>1636853746306101249</t>
  </si>
  <si>
    <t>1652421303687688192</t>
  </si>
  <si>
    <t>1674380039608053760</t>
  </si>
  <si>
    <t>1699167350640062709</t>
  </si>
  <si>
    <t>1683738941751541760</t>
  </si>
  <si>
    <t>1658928205279948800</t>
  </si>
  <si>
    <t>1705482216178864465</t>
  </si>
  <si>
    <t>1689747278666317824</t>
  </si>
  <si>
    <t>1668156300239183872</t>
  </si>
  <si>
    <t>1620495024386445312</t>
  </si>
  <si>
    <t>1612454512156938244</t>
  </si>
  <si>
    <t>1701252817095184542</t>
  </si>
  <si>
    <t>1615861611796865026</t>
  </si>
  <si>
    <t>1692885374907879660</t>
  </si>
  <si>
    <t>1620098990355189762</t>
  </si>
  <si>
    <t>1627768565238583297</t>
  </si>
  <si>
    <t>1627656330923180033</t>
  </si>
  <si>
    <t>1627406228224720897</t>
  </si>
  <si>
    <t>1627293951051849728</t>
  </si>
  <si>
    <t>1627043917823868928</t>
  </si>
  <si>
    <t>1626931539849125897</t>
  </si>
  <si>
    <t>1635103518578327554</t>
  </si>
  <si>
    <t>1625993359801065472</t>
  </si>
  <si>
    <t>1646566418484166666</t>
  </si>
  <si>
    <t>1658891379966189579</t>
  </si>
  <si>
    <t>1672333704239407104</t>
  </si>
  <si>
    <t>1687453330342109184</t>
  </si>
  <si>
    <t>1690840804699361280</t>
  </si>
  <si>
    <t>1665039484717604867</t>
  </si>
  <si>
    <t>1638548442564775936</t>
  </si>
  <si>
    <t>1647897236620058627</t>
  </si>
  <si>
    <t>1674529437864321028</t>
  </si>
  <si>
    <t>1646486435833290752</t>
  </si>
  <si>
    <t>1613340184984027136</t>
  </si>
  <si>
    <t>1701550974307844449</t>
  </si>
  <si>
    <t>1705302990159020093</t>
  </si>
  <si>
    <t>1705314801235227008</t>
  </si>
  <si>
    <t>1648398801999392769</t>
  </si>
  <si>
    <t>1651554454510923783</t>
  </si>
  <si>
    <t>1636001554808336385</t>
  </si>
  <si>
    <t>1678063902528077825</t>
  </si>
  <si>
    <t>1620465341406269440</t>
  </si>
  <si>
    <t>1620465064670265345</t>
  </si>
  <si>
    <t>1694420006379942300</t>
  </si>
  <si>
    <t>1698009341939302834</t>
  </si>
  <si>
    <t>1698009233894052154</t>
  </si>
  <si>
    <t>1693808218785382784</t>
  </si>
  <si>
    <t>1618616290033430528</t>
  </si>
  <si>
    <t>1618616091999363075</t>
  </si>
  <si>
    <t>1618609989018607616</t>
  </si>
  <si>
    <t>1702393272763662547</t>
  </si>
  <si>
    <t>1701272512166851041</t>
  </si>
  <si>
    <t>1692632799986278531</t>
  </si>
  <si>
    <t>1691781864988557668</t>
  </si>
  <si>
    <t>1662524942246719488</t>
  </si>
  <si>
    <t>1662505265982238727</t>
  </si>
  <si>
    <t>1706800240697770072</t>
  </si>
  <si>
    <t>1696294667376013656</t>
  </si>
  <si>
    <t>1687464330260824065</t>
  </si>
  <si>
    <t>1706800224952299591</t>
  </si>
  <si>
    <t>1702793990259519529</t>
  </si>
  <si>
    <t>1702793598675173718</t>
  </si>
  <si>
    <t>1693988386254844088</t>
  </si>
  <si>
    <t>1670865112268169216</t>
  </si>
  <si>
    <t>1637895714045829122</t>
  </si>
  <si>
    <t>1613544448025133057</t>
  </si>
  <si>
    <t>1680209861601001472</t>
  </si>
  <si>
    <t>1622990217472012289</t>
  </si>
  <si>
    <t>1621034155147509761</t>
  </si>
  <si>
    <t>1626002629552705537</t>
  </si>
  <si>
    <t>1696224651997749309</t>
  </si>
  <si>
    <t>1699127328134078901</t>
  </si>
  <si>
    <t>1694691210537947358</t>
  </si>
  <si>
    <t>1617630006670405632</t>
  </si>
  <si>
    <t>1663537703193923587</t>
  </si>
  <si>
    <t>1684909045176479744</t>
  </si>
  <si>
    <t>1680009297172869121</t>
  </si>
  <si>
    <t>1613190927434059776</t>
  </si>
  <si>
    <t>1665743026705293313</t>
  </si>
  <si>
    <t>1686050569931177995</t>
  </si>
  <si>
    <t>1662127149711499265</t>
  </si>
  <si>
    <t>1614704592884727809</t>
  </si>
  <si>
    <t>1635302189760651265</t>
  </si>
  <si>
    <t>1649414936848736261</t>
  </si>
  <si>
    <t>1654745058158039040</t>
  </si>
  <si>
    <t>1639001571668402177</t>
  </si>
  <si>
    <t>1676465680760315904</t>
  </si>
  <si>
    <t>1676314434271166464</t>
  </si>
  <si>
    <t>1616574291432116225</t>
  </si>
  <si>
    <t>1677039713298051072</t>
  </si>
  <si>
    <t>1629941875359481863</t>
  </si>
  <si>
    <t>1703144725879124163</t>
  </si>
  <si>
    <t>1675921595855147008</t>
  </si>
  <si>
    <t>1675407961219276800</t>
  </si>
  <si>
    <t>1675105649955336193</t>
  </si>
  <si>
    <t>1662108546404581377</t>
  </si>
  <si>
    <t>1639230985643466752</t>
  </si>
  <si>
    <t>1669499555971227648</t>
  </si>
  <si>
    <t>1678062273514938372</t>
  </si>
  <si>
    <t>1636127719258816515</t>
  </si>
  <si>
    <t>1680954246957506561</t>
  </si>
  <si>
    <t>1681074162343747584</t>
  </si>
  <si>
    <t>1681053879474036737</t>
  </si>
  <si>
    <t>1659960105838706689</t>
  </si>
  <si>
    <t>1659955494105014279</t>
  </si>
  <si>
    <t>1686476315161919489</t>
  </si>
  <si>
    <t>1686475928489123840</t>
  </si>
  <si>
    <t>1630502643540844547</t>
  </si>
  <si>
    <t>1622872760631394305</t>
  </si>
  <si>
    <t>1627946942117384195</t>
  </si>
  <si>
    <t>1647457357197197312</t>
  </si>
  <si>
    <t>1631733738739564561</t>
  </si>
  <si>
    <t>1706245158461730898</t>
  </si>
  <si>
    <t>1648058817362661377</t>
  </si>
  <si>
    <t>1646932013960527872</t>
  </si>
  <si>
    <t>1664267600568745984</t>
  </si>
  <si>
    <t>1679972767201103872</t>
  </si>
  <si>
    <t>1648701009311457284</t>
  </si>
  <si>
    <t>1662063666189967361</t>
  </si>
  <si>
    <t>1656501340342824960</t>
  </si>
  <si>
    <t>1656500049654738948</t>
  </si>
  <si>
    <t>1656021214572290070</t>
  </si>
  <si>
    <t>1656020611544621090</t>
  </si>
  <si>
    <t>1656020050153709568</t>
  </si>
  <si>
    <t>1656018965569708044</t>
  </si>
  <si>
    <t>1682442966512685063</t>
  </si>
  <si>
    <t>1682441209485094916</t>
  </si>
  <si>
    <t>1658940769879699459</t>
  </si>
  <si>
    <t>1699586671971295464</t>
  </si>
  <si>
    <t>1616088462150758402</t>
  </si>
  <si>
    <t>1679568566176169985</t>
  </si>
  <si>
    <t>1704120644848267774</t>
  </si>
  <si>
    <t>1704193410393862522</t>
  </si>
  <si>
    <t>1615802602037383174</t>
  </si>
  <si>
    <t>1637901176459894784</t>
  </si>
  <si>
    <t>1610672084824330243</t>
  </si>
  <si>
    <t>1675731093826453505</t>
  </si>
  <si>
    <t>1620157389197684736</t>
  </si>
  <si>
    <t>1663308093256769538</t>
  </si>
  <si>
    <t>1669860525327654912</t>
  </si>
  <si>
    <t>1635366323227353088</t>
  </si>
  <si>
    <t>1681725358519795716</t>
  </si>
  <si>
    <t>1644003004918517761</t>
  </si>
  <si>
    <t>1609999282194771970</t>
  </si>
  <si>
    <t>1668996106624090113</t>
  </si>
  <si>
    <t>1610645223498973185</t>
  </si>
  <si>
    <t>1687471702706429952</t>
  </si>
  <si>
    <t>1684571845310251008</t>
  </si>
  <si>
    <t>1671511378111365120</t>
  </si>
  <si>
    <t>1645502214922805267</t>
  </si>
  <si>
    <t>1700601782307598351</t>
  </si>
  <si>
    <t>1704398709327319184</t>
  </si>
  <si>
    <t>1613017479776714753</t>
  </si>
  <si>
    <t>1681619940732698626</t>
  </si>
  <si>
    <t>1651689754151247872</t>
  </si>
  <si>
    <t>1625603816874774529</t>
  </si>
  <si>
    <t>1625525420618645505</t>
  </si>
  <si>
    <t>1637867714701058079</t>
  </si>
  <si>
    <t>1615707398685048832</t>
  </si>
  <si>
    <t>1615707032228610048</t>
  </si>
  <si>
    <t>1706640246614491220</t>
  </si>
  <si>
    <t>1692635900675842486</t>
  </si>
  <si>
    <t>1653835351184515087</t>
  </si>
  <si>
    <t>1639406168060702721</t>
  </si>
  <si>
    <t>1647276894520311808</t>
  </si>
  <si>
    <t>1665912850991181829</t>
  </si>
  <si>
    <t>1663246948529209365</t>
  </si>
  <si>
    <t>1666268957890818048</t>
  </si>
  <si>
    <t>1664759216765128711</t>
  </si>
  <si>
    <t>1664743584661225472</t>
  </si>
  <si>
    <t>1676763420836655104</t>
  </si>
  <si>
    <t>1646486386969542656</t>
  </si>
  <si>
    <t>1618232708768964609</t>
  </si>
  <si>
    <t>1662852088647352323</t>
  </si>
  <si>
    <t>1696902383983272409</t>
  </si>
  <si>
    <t>1700190569949979098</t>
  </si>
  <si>
    <t>1655880623989350402</t>
  </si>
  <si>
    <t>1651761745252237312</t>
  </si>
  <si>
    <t>1637490445033799681</t>
  </si>
  <si>
    <t>1642451982936944640</t>
  </si>
  <si>
    <t>1642089601375322113</t>
  </si>
  <si>
    <t>1641727251606536193</t>
  </si>
  <si>
    <t>1641459863258554369</t>
  </si>
  <si>
    <t>1643711835361759233</t>
  </si>
  <si>
    <t>1609883195557691392</t>
  </si>
  <si>
    <t>1655517664096186369</t>
  </si>
  <si>
    <t>1675814156715409408</t>
  </si>
  <si>
    <t>1706618142447808690</t>
  </si>
  <si>
    <t>1706619746685243491</t>
  </si>
  <si>
    <t>1636087411091333120</t>
  </si>
  <si>
    <t>1620729868467175424</t>
  </si>
  <si>
    <t>1631453304629653508</t>
  </si>
  <si>
    <t>1656288693622124550</t>
  </si>
  <si>
    <t>1633261486830153733</t>
  </si>
  <si>
    <t>1706726980354232418</t>
  </si>
  <si>
    <t>1632842023052120064</t>
  </si>
  <si>
    <t>1676342878790901761</t>
  </si>
  <si>
    <t>1655435240762900481</t>
  </si>
  <si>
    <t>1620885587749408768</t>
  </si>
  <si>
    <t>1650528573118197761</t>
  </si>
  <si>
    <t>1689177152011337729</t>
  </si>
  <si>
    <t>1633160191876427776</t>
  </si>
  <si>
    <t>1638555764443824129</t>
  </si>
  <si>
    <t>1656856584650104832</t>
  </si>
  <si>
    <t>1655651823410110482</t>
  </si>
  <si>
    <t>1676769059696791552</t>
  </si>
  <si>
    <t>1662865448696684546</t>
  </si>
  <si>
    <t>1638148568664948736</t>
  </si>
  <si>
    <t>1630262744350949379</t>
  </si>
  <si>
    <t>1706044757217006049</t>
  </si>
  <si>
    <t>1706833447485153285</t>
  </si>
  <si>
    <t>1642557755490795520</t>
  </si>
  <si>
    <t>1642258183363215360</t>
  </si>
  <si>
    <t>1641846002121428995</t>
  </si>
  <si>
    <t>1641168099981312001</t>
  </si>
  <si>
    <t>1640806684753907730</t>
  </si>
  <si>
    <t>1640447479765147673</t>
  </si>
  <si>
    <t>1634264928381968409</t>
  </si>
  <si>
    <t>1672239868619923459</t>
  </si>
  <si>
    <t>1630674202968875022</t>
  </si>
  <si>
    <t>1672640970343473152</t>
  </si>
  <si>
    <t>1657131666979028992</t>
  </si>
  <si>
    <t>1665801371344334849</t>
  </si>
  <si>
    <t>1682425789025755137</t>
  </si>
  <si>
    <t>1667283231073349634</t>
  </si>
  <si>
    <t>1631301132554326016</t>
  </si>
  <si>
    <t>1703884444082315521</t>
  </si>
  <si>
    <t>1645740091204141061</t>
  </si>
  <si>
    <t>1611467756569874434</t>
  </si>
  <si>
    <t>1617628459722760195</t>
  </si>
  <si>
    <t>1666815472485146624</t>
  </si>
  <si>
    <t>1623018242980683776</t>
  </si>
  <si>
    <t>1645849711620833285</t>
  </si>
  <si>
    <t>1631655669819486209</t>
  </si>
  <si>
    <t>1650282649984937984</t>
  </si>
  <si>
    <t>1658479703563595776</t>
  </si>
  <si>
    <t>1657450895121043456</t>
  </si>
  <si>
    <t>1638914942370824194</t>
  </si>
  <si>
    <t>1685451975112978432</t>
  </si>
  <si>
    <t>1687077797917769728</t>
  </si>
  <si>
    <t>1660563680751124480</t>
  </si>
  <si>
    <t>1685983652524498945</t>
  </si>
  <si>
    <t>1686708435180728321</t>
  </si>
  <si>
    <t>1670783446124314626</t>
  </si>
  <si>
    <t>1670124826441265152</t>
  </si>
  <si>
    <t>1669678808880803840</t>
  </si>
  <si>
    <t>1671522380038930436</t>
  </si>
  <si>
    <t>1671886363724226562</t>
  </si>
  <si>
    <t>1673668955775303680</t>
  </si>
  <si>
    <t>1674387795740065793</t>
  </si>
  <si>
    <t>1694317158136697228</t>
  </si>
  <si>
    <t>1654094611839631360</t>
  </si>
  <si>
    <t>1701927730147709182</t>
  </si>
  <si>
    <t>1653050480296067072</t>
  </si>
  <si>
    <t>1618281172684922881</t>
  </si>
  <si>
    <t>1611001095177781253</t>
  </si>
  <si>
    <t>1625559377758326803</t>
  </si>
  <si>
    <t>1614638813397090306</t>
  </si>
  <si>
    <t>1631994217160376327</t>
  </si>
  <si>
    <t>1621935466227421187</t>
  </si>
  <si>
    <t>1628820901390176270</t>
  </si>
  <si>
    <t>1674484179352821778</t>
  </si>
  <si>
    <t>1613371955503153152</t>
  </si>
  <si>
    <t>1658229643109965826</t>
  </si>
  <si>
    <t>1702735484454162586</t>
  </si>
  <si>
    <t>1699799944646082677</t>
  </si>
  <si>
    <t>1680894294347980800</t>
  </si>
  <si>
    <t>1661822266693255168</t>
  </si>
  <si>
    <t>1691884165791154479</t>
  </si>
  <si>
    <t>1691110143222775809</t>
  </si>
  <si>
    <t>1618004769997729793</t>
  </si>
  <si>
    <t>1618002552381145090</t>
  </si>
  <si>
    <t>1634910725989867523</t>
  </si>
  <si>
    <t>1645547682398867456</t>
  </si>
  <si>
    <t>1664690972935028736</t>
  </si>
  <si>
    <t>1613287918759542785</t>
  </si>
  <si>
    <t>1645966306636709889</t>
  </si>
  <si>
    <t>1672792888722194433</t>
  </si>
  <si>
    <t>1682532858684899328</t>
  </si>
  <si>
    <t>1609928852138254336</t>
  </si>
  <si>
    <t>1612392940516540417</t>
  </si>
  <si>
    <t>1667948095554945024</t>
  </si>
  <si>
    <t>1663361647186960384</t>
  </si>
  <si>
    <t>1625510648896540674</t>
  </si>
  <si>
    <t>1683104380969443330</t>
  </si>
  <si>
    <t>1658066929012076545</t>
  </si>
  <si>
    <t>1640346617134960642</t>
  </si>
  <si>
    <t>1686066203087851520</t>
  </si>
  <si>
    <t>1701213356646879532</t>
  </si>
  <si>
    <t>1678793762934341632</t>
  </si>
  <si>
    <t>1674824320567197711</t>
  </si>
  <si>
    <t>1611728282054967299</t>
  </si>
  <si>
    <t>1612147325681516545</t>
  </si>
  <si>
    <t>1652462776080797699</t>
  </si>
  <si>
    <t>1674859780916011008</t>
  </si>
  <si>
    <t>1626340845300375552</t>
  </si>
  <si>
    <t>1696214864576836016</t>
  </si>
  <si>
    <t>1695841806175416661</t>
  </si>
  <si>
    <t>1614880570323963906</t>
  </si>
  <si>
    <t>1622664270465929216</t>
  </si>
  <si>
    <t>1623677216537075715</t>
  </si>
  <si>
    <t>1636326734265036800</t>
  </si>
  <si>
    <t>1684711071649505280</t>
  </si>
  <si>
    <t>1674419756248731657</t>
  </si>
  <si>
    <t>1674154292385554436</t>
  </si>
  <si>
    <t>1654676469208023041</t>
  </si>
  <si>
    <t>1621249755153137664</t>
  </si>
  <si>
    <t>1630122378410840069</t>
  </si>
  <si>
    <t>1630187748630970375</t>
  </si>
  <si>
    <t>1694691143697485971</t>
  </si>
  <si>
    <t>1677519101462282240</t>
  </si>
  <si>
    <t>1650739354900353024</t>
  </si>
  <si>
    <t>1617250880511774722</t>
  </si>
  <si>
    <t>1663851563549601793</t>
  </si>
  <si>
    <t>1639553387846045697</t>
  </si>
  <si>
    <t>1611347636908425218</t>
  </si>
  <si>
    <t>1611037051213996032</t>
  </si>
  <si>
    <t>1620422265631576066</t>
  </si>
  <si>
    <t>1619349645305561090</t>
  </si>
  <si>
    <t>1618953440813531137</t>
  </si>
  <si>
    <t>1684291629681725440</t>
  </si>
  <si>
    <t>1650671963226927105</t>
  </si>
  <si>
    <t>1648768829109989376</t>
  </si>
  <si>
    <t>1668218294275301376</t>
  </si>
  <si>
    <t>1623338868886872066</t>
  </si>
  <si>
    <t>1634307137709940736</t>
  </si>
  <si>
    <t>1650496580393287687</t>
  </si>
  <si>
    <t>1650496784056082437</t>
  </si>
  <si>
    <t>1674876618869813248</t>
  </si>
  <si>
    <t>1691183684479524864</t>
  </si>
  <si>
    <t>1656003489481252866</t>
  </si>
  <si>
    <t>1625261946202095621</t>
  </si>
  <si>
    <t>1625603813502590979</t>
  </si>
  <si>
    <t>1625525417531637762</t>
  </si>
  <si>
    <t>1663887262294081538</t>
  </si>
  <si>
    <t>1701264606776168508</t>
  </si>
  <si>
    <t>1664380875545493505</t>
  </si>
  <si>
    <t>1657426340327354369</t>
  </si>
  <si>
    <t>1681830603405029380</t>
  </si>
  <si>
    <t>1692776592555057608</t>
  </si>
  <si>
    <t>1628847106453544962</t>
  </si>
  <si>
    <t>1664042435498917888</t>
  </si>
  <si>
    <t>1649775412145278976</t>
  </si>
  <si>
    <t>1623033947604062211</t>
  </si>
  <si>
    <t>1649518550883749888</t>
  </si>
  <si>
    <t>1630614031089254415</t>
  </si>
  <si>
    <t>1630583836076646402</t>
  </si>
  <si>
    <t>1653550015258689540</t>
  </si>
  <si>
    <t>1651050358180048897</t>
  </si>
  <si>
    <t>1671291904087162880</t>
  </si>
  <si>
    <t>1663540813299609604</t>
  </si>
  <si>
    <t>1652100449867124736</t>
  </si>
  <si>
    <t>1681437634361720838</t>
  </si>
  <si>
    <t>1673043452848635905</t>
  </si>
  <si>
    <t>1645981623765090307</t>
  </si>
  <si>
    <t>1645819299779551232</t>
  </si>
  <si>
    <t>1683884958245433361</t>
  </si>
  <si>
    <t>1678845507483979782</t>
  </si>
  <si>
    <t>1691495035466919955</t>
  </si>
  <si>
    <t>1643282505900883970</t>
  </si>
  <si>
    <t>1668664722831421463</t>
  </si>
  <si>
    <t>1675912370915356687</t>
  </si>
  <si>
    <t>1635082011198246913</t>
  </si>
  <si>
    <t>1654112456812240896</t>
  </si>
  <si>
    <t>1613963928970592287</t>
  </si>
  <si>
    <t>1675133042761900032</t>
  </si>
  <si>
    <t>1671656655472279554</t>
  </si>
  <si>
    <t>1637242062352400384</t>
  </si>
  <si>
    <t>1635446446664163329</t>
  </si>
  <si>
    <t>1635693511306518529</t>
  </si>
  <si>
    <t>1694311180657983508</t>
  </si>
  <si>
    <t>1636314476608724992</t>
  </si>
  <si>
    <t>1673694867191394305</t>
  </si>
  <si>
    <t>1680952412532535297</t>
  </si>
  <si>
    <t>1690362966636457985</t>
  </si>
  <si>
    <t>1691418507731189760</t>
  </si>
  <si>
    <t>1615372747521118209</t>
  </si>
  <si>
    <t>1699527314487345495</t>
  </si>
  <si>
    <t>1609964303301361674</t>
  </si>
  <si>
    <t>1609958918813261826</t>
  </si>
  <si>
    <t>1612411242529918977</t>
  </si>
  <si>
    <t>1652312035844038658</t>
  </si>
  <si>
    <t>1640446338666987520</t>
  </si>
  <si>
    <t>1642461871331774464</t>
  </si>
  <si>
    <t>1651961154636247043</t>
  </si>
  <si>
    <t>1617603484852883477</t>
  </si>
  <si>
    <t>1625856253410054146</t>
  </si>
  <si>
    <t>1629169682514157568</t>
  </si>
  <si>
    <t>1706727594132226189</t>
  </si>
  <si>
    <t>1618562733401866241</t>
  </si>
  <si>
    <t>1683885761429483530</t>
  </si>
  <si>
    <t>1636643605237452801</t>
  </si>
  <si>
    <t>1643209870496210944</t>
  </si>
  <si>
    <t>1619383865717719042</t>
  </si>
  <si>
    <t>1618677715954974720</t>
  </si>
  <si>
    <t>1636110021003214848</t>
  </si>
  <si>
    <t>1640141586829910017</t>
  </si>
  <si>
    <t>1652492971131146242</t>
  </si>
  <si>
    <t>1653804427323531264</t>
  </si>
  <si>
    <t>1663221014455541761</t>
  </si>
  <si>
    <t>1679294795729059840</t>
  </si>
  <si>
    <t>1692261315161587803</t>
  </si>
  <si>
    <t>1691849176194187504</t>
  </si>
  <si>
    <t>1676719889912848384</t>
  </si>
  <si>
    <t>1691485580499070981</t>
  </si>
  <si>
    <t>1632818770057068545</t>
  </si>
  <si>
    <t>1684904504368443392</t>
  </si>
  <si>
    <t>1634221846395604994</t>
  </si>
  <si>
    <t>1672169473032241153</t>
  </si>
  <si>
    <t>1694450027203322318</t>
  </si>
  <si>
    <t>1667315851337367552</t>
  </si>
  <si>
    <t>1637621488932073500</t>
  </si>
  <si>
    <t>1650969520171806720</t>
  </si>
  <si>
    <t>1662220886634815489</t>
  </si>
  <si>
    <t>1666572462207782912</t>
  </si>
  <si>
    <t>1687622191708246016</t>
  </si>
  <si>
    <t>1672671785823752196</t>
  </si>
  <si>
    <t>1648739876047552526</t>
  </si>
  <si>
    <t>1694180240849805574</t>
  </si>
  <si>
    <t>1680181675764973571</t>
  </si>
  <si>
    <t>1693747963401470229</t>
  </si>
  <si>
    <t>1638657964801245186</t>
  </si>
  <si>
    <t>1639326355082067968</t>
  </si>
  <si>
    <t>1656712594609127427</t>
  </si>
  <si>
    <t>1668030541352820736</t>
  </si>
  <si>
    <t>1624089331420827648</t>
  </si>
  <si>
    <t>1632040852070563844</t>
  </si>
  <si>
    <t>1663448105914695680</t>
  </si>
  <si>
    <t>1687608135136227330</t>
  </si>
  <si>
    <t>1664225085484331009</t>
  </si>
  <si>
    <t>1623484165516587010</t>
  </si>
  <si>
    <t>1632782019016130560</t>
  </si>
  <si>
    <t>1624594237890129920</t>
  </si>
  <si>
    <t>1637867692659990580</t>
  </si>
  <si>
    <t>1671700812358189056</t>
  </si>
  <si>
    <t>1704875683451642058</t>
  </si>
  <si>
    <t>1653006735861243905</t>
  </si>
  <si>
    <t>1655535125516414979</t>
  </si>
  <si>
    <t>1633791166427676675</t>
  </si>
  <si>
    <t>1666517481496649759</t>
  </si>
  <si>
    <t>1685288691982319616</t>
  </si>
  <si>
    <t>1684733563961315328</t>
  </si>
  <si>
    <t>1685418767227015168</t>
  </si>
  <si>
    <t>1693733529371181175</t>
  </si>
  <si>
    <t>1659182226498527234</t>
  </si>
  <si>
    <t>1702405440603119746</t>
  </si>
  <si>
    <t>1705907466100261068</t>
  </si>
  <si>
    <t>1688795099608543232</t>
  </si>
  <si>
    <t>1667167227659812865</t>
  </si>
  <si>
    <t>1703886614349611037</t>
  </si>
  <si>
    <t>1683071706980655104</t>
  </si>
  <si>
    <t>1694537161058513145</t>
  </si>
  <si>
    <t>1705302029906653689</t>
  </si>
  <si>
    <t>1704632755366088748</t>
  </si>
  <si>
    <t>1707182522369491217</t>
  </si>
  <si>
    <t>1616116725631619079</t>
  </si>
  <si>
    <t>1699464519200956613</t>
  </si>
  <si>
    <t>1626349514310275074</t>
  </si>
  <si>
    <t>1659533177050877955</t>
  </si>
  <si>
    <t>1692524060855419337</t>
  </si>
  <si>
    <t>1675791884667572224</t>
  </si>
  <si>
    <t>1635645810045071368</t>
  </si>
  <si>
    <t>1629092934946627586</t>
  </si>
  <si>
    <t>1655960849398259712</t>
  </si>
  <si>
    <t>1678772223870664706</t>
  </si>
  <si>
    <t>1643284320390373377</t>
  </si>
  <si>
    <t>1700563223227891872</t>
  </si>
  <si>
    <t>1701712466990752251</t>
  </si>
  <si>
    <t>1705273253743214914</t>
  </si>
  <si>
    <t>1705274590681800843</t>
  </si>
  <si>
    <t>1662241433196146689</t>
  </si>
  <si>
    <t>1643048486575935491</t>
  </si>
  <si>
    <t>1653920122736717828</t>
  </si>
  <si>
    <t>1676025782408470528</t>
  </si>
  <si>
    <t>1687259806074294272</t>
  </si>
  <si>
    <t>1698493830188691606</t>
  </si>
  <si>
    <t>1665154146486587392</t>
  </si>
  <si>
    <t>1621216362428338177</t>
  </si>
  <si>
    <t>1634282127477952529</t>
  </si>
  <si>
    <t>1667087969759404032</t>
  </si>
  <si>
    <t>1620733183875760130</t>
  </si>
  <si>
    <t>1620481566593155073</t>
  </si>
  <si>
    <t>1620562451640074240</t>
  </si>
  <si>
    <t>1628439628909797377</t>
  </si>
  <si>
    <t>1625600836167471106</t>
  </si>
  <si>
    <t>1625457392652587009</t>
  </si>
  <si>
    <t>1622923892527431683</t>
  </si>
  <si>
    <t>1625146420943548418</t>
  </si>
  <si>
    <t>1624899741552189442</t>
  </si>
  <si>
    <t>1624136088431300618</t>
  </si>
  <si>
    <t>1627805122251087873</t>
  </si>
  <si>
    <t>1612579570133204993</t>
  </si>
  <si>
    <t>1612578322730418177</t>
  </si>
  <si>
    <t>1629081270826172417</t>
  </si>
  <si>
    <t>1651699588246429698</t>
  </si>
  <si>
    <t>1640417148001501219</t>
  </si>
  <si>
    <t>1682486883132268548</t>
  </si>
  <si>
    <t>1635758933909405696</t>
  </si>
  <si>
    <t>1635757875560693760</t>
  </si>
  <si>
    <t>1657468419023708160</t>
  </si>
  <si>
    <t>1660043769775898624</t>
  </si>
  <si>
    <t>1684694712505229315</t>
  </si>
  <si>
    <t>1694336413150409101</t>
  </si>
  <si>
    <t>1655695887882919941</t>
  </si>
  <si>
    <t>1702097792989032879</t>
  </si>
  <si>
    <t>1694833193961062548</t>
  </si>
  <si>
    <t>1615466458749849600</t>
  </si>
  <si>
    <t>1672309437539790854</t>
  </si>
  <si>
    <t>1706215157783732733</t>
  </si>
  <si>
    <t>1698840188389105749</t>
  </si>
  <si>
    <t>1651965996708814849</t>
  </si>
  <si>
    <t>1637867738759585826</t>
  </si>
  <si>
    <t>1632016419280789506</t>
  </si>
  <si>
    <t>1663560542001446913</t>
  </si>
  <si>
    <t>1682367111346126856</t>
  </si>
  <si>
    <t>1637469876787847169</t>
  </si>
  <si>
    <t>1628053702111113216</t>
  </si>
  <si>
    <t>1615823111437287430</t>
  </si>
  <si>
    <t>1615821848486285319</t>
  </si>
  <si>
    <t>1625607587797278728</t>
  </si>
  <si>
    <t>1625606327744491520</t>
  </si>
  <si>
    <t>1638649776337207296</t>
  </si>
  <si>
    <t>1638293677427638279</t>
  </si>
  <si>
    <t>1627783166122418176</t>
  </si>
  <si>
    <t>1612921494975266816</t>
  </si>
  <si>
    <t>1612830896024961029</t>
  </si>
  <si>
    <t>1642544187403902976</t>
  </si>
  <si>
    <t>1642186829720870912</t>
  </si>
  <si>
    <t>1642185570481852419</t>
  </si>
  <si>
    <t>1642184321879375873</t>
  </si>
  <si>
    <t>1641912516799283204</t>
  </si>
  <si>
    <t>1641556425087254531</t>
  </si>
  <si>
    <t>1618629102562312192</t>
  </si>
  <si>
    <t>1618627840144035842</t>
  </si>
  <si>
    <t>1649531472842194944</t>
  </si>
  <si>
    <t>1649530215645736962</t>
  </si>
  <si>
    <t>1649162798352461824</t>
  </si>
  <si>
    <t>1632491700726710272</t>
  </si>
  <si>
    <t>1646173097425289219</t>
  </si>
  <si>
    <t>1646171839649947653</t>
  </si>
  <si>
    <t>1645861051035013124</t>
  </si>
  <si>
    <t>1629598881741766656</t>
  </si>
  <si>
    <t>1629596361069850624</t>
  </si>
  <si>
    <t>1621262710611623936</t>
  </si>
  <si>
    <t>1621172109241159681</t>
  </si>
  <si>
    <t>1651698251878334465</t>
  </si>
  <si>
    <t>1638291166490943488</t>
  </si>
  <si>
    <t>1648833119980597248</t>
  </si>
  <si>
    <t>1635312796270489600</t>
  </si>
  <si>
    <t>1634304887579107328</t>
  </si>
  <si>
    <t>1671185415800225792</t>
  </si>
  <si>
    <t>1674106433355251718</t>
  </si>
  <si>
    <t>1674457984506769411</t>
  </si>
  <si>
    <t>1673732266718031872</t>
  </si>
  <si>
    <t>1673363573064515584</t>
  </si>
  <si>
    <t>1658512007329349637</t>
  </si>
  <si>
    <t>1658139898208034816</t>
  </si>
  <si>
    <t>1646776188516302849</t>
  </si>
  <si>
    <t>1654060520318681089</t>
  </si>
  <si>
    <t>1655849212490182658</t>
  </si>
  <si>
    <t>1662186989909688320</t>
  </si>
  <si>
    <t>1668681663218327568</t>
  </si>
  <si>
    <t>1678465887454502912</t>
  </si>
  <si>
    <t>1613277566009511936</t>
  </si>
  <si>
    <t>1673450775194873856</t>
  </si>
  <si>
    <t>1618443184295784449</t>
  </si>
  <si>
    <t>1669358903484882944</t>
  </si>
  <si>
    <t>1613882750754512897</t>
  </si>
  <si>
    <t>1687065777676120064</t>
  </si>
  <si>
    <t>1701508918038478848</t>
  </si>
  <si>
    <t>1673344944075948032</t>
  </si>
  <si>
    <t>1631466240660086788</t>
  </si>
  <si>
    <t>1661868597256376321</t>
  </si>
  <si>
    <t>1618312336250470400</t>
  </si>
  <si>
    <t>1610885655197880321</t>
  </si>
  <si>
    <t>1625560137736806400</t>
  </si>
  <si>
    <t>1614688417333346304</t>
  </si>
  <si>
    <t>1631904114333437952</t>
  </si>
  <si>
    <t>1621757245800284160</t>
  </si>
  <si>
    <t>1628821664795439104</t>
  </si>
  <si>
    <t>1645804165975916545</t>
  </si>
  <si>
    <t>1645792540191522818</t>
  </si>
  <si>
    <t>1648321264287612928</t>
  </si>
  <si>
    <t>1668321352195899412</t>
  </si>
  <si>
    <t>1671531056040747009</t>
  </si>
  <si>
    <t>1640802865106284545</t>
  </si>
  <si>
    <t>1645400817120182273</t>
  </si>
  <si>
    <t>1643632042796564483</t>
  </si>
  <si>
    <t>1617613280725372938</t>
  </si>
  <si>
    <t>1617590551183753227</t>
  </si>
  <si>
    <t>1659162496735780865</t>
  </si>
  <si>
    <t>1620391567449116674</t>
  </si>
  <si>
    <t>1620034111543853056</t>
  </si>
  <si>
    <t>1658175014636511238</t>
  </si>
  <si>
    <t>1663501051851419651</t>
  </si>
  <si>
    <t>1614955770075832320</t>
  </si>
  <si>
    <t>1694687580065808662</t>
  </si>
  <si>
    <t>1706292636615594076</t>
  </si>
  <si>
    <t>1650842812118716417</t>
  </si>
  <si>
    <t>1620165909838180352</t>
  </si>
  <si>
    <t>1633787721238945795</t>
  </si>
  <si>
    <t>1633052772592484352</t>
  </si>
  <si>
    <t>1631643126040330240</t>
  </si>
  <si>
    <t>1630210423877148674</t>
  </si>
  <si>
    <t>1629431516089466880</t>
  </si>
  <si>
    <t>1620786396758953985</t>
  </si>
  <si>
    <t>1636357368333123584</t>
  </si>
  <si>
    <t>1615293226134507523</t>
  </si>
  <si>
    <t>1639210836387414018</t>
  </si>
  <si>
    <t>1645437764005945346</t>
  </si>
  <si>
    <t>1629070531814207489</t>
  </si>
  <si>
    <t>1628436590388183043</t>
  </si>
  <si>
    <t>1616014515115810816</t>
  </si>
  <si>
    <t>1662880940425707523</t>
  </si>
  <si>
    <t>1636080746937892864</t>
  </si>
  <si>
    <t>1704490654405923006</t>
  </si>
  <si>
    <t>1617649939147886593</t>
  </si>
  <si>
    <t>1629246385047445505</t>
  </si>
  <si>
    <t>1653873626989436929</t>
  </si>
  <si>
    <t>1668006753630298112</t>
  </si>
  <si>
    <t>1693011518059663669</t>
  </si>
  <si>
    <t>1679132372296511492</t>
  </si>
  <si>
    <t>1642896297505050626</t>
  </si>
  <si>
    <t>1704199024394268826</t>
  </si>
  <si>
    <t>1633486395305066498</t>
  </si>
  <si>
    <t>1649103226074021889</t>
  </si>
  <si>
    <t>1623412851049381889</t>
  </si>
  <si>
    <t>1642038887500460032</t>
  </si>
  <si>
    <t>1619134985260392451</t>
  </si>
  <si>
    <t>1686816199760367616</t>
  </si>
  <si>
    <t>1650307522274705408</t>
  </si>
  <si>
    <t>1653089233756733463</t>
  </si>
  <si>
    <t>1610569350343188481</t>
  </si>
  <si>
    <t>1609531258152931333</t>
  </si>
  <si>
    <t>1677955044065378304</t>
  </si>
  <si>
    <t>1656721267448324097</t>
  </si>
  <si>
    <t>1690494263807692802</t>
  </si>
  <si>
    <t>1655873997052018688</t>
  </si>
  <si>
    <t>1693380883917472245</t>
  </si>
  <si>
    <t>1611437783121526787</t>
  </si>
  <si>
    <t>1664334687840378881</t>
  </si>
  <si>
    <t>1626704522637606912</t>
  </si>
  <si>
    <t>1627737128175079432</t>
  </si>
  <si>
    <t>1639341207040974866</t>
  </si>
  <si>
    <t>1648661547550425090</t>
  </si>
  <si>
    <t>1706726542846591277</t>
  </si>
  <si>
    <t>1685967016128122880</t>
  </si>
  <si>
    <t>1618417130474463235</t>
  </si>
  <si>
    <t>1671666990950260736</t>
  </si>
  <si>
    <t>1668512525451935745</t>
  </si>
  <si>
    <t>1620809011603066883</t>
  </si>
  <si>
    <t>1656008889312108549</t>
  </si>
  <si>
    <t>1632090572918870018</t>
  </si>
  <si>
    <t>1652349640870711299</t>
  </si>
  <si>
    <t>1634267394305605632</t>
  </si>
  <si>
    <t>1670772355461701634</t>
  </si>
  <si>
    <t>1683620685258670080</t>
  </si>
  <si>
    <t>1668681714816696322</t>
  </si>
  <si>
    <t>1678465920375635974</t>
  </si>
  <si>
    <t>1678844067814277120</t>
  </si>
  <si>
    <t>1611071414848868352</t>
  </si>
  <si>
    <t>1706656616849023032</t>
  </si>
  <si>
    <t>1702312995580190799</t>
  </si>
  <si>
    <t>1668605891120177155</t>
  </si>
  <si>
    <t>1706658320189153649</t>
  </si>
  <si>
    <t>1706024430571323866</t>
  </si>
  <si>
    <t>1663177622757740550</t>
  </si>
  <si>
    <t>1661003295341543424</t>
  </si>
  <si>
    <t>1683471342929346561</t>
  </si>
  <si>
    <t>1621531457494880257</t>
  </si>
  <si>
    <t>1692166890314232024</t>
  </si>
  <si>
    <t>1691079727237505024</t>
  </si>
  <si>
    <t>1693978074399023220</t>
  </si>
  <si>
    <t>1698689116848771152</t>
  </si>
  <si>
    <t>1696152401760411821</t>
  </si>
  <si>
    <t>1699051504798138849</t>
  </si>
  <si>
    <t>1701225832096637297</t>
  </si>
  <si>
    <t>1701588219782185464</t>
  </si>
  <si>
    <t>1701950607597166980</t>
  </si>
  <si>
    <t>1702312995425067015</t>
  </si>
  <si>
    <t>1706024657952834045</t>
  </si>
  <si>
    <t>1706024526243410412</t>
  </si>
  <si>
    <t>1706024491472535919</t>
  </si>
  <si>
    <t>1706024446153134294</t>
  </si>
  <si>
    <t>1706024413282328818</t>
  </si>
  <si>
    <t>1618999967380652032</t>
  </si>
  <si>
    <t>1626630123586740226</t>
  </si>
  <si>
    <t>1641817634126561280</t>
  </si>
  <si>
    <t>1676716004003463169</t>
  </si>
  <si>
    <t>1662154653403054080</t>
  </si>
  <si>
    <t>1611432057732796421</t>
  </si>
  <si>
    <t>1624991754159095809</t>
  </si>
  <si>
    <t>1702419927926542553</t>
  </si>
  <si>
    <t>1643603479162699777</t>
  </si>
  <si>
    <t>1625289349884530691</t>
  </si>
  <si>
    <t>1648045835756752905</t>
  </si>
  <si>
    <t>1635451718778363906</t>
  </si>
  <si>
    <t>1646632457876254721</t>
  </si>
  <si>
    <t>1629211778692292609</t>
  </si>
  <si>
    <t>1659661744002719746</t>
  </si>
  <si>
    <t>1659583548356014081</t>
  </si>
  <si>
    <t>1671586989043326986</t>
  </si>
  <si>
    <t>1657065746042695680</t>
  </si>
  <si>
    <t>1636801012999520272</t>
  </si>
  <si>
    <t>1704097491904237905</t>
  </si>
  <si>
    <t>1650532628506787843</t>
  </si>
  <si>
    <t>1687219781512941568</t>
  </si>
  <si>
    <t>1615177447783206914</t>
  </si>
  <si>
    <t>1679937564990423054</t>
  </si>
  <si>
    <t>1701575629827715391</t>
  </si>
  <si>
    <t>1641939761311936515</t>
  </si>
  <si>
    <t>1641939276513386500</t>
  </si>
  <si>
    <t>1641938941593911296</t>
  </si>
  <si>
    <t>1702378496516038903</t>
  </si>
  <si>
    <t>1615019849960259587</t>
  </si>
  <si>
    <t>1631327302947569665</t>
  </si>
  <si>
    <t>1625166711191134210</t>
  </si>
  <si>
    <t>1610225765190098945</t>
  </si>
  <si>
    <t>1641740930330894336</t>
  </si>
  <si>
    <t>1617835904726405120</t>
  </si>
  <si>
    <t>1661028004246478848</t>
  </si>
  <si>
    <t>1665652246418272256</t>
  </si>
  <si>
    <t>1668638104163319808</t>
  </si>
  <si>
    <t>1672261982236336130</t>
  </si>
  <si>
    <t>1653780249631506436</t>
  </si>
  <si>
    <t>1674746227437518848</t>
  </si>
  <si>
    <t>1690847483386011649</t>
  </si>
  <si>
    <t>1661801858044936192</t>
  </si>
  <si>
    <t>1664400505508974592</t>
  </si>
  <si>
    <t>1663278447064498177</t>
  </si>
  <si>
    <t>1679622691500720128</t>
  </si>
  <si>
    <t>1666946157946232833</t>
  </si>
  <si>
    <t>1658535485982093312</t>
  </si>
  <si>
    <t>1657110126690553870</t>
  </si>
  <si>
    <t>1690127194754797570</t>
  </si>
  <si>
    <t>1663983562326982678</t>
  </si>
  <si>
    <t>1651996812524281856</t>
  </si>
  <si>
    <t>1610253707333062657</t>
  </si>
  <si>
    <t>1699458279791845556</t>
  </si>
  <si>
    <t>1687153494145318922</t>
  </si>
  <si>
    <t>1702323487468343578</t>
  </si>
  <si>
    <t>1699101013762793683</t>
  </si>
  <si>
    <t>1670803450144124934</t>
  </si>
  <si>
    <t>1670397932003110912</t>
  </si>
  <si>
    <t>1706710336903037315</t>
  </si>
  <si>
    <t>1704552034303705412</t>
  </si>
  <si>
    <t>1689290385955098625</t>
  </si>
  <si>
    <t>1650974603315912708</t>
  </si>
  <si>
    <t>1686466834919481344</t>
  </si>
  <si>
    <t>1694347279258222830</t>
  </si>
  <si>
    <t>1691631109509898309</t>
  </si>
  <si>
    <t>1676932472783740930</t>
  </si>
  <si>
    <t>1632425470305157120</t>
  </si>
  <si>
    <t>1616483476642856966</t>
  </si>
  <si>
    <t>1618788752952016896</t>
  </si>
  <si>
    <t>1674153337850150915</t>
  </si>
  <si>
    <t>1627721711591227419</t>
  </si>
  <si>
    <t>1624037704508768256</t>
  </si>
  <si>
    <t>1633265886399283205</t>
  </si>
  <si>
    <t>1694753655390417328</t>
  </si>
  <si>
    <t>1616483219393609742</t>
  </si>
  <si>
    <t>1702721893172740388</t>
  </si>
  <si>
    <t>1661492633900834819</t>
  </si>
  <si>
    <t>1663290624324370432</t>
  </si>
  <si>
    <t>1616837959608680449</t>
  </si>
  <si>
    <t>1609998380809293825</t>
  </si>
  <si>
    <t>1642994112746987521</t>
  </si>
  <si>
    <t>1656033845626503169</t>
  </si>
  <si>
    <t>1649140860729057281</t>
  </si>
  <si>
    <t>1641201092363993088</t>
  </si>
  <si>
    <t>1645186990420180993</t>
  </si>
  <si>
    <t>1645187151045316612</t>
  </si>
  <si>
    <t>1644427127406854145</t>
  </si>
  <si>
    <t>1642984383991668738</t>
  </si>
  <si>
    <t>1650609418604560388</t>
  </si>
  <si>
    <t>1650609297934434307</t>
  </si>
  <si>
    <t>1649931156995944450</t>
  </si>
  <si>
    <t>1652692560068984834</t>
  </si>
  <si>
    <t>1652083072248995846</t>
  </si>
  <si>
    <t>1651714721370849281</t>
  </si>
  <si>
    <t>1637203054813487104</t>
  </si>
  <si>
    <t>1656450862909202432</t>
  </si>
  <si>
    <t>1656093491091365898</t>
  </si>
  <si>
    <t>1648883661431795712</t>
  </si>
  <si>
    <t>1648445925839470599</t>
  </si>
  <si>
    <t>1634665927965908995</t>
  </si>
  <si>
    <t>1633216918613098496</t>
  </si>
  <si>
    <t>1611797793751932929</t>
  </si>
  <si>
    <t>1650174390242271234</t>
  </si>
  <si>
    <t>1636000343875108867</t>
  </si>
  <si>
    <t>1665703221904506882</t>
  </si>
  <si>
    <t>1618608704521392128</t>
  </si>
  <si>
    <t>1637888618210422785</t>
  </si>
  <si>
    <t>1669499020648017921</t>
  </si>
  <si>
    <t>1635366317577609218</t>
  </si>
  <si>
    <t>1639406011097272321</t>
  </si>
  <si>
    <t>1642557749467676677</t>
  </si>
  <si>
    <t>1642258177155645444</t>
  </si>
  <si>
    <t>1641845996198952969</t>
  </si>
  <si>
    <t>1641168092825804801</t>
  </si>
  <si>
    <t>1640806680249221120</t>
  </si>
  <si>
    <t>1640447472005685259</t>
  </si>
  <si>
    <t>1671886301644361729</t>
  </si>
  <si>
    <t>1673412005330317314</t>
  </si>
  <si>
    <t>1680619240213102594</t>
  </si>
  <si>
    <t>1667948089901031427</t>
  </si>
  <si>
    <t>1676238373126565889</t>
  </si>
  <si>
    <t>1650638018288447490</t>
  </si>
  <si>
    <t>1656003114439254021</t>
  </si>
  <si>
    <t>1681437633027686402</t>
  </si>
  <si>
    <t>1618982003902414850</t>
  </si>
  <si>
    <t>1554584975873216513</t>
  </si>
  <si>
    <t>1683071700064256001</t>
  </si>
  <si>
    <t>1675791882679377921</t>
  </si>
  <si>
    <t>1635758816280059904</t>
  </si>
  <si>
    <t>1658139896307933185</t>
  </si>
  <si>
    <t>1620164834129223681</t>
  </si>
  <si>
    <t>1620785912023236608</t>
  </si>
  <si>
    <t>1643601789923520513</t>
  </si>
  <si>
    <t>1628030582377656320</t>
  </si>
  <si>
    <t>333147653</t>
  </si>
  <si>
    <t>1610399027828252672</t>
  </si>
  <si>
    <t>1621188869579309057</t>
  </si>
  <si>
    <t>1596045068</t>
  </si>
  <si>
    <t>3026656611</t>
  </si>
  <si>
    <t>265484620</t>
  </si>
  <si>
    <t>1227738744868032515</t>
  </si>
  <si>
    <t>624143</t>
  </si>
  <si>
    <t>313568046</t>
  </si>
  <si>
    <t>904759037262254082</t>
  </si>
  <si>
    <t>854467348459335680</t>
  </si>
  <si>
    <t>267405364</t>
  </si>
  <si>
    <t>322214736</t>
  </si>
  <si>
    <t>196647466</t>
  </si>
  <si>
    <t>36146846</t>
  </si>
  <si>
    <t>1480361744736337921</t>
  </si>
  <si>
    <t>929014829964251138</t>
  </si>
  <si>
    <t>1335937657474527233</t>
  </si>
  <si>
    <t>236941117</t>
  </si>
  <si>
    <t>1476275959</t>
  </si>
  <si>
    <t>1057370540061679616</t>
  </si>
  <si>
    <t>3588952461</t>
  </si>
  <si>
    <t>1414027373670973440</t>
  </si>
  <si>
    <t>75281850</t>
  </si>
  <si>
    <t>3893109381</t>
  </si>
  <si>
    <t>14489036</t>
  </si>
  <si>
    <t>141980896</t>
  </si>
  <si>
    <t>38796511</t>
  </si>
  <si>
    <t>1429101679035756544</t>
  </si>
  <si>
    <t>221378668</t>
  </si>
  <si>
    <t>1637914917821992962</t>
  </si>
  <si>
    <t>1084210986</t>
  </si>
  <si>
    <t>193441509</t>
  </si>
  <si>
    <t>1552308093765165059</t>
  </si>
  <si>
    <t>2822869686</t>
  </si>
  <si>
    <t>3081330005</t>
  </si>
  <si>
    <t>1635695915305512981</t>
  </si>
  <si>
    <t>179595367</t>
  </si>
  <si>
    <t>37749824</t>
  </si>
  <si>
    <t>385685511</t>
  </si>
  <si>
    <t/>
  </si>
  <si>
    <t>1694139521619644422</t>
  </si>
  <si>
    <t>1676935121423695872</t>
  </si>
  <si>
    <t>1632425489632485379</t>
  </si>
  <si>
    <t>1661492665832144901</t>
  </si>
  <si>
    <t>1663290630733283330</t>
  </si>
  <si>
    <t>1612153835157430278</t>
  </si>
  <si>
    <t>1651247134799196166</t>
  </si>
  <si>
    <t>1678062209929183232</t>
  </si>
  <si>
    <t>1694409587259007227</t>
  </si>
  <si>
    <t>1697976962839384285</t>
  </si>
  <si>
    <t>1693789216688226569</t>
  </si>
  <si>
    <t>1618609682163314688</t>
  </si>
  <si>
    <t>1702389787234279751</t>
  </si>
  <si>
    <t>1701272099233386889</t>
  </si>
  <si>
    <t>1692630655900017131</t>
  </si>
  <si>
    <t>1691779886778617865</t>
  </si>
  <si>
    <t>1662506639637860360</t>
  </si>
  <si>
    <t>1661920594609201153</t>
  </si>
  <si>
    <t>1696291153451127073</t>
  </si>
  <si>
    <t>1687460981956300800</t>
  </si>
  <si>
    <t>1706694821740773567</t>
  </si>
  <si>
    <t>1702792603601604906</t>
  </si>
  <si>
    <t>1670573862273130497</t>
  </si>
  <si>
    <t>1635366321591566336</t>
  </si>
  <si>
    <t>1642557753427124224</t>
  </si>
  <si>
    <t>1642258179840000000</t>
  </si>
  <si>
    <t>1641845999772499972</t>
  </si>
  <si>
    <t>1641168097217216512</t>
  </si>
  <si>
    <t>1640806683000688662</t>
  </si>
  <si>
    <t>1640447476447453216</t>
  </si>
  <si>
    <t>1671886341901283330</t>
  </si>
  <si>
    <t>1667948092438478848</t>
  </si>
  <si>
    <t>1656003487648317440</t>
  </si>
  <si>
    <t>1554661015240966145</t>
  </si>
  <si>
    <t>1683071702148825090</t>
  </si>
  <si>
    <t>1635758931803885573</t>
  </si>
  <si>
    <t>1620165629591564288</t>
  </si>
  <si>
    <t>1620786283680501761</t>
  </si>
  <si>
    <t>1684904459460087809</t>
  </si>
  <si>
    <t>1648737840941940736</t>
  </si>
  <si>
    <t>1698734037664182273</t>
  </si>
  <si>
    <t>814202622479659008</t>
  </si>
  <si>
    <t>1048676387018760192</t>
  </si>
  <si>
    <t>1668293024487555073</t>
  </si>
  <si>
    <t>848696083702218753</t>
  </si>
  <si>
    <t>1051113967177871360</t>
  </si>
  <si>
    <t>1696158383693275136</t>
  </si>
  <si>
    <t>1663395926512107520</t>
  </si>
  <si>
    <t>1618629907726192644</t>
  </si>
  <si>
    <t>700157011581923328</t>
  </si>
  <si>
    <t>1518973541575757824</t>
  </si>
  <si>
    <t>778621741736271873</t>
  </si>
  <si>
    <t>1674119372888068123</t>
  </si>
  <si>
    <t>716474921233358848</t>
  </si>
  <si>
    <t>1065334984058167296</t>
  </si>
  <si>
    <t>1190445135995162625</t>
  </si>
  <si>
    <t>1346157149882355713</t>
  </si>
  <si>
    <t>1599129972307886083</t>
  </si>
  <si>
    <t>871504158964232192</t>
  </si>
  <si>
    <t>1602122656983269379</t>
  </si>
  <si>
    <t>1689719544187641856</t>
  </si>
  <si>
    <t>1637165254651027459</t>
  </si>
  <si>
    <t>1562902236417904640</t>
  </si>
  <si>
    <t>1247314773064192001</t>
  </si>
  <si>
    <t>821749014005710848</t>
  </si>
  <si>
    <t>1453197538543083521</t>
  </si>
  <si>
    <t>1541582135462699008</t>
  </si>
  <si>
    <t>919768168897359872</t>
  </si>
  <si>
    <t>1618681744147812356</t>
  </si>
  <si>
    <t>1230886133829185538</t>
  </si>
  <si>
    <t>1697071086335086592</t>
  </si>
  <si>
    <t>1423325433467129860</t>
  </si>
  <si>
    <t>1637695523435196416</t>
  </si>
  <si>
    <t>824277970676236290</t>
  </si>
  <si>
    <t>1651274913745977359</t>
  </si>
  <si>
    <t>1332886766118965249</t>
  </si>
  <si>
    <t>1457064501803724800</t>
  </si>
  <si>
    <t>885765268290646016</t>
  </si>
  <si>
    <t>1130298603619127306</t>
  </si>
  <si>
    <t>1220064506929467400</t>
  </si>
  <si>
    <t>1629046043592597504</t>
  </si>
  <si>
    <t>737789944488448000</t>
  </si>
  <si>
    <t>1533860376265334784</t>
  </si>
  <si>
    <t>981903271408349184</t>
  </si>
  <si>
    <t>1681032783395692544</t>
  </si>
  <si>
    <t>751118342447099904</t>
  </si>
  <si>
    <t>1182379870065778689</t>
  </si>
  <si>
    <t>1612933872542515200</t>
  </si>
  <si>
    <t>1352009744387551233</t>
  </si>
  <si>
    <t>1056217205770207233</t>
  </si>
  <si>
    <t>1110608299152551937</t>
  </si>
  <si>
    <t>842148090131955714</t>
  </si>
  <si>
    <t>1660601505810989058</t>
  </si>
  <si>
    <t>1541480355689074688</t>
  </si>
  <si>
    <t>1493999585475371016</t>
  </si>
  <si>
    <t>1587107182713135108</t>
  </si>
  <si>
    <t>1684879488214024192</t>
  </si>
  <si>
    <t>1671164949467656195</t>
  </si>
  <si>
    <t>1671489500562833408</t>
  </si>
  <si>
    <t>1627786132422381570</t>
  </si>
  <si>
    <t>1422988019792060422</t>
  </si>
  <si>
    <t>791055328297226242</t>
  </si>
  <si>
    <t>1212709890914840577</t>
  </si>
  <si>
    <t>1472194793681920001</t>
  </si>
  <si>
    <t>1351290013619781634</t>
  </si>
  <si>
    <t>1024708686172905473</t>
  </si>
  <si>
    <t>940501451541008384</t>
  </si>
  <si>
    <t>1112173831970582528</t>
  </si>
  <si>
    <t>1619720204585472001</t>
  </si>
  <si>
    <t>1655522363906064384</t>
  </si>
  <si>
    <t>1327824988863422464</t>
  </si>
  <si>
    <t>1533831827122692096</t>
  </si>
  <si>
    <t>1516840651161223172</t>
  </si>
  <si>
    <t>1216750527515631618</t>
  </si>
  <si>
    <t>973279006102622209</t>
  </si>
  <si>
    <t>1554481694274686976</t>
  </si>
  <si>
    <t>1350522146045485057</t>
  </si>
  <si>
    <t>1628856149599559688</t>
  </si>
  <si>
    <t>1599085122556395522</t>
  </si>
  <si>
    <t>1560018987219668994</t>
  </si>
  <si>
    <t>1575566716012298248</t>
  </si>
  <si>
    <t>1073352549263015938</t>
  </si>
  <si>
    <t>772378611282247680</t>
  </si>
  <si>
    <t>1346805867585404928</t>
  </si>
  <si>
    <t>1289758756088221697</t>
  </si>
  <si>
    <t>1483852471130890244</t>
  </si>
  <si>
    <t>1182061911661334535</t>
  </si>
  <si>
    <t>1139799454033338369</t>
  </si>
  <si>
    <t>785998684601233408</t>
  </si>
  <si>
    <t>1366425030540873732</t>
  </si>
  <si>
    <t>1587246019619733506</t>
  </si>
  <si>
    <t>1349183685225050116</t>
  </si>
  <si>
    <t>1558194988743286802</t>
  </si>
  <si>
    <t>1591065586339123200</t>
  </si>
  <si>
    <t>1515013931307352071</t>
  </si>
  <si>
    <t>1622684110341697537</t>
  </si>
  <si>
    <t>862236830242099201</t>
  </si>
  <si>
    <t>1516583479718391813</t>
  </si>
  <si>
    <t>921885938493599745</t>
  </si>
  <si>
    <t>1248247100980289538</t>
  </si>
  <si>
    <t>1547586133432811522</t>
  </si>
  <si>
    <t>1557271564462071813</t>
  </si>
  <si>
    <t>1437518511186788355</t>
  </si>
  <si>
    <t>979433166762074113</t>
  </si>
  <si>
    <t>1304476791046836226</t>
  </si>
  <si>
    <t>1516605037518233601</t>
  </si>
  <si>
    <t>899938824213725184</t>
  </si>
  <si>
    <t>1491759871817043974</t>
  </si>
  <si>
    <t>924335259969359872</t>
  </si>
  <si>
    <t>1536222266962366464</t>
  </si>
  <si>
    <t>1640762073322848277</t>
  </si>
  <si>
    <t>1571214487193001986</t>
  </si>
  <si>
    <t>1670086879197233152</t>
  </si>
  <si>
    <t>1640538917320417280</t>
  </si>
  <si>
    <t>1237411008282382337</t>
  </si>
  <si>
    <t>1659306279880515584</t>
  </si>
  <si>
    <t>711593651546226688</t>
  </si>
  <si>
    <t>1401335355257888771</t>
  </si>
  <si>
    <t>1388169841014628360</t>
  </si>
  <si>
    <t>974748960509366272</t>
  </si>
  <si>
    <t>1109438964652564480</t>
  </si>
  <si>
    <t>799000013527347200</t>
  </si>
  <si>
    <t>1547313678487359489</t>
  </si>
  <si>
    <t>1554625502459170817</t>
  </si>
  <si>
    <t>1403420014246498310</t>
  </si>
  <si>
    <t>1427394443255156737</t>
  </si>
  <si>
    <t>1620819247504003072</t>
  </si>
  <si>
    <t>1376187717772529667</t>
  </si>
  <si>
    <t>1600619338402234368</t>
  </si>
  <si>
    <t>1109962696705929216</t>
  </si>
  <si>
    <t>708099965264891904</t>
  </si>
  <si>
    <t>968871826028941315</t>
  </si>
  <si>
    <t>1663185862916489218</t>
  </si>
  <si>
    <t>996839351542845441</t>
  </si>
  <si>
    <t>1213235659202125825</t>
  </si>
  <si>
    <t>1387115369928798214</t>
  </si>
  <si>
    <t>1193445798257856512</t>
  </si>
  <si>
    <t>1561911520472322048</t>
  </si>
  <si>
    <t>1453005306347327488</t>
  </si>
  <si>
    <t>1508223070317785089</t>
  </si>
  <si>
    <t>793405711267028992</t>
  </si>
  <si>
    <t>1321704785016459264</t>
  </si>
  <si>
    <t>1639039465669763072</t>
  </si>
  <si>
    <t>796918325406269442</t>
  </si>
  <si>
    <t>1273348877274488836</t>
  </si>
  <si>
    <t>952968326606671872</t>
  </si>
  <si>
    <t>1539292216857853952</t>
  </si>
  <si>
    <t>1595577022763470849</t>
  </si>
  <si>
    <t>1496933378272206853</t>
  </si>
  <si>
    <t>1628388777868533760</t>
  </si>
  <si>
    <t>1655540047586762754</t>
  </si>
  <si>
    <t>1661758935420874753</t>
  </si>
  <si>
    <t>1429649547433844736</t>
  </si>
  <si>
    <t>965909214349680640</t>
  </si>
  <si>
    <t>823885430101856256</t>
  </si>
  <si>
    <t>1615373100157116418</t>
  </si>
  <si>
    <t>1468945997497835520</t>
  </si>
  <si>
    <t>1042107129224724485</t>
  </si>
  <si>
    <t>1669499468629131264</t>
  </si>
  <si>
    <t>1440310943225835521</t>
  </si>
  <si>
    <t>1636146014611554313</t>
  </si>
  <si>
    <t>1626031656661385216</t>
  </si>
  <si>
    <t>1622574754765983745</t>
  </si>
  <si>
    <t>1536410974999220226</t>
  </si>
  <si>
    <t>1083838087199932416</t>
  </si>
  <si>
    <t>1370467105943003138</t>
  </si>
  <si>
    <t>1314256209688526848</t>
  </si>
  <si>
    <t>1655659239967277056</t>
  </si>
  <si>
    <t>1262814753778470913</t>
  </si>
  <si>
    <t>931977521263988738</t>
  </si>
  <si>
    <t>1296801293571428354</t>
  </si>
  <si>
    <t>1592928881509601282</t>
  </si>
  <si>
    <t>734773487462649857</t>
  </si>
  <si>
    <t>1539436484184268800</t>
  </si>
  <si>
    <t>1412845425271394305</t>
  </si>
  <si>
    <t>1582475585627910145</t>
  </si>
  <si>
    <t>865402601625362432</t>
  </si>
  <si>
    <t>842859048835850240</t>
  </si>
  <si>
    <t>707215541057015809</t>
  </si>
  <si>
    <t>1628143743852244992</t>
  </si>
  <si>
    <t>1199473480124817415</t>
  </si>
  <si>
    <t>807986023624015872</t>
  </si>
  <si>
    <t>1615703323381743625</t>
  </si>
  <si>
    <t>1555186984057970689</t>
  </si>
  <si>
    <t>1489586114293809153</t>
  </si>
  <si>
    <t>1572260610947129346</t>
  </si>
  <si>
    <t>1510638187416326146</t>
  </si>
  <si>
    <t>1495790050638020615</t>
  </si>
  <si>
    <t>1514260509389955072</t>
  </si>
  <si>
    <t>1403442203838631947</t>
  </si>
  <si>
    <t>1221996074354794496</t>
  </si>
  <si>
    <t>1648782505380593673</t>
  </si>
  <si>
    <t>1099885171871023104</t>
  </si>
  <si>
    <t>1447934594787983362</t>
  </si>
  <si>
    <t>1674869507133693972</t>
  </si>
  <si>
    <t>1575149478826344453</t>
  </si>
  <si>
    <t>1682772209876566017</t>
  </si>
  <si>
    <t>1655001175018676227</t>
  </si>
  <si>
    <t>1533774887252279297</t>
  </si>
  <si>
    <t>1608237494046281730</t>
  </si>
  <si>
    <t>1648494046384357377</t>
  </si>
  <si>
    <t>1636355310628528128</t>
  </si>
  <si>
    <t>1564692822674083842</t>
  </si>
  <si>
    <t>1586098527989628928</t>
  </si>
  <si>
    <t>1623043447014756357</t>
  </si>
  <si>
    <t>1668026664658272257</t>
  </si>
  <si>
    <t>1447629280935096335</t>
  </si>
  <si>
    <t>1521858609830928384</t>
  </si>
  <si>
    <t>869477380942958592</t>
  </si>
  <si>
    <t>1603738740253511680</t>
  </si>
  <si>
    <t>1375868795240202241</t>
  </si>
  <si>
    <t>1348038053688995840</t>
  </si>
  <si>
    <t>1245003977051308032</t>
  </si>
  <si>
    <t>1437030249947148291</t>
  </si>
  <si>
    <t>1363951773174673413</t>
  </si>
  <si>
    <t>1650776215878348804</t>
  </si>
  <si>
    <t>1684149839565651968</t>
  </si>
  <si>
    <t>1170755118482042882</t>
  </si>
  <si>
    <t>1326453777956745217</t>
  </si>
  <si>
    <t>1005072875295002624</t>
  </si>
  <si>
    <t>1073281827543150592</t>
  </si>
  <si>
    <t>1428427211028287489</t>
  </si>
  <si>
    <t>1620367718661689347</t>
  </si>
  <si>
    <t>1000472198820388867</t>
  </si>
  <si>
    <t>1569171235161997315</t>
  </si>
  <si>
    <t>1061388891025010691</t>
  </si>
  <si>
    <t>732558409019600897</t>
  </si>
  <si>
    <t>1495584978205347841</t>
  </si>
  <si>
    <t>1580935215979134978</t>
  </si>
  <si>
    <t>715140008869556225</t>
  </si>
  <si>
    <t>1111236485238398977</t>
  </si>
  <si>
    <t>1668957780944756736</t>
  </si>
  <si>
    <t>1654151662468988928</t>
  </si>
  <si>
    <t>1618934535244193795</t>
  </si>
  <si>
    <t>1586013445924814849</t>
  </si>
  <si>
    <t>1458377152169132040</t>
  </si>
  <si>
    <t>1037474698462994432</t>
  </si>
  <si>
    <t>1538204743817912320</t>
  </si>
  <si>
    <t>1536088753730895872</t>
  </si>
  <si>
    <t>1532169407463669763</t>
  </si>
  <si>
    <t>1628456864462565377</t>
  </si>
  <si>
    <t>903706463960477698</t>
  </si>
  <si>
    <t>767606282727649280</t>
  </si>
  <si>
    <t>1625166633982369793</t>
  </si>
  <si>
    <t>1392804629574991876</t>
  </si>
  <si>
    <t>1430286028879843333</t>
  </si>
  <si>
    <t>1671546874543611905</t>
  </si>
  <si>
    <t>1679901994067144719</t>
  </si>
  <si>
    <t>1040075522821304321</t>
  </si>
  <si>
    <t>1413277635388530691</t>
  </si>
  <si>
    <t>1632846486659641344</t>
  </si>
  <si>
    <t>1520869059130101760</t>
  </si>
  <si>
    <t>1587609661959806978</t>
  </si>
  <si>
    <t>1311712691061481473</t>
  </si>
  <si>
    <t>1653858032764190728</t>
  </si>
  <si>
    <t>1477732744348192774</t>
  </si>
  <si>
    <t>1534660362687156224</t>
  </si>
  <si>
    <t>1236350378679164929</t>
  </si>
  <si>
    <t>1428639584079028226</t>
  </si>
  <si>
    <t>1151345799860772864</t>
  </si>
  <si>
    <t>1655297668816535553</t>
  </si>
  <si>
    <t>1608490065226874888</t>
  </si>
  <si>
    <t>1663446093214916611</t>
  </si>
  <si>
    <t>1573134001132404736</t>
  </si>
  <si>
    <t>1359971628164202497</t>
  </si>
  <si>
    <t>1681124518788575232</t>
  </si>
  <si>
    <t>987060657223753729</t>
  </si>
  <si>
    <t>1685085832321843200</t>
  </si>
  <si>
    <t>1585770590757130241</t>
  </si>
  <si>
    <t>1587835104612720641</t>
  </si>
  <si>
    <t>1648734908116762634</t>
  </si>
  <si>
    <t>939313332267503616</t>
  </si>
  <si>
    <t>1644117248850771979</t>
  </si>
  <si>
    <t>860189289166106628</t>
  </si>
  <si>
    <t>1550857530611580930</t>
  </si>
  <si>
    <t>1451360711712641025</t>
  </si>
  <si>
    <t>1611049654208106496</t>
  </si>
  <si>
    <t>1664267702398226432</t>
  </si>
  <si>
    <t>1589698572332695552</t>
  </si>
  <si>
    <t>1650993018730627072</t>
  </si>
  <si>
    <t>1370116245794721793</t>
  </si>
  <si>
    <t>1279932298117423105</t>
  </si>
  <si>
    <t>1415659389378301954</t>
  </si>
  <si>
    <t>1394429815093145611</t>
  </si>
  <si>
    <t>1540004255012102144</t>
  </si>
  <si>
    <t>1639293505804685312</t>
  </si>
  <si>
    <t>1317990722138755072</t>
  </si>
  <si>
    <t>1658136400233938944</t>
  </si>
  <si>
    <t>1554534819618488321</t>
  </si>
  <si>
    <t>1354583861867507715</t>
  </si>
  <si>
    <t>1613187131790315521</t>
  </si>
  <si>
    <t>1415376583184076802</t>
  </si>
  <si>
    <t>1629942716531458049</t>
  </si>
  <si>
    <t>1445122926672482304</t>
  </si>
  <si>
    <t>1633665776212226050</t>
  </si>
  <si>
    <t>1640163979380097025</t>
  </si>
  <si>
    <t>1621184428939567108</t>
  </si>
  <si>
    <t>1357862026966667264</t>
  </si>
  <si>
    <t>1301892522386620416</t>
  </si>
  <si>
    <t>1466198678583001089</t>
  </si>
  <si>
    <t>914831588403367936</t>
  </si>
  <si>
    <t>829691095789481984</t>
  </si>
  <si>
    <t>1600908543795888128</t>
  </si>
  <si>
    <t>1259320568664506369</t>
  </si>
  <si>
    <t>1086068848921640960</t>
  </si>
  <si>
    <t>1400813401367007238</t>
  </si>
  <si>
    <t>1422614730003333128</t>
  </si>
  <si>
    <t>1238051131407900672</t>
  </si>
  <si>
    <t>1523460792477233152</t>
  </si>
  <si>
    <t>1655293030885212165</t>
  </si>
  <si>
    <t>1279985020158062592</t>
  </si>
  <si>
    <t>infoempleo</t>
  </si>
  <si>
    <t>Name</t>
  </si>
  <si>
    <t>User ID</t>
  </si>
  <si>
    <t>Followers</t>
  </si>
  <si>
    <t>Followed</t>
  </si>
  <si>
    <t>Tweets</t>
  </si>
  <si>
    <t>Listed Count</t>
  </si>
  <si>
    <t>Favourites Count</t>
  </si>
  <si>
    <t>Media Count</t>
  </si>
  <si>
    <t>Verified</t>
  </si>
  <si>
    <t>Joined Twitter Date (UTC)</t>
  </si>
  <si>
    <t>Location</t>
  </si>
  <si>
    <t>Description</t>
  </si>
  <si>
    <t>URLs (Details)</t>
  </si>
  <si>
    <t>Expanded URLs (Details)</t>
  </si>
  <si>
    <t>Display URLs (Details)</t>
  </si>
  <si>
    <t>Description URLs (Details)</t>
  </si>
  <si>
    <t>Description Expanded URLs (Details)</t>
  </si>
  <si>
    <t>Description Display URLS (Details)</t>
  </si>
  <si>
    <t>Pinned Tweet ID</t>
  </si>
  <si>
    <t>URL</t>
  </si>
  <si>
    <t>Is Blue Verified</t>
  </si>
  <si>
    <t>You Are Followed By</t>
  </si>
  <si>
    <t>You Are Following</t>
  </si>
  <si>
    <t>Can DM</t>
  </si>
  <si>
    <t>Can Media Tag</t>
  </si>
  <si>
    <t>Default Profile</t>
  </si>
  <si>
    <t>Default Profile Image</t>
  </si>
  <si>
    <t>Has Custom Timelines</t>
  </si>
  <si>
    <t>Is Translator</t>
  </si>
  <si>
    <t>Profile Banner URL</t>
  </si>
  <si>
    <t>Profile Interstitial Type</t>
  </si>
  <si>
    <t>Translator Type</t>
  </si>
  <si>
    <t>Want Retweets</t>
  </si>
  <si>
    <t>Withheld</t>
  </si>
  <si>
    <t>Tweeted Search Term?</t>
  </si>
  <si>
    <t>Custom Menu Item Text</t>
  </si>
  <si>
    <t>Custom Menu Item Action</t>
  </si>
  <si>
    <t>Cruz Roja Mexicana IAP</t>
  </si>
  <si>
    <t>Gobierno de Guerrero</t>
  </si>
  <si>
    <t>@SEDENAmx</t>
  </si>
  <si>
    <t>Guardia Nacional</t>
  </si>
  <si>
    <t>FGE Guerrero</t>
  </si>
  <si>
    <t>SSP Guerrero</t>
  </si>
  <si>
    <t>Coach Pepe Villacis</t>
  </si>
  <si>
    <t>ACSI Research</t>
  </si>
  <si>
    <t>Carlos Agami</t>
  </si>
  <si>
    <t>AZ⚡️</t>
  </si>
  <si>
    <t>Marquinhos Malaquias</t>
  </si>
  <si>
    <t>Tarcísio Gomes de Freitas</t>
  </si>
  <si>
    <t>📰 LecheriaTv 📰</t>
  </si>
  <si>
    <t>Franco | INNET Soluções</t>
  </si>
  <si>
    <t>Carla Zucoloto</t>
  </si>
  <si>
    <t>Red Clínica Psi</t>
  </si>
  <si>
    <t>Jobs Bayton</t>
  </si>
  <si>
    <t>Juan Pablo Soto</t>
  </si>
  <si>
    <t>Mercado Libre Chile</t>
  </si>
  <si>
    <t>Mercado Libre Ayuda</t>
  </si>
  <si>
    <t>Tina DeBord</t>
  </si>
  <si>
    <t>Daphine f mera</t>
  </si>
  <si>
    <t>Psyteco</t>
  </si>
  <si>
    <t>Yo Soy Original</t>
  </si>
  <si>
    <t>DZN Project</t>
  </si>
  <si>
    <t>DigitalTic</t>
  </si>
  <si>
    <t>ElDiarioDeUnVendedor</t>
  </si>
  <si>
    <t>VISOCyM</t>
  </si>
  <si>
    <t>ALICAM Informática Integral</t>
  </si>
  <si>
    <t>Gelson Ferrareze Sociedade de Advogados</t>
  </si>
  <si>
    <t>Personalize-se</t>
  </si>
  <si>
    <t>Guido</t>
  </si>
  <si>
    <t>João Neto</t>
  </si>
  <si>
    <t>Fernanda</t>
  </si>
  <si>
    <t>Tradeview en Español</t>
  </si>
  <si>
    <t>Tramicar</t>
  </si>
  <si>
    <t>Casal da Geração Milionária</t>
  </si>
  <si>
    <t>Gilberto Lopez</t>
  </si>
  <si>
    <t>Telenoticias11RD</t>
  </si>
  <si>
    <t>Armando Peralta D.</t>
  </si>
  <si>
    <t>Caçador de Casados</t>
  </si>
  <si>
    <t>ticjob.co</t>
  </si>
  <si>
    <t>Grupo Perseo</t>
  </si>
  <si>
    <t>SassyPants</t>
  </si>
  <si>
    <t>APS HeadHunters</t>
  </si>
  <si>
    <t>Loja Eleni Costa</t>
  </si>
  <si>
    <t>Ricardo Nakahashi</t>
  </si>
  <si>
    <t>Gabriel Garza Caro</t>
  </si>
  <si>
    <t>Noti7</t>
  </si>
  <si>
    <t>CARMEN ♏ 🎵🎶 💙☀️💙🇺🇾</t>
  </si>
  <si>
    <t>Evaluacion Broker</t>
  </si>
  <si>
    <t>Central dos Cursos</t>
  </si>
  <si>
    <t>Rainmaker</t>
  </si>
  <si>
    <t>Canalupcast</t>
  </si>
  <si>
    <t>Ismael Kardoudi</t>
  </si>
  <si>
    <t>Fotocasa Pro</t>
  </si>
  <si>
    <t>Conocimiento y Desarrollo Empresarial</t>
  </si>
  <si>
    <t>Lorena Cf</t>
  </si>
  <si>
    <t>Mercado Libre México</t>
  </si>
  <si>
    <t>Mercado Libre</t>
  </si>
  <si>
    <t>TNOA - Red Social Profesional del NOA Argentino</t>
  </si>
  <si>
    <t>Timbralofacil® Software para MiPyMeS</t>
  </si>
  <si>
    <t>Joao Marcelo Furlan</t>
  </si>
  <si>
    <t>Shugar Deli</t>
  </si>
  <si>
    <t>Vivendex | People &amp; Properties</t>
  </si>
  <si>
    <t>El Bonaerense</t>
  </si>
  <si>
    <t>Preguntale a Harry</t>
  </si>
  <si>
    <t>Guia-se Rio de Janeiro Centro</t>
  </si>
  <si>
    <t>𝗖͟𝗶͟𝗻͟𝘁͟𝗶͟𝗮͟ 𝗖͟𝗮͟𝗯͟𝗮͟𝗹͟𝗹͟𝗲͟𝗿͟𝗼͟</t>
  </si>
  <si>
    <t>Real Estate | Marketing | Delwins Rivas</t>
  </si>
  <si>
    <t>AmaneciendoMx</t>
  </si>
  <si>
    <t>abigail del olmo</t>
  </si>
  <si>
    <t>Antena San Luis</t>
  </si>
  <si>
    <t>Eleni Costa</t>
  </si>
  <si>
    <t>¿VENDES O AYUDAS?</t>
  </si>
  <si>
    <t>IEF » Notícias, Finanças, Economia e Concursos</t>
  </si>
  <si>
    <t>Vendolite</t>
  </si>
  <si>
    <t>BavaroNews</t>
  </si>
  <si>
    <t>NetGen</t>
  </si>
  <si>
    <t>Clicktime Consultora</t>
  </si>
  <si>
    <t>Esther</t>
  </si>
  <si>
    <t>Wallapop</t>
  </si>
  <si>
    <t>PrácticasEmpresariales</t>
  </si>
  <si>
    <t>Jonny Viccari</t>
  </si>
  <si>
    <t>Dan Silva</t>
  </si>
  <si>
    <t>Aliqindoi</t>
  </si>
  <si>
    <t>Club Civil-Mercantil</t>
  </si>
  <si>
    <t>®O &amp; ®OS</t>
  </si>
  <si>
    <t>Laura Saldarriaga</t>
  </si>
  <si>
    <t>Daniel Rodrigues</t>
  </si>
  <si>
    <t>Su Mundo TV</t>
  </si>
  <si>
    <t>Luciano Cáceres // Asesor Financiero</t>
  </si>
  <si>
    <t>Luiz Rocca</t>
  </si>
  <si>
    <t>Nova Era Estratégia</t>
  </si>
  <si>
    <t>Allan Andreassa</t>
  </si>
  <si>
    <t>Diário de Uberlândia</t>
  </si>
  <si>
    <t>Foco Informativo</t>
  </si>
  <si>
    <t>JuanPedro Porras</t>
  </si>
  <si>
    <t>Torcadul</t>
  </si>
  <si>
    <t>Iván González</t>
  </si>
  <si>
    <t>Servicio Nacional de Empleo Puebla</t>
  </si>
  <si>
    <t>El Paredón de España</t>
  </si>
  <si>
    <t>Manu Arias REALTOR</t>
  </si>
  <si>
    <t>Daniel Nobrega O.</t>
  </si>
  <si>
    <t>La Jornada</t>
  </si>
  <si>
    <t>Palma Parafusos e Ferramentas</t>
  </si>
  <si>
    <t>Naomi_Mmo12@Noemi_12</t>
  </si>
  <si>
    <t>Radio Nacional Salta</t>
  </si>
  <si>
    <t>Pablo Kosiner</t>
  </si>
  <si>
    <t>Empleadorserial</t>
  </si>
  <si>
    <t>Reinaldo Merlo</t>
  </si>
  <si>
    <t>transdoctrabajos</t>
  </si>
  <si>
    <t>JCA</t>
  </si>
  <si>
    <t>ERP Soluciones</t>
  </si>
  <si>
    <t>Mercedes Nuñez</t>
  </si>
  <si>
    <t>FrameTicket</t>
  </si>
  <si>
    <t>Calzatodos Group</t>
  </si>
  <si>
    <t>Destino em mãos</t>
  </si>
  <si>
    <t>Management around Sports</t>
  </si>
  <si>
    <t>Angeles de Santiago</t>
  </si>
  <si>
    <t>Rafael Oliveira</t>
  </si>
  <si>
    <t>Luis Perro</t>
  </si>
  <si>
    <t>RESERVA CUPOM: ISARSV</t>
  </si>
  <si>
    <t>eumarcusreis</t>
  </si>
  <si>
    <t>Mislene Brito</t>
  </si>
  <si>
    <t>Última línea</t>
  </si>
  <si>
    <t>Librerías Zaragoza</t>
  </si>
  <si>
    <t>Librerías del Sur LT</t>
  </si>
  <si>
    <t>LibreríasCantabria</t>
  </si>
  <si>
    <t>Todostuslibros</t>
  </si>
  <si>
    <t>João Milanezi</t>
  </si>
  <si>
    <t>MPM Software</t>
  </si>
  <si>
    <t>Rogerio Martins - Palestrante</t>
  </si>
  <si>
    <t>Üman Colombia</t>
  </si>
  <si>
    <t>HSantos .'. - otrozurdo</t>
  </si>
  <si>
    <t>Nícolas Sales Advocacia</t>
  </si>
  <si>
    <t>Alex bruno</t>
  </si>
  <si>
    <t>Lado.mx</t>
  </si>
  <si>
    <t>dudinhas</t>
  </si>
  <si>
    <t>Leo Migdal</t>
  </si>
  <si>
    <t>Patricia Murphy</t>
  </si>
  <si>
    <t>ODILÓN LARIOS NAVA</t>
  </si>
  <si>
    <t>Mactre XC</t>
  </si>
  <si>
    <t>Call To Call</t>
  </si>
  <si>
    <t>ABComm</t>
  </si>
  <si>
    <t>Arthur Sam</t>
  </si>
  <si>
    <t>Mundo</t>
  </si>
  <si>
    <t>Movistar Chile</t>
  </si>
  <si>
    <t>GOMUSIC</t>
  </si>
  <si>
    <t>Pinterest</t>
  </si>
  <si>
    <t>Zuleir Spindula</t>
  </si>
  <si>
    <t>Jaime Gármar</t>
  </si>
  <si>
    <t>Juan Ariza</t>
  </si>
  <si>
    <t>José Xavier Cabrera García</t>
  </si>
  <si>
    <t>Leo Piccioli</t>
  </si>
  <si>
    <t>Marcia Valéria ❄️</t>
  </si>
  <si>
    <t>Clientela CRM</t>
  </si>
  <si>
    <t>HOC ETIAM TRANSIBIT</t>
  </si>
  <si>
    <t>Portavisa de C.V. (🛒📣🤝⚙️)</t>
  </si>
  <si>
    <t>MFogeid</t>
  </si>
  <si>
    <t>ZC Mayoristas</t>
  </si>
  <si>
    <t>RR Soluções Digitais</t>
  </si>
  <si>
    <t>Call Him Rog</t>
  </si>
  <si>
    <t>Acovedi.wfdsa</t>
  </si>
  <si>
    <t>GrandeMomento</t>
  </si>
  <si>
    <t>Augusto Cury</t>
  </si>
  <si>
    <t>El Informal de Mexico</t>
  </si>
  <si>
    <t>Andrade</t>
  </si>
  <si>
    <t>Talento Verde</t>
  </si>
  <si>
    <t>Lineup</t>
  </si>
  <si>
    <t>Calfer de México</t>
  </si>
  <si>
    <t>Moore Ecuador</t>
  </si>
  <si>
    <t>El Diario Mx</t>
  </si>
  <si>
    <t>Adriana Bacic 🏃‍♀️</t>
  </si>
  <si>
    <t>ExpoPublicitas</t>
  </si>
  <si>
    <t>El Editor Platense</t>
  </si>
  <si>
    <t>Henrique Sabino</t>
  </si>
  <si>
    <t>Prátis CRM</t>
  </si>
  <si>
    <t>Región NET</t>
  </si>
  <si>
    <t>Perfil Comercial Ecuador 💯</t>
  </si>
  <si>
    <t>Meio Norte</t>
  </si>
  <si>
    <t>Jorge Luis Atencio</t>
  </si>
  <si>
    <t>Daniel</t>
  </si>
  <si>
    <t>Iker TTF 🔀</t>
  </si>
  <si>
    <t>𝐍𝐈𝐂𝐎𝐋'𝐒</t>
  </si>
  <si>
    <t>Claudia Ardón</t>
  </si>
  <si>
    <t>Roberto Vilela</t>
  </si>
  <si>
    <t>JOVEN360</t>
  </si>
  <si>
    <t>JG_humanresources</t>
  </si>
  <si>
    <t>Reclutamiento Aguascalientes</t>
  </si>
  <si>
    <t>Evandro Azevedo</t>
  </si>
  <si>
    <t>RH Projettar</t>
  </si>
  <si>
    <t>OleManoComunicaciones</t>
  </si>
  <si>
    <t>gringo distribuicao</t>
  </si>
  <si>
    <t>RedesVisuales</t>
  </si>
  <si>
    <t>Tilso Bataglia</t>
  </si>
  <si>
    <t>WAU Technologies |Expertos en negocio y tecnología</t>
  </si>
  <si>
    <t>Jocelyn Gribbell</t>
  </si>
  <si>
    <t>Coaching Comercial</t>
  </si>
  <si>
    <t>Helio Couto</t>
  </si>
  <si>
    <t>Mução</t>
  </si>
  <si>
    <t>Dávio M. 🦅 (30/45)</t>
  </si>
  <si>
    <t>Galo cego</t>
  </si>
  <si>
    <t>Decálogo</t>
  </si>
  <si>
    <t>Joabe Porto ☀️</t>
  </si>
  <si>
    <t>Nerimar Mendes</t>
  </si>
  <si>
    <t>AMILCA ABOGADOS ESPAÑA</t>
  </si>
  <si>
    <t>Alex Barato Bebidas</t>
  </si>
  <si>
    <t>Thalles Mondin</t>
  </si>
  <si>
    <t>Anderson Lucianio</t>
  </si>
  <si>
    <t>LUZ PAOLA CONTRERAS GUERRERO</t>
  </si>
  <si>
    <t>Felix Rojas Monserratte</t>
  </si>
  <si>
    <t>Disenio, S.A. de C.V</t>
  </si>
  <si>
    <t>Vagas S/A - Empregos e oportunidades</t>
  </si>
  <si>
    <t>ASV Tecnologia e Inteligência Empresarial</t>
  </si>
  <si>
    <t>Tobias Rosas</t>
  </si>
  <si>
    <t>Visão Oeste</t>
  </si>
  <si>
    <t>N. Alves Advocacia &amp; Consultoria</t>
  </si>
  <si>
    <t>Mobles Ca'n Barato</t>
  </si>
  <si>
    <t>MendozAntigua</t>
  </si>
  <si>
    <t>APERFIN</t>
  </si>
  <si>
    <t>VTG Energia Solar</t>
  </si>
  <si>
    <t>Francisco J. Seva</t>
  </si>
  <si>
    <t>Jornal Diário do Estado</t>
  </si>
  <si>
    <t>giselle jacome</t>
  </si>
  <si>
    <t>Guillermo Lasso</t>
  </si>
  <si>
    <t>Cido Rodrigues</t>
  </si>
  <si>
    <t>Treinador Alexis Pablo</t>
  </si>
  <si>
    <t>Guia- se Agência de Marketing Digital</t>
  </si>
  <si>
    <t>AJ</t>
  </si>
  <si>
    <t>Agnes RH PR | Vagas, Empregos &amp; Oportunidades</t>
  </si>
  <si>
    <t>Pastelería Montparnasse</t>
  </si>
  <si>
    <t>Roberto Parra</t>
  </si>
  <si>
    <t>Recrutadora</t>
  </si>
  <si>
    <t>The Logistics World ®</t>
  </si>
  <si>
    <t>Ovation Americas</t>
  </si>
  <si>
    <t>CyberSecurity News</t>
  </si>
  <si>
    <t>Grupo Tsalach</t>
  </si>
  <si>
    <t>TNEA - Red Social Profesional del NEA Argentino</t>
  </si>
  <si>
    <t>Dascenzo ernesto</t>
  </si>
  <si>
    <t>6 Print Design</t>
  </si>
  <si>
    <t>Md Tierras de Medina</t>
  </si>
  <si>
    <t>Juventud Medina</t>
  </si>
  <si>
    <t>Ayto. MedinadelCampo</t>
  </si>
  <si>
    <t>Empleo Castilla y León - eCyL</t>
  </si>
  <si>
    <t>Andrés Amado</t>
  </si>
  <si>
    <t>Libros Flash 📚</t>
  </si>
  <si>
    <t>Santiago Torre | Persuasión para liderar y vender</t>
  </si>
  <si>
    <t>Empleos Reales</t>
  </si>
  <si>
    <t>josiane</t>
  </si>
  <si>
    <t>LegalMente</t>
  </si>
  <si>
    <t>Lula</t>
  </si>
  <si>
    <t>Roger Rocha Moreira</t>
  </si>
  <si>
    <t>Dama de Ferro</t>
  </si>
  <si>
    <t>Roberto Motta</t>
  </si>
  <si>
    <t>Vinícius Wesley</t>
  </si>
  <si>
    <t>ELCAPH</t>
  </si>
  <si>
    <t>Viviana Colmenares</t>
  </si>
  <si>
    <t>Andrea G.</t>
  </si>
  <si>
    <t>Sergi Ramo</t>
  </si>
  <si>
    <t>Vacantes Sueldo Visible</t>
  </si>
  <si>
    <t>Gacetín Madrid</t>
  </si>
  <si>
    <t>ｇｍｗ</t>
  </si>
  <si>
    <t>Fernando Lourenço</t>
  </si>
  <si>
    <t>Aliatec</t>
  </si>
  <si>
    <t>Canal 11</t>
  </si>
  <si>
    <t>La Ley</t>
  </si>
  <si>
    <t>Gravity Marketing Digital</t>
  </si>
  <si>
    <t>Ing. Marlon Noel Valdivia Córdova</t>
  </si>
  <si>
    <t>Adriano Rogério</t>
  </si>
  <si>
    <t>Reten_Chiriqui</t>
  </si>
  <si>
    <t>Neogrid</t>
  </si>
  <si>
    <t>El Solucionario</t>
  </si>
  <si>
    <t>Hacktivos</t>
  </si>
  <si>
    <t>Rádio Rock</t>
  </si>
  <si>
    <t>Cia de Resultados</t>
  </si>
  <si>
    <t>Nacho Asprella</t>
  </si>
  <si>
    <t>Mariana Mendoza</t>
  </si>
  <si>
    <t>𝕯𝖗. 𝕽𝖔𝖒á𝖓 𝕾á𝖓𝖈𝖍𝖊𝖟 𝖅</t>
  </si>
  <si>
    <t>Radio BUAP 96.9 FM</t>
  </si>
  <si>
    <t>Radio UNAM</t>
  </si>
  <si>
    <t>Cinco Radio Oficial</t>
  </si>
  <si>
    <t>Atención Profeco</t>
  </si>
  <si>
    <t>Profeco</t>
  </si>
  <si>
    <t>BUAP</t>
  </si>
  <si>
    <t>TV BUAP</t>
  </si>
  <si>
    <t>Rommynciudadano</t>
  </si>
  <si>
    <t>Jobomas.com</t>
  </si>
  <si>
    <t>Automafast Sistemas Comerciais</t>
  </si>
  <si>
    <t>Marcos Diaz Molk</t>
  </si>
  <si>
    <t>NetCarreiras</t>
  </si>
  <si>
    <t>Eder Zardin</t>
  </si>
  <si>
    <t>Victor Vasquez</t>
  </si>
  <si>
    <t>POSTA Durango</t>
  </si>
  <si>
    <t>David | Gestor de Tráfego</t>
  </si>
  <si>
    <t>Helmer Omero.</t>
  </si>
  <si>
    <t>Laura Cantizano</t>
  </si>
  <si>
    <t>CÁMARA INTERNACIONAL</t>
  </si>
  <si>
    <t>Luis Horacio Sáenz Andrés</t>
  </si>
  <si>
    <t>Décio Pessoa</t>
  </si>
  <si>
    <t>Mercasa</t>
  </si>
  <si>
    <t>Agrícola Centeno</t>
  </si>
  <si>
    <t>BolsaDeTrabajoTuitera</t>
  </si>
  <si>
    <t>Niury Martins</t>
  </si>
  <si>
    <t>Qué Poca Madre 🇲🇽</t>
  </si>
  <si>
    <t>Habiteo España</t>
  </si>
  <si>
    <t>EL DE A PIE DE RUANA Y MOCHILA</t>
  </si>
  <si>
    <t>Stephanie Vico Marti</t>
  </si>
  <si>
    <t>iBahia</t>
  </si>
  <si>
    <t>Victor Freitas🐧</t>
  </si>
  <si>
    <t>EU QUERO A META</t>
  </si>
  <si>
    <t>MiNEiRO</t>
  </si>
  <si>
    <t>amvd</t>
  </si>
  <si>
    <t>Accounterweb</t>
  </si>
  <si>
    <t>Maria Zorrilla</t>
  </si>
  <si>
    <t>Pentagrama Tu Radio</t>
  </si>
  <si>
    <t>MA Atacado</t>
  </si>
  <si>
    <t>Juan Pedro Porras Rubio</t>
  </si>
  <si>
    <t>Raquél Souza | Marketing e Vendas</t>
  </si>
  <si>
    <t>Talento Mayan</t>
  </si>
  <si>
    <t>Frame - Marketing B2B</t>
  </si>
  <si>
    <t>Jose Almeida</t>
  </si>
  <si>
    <t>Alexandre Mota</t>
  </si>
  <si>
    <t>Easycob</t>
  </si>
  <si>
    <t>cuate</t>
  </si>
  <si>
    <t>André Gonçalves</t>
  </si>
  <si>
    <t>Philip Fernandes</t>
  </si>
  <si>
    <t>Kiafra</t>
  </si>
  <si>
    <t>Henrique Silvério</t>
  </si>
  <si>
    <t>Desde Paraguay</t>
  </si>
  <si>
    <t>SóNotíciaBoa.com.br</t>
  </si>
  <si>
    <t>Parceiros Brilhantes</t>
  </si>
  <si>
    <t>Só Vaquinha Boa</t>
  </si>
  <si>
    <t>Ana Carolina 🏳️‍🌈</t>
  </si>
  <si>
    <t>Rafaelcineasta</t>
  </si>
  <si>
    <t>Noelia Ferreira Fariña</t>
  </si>
  <si>
    <t>TALINY KREIN ADVOGADA</t>
  </si>
  <si>
    <t>Cristina Perez</t>
  </si>
  <si>
    <t>Carlos Solis</t>
  </si>
  <si>
    <t>Gastón M.-Mediador Privado en Norte Mediación Spa</t>
  </si>
  <si>
    <t>Mova-se Empreendedor</t>
  </si>
  <si>
    <t>Exordia Marketing</t>
  </si>
  <si>
    <t>Aviso Oportuno</t>
  </si>
  <si>
    <t>Douglas Dall'Agnol | Web Performance</t>
  </si>
  <si>
    <t>Saúl Salazar</t>
  </si>
  <si>
    <t>Tenería Díaz</t>
  </si>
  <si>
    <t>JOSUÉ SEIBEL</t>
  </si>
  <si>
    <t>Josep Claret Costa</t>
  </si>
  <si>
    <t>Pablo Suárez</t>
  </si>
  <si>
    <t>Coformación</t>
  </si>
  <si>
    <t>Clasics FM</t>
  </si>
  <si>
    <t>Ana Paula Borges Contabilista Certificada</t>
  </si>
  <si>
    <t>Jozz Salazar</t>
  </si>
  <si>
    <t>god is a woman✨</t>
  </si>
  <si>
    <t>Vagas de Emprego em Salvador, R Metropolitana e+</t>
  </si>
  <si>
    <t>korraleja.co ®</t>
  </si>
  <si>
    <t>Cecília Bolina</t>
  </si>
  <si>
    <t>Manuel de Jesús</t>
  </si>
  <si>
    <t>Bimbo México</t>
  </si>
  <si>
    <t>Grupo Bimbo</t>
  </si>
  <si>
    <t>Vimara Automóveis</t>
  </si>
  <si>
    <t>juan vicente pinto</t>
  </si>
  <si>
    <t>Portal Juristec</t>
  </si>
  <si>
    <t>Opensinergia</t>
  </si>
  <si>
    <t>Goianiacal</t>
  </si>
  <si>
    <t>Empleos toda Guate</t>
  </si>
  <si>
    <t>🇹🇷 🇪🇸 Turquia</t>
  </si>
  <si>
    <t>Franklin Díaz</t>
  </si>
  <si>
    <t>AH Revista de Negocios con Visión</t>
  </si>
  <si>
    <t>@vaconmarketing</t>
  </si>
  <si>
    <t>Leonardo Dantas</t>
  </si>
  <si>
    <t>Negis Sociedade de Advogados</t>
  </si>
  <si>
    <t>Soluciones Laborales ecuatorianas</t>
  </si>
  <si>
    <t>Plásticos Laminados</t>
  </si>
  <si>
    <t>Jorge_ebe85</t>
  </si>
  <si>
    <t>EL CIRCO</t>
  </si>
  <si>
    <t>Ricardo Ramos</t>
  </si>
  <si>
    <t>Global Empregos</t>
  </si>
  <si>
    <t>TelePremier Ecuador 🇪🇨</t>
  </si>
  <si>
    <t>negocios tv</t>
  </si>
  <si>
    <t>Oscar Marcos Gómez (Servicio al Cliente y Ventas)</t>
  </si>
  <si>
    <t>Sonder</t>
  </si>
  <si>
    <t>El Vendedor</t>
  </si>
  <si>
    <t>Guanajuato: Estado Luz</t>
  </si>
  <si>
    <t>Billetera Móvil Venezuela</t>
  </si>
  <si>
    <t>eldial.com</t>
  </si>
  <si>
    <t>Resqui Pizarro - Recasens Siches &amp; Asociados</t>
  </si>
  <si>
    <t>Loja de Materiais de Construção &amp; Construtora</t>
  </si>
  <si>
    <t>Juanito Malafollá</t>
  </si>
  <si>
    <t>Gestión más Humana</t>
  </si>
  <si>
    <t>KevinTanori</t>
  </si>
  <si>
    <t>PGS Consulting Group</t>
  </si>
  <si>
    <t>Elio Tello</t>
  </si>
  <si>
    <t>Turma do Chaves &amp; Chapolin</t>
  </si>
  <si>
    <t>Temistoclea Tesla</t>
  </si>
  <si>
    <t>Servicio Nacional de Empleo de San Luis Potosí</t>
  </si>
  <si>
    <t>Secretaría del Trabajo y Previsión Social</t>
  </si>
  <si>
    <t>Autoboutique 1/4 de Milla</t>
  </si>
  <si>
    <t>J.A.</t>
  </si>
  <si>
    <t>TV Azteca Chihuahua</t>
  </si>
  <si>
    <t>KENIA DEL SOLAR</t>
  </si>
  <si>
    <t>Webmor - Assessoria de vendas</t>
  </si>
  <si>
    <t>Mystery Project</t>
  </si>
  <si>
    <t>Oferta⚡Premium</t>
  </si>
  <si>
    <t>Canales3y7</t>
  </si>
  <si>
    <t>André Silva</t>
  </si>
  <si>
    <t>Empleo - Lansare</t>
  </si>
  <si>
    <t>Erlan Diseño Gráfico en Multimedia</t>
  </si>
  <si>
    <t>Meu Crediário</t>
  </si>
  <si>
    <t>IP Force - Pabx Virtual - Pabx Inteligente</t>
  </si>
  <si>
    <t>Radio 3 Trelew AM780</t>
  </si>
  <si>
    <t>𝙀𝙡 𝙋𝙤𝙡𝙡𝙤 𝘿𝙚 𝙊𝙧𝙤</t>
  </si>
  <si>
    <t>Arthur Shelby Jr</t>
  </si>
  <si>
    <t>César Lechuga</t>
  </si>
  <si>
    <t>Academia Fórmate</t>
  </si>
  <si>
    <t>JE Image</t>
  </si>
  <si>
    <t>Marcrix Noticias</t>
  </si>
  <si>
    <t>Yaku Consultora</t>
  </si>
  <si>
    <t>Adapta.tech</t>
  </si>
  <si>
    <t>Report Consult</t>
  </si>
  <si>
    <t>Raphael Córdova</t>
  </si>
  <si>
    <t>Zaloalo</t>
  </si>
  <si>
    <t>El Guardian Del Aliento</t>
  </si>
  <si>
    <t>RÁDIO STUDIO BR</t>
  </si>
  <si>
    <t>Katy</t>
  </si>
  <si>
    <t>S.D.H</t>
  </si>
  <si>
    <t>Vinicius Di Ferreira</t>
  </si>
  <si>
    <t>Andrea Puschinni</t>
  </si>
  <si>
    <t>Rasinka</t>
  </si>
  <si>
    <t>YouTube</t>
  </si>
  <si>
    <t>MeeeeeGusta</t>
  </si>
  <si>
    <t>Ela🌻</t>
  </si>
  <si>
    <t>VozAVozColombia</t>
  </si>
  <si>
    <t>Michelle Navarro</t>
  </si>
  <si>
    <t>Ameerica</t>
  </si>
  <si>
    <t>Empleolandia</t>
  </si>
  <si>
    <t>Eduardo F. Rodrigues</t>
  </si>
  <si>
    <t>Mauricio Zapata</t>
  </si>
  <si>
    <t>ChatGuru</t>
  </si>
  <si>
    <t>CENTURY 21 Gold Team</t>
  </si>
  <si>
    <t>MARCOS VINÍCIUS DE SOUZA OLIVEIRA</t>
  </si>
  <si>
    <t>Taislainy</t>
  </si>
  <si>
    <t>CPTM</t>
  </si>
  <si>
    <t>The Sauce</t>
  </si>
  <si>
    <t>Rick</t>
  </si>
  <si>
    <t>Focus</t>
  </si>
  <si>
    <t>Consultores De Productividad</t>
  </si>
  <si>
    <t>Milagros García</t>
  </si>
  <si>
    <t>Yess Agência Web | Criação de Sites | Loja Virtual</t>
  </si>
  <si>
    <t>David Arriaga</t>
  </si>
  <si>
    <t>Gustavo</t>
  </si>
  <si>
    <t>JULINHO</t>
  </si>
  <si>
    <t>Miguel Tzompantzi/Mortgage</t>
  </si>
  <si>
    <t>RhPlanningMX</t>
  </si>
  <si>
    <t>Vacantes #NoEstásSolo Mx</t>
  </si>
  <si>
    <t>💚La de RH 💜</t>
  </si>
  <si>
    <t>Los Caza Vacantes 🦹‍♀️🦸‍♀️🦹</t>
  </si>
  <si>
    <t>Fátima Vázquez Digital</t>
  </si>
  <si>
    <t>LIVY Gestión de Talentos</t>
  </si>
  <si>
    <t>PoderMail.com</t>
  </si>
  <si>
    <t>El hombre es, por naturaleza, un animal político</t>
  </si>
  <si>
    <t>Gru-Caps</t>
  </si>
  <si>
    <t>Evandro Bassil</t>
  </si>
  <si>
    <t>Asociación Tierras Sorianas del Cid</t>
  </si>
  <si>
    <t>+Empresas +Empleo +Rural</t>
  </si>
  <si>
    <t>Tierras del Cid</t>
  </si>
  <si>
    <t>libreriacapitulos</t>
  </si>
  <si>
    <t>Neto Porto</t>
  </si>
  <si>
    <t>Junior Portare</t>
  </si>
  <si>
    <t>I Love Ventas</t>
  </si>
  <si>
    <t>Fabio Nogueira</t>
  </si>
  <si>
    <t>Pavinatto</t>
  </si>
  <si>
    <t>Rogerio Morgado (selo azul)</t>
  </si>
  <si>
    <t>Revista TMX</t>
  </si>
  <si>
    <t>Gobierno de Tlalnepantla</t>
  </si>
  <si>
    <t>inmo informativo</t>
  </si>
  <si>
    <t>Terceirização Evidence One &amp; Curso Andre G.</t>
  </si>
  <si>
    <t>TheBonnerMx</t>
  </si>
  <si>
    <t>Wilfredo Carrillo.</t>
  </si>
  <si>
    <t>Luis Fuenmayor Toro</t>
  </si>
  <si>
    <t>Jornal Somos</t>
  </si>
  <si>
    <t>Reclutamiento Irapuato Centro</t>
  </si>
  <si>
    <t>Eric Obed SDL/CaminoPróspero</t>
  </si>
  <si>
    <t>Marcela Gonzalez</t>
  </si>
  <si>
    <t>andre val</t>
  </si>
  <si>
    <t>Radio Sol 103.9 FM</t>
  </si>
  <si>
    <t>Blog do Hiel Levy</t>
  </si>
  <si>
    <t>Mya Gastelum - Bonito.</t>
  </si>
  <si>
    <t>Ricardo Buse</t>
  </si>
  <si>
    <t>Gôndola</t>
  </si>
  <si>
    <t>Luiz R</t>
  </si>
  <si>
    <t>Arlisson∴</t>
  </si>
  <si>
    <t>Brainstorm LABS</t>
  </si>
  <si>
    <t>Alcalá Rodríguez</t>
  </si>
  <si>
    <t>Camila y andres</t>
  </si>
  <si>
    <t>Israel Aguillón</t>
  </si>
  <si>
    <t>ManpowerGroup Brasil</t>
  </si>
  <si>
    <t>money</t>
  </si>
  <si>
    <t>Guilherme Terrengui</t>
  </si>
  <si>
    <t>OGMAN Tuberías Inoxidables, S.A. de C.V.</t>
  </si>
  <si>
    <t>Gustavo D´Orazio</t>
  </si>
  <si>
    <t>Truckvan</t>
  </si>
  <si>
    <t>Abraham Hold</t>
  </si>
  <si>
    <t>analisisbrokers</t>
  </si>
  <si>
    <t>ARAVANLABS</t>
  </si>
  <si>
    <t>Blog Market</t>
  </si>
  <si>
    <t>Agência PSD</t>
  </si>
  <si>
    <t>CrisBIENPEGAOespinosa</t>
  </si>
  <si>
    <t>LocalApp</t>
  </si>
  <si>
    <t>Mitoraiam</t>
  </si>
  <si>
    <t>👉#Dionisio Melo</t>
  </si>
  <si>
    <t>PlantillasCV</t>
  </si>
  <si>
    <t>luisamany</t>
  </si>
  <si>
    <t>Guardia Civil Navarra 🇪🇸</t>
  </si>
  <si>
    <t>Gustavo Aron StorLabs</t>
  </si>
  <si>
    <t>Floraida</t>
  </si>
  <si>
    <t>Daniel Alvarez Rojas</t>
  </si>
  <si>
    <t>Reporte Ya</t>
  </si>
  <si>
    <t>Helios Herrera</t>
  </si>
  <si>
    <t>Cooperativas Agro-alimentarias de Andalucía</t>
  </si>
  <si>
    <t>Leandro</t>
  </si>
  <si>
    <t>Grupo New Company</t>
  </si>
  <si>
    <t>Paula Ocampo</t>
  </si>
  <si>
    <t>Wesllei Luza</t>
  </si>
  <si>
    <t>KiKemultiple</t>
  </si>
  <si>
    <t>Alex Trindade</t>
  </si>
  <si>
    <t>Cursor Informativo</t>
  </si>
  <si>
    <t>Resultado com Tráfego</t>
  </si>
  <si>
    <t>Lucas Honda</t>
  </si>
  <si>
    <t>muel</t>
  </si>
  <si>
    <t>Personale</t>
  </si>
  <si>
    <t>Stephenson Grobério</t>
  </si>
  <si>
    <t>Logan Lyne</t>
  </si>
  <si>
    <t>Carmen Sanchez</t>
  </si>
  <si>
    <t>Cholloterapia.com 𝕏</t>
  </si>
  <si>
    <t>Luciano Severo</t>
  </si>
  <si>
    <t>Netma</t>
  </si>
  <si>
    <t>Coach Héctor Peña ®️</t>
  </si>
  <si>
    <t>Roger Velayarce</t>
  </si>
  <si>
    <t>Vincenzo Collezione</t>
  </si>
  <si>
    <t>Luis Ernesto Olave V</t>
  </si>
  <si>
    <t>Consejo de Estado</t>
  </si>
  <si>
    <t>Top Ip Computadores</t>
  </si>
  <si>
    <t>Coach Bety Galván</t>
  </si>
  <si>
    <t>Daniel Rodríguez</t>
  </si>
  <si>
    <t>kv</t>
  </si>
  <si>
    <t>SALESLAND</t>
  </si>
  <si>
    <t>João Serpa Santos</t>
  </si>
  <si>
    <t>Franco Valério Mota Pereira</t>
  </si>
  <si>
    <t>Yuko Torii</t>
  </si>
  <si>
    <t>#Bitcoin</t>
  </si>
  <si>
    <t>Araa Reclutamiento</t>
  </si>
  <si>
    <t>Paola Ramos</t>
  </si>
  <si>
    <t>Erik Penna</t>
  </si>
  <si>
    <t>Carlos Eduardo González</t>
  </si>
  <si>
    <t>Quality Assist</t>
  </si>
  <si>
    <t>João Natas 🇧🇷 🇺🇸</t>
  </si>
  <si>
    <t>ANDÍA 🇪🇦</t>
  </si>
  <si>
    <t>AsismedL</t>
  </si>
  <si>
    <t>Saneamento Básico</t>
  </si>
  <si>
    <t>Rafa Piña</t>
  </si>
  <si>
    <t>Business Insider España</t>
  </si>
  <si>
    <t>TELEDIARIO GUATEMALA</t>
  </si>
  <si>
    <t>Cyro Gabriel Mello</t>
  </si>
  <si>
    <t>Lucas Toledo</t>
  </si>
  <si>
    <t>Alejandro Z</t>
  </si>
  <si>
    <t>contigosiemprehaymagia</t>
  </si>
  <si>
    <t>AJE Global</t>
  </si>
  <si>
    <t>Lukas Jumiz</t>
  </si>
  <si>
    <t>berth99 Studio</t>
  </si>
  <si>
    <t>Diego oliveira</t>
  </si>
  <si>
    <t>Lisa Souza dos santos</t>
  </si>
  <si>
    <t>Senador Kajuru</t>
  </si>
  <si>
    <t>Contralínea</t>
  </si>
  <si>
    <t>WORTEV</t>
  </si>
  <si>
    <t>ASAP_News</t>
  </si>
  <si>
    <t>Pronavicola S.A.S</t>
  </si>
  <si>
    <t>Flouds - Performance Digital</t>
  </si>
  <si>
    <t>Miscorp</t>
  </si>
  <si>
    <t>Consejo Gral. COAPI</t>
  </si>
  <si>
    <t>Caro Rico</t>
  </si>
  <si>
    <t>Fernando Vítolo</t>
  </si>
  <si>
    <t>Heródoto Barbeiro</t>
  </si>
  <si>
    <t>Fer Rendón</t>
  </si>
  <si>
    <t>LO QUE TE MOTIVA</t>
  </si>
  <si>
    <t>ABRA-NOTICIAS</t>
  </si>
  <si>
    <t>Ideas y Contenidos</t>
  </si>
  <si>
    <t>Sin Nafta</t>
  </si>
  <si>
    <t>@ɢʀsɪʟᴇɴɢᴇɴʜᴀʀɪᴀ</t>
  </si>
  <si>
    <t>Julio Lozoya</t>
  </si>
  <si>
    <t>André Luís</t>
  </si>
  <si>
    <t>Peça Grigo</t>
  </si>
  <si>
    <t>Miguel Quina Ribeiro</t>
  </si>
  <si>
    <t>Edwin_NR</t>
  </si>
  <si>
    <t>UP! Promotion</t>
  </si>
  <si>
    <t>fernando.diaz🇨🇴🌷</t>
  </si>
  <si>
    <t>t@ctil_pro</t>
  </si>
  <si>
    <t>Karin Pedezert</t>
  </si>
  <si>
    <t>digital_arts_photo</t>
  </si>
  <si>
    <t>Russell Brunson</t>
  </si>
  <si>
    <t>felipe</t>
  </si>
  <si>
    <t>Radio SONORA 96.9 FM</t>
  </si>
  <si>
    <t>Helder Willian</t>
  </si>
  <si>
    <t>Carlos Santos Vencedor</t>
  </si>
  <si>
    <t>Business InterChallenge</t>
  </si>
  <si>
    <t>Fernando Coral</t>
  </si>
  <si>
    <t>Samuel Fogaça</t>
  </si>
  <si>
    <t>El Cuco Digital</t>
  </si>
  <si>
    <t>RENATO EUSTÁQUIO PINTO MOTA</t>
  </si>
  <si>
    <t>ATX Business Solutions</t>
  </si>
  <si>
    <t>Reclu IT</t>
  </si>
  <si>
    <t>Gustavo Dost</t>
  </si>
  <si>
    <t>Flexibleos</t>
  </si>
  <si>
    <t>DVS Editora</t>
  </si>
  <si>
    <t>SNE Tamaulipas</t>
  </si>
  <si>
    <t>Performando Vidas</t>
  </si>
  <si>
    <t>Rogério Moura</t>
  </si>
  <si>
    <t>Rogério Moura Imobiliária</t>
  </si>
  <si>
    <t>El Caribe</t>
  </si>
  <si>
    <t>PICA PERU PUBLICIDAD</t>
  </si>
  <si>
    <t>Emma Gonzalez</t>
  </si>
  <si>
    <t>08dejaneiro foi armado pela esquerda.</t>
  </si>
  <si>
    <t>Óscar Fdez. Orellana</t>
  </si>
  <si>
    <t>Francisco Guedes</t>
  </si>
  <si>
    <t>Jose Maria Vich</t>
  </si>
  <si>
    <t>Diego Iturralde Rivadeneira ✪</t>
  </si>
  <si>
    <t>Constanza Ibieta</t>
  </si>
  <si>
    <t>Hero Midia</t>
  </si>
  <si>
    <t>Luis F.P. Freitas</t>
  </si>
  <si>
    <t>Diario del Yaqui</t>
  </si>
  <si>
    <t>Vexado</t>
  </si>
  <si>
    <t>lorenzo busato</t>
  </si>
  <si>
    <t>Festival de la Copla</t>
  </si>
  <si>
    <t>EVOVEND</t>
  </si>
  <si>
    <t>Chapin TV</t>
  </si>
  <si>
    <t>Vanessa Almeida</t>
  </si>
  <si>
    <t>TVeo Canal 41</t>
  </si>
  <si>
    <t>Novedades de Bolivia</t>
  </si>
  <si>
    <t>Pamplinas</t>
  </si>
  <si>
    <t>Diego Candi</t>
  </si>
  <si>
    <t>Roberto Orozco Solorio</t>
  </si>
  <si>
    <t>Laura Varó Pastor</t>
  </si>
  <si>
    <t>Xiit_tv</t>
  </si>
  <si>
    <t>Diana</t>
  </si>
  <si>
    <t>pro$peridade Recorrente</t>
  </si>
  <si>
    <t>Humano en Desarrollo</t>
  </si>
  <si>
    <t>Carlos Gómez</t>
  </si>
  <si>
    <t>Rodrigo Baldoino</t>
  </si>
  <si>
    <t>JoseLuisSalta</t>
  </si>
  <si>
    <t>LMNeuquén</t>
  </si>
  <si>
    <t>David Utrilla</t>
  </si>
  <si>
    <t>ActionClient</t>
  </si>
  <si>
    <t>Pato-iqq</t>
  </si>
  <si>
    <t>Yezennia 🏳️‍🌈</t>
  </si>
  <si>
    <t>Daniel Ponce G</t>
  </si>
  <si>
    <t>Riomafra Mix</t>
  </si>
  <si>
    <t>Josue del Rio</t>
  </si>
  <si>
    <t>Sua Vaga</t>
  </si>
  <si>
    <t>Leandro Branquinho</t>
  </si>
  <si>
    <t>KARITE ®️</t>
  </si>
  <si>
    <t>Claudio Orrego L.</t>
  </si>
  <si>
    <t>Carolina Tohá</t>
  </si>
  <si>
    <t>Gabriel Boric Font</t>
  </si>
  <si>
    <t>Jeannette Jara Román</t>
  </si>
  <si>
    <t>Keep Growing</t>
  </si>
  <si>
    <t>ASEFARMA CONSULTORIA</t>
  </si>
  <si>
    <t>El Economista</t>
  </si>
  <si>
    <t>Trabajo Desde Casa</t>
  </si>
  <si>
    <t>Fastcommerce</t>
  </si>
  <si>
    <t>DGS treinamentos</t>
  </si>
  <si>
    <t>jordidiceoficial</t>
  </si>
  <si>
    <t>PMGarcia</t>
  </si>
  <si>
    <t>Ana Lucia Nicolau</t>
  </si>
  <si>
    <t>Elizabeth Morales</t>
  </si>
  <si>
    <t>Ene😏</t>
  </si>
  <si>
    <t>Claudel Vlogs</t>
  </si>
  <si>
    <t>Vendedor Todo Terreno</t>
  </si>
  <si>
    <t>Diario El Vistazo</t>
  </si>
  <si>
    <t>Madavi</t>
  </si>
  <si>
    <t>Ana Rivas. (La InnovadoraSV)</t>
  </si>
  <si>
    <t>♡Ruby comisiones abiertas!♡</t>
  </si>
  <si>
    <t>Periódico Enfoque</t>
  </si>
  <si>
    <t>Liberal y Arjona</t>
  </si>
  <si>
    <t>Filiperosan</t>
  </si>
  <si>
    <t>Romulo Fernandes</t>
  </si>
  <si>
    <t>Legal Caps 💊</t>
  </si>
  <si>
    <t>COHACER S.C. / UNIDHO</t>
  </si>
  <si>
    <t>Jonatan Marcelo</t>
  </si>
  <si>
    <t>LUIS MANUEL CHIRINO</t>
  </si>
  <si>
    <t>Huntee</t>
  </si>
  <si>
    <t>Chucho Lemus/عيسى</t>
  </si>
  <si>
    <t>Val Pereira</t>
  </si>
  <si>
    <t>Javier Velázquez</t>
  </si>
  <si>
    <t>Daniel A. Portillo Ávila</t>
  </si>
  <si>
    <t>Olimpia Avila</t>
  </si>
  <si>
    <t>Angel Sainz</t>
  </si>
  <si>
    <t>Agencia Internet</t>
  </si>
  <si>
    <t>LABORATORIO CENTRAL REGIONAL DEL NORTE</t>
  </si>
  <si>
    <t>Vida que Segue!</t>
  </si>
  <si>
    <t>Chema</t>
  </si>
  <si>
    <t>Nextthouse</t>
  </si>
  <si>
    <t>Andres Peñaranda Benavides</t>
  </si>
  <si>
    <t>Blog P. da Notícia</t>
  </si>
  <si>
    <t>Empleos del Eje</t>
  </si>
  <si>
    <t>KPMusic Radio Gospel</t>
  </si>
  <si>
    <t>Rafael Junqueira</t>
  </si>
  <si>
    <t>INFO Paraguay</t>
  </si>
  <si>
    <t>Soledad Arias Producciones</t>
  </si>
  <si>
    <t>Jonas - Advogado de CER</t>
  </si>
  <si>
    <t>RedEdomex</t>
  </si>
  <si>
    <t>Telecable Central</t>
  </si>
  <si>
    <t>Pablo Ayala García (Soluciones de Mediación)</t>
  </si>
  <si>
    <t>MigraNoticias</t>
  </si>
  <si>
    <t>Luisillo El Pillo</t>
  </si>
  <si>
    <t>ESIC Editorial</t>
  </si>
  <si>
    <t>Retail Actual</t>
  </si>
  <si>
    <t>Raquel Davó</t>
  </si>
  <si>
    <t>JC Jiménez</t>
  </si>
  <si>
    <t>Veneziano Lopes</t>
  </si>
  <si>
    <t>MotorVirtualGT</t>
  </si>
  <si>
    <t>Diario Jornada</t>
  </si>
  <si>
    <t>Comunidade Emprego</t>
  </si>
  <si>
    <t>Costenses.com</t>
  </si>
  <si>
    <t>Infoempleo</t>
  </si>
  <si>
    <t>Gaia Servicios Ambientales🌎</t>
  </si>
  <si>
    <t>Alcaldía de Pasto</t>
  </si>
  <si>
    <t>Catalina Suárez B.</t>
  </si>
  <si>
    <t>La Plaza</t>
  </si>
  <si>
    <t>114080569</t>
  </si>
  <si>
    <t>36154972</t>
  </si>
  <si>
    <t>121165363</t>
  </si>
  <si>
    <t>1148707721878724609</t>
  </si>
  <si>
    <t>284730539</t>
  </si>
  <si>
    <t>38048457</t>
  </si>
  <si>
    <t>3011651160</t>
  </si>
  <si>
    <t>614439896</t>
  </si>
  <si>
    <t>229755560</t>
  </si>
  <si>
    <t>1403108989</t>
  </si>
  <si>
    <t>90764542</t>
  </si>
  <si>
    <t>1078618844007157761</t>
  </si>
  <si>
    <t>66762139</t>
  </si>
  <si>
    <t>2586456380</t>
  </si>
  <si>
    <t>1163980980832657413</t>
  </si>
  <si>
    <t>718071853483499520</t>
  </si>
  <si>
    <t>716711347</t>
  </si>
  <si>
    <t>67714638</t>
  </si>
  <si>
    <t>2906124993</t>
  </si>
  <si>
    <t>480409304</t>
  </si>
  <si>
    <t>573931223</t>
  </si>
  <si>
    <t>373377774</t>
  </si>
  <si>
    <t>20206391</t>
  </si>
  <si>
    <t>2438691806</t>
  </si>
  <si>
    <t>89245396</t>
  </si>
  <si>
    <t>54045693</t>
  </si>
  <si>
    <t>14774492</t>
  </si>
  <si>
    <t>104849154</t>
  </si>
  <si>
    <t>1058867252</t>
  </si>
  <si>
    <t>151154260</t>
  </si>
  <si>
    <t>358821720</t>
  </si>
  <si>
    <t>89425272</t>
  </si>
  <si>
    <t>716794968</t>
  </si>
  <si>
    <t>15141406</t>
  </si>
  <si>
    <t>53212118</t>
  </si>
  <si>
    <t>4059092172</t>
  </si>
  <si>
    <t>420522863</t>
  </si>
  <si>
    <t>104871338</t>
  </si>
  <si>
    <t>539604404</t>
  </si>
  <si>
    <t>917969348</t>
  </si>
  <si>
    <t>184827671</t>
  </si>
  <si>
    <t>515532764</t>
  </si>
  <si>
    <t>323976567</t>
  </si>
  <si>
    <t>1284318817</t>
  </si>
  <si>
    <t>78655984</t>
  </si>
  <si>
    <t>575591153</t>
  </si>
  <si>
    <t>53469538</t>
  </si>
  <si>
    <t>142503243</t>
  </si>
  <si>
    <t>618016478</t>
  </si>
  <si>
    <t>582994607</t>
  </si>
  <si>
    <t>872529876</t>
  </si>
  <si>
    <t>116532718</t>
  </si>
  <si>
    <t>1373645792</t>
  </si>
  <si>
    <t>35977487</t>
  </si>
  <si>
    <t>2920803034</t>
  </si>
  <si>
    <t>425775741</t>
  </si>
  <si>
    <t>310300954</t>
  </si>
  <si>
    <t>495305816</t>
  </si>
  <si>
    <t>40516850</t>
  </si>
  <si>
    <t>180753979</t>
  </si>
  <si>
    <t>1513550102</t>
  </si>
  <si>
    <t>141254528</t>
  </si>
  <si>
    <t>2331579193</t>
  </si>
  <si>
    <t>418164694</t>
  </si>
  <si>
    <t>818879226405416960</t>
  </si>
  <si>
    <t>1455232789008326664</t>
  </si>
  <si>
    <t>927700033</t>
  </si>
  <si>
    <t>16928737</t>
  </si>
  <si>
    <t>873118687493996546</t>
  </si>
  <si>
    <t>115608265</t>
  </si>
  <si>
    <t>19712873</t>
  </si>
  <si>
    <t>129378941</t>
  </si>
  <si>
    <t>92356864</t>
  </si>
  <si>
    <t>144326499</t>
  </si>
  <si>
    <t>155422289</t>
  </si>
  <si>
    <t>48101376</t>
  </si>
  <si>
    <t>559983863</t>
  </si>
  <si>
    <t>302681844</t>
  </si>
  <si>
    <t>4836718427</t>
  </si>
  <si>
    <t>31141520</t>
  </si>
  <si>
    <t>106837463</t>
  </si>
  <si>
    <t>1037320945</t>
  </si>
  <si>
    <t>2819148746</t>
  </si>
  <si>
    <t>111740133</t>
  </si>
  <si>
    <t>722519868</t>
  </si>
  <si>
    <t>4756262358</t>
  </si>
  <si>
    <t>374217830</t>
  </si>
  <si>
    <t>111669550</t>
  </si>
  <si>
    <t>47529845</t>
  </si>
  <si>
    <t>1470083264</t>
  </si>
  <si>
    <t>358195737</t>
  </si>
  <si>
    <t>990945925</t>
  </si>
  <si>
    <t>266828087</t>
  </si>
  <si>
    <t>737371927</t>
  </si>
  <si>
    <t>2360486732</t>
  </si>
  <si>
    <t>4857804755</t>
  </si>
  <si>
    <t>39973121</t>
  </si>
  <si>
    <t>118241786</t>
  </si>
  <si>
    <t>1350628897</t>
  </si>
  <si>
    <t>185164195</t>
  </si>
  <si>
    <t>2937614243</t>
  </si>
  <si>
    <t>2423877002</t>
  </si>
  <si>
    <t>1299158322</t>
  </si>
  <si>
    <t>339081837</t>
  </si>
  <si>
    <t>51064041</t>
  </si>
  <si>
    <t>4748714775</t>
  </si>
  <si>
    <t>1551930840166404100</t>
  </si>
  <si>
    <t>978176210</t>
  </si>
  <si>
    <t>339183332</t>
  </si>
  <si>
    <t>3240648647</t>
  </si>
  <si>
    <t>125691411</t>
  </si>
  <si>
    <t>378297502</t>
  </si>
  <si>
    <t>39816068</t>
  </si>
  <si>
    <t>864623726</t>
  </si>
  <si>
    <t>72071626</t>
  </si>
  <si>
    <t>44903</t>
  </si>
  <si>
    <t>54290021</t>
  </si>
  <si>
    <t>487967183</t>
  </si>
  <si>
    <t>300390462</t>
  </si>
  <si>
    <t>62095109</t>
  </si>
  <si>
    <t>183336881</t>
  </si>
  <si>
    <t>444142948</t>
  </si>
  <si>
    <t>133925507</t>
  </si>
  <si>
    <t>65728582</t>
  </si>
  <si>
    <t>493423213</t>
  </si>
  <si>
    <t>147349512</t>
  </si>
  <si>
    <t>2337128700</t>
  </si>
  <si>
    <t>927539245</t>
  </si>
  <si>
    <t>907864669796421633</t>
  </si>
  <si>
    <t>94335803</t>
  </si>
  <si>
    <t>2670726740</t>
  </si>
  <si>
    <t>17752026</t>
  </si>
  <si>
    <t>1043615581973499904</t>
  </si>
  <si>
    <t>33071040</t>
  </si>
  <si>
    <t>138063234</t>
  </si>
  <si>
    <t>56373582</t>
  </si>
  <si>
    <t>3234862012</t>
  </si>
  <si>
    <t>68411658</t>
  </si>
  <si>
    <t>142793710</t>
  </si>
  <si>
    <t>1921207146</t>
  </si>
  <si>
    <t>110128937</t>
  </si>
  <si>
    <t>93685241</t>
  </si>
  <si>
    <t>222234533</t>
  </si>
  <si>
    <t>1148574218</t>
  </si>
  <si>
    <t>908917442</t>
  </si>
  <si>
    <t>1283819986356756481</t>
  </si>
  <si>
    <t>178038914</t>
  </si>
  <si>
    <t>842098812</t>
  </si>
  <si>
    <t>84615197</t>
  </si>
  <si>
    <t>102206860</t>
  </si>
  <si>
    <t>1158856942456049666</t>
  </si>
  <si>
    <t>975260683918036992</t>
  </si>
  <si>
    <t>20261685</t>
  </si>
  <si>
    <t>300359676</t>
  </si>
  <si>
    <t>1294701476439187458</t>
  </si>
  <si>
    <t>85383413</t>
  </si>
  <si>
    <t>140144336</t>
  </si>
  <si>
    <t>294798908</t>
  </si>
  <si>
    <t>119107732</t>
  </si>
  <si>
    <t>3368950330</t>
  </si>
  <si>
    <t>4514931041</t>
  </si>
  <si>
    <t>142218758</t>
  </si>
  <si>
    <t>176059987</t>
  </si>
  <si>
    <t>310300658</t>
  </si>
  <si>
    <t>101472210</t>
  </si>
  <si>
    <t>156391967</t>
  </si>
  <si>
    <t>100163645</t>
  </si>
  <si>
    <t>15850306</t>
  </si>
  <si>
    <t>2184751331</t>
  </si>
  <si>
    <t>14517686</t>
  </si>
  <si>
    <t>145250574</t>
  </si>
  <si>
    <t>44069148</t>
  </si>
  <si>
    <t>703440234</t>
  </si>
  <si>
    <t>19333798</t>
  </si>
  <si>
    <t>24393381</t>
  </si>
  <si>
    <t>218656539</t>
  </si>
  <si>
    <t>32920184</t>
  </si>
  <si>
    <t>329857969</t>
  </si>
  <si>
    <t>1224438625758261255</t>
  </si>
  <si>
    <t>1362501875082420230</t>
  </si>
  <si>
    <t>39355971</t>
  </si>
  <si>
    <t>408407234</t>
  </si>
  <si>
    <t>4526577023</t>
  </si>
  <si>
    <t>48117689</t>
  </si>
  <si>
    <t>554088474</t>
  </si>
  <si>
    <t>510470074</t>
  </si>
  <si>
    <t>175514011</t>
  </si>
  <si>
    <t>137503362</t>
  </si>
  <si>
    <t>99685581</t>
  </si>
  <si>
    <t>2880211492</t>
  </si>
  <si>
    <t>197290362</t>
  </si>
  <si>
    <t>23374235</t>
  </si>
  <si>
    <t>91282224</t>
  </si>
  <si>
    <t>558847647</t>
  </si>
  <si>
    <t>180131071</t>
  </si>
  <si>
    <t>201370856</t>
  </si>
  <si>
    <t>209107747</t>
  </si>
  <si>
    <t>4778265077</t>
  </si>
  <si>
    <t>233927179</t>
  </si>
  <si>
    <t>154145814</t>
  </si>
  <si>
    <t>296374541</t>
  </si>
  <si>
    <t>1264016365</t>
  </si>
  <si>
    <t>4287177953</t>
  </si>
  <si>
    <t>66361482</t>
  </si>
  <si>
    <t>69145133</t>
  </si>
  <si>
    <t>2789874721</t>
  </si>
  <si>
    <t>123353550</t>
  </si>
  <si>
    <t>4923654153</t>
  </si>
  <si>
    <t>565777137</t>
  </si>
  <si>
    <t>1319347568</t>
  </si>
  <si>
    <t>847485008</t>
  </si>
  <si>
    <t>257684066</t>
  </si>
  <si>
    <t>1485747904908300288</t>
  </si>
  <si>
    <t>335604919</t>
  </si>
  <si>
    <t>491321457</t>
  </si>
  <si>
    <t>2394731286</t>
  </si>
  <si>
    <t>2333499318</t>
  </si>
  <si>
    <t>1697948995</t>
  </si>
  <si>
    <t>185211456</t>
  </si>
  <si>
    <t>215475724</t>
  </si>
  <si>
    <t>272584806</t>
  </si>
  <si>
    <t>1653727837</t>
  </si>
  <si>
    <t>89337149</t>
  </si>
  <si>
    <t>367024615</t>
  </si>
  <si>
    <t>2923557713</t>
  </si>
  <si>
    <t>10228272</t>
  </si>
  <si>
    <t>331927614</t>
  </si>
  <si>
    <t>82396150</t>
  </si>
  <si>
    <t>1278333337</t>
  </si>
  <si>
    <t>70398189</t>
  </si>
  <si>
    <t>3050174172</t>
  </si>
  <si>
    <t>4217513265</t>
  </si>
  <si>
    <t>214195415</t>
  </si>
  <si>
    <t>76388353</t>
  </si>
  <si>
    <t>164289162</t>
  </si>
  <si>
    <t>1293009538531176448</t>
  </si>
  <si>
    <t>1225261955591610369</t>
  </si>
  <si>
    <t>1295482238784516097</t>
  </si>
  <si>
    <t>320827683</t>
  </si>
  <si>
    <t>4069638868</t>
  </si>
  <si>
    <t>51470700</t>
  </si>
  <si>
    <t>1586497441</t>
  </si>
  <si>
    <t>386486802</t>
  </si>
  <si>
    <t>72296051</t>
  </si>
  <si>
    <t>187028062</t>
  </si>
  <si>
    <t>19305403</t>
  </si>
  <si>
    <t>534887779</t>
  </si>
  <si>
    <t>1080091835526111232</t>
  </si>
  <si>
    <t>1146903338</t>
  </si>
  <si>
    <t>347598196</t>
  </si>
  <si>
    <t>50115826</t>
  </si>
  <si>
    <t>440894373</t>
  </si>
  <si>
    <t>208279699</t>
  </si>
  <si>
    <t>154624566</t>
  </si>
  <si>
    <t>73002095</t>
  </si>
  <si>
    <t>2788366193</t>
  </si>
  <si>
    <t>112745570</t>
  </si>
  <si>
    <t>43747250</t>
  </si>
  <si>
    <t>3000254967</t>
  </si>
  <si>
    <t>82439468</t>
  </si>
  <si>
    <t>2551290295</t>
  </si>
  <si>
    <t>363917446</t>
  </si>
  <si>
    <t>65393616</t>
  </si>
  <si>
    <t>4135683418</t>
  </si>
  <si>
    <t>87658476</t>
  </si>
  <si>
    <t>317860109</t>
  </si>
  <si>
    <t>2601201715</t>
  </si>
  <si>
    <t>1700572831</t>
  </si>
  <si>
    <t>186023611</t>
  </si>
  <si>
    <t>2798288803</t>
  </si>
  <si>
    <t>902006257</t>
  </si>
  <si>
    <t>4760763774</t>
  </si>
  <si>
    <t>14206050</t>
  </si>
  <si>
    <t>569194306</t>
  </si>
  <si>
    <t>55236645</t>
  </si>
  <si>
    <t>2540707132</t>
  </si>
  <si>
    <t>309857122</t>
  </si>
  <si>
    <t>274675704</t>
  </si>
  <si>
    <t>81754478</t>
  </si>
  <si>
    <t>3062049106</t>
  </si>
  <si>
    <t>157084932</t>
  </si>
  <si>
    <t>190713465</t>
  </si>
  <si>
    <t>580948292</t>
  </si>
  <si>
    <t>57179740</t>
  </si>
  <si>
    <t>227835275</t>
  </si>
  <si>
    <t>297322947</t>
  </si>
  <si>
    <t>269829929</t>
  </si>
  <si>
    <t>3298292592</t>
  </si>
  <si>
    <t>18986818</t>
  </si>
  <si>
    <t>2340159666</t>
  </si>
  <si>
    <t>2572443301</t>
  </si>
  <si>
    <t>3349230734</t>
  </si>
  <si>
    <t>141961556</t>
  </si>
  <si>
    <t>864724308</t>
  </si>
  <si>
    <t>2490429660</t>
  </si>
  <si>
    <t>66441568</t>
  </si>
  <si>
    <t>168141341</t>
  </si>
  <si>
    <t>702174188405178368</t>
  </si>
  <si>
    <t>74015550</t>
  </si>
  <si>
    <t>57072817</t>
  </si>
  <si>
    <t>346636216</t>
  </si>
  <si>
    <t>3353192079</t>
  </si>
  <si>
    <t>800908256</t>
  </si>
  <si>
    <t>28608099</t>
  </si>
  <si>
    <t>2840351843</t>
  </si>
  <si>
    <t>250160102</t>
  </si>
  <si>
    <t>2426147671</t>
  </si>
  <si>
    <t>599412370</t>
  </si>
  <si>
    <t>3239151573</t>
  </si>
  <si>
    <t>624863944</t>
  </si>
  <si>
    <t>80182692</t>
  </si>
  <si>
    <t>41843161</t>
  </si>
  <si>
    <t>267190341</t>
  </si>
  <si>
    <t>1146315194</t>
  </si>
  <si>
    <t>2867846249</t>
  </si>
  <si>
    <t>18564263</t>
  </si>
  <si>
    <t>3729465913</t>
  </si>
  <si>
    <t>288479890</t>
  </si>
  <si>
    <t>2407269804</t>
  </si>
  <si>
    <t>95443308</t>
  </si>
  <si>
    <t>15147630</t>
  </si>
  <si>
    <t>235605750</t>
  </si>
  <si>
    <t>44367018</t>
  </si>
  <si>
    <t>277150932</t>
  </si>
  <si>
    <t>254611669</t>
  </si>
  <si>
    <t>114741211</t>
  </si>
  <si>
    <t>73300504</t>
  </si>
  <si>
    <t>1618336122</t>
  </si>
  <si>
    <t>14452850</t>
  </si>
  <si>
    <t>73390489</t>
  </si>
  <si>
    <t>96980871</t>
  </si>
  <si>
    <t>555359108</t>
  </si>
  <si>
    <t>36958479</t>
  </si>
  <si>
    <t>1228954766</t>
  </si>
  <si>
    <t>390737687</t>
  </si>
  <si>
    <t>135049513</t>
  </si>
  <si>
    <t>330255306</t>
  </si>
  <si>
    <t>217581644</t>
  </si>
  <si>
    <t>1464185177064853504</t>
  </si>
  <si>
    <t>3346566197</t>
  </si>
  <si>
    <t>107265881</t>
  </si>
  <si>
    <t>24704755</t>
  </si>
  <si>
    <t>69910132</t>
  </si>
  <si>
    <t>3362078833</t>
  </si>
  <si>
    <t>216018961</t>
  </si>
  <si>
    <t>305653088</t>
  </si>
  <si>
    <t>435767047</t>
  </si>
  <si>
    <t>81370619</t>
  </si>
  <si>
    <t>836025380</t>
  </si>
  <si>
    <t>114498335</t>
  </si>
  <si>
    <t>133714571</t>
  </si>
  <si>
    <t>198483525</t>
  </si>
  <si>
    <t>60425748</t>
  </si>
  <si>
    <t>246290198</t>
  </si>
  <si>
    <t>227534134</t>
  </si>
  <si>
    <t>15049365</t>
  </si>
  <si>
    <t>136034867</t>
  </si>
  <si>
    <t>73981088</t>
  </si>
  <si>
    <t>814249401665417216</t>
  </si>
  <si>
    <t>133255614</t>
  </si>
  <si>
    <t>14917589</t>
  </si>
  <si>
    <t>356720462</t>
  </si>
  <si>
    <t>26531518</t>
  </si>
  <si>
    <t>58476421</t>
  </si>
  <si>
    <t>251630417</t>
  </si>
  <si>
    <t>363165131</t>
  </si>
  <si>
    <t>1108342304</t>
  </si>
  <si>
    <t>2193309186</t>
  </si>
  <si>
    <t>2906245017</t>
  </si>
  <si>
    <t>99141179</t>
  </si>
  <si>
    <t>535399848</t>
  </si>
  <si>
    <t>56862417</t>
  </si>
  <si>
    <t>221456779</t>
  </si>
  <si>
    <t>193558055</t>
  </si>
  <si>
    <t>242418860</t>
  </si>
  <si>
    <t>1097322061</t>
  </si>
  <si>
    <t>537725688</t>
  </si>
  <si>
    <t>63286137</t>
  </si>
  <si>
    <t>180640224</t>
  </si>
  <si>
    <t>872193572</t>
  </si>
  <si>
    <t>32910045</t>
  </si>
  <si>
    <t>313062616</t>
  </si>
  <si>
    <t>3234532213</t>
  </si>
  <si>
    <t>501112614</t>
  </si>
  <si>
    <t>96634419</t>
  </si>
  <si>
    <t>1344819794</t>
  </si>
  <si>
    <t>970720129</t>
  </si>
  <si>
    <t>2235262565</t>
  </si>
  <si>
    <t>250662294</t>
  </si>
  <si>
    <t>473803924</t>
  </si>
  <si>
    <t>14078973</t>
  </si>
  <si>
    <t>248721658</t>
  </si>
  <si>
    <t>118920290</t>
  </si>
  <si>
    <t>265752992</t>
  </si>
  <si>
    <t>2890071926</t>
  </si>
  <si>
    <t>Ciudad de México</t>
  </si>
  <si>
    <t>Guerrero México</t>
  </si>
  <si>
    <t>Chilpancingo Guerrero.</t>
  </si>
  <si>
    <t>Mexico</t>
  </si>
  <si>
    <t>Querétaro, México</t>
  </si>
  <si>
    <t>Guadalajara, Jalisco, México</t>
  </si>
  <si>
    <t>México, D.F.</t>
  </si>
  <si>
    <t>Mendoza, Argentina</t>
  </si>
  <si>
    <t>Linhares - ES</t>
  </si>
  <si>
    <t>Linhares, Brasil</t>
  </si>
  <si>
    <t>Avellaneda, Buenos Aires</t>
  </si>
  <si>
    <t>Colina, Chile</t>
  </si>
  <si>
    <t>Chile</t>
  </si>
  <si>
    <t>Latam</t>
  </si>
  <si>
    <t>Puerto Natales, Chile</t>
  </si>
  <si>
    <t>León</t>
  </si>
  <si>
    <t>España</t>
  </si>
  <si>
    <t>Monterrey N.L.</t>
  </si>
  <si>
    <t>Anápolis, Brasil</t>
  </si>
  <si>
    <t>Belo Horizonte, Brazil</t>
  </si>
  <si>
    <t>Latinoamérica</t>
  </si>
  <si>
    <t>Madrid, Comunidad de Madrid</t>
  </si>
  <si>
    <t>Sete Lagoas, Brasil</t>
  </si>
  <si>
    <t>United States</t>
  </si>
  <si>
    <t>Dominican Republic</t>
  </si>
  <si>
    <t>México, Distrito Federal</t>
  </si>
  <si>
    <t>Bogotá, D.C., Colombia</t>
  </si>
  <si>
    <t>San Francisco MF Bay</t>
  </si>
  <si>
    <t>Brasília, Brasil</t>
  </si>
  <si>
    <t>Cancun</t>
  </si>
  <si>
    <t>Guatemala</t>
  </si>
  <si>
    <t>Montevideo, Uruguay</t>
  </si>
  <si>
    <t>Europe/Latam</t>
  </si>
  <si>
    <t>Espaço Virtual - Mundo Luso</t>
  </si>
  <si>
    <t>Volta Redonda, Brasil</t>
  </si>
  <si>
    <t xml:space="preserve">Medellín, Antioquia </t>
  </si>
  <si>
    <t>Xalapa, Veracruz</t>
  </si>
  <si>
    <t>Brazil</t>
  </si>
  <si>
    <t>Golfo de Vizcaya #6, Tacuba.</t>
  </si>
  <si>
    <t>BCN, Madrid, Reus y Sitges.</t>
  </si>
  <si>
    <t>Buenos Aires, Argentina</t>
  </si>
  <si>
    <t>Los Angeles, CA</t>
  </si>
  <si>
    <t>Centro RJ e Abolição</t>
  </si>
  <si>
    <t>Vargas, Venezuela</t>
  </si>
  <si>
    <t>San Luis Potosí, SLP.</t>
  </si>
  <si>
    <t>Distrito Federal, Brasil</t>
  </si>
  <si>
    <t>chennai</t>
  </si>
  <si>
    <t>Punta Cana</t>
  </si>
  <si>
    <t>Ciudad Autónoma de Buenos Aire</t>
  </si>
  <si>
    <t>Asuncion, Paraguay</t>
  </si>
  <si>
    <t>Puebla, México</t>
  </si>
  <si>
    <t>São José do Rio Preto, Brasil</t>
  </si>
  <si>
    <t>New York, NY</t>
  </si>
  <si>
    <t>Uberlândia, Brasil</t>
  </si>
  <si>
    <t>Galicia, España</t>
  </si>
  <si>
    <t>Puebla, Pue.</t>
  </si>
  <si>
    <t>Paterna, España</t>
  </si>
  <si>
    <t>Salamanca</t>
  </si>
  <si>
    <t>Barquisimeto. Venezuela</t>
  </si>
  <si>
    <t>Salta, Capital</t>
  </si>
  <si>
    <t>CDMX, Benito Juarez</t>
  </si>
  <si>
    <t>Mijas, Spain</t>
  </si>
  <si>
    <t>Florianópolis (SC), Brasil.</t>
  </si>
  <si>
    <t>Latacunga, Ecuador</t>
  </si>
  <si>
    <t>Futuro em mãos</t>
  </si>
  <si>
    <t xml:space="preserve">Três Corações MG </t>
  </si>
  <si>
    <t>México df</t>
  </si>
  <si>
    <t>Shopping leblon</t>
  </si>
  <si>
    <t>Málaga, España</t>
  </si>
  <si>
    <t>Los Teques, Venezuela</t>
  </si>
  <si>
    <t>Cantabria</t>
  </si>
  <si>
    <t>NYC</t>
  </si>
  <si>
    <t>Porto Belo, Brasil</t>
  </si>
  <si>
    <t>Igualada, España</t>
  </si>
  <si>
    <t>Santos/SP - Brasil</t>
  </si>
  <si>
    <t>En algún lugar de la mancha</t>
  </si>
  <si>
    <t>Diamantina, Brasil</t>
  </si>
  <si>
    <t>Cordoba - Argentina</t>
  </si>
  <si>
    <t>Puebla, México.</t>
  </si>
  <si>
    <t>brasil</t>
  </si>
  <si>
    <t>San Francisco, CA</t>
  </si>
  <si>
    <t>Goiânia, Brasil</t>
  </si>
  <si>
    <t>¡GANA TIEMPO Y TRANQUILIDAD!</t>
  </si>
  <si>
    <t>Córdoba (Spain)</t>
  </si>
  <si>
    <t>Guayaquil, Ecuador</t>
  </si>
  <si>
    <t>Unite a +50000 líderes →</t>
  </si>
  <si>
    <t>San Salvador, El Salvador.🇸🇻</t>
  </si>
  <si>
    <t>Guayaquil - Quito</t>
  </si>
  <si>
    <t>Chicago, IL</t>
  </si>
  <si>
    <t xml:space="preserve">Rio de Janeiro, </t>
  </si>
  <si>
    <t>Medellín, Colombia</t>
  </si>
  <si>
    <t>Bogotá</t>
  </si>
  <si>
    <t>México D.F.</t>
  </si>
  <si>
    <t>Av. Amazonas y Robles</t>
  </si>
  <si>
    <t>Victoria Tamps, Mx</t>
  </si>
  <si>
    <t>Centro Citibanamex, México</t>
  </si>
  <si>
    <t xml:space="preserve">La Plata </t>
  </si>
  <si>
    <t>MRR  🟩🟩🟩🟨🟨🟨🟨🟨🟨🟨 R$5K</t>
  </si>
  <si>
    <t>Quito - Ecuador</t>
  </si>
  <si>
    <t>Teresina - Piauí</t>
  </si>
  <si>
    <t>Mejora tus ventas un 30% 💥</t>
  </si>
  <si>
    <t>𝐋𝐚 𝐏𝐚𝐳 𝐁.𝐂.𝐒</t>
  </si>
  <si>
    <t>San Salvador, El Salvador</t>
  </si>
  <si>
    <t>Aguascalientes, México</t>
  </si>
  <si>
    <t>Blumenau, Brasil</t>
  </si>
  <si>
    <t>Anápolis, Goiânia e região</t>
  </si>
  <si>
    <t>Dois Vizinhos, Brasil</t>
  </si>
  <si>
    <t>Isla de Margarita/ Caracas. Ve</t>
  </si>
  <si>
    <t>Barcelona, Spain</t>
  </si>
  <si>
    <t>Teresina, Brasil</t>
  </si>
  <si>
    <t>Celaya, Guanajuato</t>
  </si>
  <si>
    <t>León, León</t>
  </si>
  <si>
    <t>Betim, Brasil</t>
  </si>
  <si>
    <t>Tramandaí, RS, Brasil</t>
  </si>
  <si>
    <t>Santa Catarina - Blumenau</t>
  </si>
  <si>
    <t>Grande São Paulo</t>
  </si>
  <si>
    <t>Palma, España</t>
  </si>
  <si>
    <t>Mendoza</t>
  </si>
  <si>
    <t>Monterrey, N. L.</t>
  </si>
  <si>
    <t>Sevilla</t>
  </si>
  <si>
    <t>Luján</t>
  </si>
  <si>
    <t>Goiás - Brasil</t>
  </si>
  <si>
    <t>Indaiatuba - SP</t>
  </si>
  <si>
    <t>Curitiba Parana</t>
  </si>
  <si>
    <t xml:space="preserve">Colombia </t>
  </si>
  <si>
    <t>Rio Claro-SP</t>
  </si>
  <si>
    <t>Playa del Carmen, Quintana Roo</t>
  </si>
  <si>
    <t>Corrientes, Argentina</t>
  </si>
  <si>
    <t>Corrientes.Capital</t>
  </si>
  <si>
    <t>Duque de Caxias, Brasil</t>
  </si>
  <si>
    <t>Medina del Campo, Spain</t>
  </si>
  <si>
    <t>Medina del Campo, Valladolid</t>
  </si>
  <si>
    <t>Castilla y León, España</t>
  </si>
  <si>
    <t>Getxo, Spain</t>
  </si>
  <si>
    <t>Ecuador</t>
  </si>
  <si>
    <t>Pernambuco, Brasil</t>
  </si>
  <si>
    <t>SP, Brazil</t>
  </si>
  <si>
    <t>Campinas, São Paulo</t>
  </si>
  <si>
    <t>Maracaibo, Venezuela</t>
  </si>
  <si>
    <t>Madrid - Barcelona - LATAM</t>
  </si>
  <si>
    <t>Avenida Nuevo León 253</t>
  </si>
  <si>
    <t>Comunidad de Madrid, España</t>
  </si>
  <si>
    <t>Honduras</t>
  </si>
  <si>
    <t>Lima, Perú</t>
  </si>
  <si>
    <t>Florida, USA</t>
  </si>
  <si>
    <t>Por ai, viajando</t>
  </si>
  <si>
    <t>Panamá</t>
  </si>
  <si>
    <t>Joinville, Brasil</t>
  </si>
  <si>
    <t>Worldwide</t>
  </si>
  <si>
    <t>São Paulo - Brasil</t>
  </si>
  <si>
    <t>Cotia/ SP</t>
  </si>
  <si>
    <t>CCU BUAP</t>
  </si>
  <si>
    <t>Carballo, A Coruña</t>
  </si>
  <si>
    <t>Durango, México</t>
  </si>
  <si>
    <t>Eme Aqui,to have fun!!!</t>
  </si>
  <si>
    <t>Barcelona</t>
  </si>
  <si>
    <t>Sant Cugat del Vallès, España</t>
  </si>
  <si>
    <t>Governador Valadares</t>
  </si>
  <si>
    <t>RN 35, km 530, (6270) Hca Rcó.</t>
  </si>
  <si>
    <t>Santiago, Chile</t>
  </si>
  <si>
    <t>#CDMX</t>
  </si>
  <si>
    <t>Distrito 12</t>
  </si>
  <si>
    <t>Salvador, Bahia, Brasil</t>
  </si>
  <si>
    <t>Cachambi</t>
  </si>
  <si>
    <t>America Del Sur</t>
  </si>
  <si>
    <t>Serra-ES</t>
  </si>
  <si>
    <t>Araucária, Brasil</t>
  </si>
  <si>
    <t>Lisboa, Portugal</t>
  </si>
  <si>
    <t>estados unidos</t>
  </si>
  <si>
    <t>El Marqués, Querétaro, México</t>
  </si>
  <si>
    <t>Bauru</t>
  </si>
  <si>
    <t>Paraguay</t>
  </si>
  <si>
    <t>Manaus</t>
  </si>
  <si>
    <t>Asunción, Paraguay</t>
  </si>
  <si>
    <t>R Ouro Preto 581 - 404 - BH-MG</t>
  </si>
  <si>
    <t>Antofagasta,CHILE</t>
  </si>
  <si>
    <t>Huajuapan de León.</t>
  </si>
  <si>
    <t>Ambato - Ecuador</t>
  </si>
  <si>
    <t>Porto Alegre, Brasil</t>
  </si>
  <si>
    <t>Palma de Mallorca</t>
  </si>
  <si>
    <t>Michoacán, México</t>
  </si>
  <si>
    <t>Vila Nova de Gaia, Portugal</t>
  </si>
  <si>
    <t>#Bahia | NE| #Brasil | Brazil</t>
  </si>
  <si>
    <t>Goiânia, Goiás</t>
  </si>
  <si>
    <t>Gustavo A. Madero, Distrito Fe</t>
  </si>
  <si>
    <t>Estrada do M'Boi Mirim, 167</t>
  </si>
  <si>
    <t>Mérida, Venezuela</t>
  </si>
  <si>
    <t>Natal - RN</t>
  </si>
  <si>
    <t>Bogotá, Colombia</t>
  </si>
  <si>
    <t>Goiânia</t>
  </si>
  <si>
    <t>Turquía España</t>
  </si>
  <si>
    <t xml:space="preserve">Huston, Texas ,  </t>
  </si>
  <si>
    <t>Quito, Ecuador</t>
  </si>
  <si>
    <t>Oporto, Portugal</t>
  </si>
  <si>
    <t>AGUASCALIENTES, MEXICO</t>
  </si>
  <si>
    <t>Antequera, España</t>
  </si>
  <si>
    <t>Cedros y Víctor Emilio Estrada</t>
  </si>
  <si>
    <t>Mitre 2620, Rosario</t>
  </si>
  <si>
    <t>Guanajuato, México</t>
  </si>
  <si>
    <t>Distrito Capital, Venezuela</t>
  </si>
  <si>
    <t>Rua: Antonio Betinardi nº57</t>
  </si>
  <si>
    <t>Brasil / América Latina</t>
  </si>
  <si>
    <t>San Luis Potosí, S.L.P.</t>
  </si>
  <si>
    <t>CEO lawyer</t>
  </si>
  <si>
    <t>Chihuahua, Chih.</t>
  </si>
  <si>
    <t>São Paulo - SP</t>
  </si>
  <si>
    <t>Navarra - Nafarroa</t>
  </si>
  <si>
    <t>Trelew - Chubut</t>
  </si>
  <si>
    <t>MEXICANO DE CORAZON</t>
  </si>
  <si>
    <t>Lapa, Brasil</t>
  </si>
  <si>
    <t>cancun</t>
  </si>
  <si>
    <t>Perú</t>
  </si>
  <si>
    <t>Cancún</t>
  </si>
  <si>
    <t>Islas Canarias, España</t>
  </si>
  <si>
    <t>Belo Horizonte, MG - BRA</t>
  </si>
  <si>
    <t>Aquí para lo que necesites.</t>
  </si>
  <si>
    <t>Cuba</t>
  </si>
  <si>
    <t>Everywhere</t>
  </si>
  <si>
    <t>Barra da Tijuca</t>
  </si>
  <si>
    <t>San Bruno, CA</t>
  </si>
  <si>
    <t>ÜT: 7.817698,-72.254473</t>
  </si>
  <si>
    <t>🇨🇱  🇨🇴  🇫🇷  🇪🇸</t>
  </si>
  <si>
    <t>Colorado, Brasil</t>
  </si>
  <si>
    <t>Av. Roque Petroni Júnior, 1089</t>
  </si>
  <si>
    <t>Estado de Israel, Edificio 4, Suite C, Reparto del Este</t>
  </si>
  <si>
    <t>España-Latam-USA</t>
  </si>
  <si>
    <t>Araruama - Rio de Janeiro - BR</t>
  </si>
  <si>
    <t>El Salvador</t>
  </si>
  <si>
    <t>Phoenix, AZ</t>
  </si>
  <si>
    <t>CDMX</t>
  </si>
  <si>
    <t>Siguenos en Facebook.</t>
  </si>
  <si>
    <t>Pastelandia</t>
  </si>
  <si>
    <t>Quintana Roo, México</t>
  </si>
  <si>
    <t>Xalapa, Veracruz de Ignacio de</t>
  </si>
  <si>
    <t>San Esteban de Gormaz</t>
  </si>
  <si>
    <t>Castilla y León (España)</t>
  </si>
  <si>
    <t>Jundiai - SP - Brazil</t>
  </si>
  <si>
    <t>Canoas - RS</t>
  </si>
  <si>
    <t>Milano, Lombardia</t>
  </si>
  <si>
    <t>Sao Paulo</t>
  </si>
  <si>
    <t>Tlalnepantla de Baz, México</t>
  </si>
  <si>
    <t>Rio Verde, Brasil</t>
  </si>
  <si>
    <t>Las Toninas, Argentina</t>
  </si>
  <si>
    <t>Londrina, Brasil</t>
  </si>
  <si>
    <t>Ciudad Hidalgo, Michoacán</t>
  </si>
  <si>
    <t>Manaus/AM</t>
  </si>
  <si>
    <t>Chihuahua, México</t>
  </si>
  <si>
    <t>Portugal</t>
  </si>
  <si>
    <t>Cali, Colombia</t>
  </si>
  <si>
    <t>Tlalnepantla, Estado de México</t>
  </si>
  <si>
    <t>Buenos Aires, Argentina.</t>
  </si>
  <si>
    <t>Chile, r.martinez.w5@gmail.com</t>
  </si>
  <si>
    <t>🌍🌎🌏</t>
  </si>
  <si>
    <t>Canelones, Uruguay</t>
  </si>
  <si>
    <t>Italia</t>
  </si>
  <si>
    <t>Barcelona, España</t>
  </si>
  <si>
    <t>Pamplona</t>
  </si>
  <si>
    <t>Caracas, Venezuela</t>
  </si>
  <si>
    <t>Sevilla, España</t>
  </si>
  <si>
    <t>Flor do Sertao - SC</t>
  </si>
  <si>
    <t>Guarulhos - São Paulo</t>
  </si>
  <si>
    <t>Constantina, RS, Brasil.</t>
  </si>
  <si>
    <t>leon gto</t>
  </si>
  <si>
    <t>Baltimore, MD</t>
  </si>
  <si>
    <t>Bristol, England</t>
  </si>
  <si>
    <t>Orlando, FL</t>
  </si>
  <si>
    <t>Contacto@cholloterapia.com</t>
  </si>
  <si>
    <t>LONDRINA</t>
  </si>
  <si>
    <t>MEX-USA-COL-REP.DOM-ESPAÑA</t>
  </si>
  <si>
    <t>Rosario, Argentina</t>
  </si>
  <si>
    <t>Chocó, Colombia</t>
  </si>
  <si>
    <t>Bogotá-Colombia</t>
  </si>
  <si>
    <t>Los Mochis, Sin. México.</t>
  </si>
  <si>
    <t>Pichincha, Ecuador</t>
  </si>
  <si>
    <t>Belo Horizonte, Minas Gerais</t>
  </si>
  <si>
    <t>Barcelona, Cataluña, España</t>
  </si>
  <si>
    <t>Estado de Mexico</t>
  </si>
  <si>
    <t>Marbella</t>
  </si>
  <si>
    <t>Madrid, Spain</t>
  </si>
  <si>
    <t>Jundiaí, Brasil</t>
  </si>
  <si>
    <t>La Libertad, El Salvador</t>
  </si>
  <si>
    <t>españa</t>
  </si>
  <si>
    <t>ssa</t>
  </si>
  <si>
    <t>Pariquera-Açu, Brasil</t>
  </si>
  <si>
    <t>Guadalajara de Buga, Colombia</t>
  </si>
  <si>
    <t>A Coruña</t>
  </si>
  <si>
    <t>Avenida Reforma 12-01 Zona 10,</t>
  </si>
  <si>
    <t>Central California</t>
  </si>
  <si>
    <t>Brasil - São Paulo</t>
  </si>
  <si>
    <t>Las Palmas de Gran Canaria, Es</t>
  </si>
  <si>
    <t>Pasto Nariño</t>
  </si>
  <si>
    <t>RIO DE JANEIRO,RJ</t>
  </si>
  <si>
    <t xml:space="preserve">cdmx </t>
  </si>
  <si>
    <t>São Lourenço, Brasil</t>
  </si>
  <si>
    <t>Osasco</t>
  </si>
  <si>
    <t>Amsterdam, Nederland</t>
  </si>
  <si>
    <t>Montevideo</t>
  </si>
  <si>
    <t>My FREE books 👉</t>
  </si>
  <si>
    <t xml:space="preserve">Guatemala </t>
  </si>
  <si>
    <t>Belém/Pará</t>
  </si>
  <si>
    <t xml:space="preserve">Nowhere </t>
  </si>
  <si>
    <t>Valle de Uco</t>
  </si>
  <si>
    <t>BELO HORIZONTE</t>
  </si>
  <si>
    <t>São Paulo/Brasil</t>
  </si>
  <si>
    <t>Victoria, Tamaulipas</t>
  </si>
  <si>
    <t>Alfenas, Brasil</t>
  </si>
  <si>
    <t>Minas Gerais, Brasil</t>
  </si>
  <si>
    <t>Santo Domingo. Rep. Dom.</t>
  </si>
  <si>
    <t>Ariquemes, Rondônia, Brasil</t>
  </si>
  <si>
    <t>Badalona, Barcelona, España</t>
  </si>
  <si>
    <t>RIO DE JANEIRO</t>
  </si>
  <si>
    <t>Bogota</t>
  </si>
  <si>
    <t>Obregon, Sonora. Mexico</t>
  </si>
  <si>
    <t>Paraná</t>
  </si>
  <si>
    <t>Región Cundiboyacantandereana</t>
  </si>
  <si>
    <t>Guarapari-ES</t>
  </si>
  <si>
    <t>Orizaba</t>
  </si>
  <si>
    <t>Bolivia</t>
  </si>
  <si>
    <t>Alicante, Spain</t>
  </si>
  <si>
    <t>Brasil/Sampa/Abc</t>
  </si>
  <si>
    <t>Puebla</t>
  </si>
  <si>
    <t>Neuquén, Argentina</t>
  </si>
  <si>
    <t>Iquique</t>
  </si>
  <si>
    <t>Madrid - San Francisco - Cbba</t>
  </si>
  <si>
    <t>Paraná, Brasil</t>
  </si>
  <si>
    <t>Recoleta, Chile</t>
  </si>
  <si>
    <t>Punta Arenas</t>
  </si>
  <si>
    <t>México, DF</t>
  </si>
  <si>
    <t>São Paulo, Brazil</t>
  </si>
  <si>
    <t>Salvador, Brasil</t>
  </si>
  <si>
    <t>Cuauhtémoc, Distrito Federal</t>
  </si>
  <si>
    <t>Miami, FL</t>
  </si>
  <si>
    <t>El Tigre, Anzoátegui</t>
  </si>
  <si>
    <t>Cáceres</t>
  </si>
  <si>
    <t>Canoas, Brasil</t>
  </si>
  <si>
    <t>Word Trade Center CDMX O13 P34</t>
  </si>
  <si>
    <t>CORO, FALCON</t>
  </si>
  <si>
    <t>Torrelavega</t>
  </si>
  <si>
    <t>Internet</t>
  </si>
  <si>
    <t xml:space="preserve"> Guadalupe, Nuevo León, México</t>
  </si>
  <si>
    <t>Niterói, Brasil</t>
  </si>
  <si>
    <t>Salvador, Bahia</t>
  </si>
  <si>
    <t>Eje Cafetero</t>
  </si>
  <si>
    <t>Pernambuco/Brasil</t>
  </si>
  <si>
    <t xml:space="preserve">Estado de México </t>
  </si>
  <si>
    <t>La Vega, Dominican Republic</t>
  </si>
  <si>
    <t>Las Palmas de G.C. (ESPAÑA)</t>
  </si>
  <si>
    <t>Natal, Brasil</t>
  </si>
  <si>
    <t>Chubut, Patagonia Argentina</t>
  </si>
  <si>
    <t>Recife-PE</t>
  </si>
  <si>
    <t>Canelones</t>
  </si>
  <si>
    <t>Envigado, Antioquia</t>
  </si>
  <si>
    <t>Pasto - Nariño - Colombia</t>
  </si>
  <si>
    <t xml:space="preserve">catalinasuarez2010@gmail.com </t>
  </si>
  <si>
    <t>Acapulco Guerrero México</t>
  </si>
  <si>
    <t>Somos una institución humanitaria dedicada a preservar la salud, la vida y aliviar el sufrimiento humano fomentando la cultura del autoprotección. ❤</t>
  </si>
  <si>
    <t>Gobierno del Estado de Guerrero</t>
  </si>
  <si>
    <t>Secretaría de la Defensa Nacional</t>
  </si>
  <si>
    <t>La Guardia Nacional es una institución de seguridad pública, disciplinada y profesional.</t>
  </si>
  <si>
    <t>Órgano encargado de procurar justicia en el Estado de Guerrero con decisión y razón jurídica en beneficio de la comunidad. Fiscal General: @SandraLuz_V</t>
  </si>
  <si>
    <t>Cuenta oficial de la Secretaría de Seguridad Pública del estado de Guerrero</t>
  </si>
  <si>
    <t>Executive &amp; Business Coaching. Training Workshops. México/Latam.</t>
  </si>
  <si>
    <t>Corporativo que proporciona servicios de inteligencia de mercados e investigación estratégica para la toma de decisiones que construyan el éxito.</t>
  </si>
  <si>
    <t>Autor de ESTOY PARA SERVIRTE. 
El Experto en Servicio y Experiencia de Cliente.
Si quieres vender más sígueme.</t>
  </si>
  <si>
    <t>Vendedor - Empresário - Palestrante!</t>
  </si>
  <si>
    <t>Governador do Estado de São Paulo e ex-Ministro da Infraestrutura do governo do presidente Jair Bolsonaro.</t>
  </si>
  <si>
    <t>«Más Allá de la Mente». The most recent Novel by the Venezuelan Writer: Miguel Angel Moreno Villarroel; available on Amazon. https://t.co/W7eujN5F42</t>
  </si>
  <si>
    <t>❤️Apaixonada no mundo dos cosméticos 💕 Infuencer e empreendedora 💰 Dicas de make, cabelo, dia a dia, moda e estilo 💜</t>
  </si>
  <si>
    <t>Consultora RRHH 
Búsqueda y selección de personal
#Trabajoar #empleoar #busquedalaboral #selecciondepersonal #busquedadepersonal #rrhh  #empleoargentina</t>
  </si>
  <si>
    <t>¡Encontrá la oportunidad laboral que estás esperando! #trabajo #empleos
Cargá tu CV en https://t.co/8SN8SB67WA y postulate</t>
  </si>
  <si>
    <t>#feliz #pyme #familia</t>
  </si>
  <si>
    <t>Cuenta oficial de Mercado Libre Chile 🇨🇱 Si necesitas ayuda de forma personalizada ingresa aquí 👉 https://t.co/CHzV6DzqB1</t>
  </si>
  <si>
    <t>Somos la cuenta oficial de soporte a usuarios de Mercado Libre. Necesitas ayuda? Ingresa a https://t.co/h6MANmxKfA o contáctanos enviando tu apodo/seudónimo</t>
  </si>
  <si>
    <t>Site de notícias</t>
  </si>
  <si>
    <t>Centro Sanitario Nº 24 - C22 - 0345
Psicología Clínica y Sanitaria (Adultos e infanto-juvenil), Escolar, Neuropsicología, Logopedia, Sexología-Pareja.</t>
  </si>
  <si>
    <t>Proyecto de concienciación ciudadana contra las falsificaciones impulsado por @oepm_es y @andema_es
#StopFalsificaciones #NoSeasComplice</t>
  </si>
  <si>
    <t>Marketing Digital para Negócios - Atraia mais clientes e torne seu negócio ainda mais conhecido em sua região.</t>
  </si>
  <si>
    <t>Agencia de Marketing Digital, Comercio Electrónico y Publicidad Exterior https://t.co/6QQwQC2mp2</t>
  </si>
  <si>
    <t>Somos un equipo que brinda servicios informáticos integrales para empresas como desarrollo de sitios web, tarjeta de presentación y mkt digital.</t>
  </si>
  <si>
    <t>Gelson Ferrareze - Mais de 10 de know-how e expertise nos ramos que atuamos 💼
📌 Trabalhista
📌 Desportivo
📌 Compliance</t>
  </si>
  <si>
    <t>🏢 Empresa de brindes corporativos personalizados 
🛍 Mimos personalizados para o seu negócio
🏅 Trabalhando com personalizados desde 2018
📍 Anápolis GO</t>
  </si>
  <si>
    <t>Lic. en Administración. Consultor. Docente</t>
  </si>
  <si>
    <t>Empreendedor
+ de 100 lives no instagram</t>
  </si>
  <si>
    <t>Broker regulado🥇 Conectamos a los traders a los mercados financieros desde 2004💰 #TryTradeview Los diferenciales más competitivos de la industria.</t>
  </si>
  <si>
    <t>Transferencias de vehículos 100% online, sin papeleos, ni desplazamientos, los 365 días al año. 
¡Cambiamos la titularidad de tu coche o moto, fácilmente!</t>
  </si>
  <si>
    <t>O que você faria com R$2.040,00 garantidos TODOS OS MESES? Existe uma empresa que está pagando isso, e o melhor, só precisa ter um celular e acesso a internet.</t>
  </si>
  <si>
    <t>Business Strategist Consultant - Sales - Operations</t>
  </si>
  <si>
    <t>Noticiario transmitido de L-V a las 2:00 y 10:00 P.M.
Fin de semana 10:00 p.m. por @telesistema11rd
WhatsApp: 829-345-4055</t>
  </si>
  <si>
    <t>Mexican Project Portfolio Manager and ITC Consultant; blogger and podcaster; Dad of 3 boys
https://t.co/4Oj07wvxT8</t>
  </si>
  <si>
    <t>Tara em Casados, caminhoneiros, padres, mecânicos, pedreiros, vigilantes, UBERs, Taxistas.. No sigilo ninguém "passa fome".</t>
  </si>
  <si>
    <t>Somos el portal de empleo #IT independiente e innovador especializado en el mercado de ofertas de empleo #TIC en Colombia. Regístrate gratis aquí 👇</t>
  </si>
  <si>
    <t>Desarrolla y comercializa Sistemas de Nómina y RH, Control de Asistencias y Accesos de personal, Identificación Digital, CCTV, Facturación y Contabilidad.</t>
  </si>
  <si>
    <t>“I made this money you didn’t”</t>
  </si>
  <si>
    <t>Servicios de HEADHUNTING y Outsourcing a nivel regional. Apoyo en todas las necesidades de RRHH que su empresa necesite! info@apsdr.com 809-565-7853</t>
  </si>
  <si>
    <t>@lojaelenicosta - (61) 3491-5071 / (61) 98282-6833 - Jk Shopping DF - Lindos modelos de sapatos e bolsas você encontra em nossa loja. Enviamos para todo Brasil</t>
  </si>
  <si>
    <t>Ajudo os Trabalhadores conhecerem seus Direitos! Contato 👉 https://t.co/jdf73v7M9I</t>
  </si>
  <si>
    <t>Co-founder &amp; Managing Director of DocTour, a telemedicine and medical services company specialized in travelers medicine.</t>
  </si>
  <si>
    <t>El noticiero de los guatemaltecos. También en Facebook https://t.co/pqNyQa1Hsm</t>
  </si>
  <si>
    <t>La actitud es una pequeña cosa que hace una gran diferencia 🤩♥️🖤💙🤍☀️</t>
  </si>
  <si>
    <t>Evaluacion de brokers,Seguro?confiable? noticias financieras,tips financieros educativos y mucho más🧐𝐓𝐞𝐥𝐞𝐠𝐫𝐚𝐦:https://t.co/LydC6mej1P</t>
  </si>
  <si>
    <t>Núcleo e Central de Cursos Livres Online/EaD | Cursos Seguros e Reconhecidos |ABED | Confira mais #Cursos fiscalizados no link(URL):</t>
  </si>
  <si>
    <t>🌟 Compartilhando histórias que valem a pena ouvir
🎧 Novos episódios toda semana</t>
  </si>
  <si>
    <t>Disfruto ayudando a #inmobiliarios a desarrollarse profesionalmente a través de la #formación y el #coaching. ¿La otra de mis pasiones? La música en directo</t>
  </si>
  <si>
    <t>- Haz crecer tu inmobiliaria con nuestras soluciones.
- Tres portales, tres audiencias, un mismo objetivo.
- Nuestro conocimiento a tu servicio.</t>
  </si>
  <si>
    <t>Somos una compañía especializada en suministrar Asistencia Profesional Integral, con un equipo altamente capacitado, permanentemente actualizado.</t>
  </si>
  <si>
    <t>Cuenta oficial de Mercado Libre México. ¿Necesitas ayuda? Habla con nosotros aquí https://t.co/N9Ttu7jIWI en la opción "Contáctanos" o en @ML_ayuda</t>
  </si>
  <si>
    <t>Cuenta oficial de noticias de Mercado Libre.¿Necesitas soporte? Contáctanos en @ML_Ayuda con tu apodo para ayudarte.</t>
  </si>
  <si>
    <t>Conectá. Compartí. Creá. (Jujuy, Salta, Tucumán, Catamarca, La Rioja, Santiago del Estero).</t>
  </si>
  <si>
    <t>Software Administrativo para PyMES, disponible para las plataformas de: Windows, macOS, iOS y Android</t>
  </si>
  <si>
    <t>Falo as coisas que líderes de verdade tem que ouvir para ter sucesso, mas ninguém tem coragem de falar.</t>
  </si>
  <si>
    <t>Fondant, Chalk, Naked y Semi Naked Cakes, Cupcakes, Pasteles de Cupcakes, Galletas Glaseadas, Galletas Acuarela, Tiras, Cajas y Tarros de Galletas y más!</t>
  </si>
  <si>
    <t>Agencia inmobiliaria.
Te ayudamos a comprar o vender tu hogar.
#Barcelona #Madrid #Reus #Sitges
93 418 49 48</t>
  </si>
  <si>
    <t>Único diario digital con cobertura integral en cada rincón de la provincia de Buenos Aires.</t>
  </si>
  <si>
    <t>I am Harold Robles "Preguntale a Harry" a merchant specialist and a advocate to  assist  merchants by dramatically lowering their processing rates.</t>
  </si>
  <si>
    <t>Soluções via internet com foco em resultados para sua empresa 21987995883
#midiasocial #gestaodetrafego #googleads #ecommerce #site #facebookads #cartaodigital</t>
  </si>
  <si>
    <t>Noticias de música, espectáculos y más 👉🏻 Comunicadora | Periodista | Actriz | Escritora ||| 📻🎙🎧🎚🎶✍🏻📺🎥🎭 ||| @metropolisfmuy @canal4_uy @algocontigo4</t>
  </si>
  <si>
    <t>CEO @estategrowthadv | Agente inmobiliario y consultor de marketing. Escribo sobre finanzas, emprendimiento, bienes raíces y algo más. #TuNegocioTuFirma</t>
  </si>
  <si>
    <t>https://t.co/OsJIbwXUdJ Tu ventana al mundo 🌎 Noticias al ritmo de la era digital 📲</t>
  </si>
  <si>
    <t>La plataforma informativa digital más potente del centro de #México / Av. Real de Lomas # 1005 4to, Piso Torre 2, Lomas 4ta. Sección, 78216 San Luis, S.L.P.</t>
  </si>
  <si>
    <t>CEO @lojaelenicosta. Meu propósito é ajudar mulheres empreendedoras.</t>
  </si>
  <si>
    <t>Te ayudo a ganar dinero Gratis.
Te enseño a cómo ayudar a las personas y ganar dinero por ello.
¿¿¿QUE ESPERAS PARA COMENZAR???</t>
  </si>
  <si>
    <t>IEF- Informação em Foco, notícias atualizadas a todo instante!</t>
  </si>
  <si>
    <t>Smart Retail System</t>
  </si>
  <si>
    <t>Periódico líder del Distrito Turístico Verón-Punta Cana, La Altagracia.</t>
  </si>
  <si>
    <t>Diseñaremos tu nueva Tarjeta de Presentación Digital. Un solo toque:</t>
  </si>
  <si>
    <t>Clicktime | Consultora Integral
Recursos Humanos, Coaching, Consultoría en Negocios. 
Medio Ambiente, Seguridad e Higiene, Implementaciones ISO.</t>
  </si>
  <si>
    <t>Lo hecho, hecho está. Usémoslo ✨ Atención al cliente por MENSAJE PRIVADO 📲 https://t.co/rHn9xv4r61</t>
  </si>
  <si>
    <t>Somos un podcast sobre las mejores prácticas empresariales.
Abordamos temas de negocios, tecnología, emprendimiento e innovación.</t>
  </si>
  <si>
    <t>🔸 Especialista em Vendas B2B e LinkedIn
🔸 + 2 MILHÃO de views no YouTube 
🔸 Entre na comunidade do Discord</t>
  </si>
  <si>
    <t>Transformando a forma de comprar e consumir para melhorar a vida das pessoas...</t>
  </si>
  <si>
    <t>Marketplace de reventa para dar una segunda vida a los dispositivos móviles📱. Testeo automático de dispositivos con garantía de su estado funcional.</t>
  </si>
  <si>
    <t>Noticias, actualidad, interesantes artículos, jurisprudencia, novedades legislativas y mucho más referente al área civil y mercantil. @estudioscef</t>
  </si>
  <si>
    <t>El Jefe 0es3 ®® Socio #55754  de @CCP1912ofial</t>
  </si>
  <si>
    <t>✨Comunicadora Social/Periodista 
🌱Analista de Relaciones Corporativas en Talento Verde SAS.
            ♻️ Promotora de la Moda Sostenible</t>
  </si>
  <si>
    <t>Esse sou eu.</t>
  </si>
  <si>
    <t>Cuenta oficial de Su MundoTV. Un canal informativo, líder en la difusión de noticias del acontecer nacional e internacional 🌎</t>
  </si>
  <si>
    <t>Ejecutivo de Banca de Empresas Orientado al Cliente | Asesoramos a las empresas con sus necesidades de Capital de Trabajo.</t>
  </si>
  <si>
    <t>VENDEDOR NATO! AGS Máquinas Food Service. R$76 milhões em vendas on-line e off-line. Informações privilegiadas!</t>
  </si>
  <si>
    <t>💰Ajudo você organizar sua empresa para crescer.
💼+ 1.150 Empresários ajudados
👇Fale comigo no WhatsApp
https://t.co/2ydm8IusEk</t>
  </si>
  <si>
    <t>Turn your passion into a profession 🎙️
Create, distribute and make money with your #podcast from day one.</t>
  </si>
  <si>
    <t>Católico, antes de tudo. Advogado trabalhista e sindical de profissão.</t>
  </si>
  <si>
    <t>Único jornal diário com foco em notícias de Uberlândia.
https://t.co/6MTgsxMD8v</t>
  </si>
  <si>
    <t>Estamos en el foco 🔎de la noticia para mantenerte informado🗞
Instagram: https://t.co/x8tXKcbMS2…
Telegram: https://t.co/IVyXc47wD9📲</t>
  </si>
  <si>
    <t>Repostería artesana, para todas las temporadas, amplia variedad de productos, visitenos en https://t.co/KL10WK8KsX</t>
  </si>
  <si>
    <t>👨‍🏫 Facilito recursos, conocimientos prácticos y acompaño para la mejora continua</t>
  </si>
  <si>
    <t>Twitter Oficial del Servicio Nacional de Empleo Puebla</t>
  </si>
  <si>
    <t>También conocido como "El Terrer". Lugar de #MemoriaHistórica donde la represión franquista ASESINÓ a más de 2200 personas en #Paterna.</t>
  </si>
  <si>
    <t>Agente Inmobiliario  en #Salamanca, API Prof, REALTOR,CRS (Especialista en Residencial) Ayudo a personas a cumplir sueños y objetivos 🚀 IG: manuarias_REALTOR</t>
  </si>
  <si>
    <t>Asesor en Marketing y Ventas Industriales.
Director ejecutivo de @alavepro y Embajador de EDVE Escuela de Ventas.</t>
  </si>
  <si>
    <t>Cuenta de Twitter oficial. Sigue también a @LaJornada para noticias de la versión impresa.</t>
  </si>
  <si>
    <t>🛠 Ferramentas, máquinas e fixações. Mais de 10.000 itens de variedade. 38 anos de história.</t>
  </si>
  <si>
    <t>Hija. Esposa. Madre de 4 hijos. Buena gente.</t>
  </si>
  <si>
    <t>La radio de todos en Salta AM 690 y FM 102.7 https://t.co/UVdNBVBEWw</t>
  </si>
  <si>
    <t>Abogado. Especializado en Políticas Públicas. Director de YPF S.A Feliz compañero de Graciela, papá de Flor, Evi y Fran. Abuelo de Emma y Santino.</t>
  </si>
  <si>
    <t>Comparto datos para que consigas trabajo.
No apto planeros
Ayúdame y difundí!</t>
  </si>
  <si>
    <t>Twitter oficial - Mostaza Merlo: ex futbolista y DT en receso.</t>
  </si>
  <si>
    <t>En Guatemala y en El Salvador.  Regístrate Todos los días nuevas ofertas de trabajo y noticias Llevas tus procesos en línea, siempre recibirás respuesta.</t>
  </si>
  <si>
    <t>Transformamos procesos de negocio mediante la innovación y transformación digital. 📈</t>
  </si>
  <si>
    <t>A FrameTicket é uma plataforma especializada na venda de ingressos e personalizável para qualquer atração.</t>
  </si>
  <si>
    <t>Venta y distribución de calzado al por mayor y menor 👞👟🥾🥿👠👡🩰👢</t>
  </si>
  <si>
    <t>💫 Para todos os problemas, existem soluções, que tal descobri-las? 🔮 dicas de magias✨ leituras on-line 📌 Dúvidas? chama na dm! 🦄 24993286629 ☎️</t>
  </si>
  <si>
    <t>Consultoría · Formación · Eventos · MKT</t>
  </si>
  <si>
    <t>Viver é enfrentar um problema atrás do outro. O modo como você o encara é que faz a diferença.
Benjamin Franklin</t>
  </si>
  <si>
    <t>#DL3C podcast de #Arte &amp; #LuchaLibre en @Spotify 😬</t>
  </si>
  <si>
    <t>💥 CUPOM DE VENDEDORA 15% DESCONTO cupom: 🚨ISARSV🚨</t>
  </si>
  <si>
    <t>Mãe  e mulher empreendedora, que estuda para vencer.  Gestora de tráfego pago uma #subida #gestoradetrafego  apaixonada em marketing digital!</t>
  </si>
  <si>
    <t>Si te atreves a escribirlo, nos atrevemos a publicarlo. Hemos llegado a publicar a un preso de una dictadura desde la cárcel. Todo es posible</t>
  </si>
  <si>
    <t>Asociación de Librerías de Zaragoza #ZaragozaLee</t>
  </si>
  <si>
    <t>Promoviendo y difundiendo la creación literaria local, regional, nacional y de nuestra América. Horario: Lunes a viernes de 9:00 a.m. a 5:00 p.m.</t>
  </si>
  <si>
    <t>Cuenta oficial de Libreros Asociados de Cantabria</t>
  </si>
  <si>
    <t>Constituida en 1997 por librerías independientes líderes de cada ciudad, con más de 115 librerías de referencia en 60 ciudades.</t>
  </si>
  <si>
    <t>Tech, CE Publicist - Mother - Girl Scout Leader - Lover of tech, pop culture. Believes that being respectful and kind is not a sign of weakness but of strength!</t>
  </si>
  <si>
    <t>Plataforma de comercio online de las #librerías independientes. El libro que buscas en tu librería más cercana. #ApoyaATuLibrería #MisLibrosEnLibrerías</t>
  </si>
  <si>
    <t>Sou corretor imobiliário, casado, apaixonado por minha família.</t>
  </si>
  <si>
    <t>Empresa tecnológica líder en soluciones de software para el sector asegurador.#seguros, #correduriainteligente, #insurtech, #brokers, #bancaseguros</t>
  </si>
  <si>
    <t>Palestras, Treinamentos e Mentoria sobre Liderança, Motivação, Inteligência Emocional e Comportamento Assertivo</t>
  </si>
  <si>
    <t>Publicista &amp; hotelero buscando nuevas maneras de contar historias, editor de https://t.co/tfFlHJWyRc y autor del Podcasts https://t.co/q26BGs6pQl</t>
  </si>
  <si>
    <t>Escritório especialista em Direito do Trabalho ⚖
Advocacia séria e bem-humorada😉</t>
  </si>
  <si>
    <t>Bora falar sobre Tecnologia e Cibersegurança
Veja em primeira mão o que acontece no brasil e no mundo na area de cibersegurança, acessem meu site....</t>
  </si>
  <si>
    <t>Noticias cada 3 minutos, en tiempo real y sin ninguna preferencia política Web: https://t.co/RC2nuEFqp2 Contacto: lado2mx@gmail.com</t>
  </si>
  <si>
    <t>confio no que vem de dentro 🪬</t>
  </si>
  <si>
    <t>Transformador digital, Co-fundador y CEO en @crandionline. Asesor y consultor en marketing y ventas para empresas y líderes empresarios. 📲 +54911 6434 0612</t>
  </si>
  <si>
    <t>Reportero de Nota Roja. Los comentarios aquí emitidos son a título personal sin relación alguna con las empresas en que laboro.
WhatsApp y Telegram: 2222122146</t>
  </si>
  <si>
    <t>Somos Mactre XC, una consultora que apuesta a las nuevas tecnologías.</t>
  </si>
  <si>
    <t>Mídia, Atendimento ao cliente, Customer Esperience, callcenters, contact centers, , customer services, tecnologia, marcas.</t>
  </si>
  <si>
    <t>A Associação Brasileira de Comércio Eletrônico é uma livre iniciativa que defende os interesses dos empresários digitais junto aos órgãos públicos.</t>
  </si>
  <si>
    <t>Si tu educacion forma a mis hijos yo orgulloso los malcrio!!!!</t>
  </si>
  <si>
    <t>FIBRA | MÓVIL | TV | FIJO
🏅 La fibra más rápida y estable de Chile
Contrata al 600 9 100 900
FB: https://t.co/0vdjgS4WkG
IG: https://t.co/uFKaCM0AIG</t>
  </si>
  <si>
    <t>Conéctate con las mejores experiencias que tenemos para ti en Movistar Chile 💙</t>
  </si>
  <si>
    <t>Portal de conteudo referente a tudo sobre musica,https://t.co/T9oLirzfMS</t>
  </si>
  <si>
    <t>A safer place to feel inspired? It’s possible.</t>
  </si>
  <si>
    <t>Facebook é tipo a sala da vó, todos se comportam direitinho. Twitter é tipo o quarto dos fundos, onde os primos se juntam pra falar besteira.</t>
  </si>
  <si>
    <t>Ayudamos a que estés tranquilo con tu web para ganar más tiempo para ti y tu negocio | CEO de https://t.co/dHUhyo9j39 | Podcast https://t.co/CmMaRxgM1H | Embajador de LucusHost</t>
  </si>
  <si>
    <t>Apasionado por las #Ventas, la #mejoracontinua, la #SatisfaccióndelCliente, las #personas... Director Comercial y Expansión.</t>
  </si>
  <si>
    <t>Arquitecto  🇪🇨, Pro vida, Músico, Político, Ecologista, empresario, cuencano 💛❤ de nacimiento y guayaquileño de corazón 🤍💙, papá de Roberta 👧🏻</t>
  </si>
  <si>
    <t>Te desafío a pensar en el largo plazo y actuar en el corto. Ex-CEO. Autor. Ex-economista. 💪🦾💪 Suscribite #gratis a CEO en Camiseta 👇👇👇 (+50000)</t>
  </si>
  <si>
    <t>Entretenimento.</t>
  </si>
  <si>
    <t>Português: CRM para ajudar pessoas a se relacionarem com outras 
English: CRM to help people connect with others</t>
  </si>
  <si>
    <t>Somos Consultoría, Asesoría y Formación profesional.
Nuestras áreas de trabajo: 
#Ventas
#Marketing
#Servicioalcliente
#Gestiónempresarial</t>
  </si>
  <si>
    <t>E vamos ali… 🍀   https://t.co/DHQ9YMNMic</t>
  </si>
  <si>
    <t>Distribuidor Mayorista con 23 años de experiencia, en telecomunicaciones, cableado estructurado, fibra óptica, seguridad CCTV, puntos de venta y demás.</t>
  </si>
  <si>
    <t>Nosso objetivo é fazer você crescer! Com nossos serviços e ferramentas profissionais que lhe ajudarão a ter mais visibilidade, credibilidade, clientes e vendas!</t>
  </si>
  <si>
    <t>#podcastcomingsoon #mentalhealth #sales | IG @Call_Him_Rog |</t>
  </si>
  <si>
    <t>Asociación Colombiana de Venta Directa - ACOVEDI 📞 (+571) 7115013 📍Calle 94a # 11a-32 Of 305 Bogotá, Colombia</t>
  </si>
  <si>
    <t>Frases de ajuda e motivação 🙏🏻🙏🏻</t>
  </si>
  <si>
    <t>Psiquiatra mais lido do mundo.
Publicado em mais de 70 países. 
Autor mais lido no Brasil nas duas últimas décadas!</t>
  </si>
  <si>
    <t>¡Noticiero comprometido con la veracidad y con usted!</t>
  </si>
  <si>
    <t>Eu amo meus filhos
flamenguista de❤ 🔴⚫/
Você nunca será bom o suficiente para todos, mas sempre será perfeito para aquelas pessoas que te merecem.</t>
  </si>
  <si>
    <t>🌱Somos la primera y única agencia de gestión y colocación de #EmpleosVerdes en Colombia. Autorizada por MinTrabajo y el Servicio Público de Empleo.</t>
  </si>
  <si>
    <t>Lineup es una plataforma de gestión de prospectos para equipos de desarrollo de negocios. Úsala para perfilar, enrutar y agendar citas con clientes potenciales.</t>
  </si>
  <si>
    <t>Equipos de medición, automatización, instrumentación y control Llámanos WhatsApp 5550781200 https://t.co/qzBzCeoYFK  Redes: @CalferMx</t>
  </si>
  <si>
    <t>Moore Ecuador tiene 25 años  de experiencia entregando servicios integrales. 
Nos especializamos en Auditoría, Impuestos, Legal y Consultoría.</t>
  </si>
  <si>
    <t>El Diario de Ciudad Victoria, es una compañía periodística tamaulipeca desde el año 1955. Nuestra misión es llevar información veraz y oportuna.</t>
  </si>
  <si>
    <t>Imprevisível, prefiro os caminhos difíceis, que desafiem a resistência. O legal é ser diferentona!</t>
  </si>
  <si>
    <t>La Mejor #Expo de #Publicidad y #Mercadotecnia de México y Latinoamérica I The Best #Advertising &amp; #Marketing Trade Show in LatAm. Mayo - May 22, 23, 24, 2024</t>
  </si>
  <si>
    <t>💻 Diario de la ciudad de #LaPlata. El periodismo que hacía falta.   
📲 221 307-4509
📩 info@eleditorplatense.com.ar</t>
  </si>
  <si>
    <t>Proprietário da Wama | Fundei a Startup https://t.co/vw5UU99Irz do ZERO e estou compartilhando tudo com vocês.</t>
  </si>
  <si>
    <t>🇺🇸 The sales explosion you've always wanted.
Easy as saying hi.
🇧🇷 A explosão de vendas que você sempre quis!
Fácil como dizer oi.</t>
  </si>
  <si>
    <t>MEDIO REGIONAL DE INTERÉS GENERAL Y NOTICIAS • La información al alcance de tu mano 🤳
Web 💻 Radio 🎧 Guía comercial regional 🔎 Juegos 🎮
Links 👇🏻</t>
  </si>
  <si>
    <t>Empresa de Servicios de Capacitación y Asesoría en Marketing, Ventas y Servicio al Cliente. ❤️ #Cursos en #Ecuador, #Quito y #Guayaquil #perfilcomercial</t>
  </si>
  <si>
    <t>Meio Norte veículo cross mídia, Rede de TV, Rádios, Jornal , https://t.co/uW3QrXn8iK_ @meionorte. whatsapp : 86 32123000</t>
  </si>
  <si>
    <t>Director-Fundador de https://t.co/mppEF4TEDN
Emprendedor 
Frase favorita: Si puedes soñarlo puedes hacerlo- Walt Disney
Hincha de River</t>
  </si>
  <si>
    <t>Consultor de ventas 360º. Consigo mejorar las ventas gracias al trabajo personalizado, desarrollo de estrategias y formación de equipos comerciales.</t>
  </si>
  <si>
    <t>😃¡𝐁𝐢𝐞𝐧𝐯𝐞𝐧𝐢𝐝𝐨𝐬! 𝐂𝐨𝐜𝐢𝐧𝐚𝐧𝐝𝐨, 𝐦𝐞𝐳𝐜𝐥𝐚𝐧𝐝𝐨 🧀 𝐲 𝐜𝐨𝐦𝐩𝐚𝐫𝐭𝐢𝐞𝐧𝐝𝐨 𝐞𝐧 𝐟𝐚𝐦𝐢𝐥𝐢𝐚🥘🍰🍨☘🕊</t>
  </si>
  <si>
    <t>Relacionista Internacional, amante de la cultura y el arte. Esposa, Madre y cocinera! En Dios confío!</t>
  </si>
  <si>
    <t>Mentor de Negócios
Consultor, Palestrante, Escritor e Podcaster
Livros: Em Busca do Ritmo Perfeito e Caçador de Negócios</t>
  </si>
  <si>
    <t>Soñamos con ser la comunidad más grande de jóvenes profesionales de Centroamérica y Ecuador.
🇸🇻🇨🇷🇵🇦🇬🇹🇪🇨</t>
  </si>
  <si>
    <t>@jg_humanresources
@juliris_garibaldi
humanresourcesjg.13@gmail.com</t>
  </si>
  <si>
    <t>Recursos Humanos
Sears Altaria</t>
  </si>
  <si>
    <t>Vendas Olho no Olho
🎯 Ajudo Você #Vendedor #Empreendedor 
💪 Parar de vez de Perder #Vendas e
👊 Ser um #VendedorDeSucesso
👇 Receba #DicasDeVendas no celular</t>
  </si>
  <si>
    <t>- Vagas de emprego
- Recrutamento e Seleção
- Estruturação de RH
- Consultoria Inteligente
Fale conosco clicando no link👇🏻</t>
  </si>
  <si>
    <t>📺Medio De Comunicación Digital
📲Whatsapp: 3153787964
🎧Facebook: OleManoComunicaciones 
💻Instagram: olemanocomunicaciones</t>
  </si>
  <si>
    <t>Distribuição de produtos e soluções para Agropecuária.
https://t.co/2mRBBmDh8I
Instagram @gringodistribuicao 
Facebook @gringodistribuicao</t>
  </si>
  <si>
    <t>Agencia de Marketing Digital.
(Construimos Marcas)
📲 +584122216134 
📧 Info@redesvisuales.com 
Venezuela</t>
  </si>
  <si>
    <t>🏡Gestor na RE/MAX Power
🌎A maior rede de imobiliárias do mundo
💰Corretor saiba como melhorar seus resultados
⏳Proprietário venda em menos tempo</t>
  </si>
  <si>
    <t>#expertos en #negocio y #tecnología #weareunited
Aportamos soluciones de #software para la transformación digital.
TECNOLOGÍA PARA VENCER LA COMPLEJIDAD 🤝</t>
  </si>
  <si>
    <t>Hélio Couto, palestrante, escritor, terapeuta e consultor.</t>
  </si>
  <si>
    <t>O Rei das Pegadinhas!</t>
  </si>
  <si>
    <t>Doente pelo @Corinthians 🖤🦅 || Maluco pelos @Steelers || Aposentado do TFT || ⚪⚫🟣</t>
  </si>
  <si>
    <t>Em breve lançaremos nossa plataforma de vídeos!⏳</t>
  </si>
  <si>
    <t>El Poder de la Información'.
Noticias con impacto social, interés público y propositivas.</t>
  </si>
  <si>
    <t>Torne-se antifrágil ou morra.</t>
  </si>
  <si>
    <t>Criador de anúncios e disseminador de conhecimento. Impulsionado pelo progresso das pessoas e inspirado por uma liderança provocativa: Deus!</t>
  </si>
  <si>
    <t>Asesoramiento y defensa jurídica. Atención online y presencial. Con sede en #Leonesp, trabajamos en toda #España #abogados ☎ 648634583 ☎</t>
  </si>
  <si>
    <t>Sou vendedor e Representante Comercial especializado em vendas de cargas.</t>
  </si>
  <si>
    <t>Foco, força e Fé !!!!!!!</t>
  </si>
  <si>
    <t>MI SOCIO Y PADRE ES MI DIOS...MUJER DE FE...SER FELIZ Y HACER FELIZ A LOS QUE ME RODEAN ES MI MISION. ING INDUSTRIAL.</t>
  </si>
  <si>
    <t>Emprendedor, entusiasta, positivo, paciente, eterno aprendiz</t>
  </si>
  <si>
    <t>Capacitación de personal.</t>
  </si>
  <si>
    <t>Vagas de emprego, dicas, direitos do trabalhador, informações, carreira e tudo o mais.</t>
  </si>
  <si>
    <t>Somos focados em resolver suas demandas de TI.
ASV Tecnologia e Inteligência Empresarial</t>
  </si>
  <si>
    <t>Metódico e teimoso</t>
  </si>
  <si>
    <t>Notícias de Osasco, Barueri, Carapicuíba, Itapevi, Cotia e região</t>
  </si>
  <si>
    <t>Escritório digital com atuação nacional. Não existem fronteiras para levar segurança jurídica aos clientes e parceiros! 🚀</t>
  </si>
  <si>
    <t>Más de 30 años de experiencia y más de 300.000 clientes nos avalan.</t>
  </si>
  <si>
    <t>MendozAntigua (https://t.co/I9OTax2YMa). La base de datos de fotos antiguas. mas completa</t>
  </si>
  <si>
    <t>Buscamos profesionistas para ayudarlos a iniciar de medio tiempo o completo como #agentedeseguros sin importar la ciudad de residencia https://t.co/htXYKLhw5o</t>
  </si>
  <si>
    <t>Se você fizer a escolha certa, você cura o planeta🌎
Economize até 95% em sua conta de luz!
☀️ Energia solar.</t>
  </si>
  <si>
    <t>Partidario del software libre, curioso de la ingeniería del software, experiencia de usuarios, gestión de equipos, imágenes médicas,no me canso de aprender :P</t>
  </si>
  <si>
    <t>Somos el primer y único punto de encuentro web entre empleadores y personas que buscan trabajo en Luján y alrededores. Trabajar cerca es vivir mejor.</t>
  </si>
  <si>
    <t>As Últimas Notícias do Brasil e do Mundo.
Você bem informado, sempre!</t>
  </si>
  <si>
    <t>VoiceOver, Journalist, Periodista, Becaria Mashav Israel,  Becaria Poynter (TMP) Fl. Corresponsal VOA EE.UU. Coach de Voz, Productora Multimedia</t>
  </si>
  <si>
    <t>Presidente Constitucional de la República del Ecuador (2021-2025).</t>
  </si>
  <si>
    <t>Visionário e otimista incorrigível. Acredito em Deus, não acredito em crise, e acredito que TUDO, pode ser melhorado sempre, se você entrar em ação.</t>
  </si>
  <si>
    <t>🏆Treinador Comportamental🏆 🧠+ de 289 mentes transformadas 🔣Criador do método PROVEN 👨🏾‍💻📚🥇VENDAS - Do amadorismo ao PROFISSIONALISMO</t>
  </si>
  <si>
    <t>Desde 1997 construindo Histórias de Sucesso! 🚀
Acesse o link e entre em contato conosco!</t>
  </si>
  <si>
    <t>Lines from a Sad Boi’s Journal</t>
  </si>
  <si>
    <t>Agnes RH, vagas PR
📍 Rua João Manoel, 105, São Francisco - Curitiba.
☎️ (41) 3322-0352
Cadastre-se gratuitamente e participe de nossas oportunidades</t>
  </si>
  <si>
    <t>Empresa familiar, mexicana fundada en 1981. Tenemos línea #sinazúcar. Tel. 5524994700 Sucursales en #CDMX #Edomex</t>
  </si>
  <si>
    <t>Formador comercial apasionado por la evolución del saber vender. Kaizen - Resiliencia</t>
  </si>
  <si>
    <t>Encontramos a pessoa certa para o lugar certo.
Especializada em recrutamento e seleção de profissionais qualificados.</t>
  </si>
  <si>
    <t>Vinculamos a la comunidad logística de Latinoamérica con información, capacitación y negocios 📆Summit &amp; Expo 10-11 abril 👇Conoce nuestra plataforma digital</t>
  </si>
  <si>
    <t>Risk and Security Solutions | Cybersecurity | Privacy | Intelligence | for Private Clients and their Families. #PrivacyisSecurity</t>
  </si>
  <si>
    <t>Revista Líder en #Ciberseguridad. Novedades, Noticias, Entrevistas, Debates... ¡Todo sobre la seguridad online!</t>
  </si>
  <si>
    <t>The most effective and awarded Master Broker of #RivieraMaya and #Yucatan, with the most exclusive projects of the Mexican Caribbean.</t>
  </si>
  <si>
    <t>Conectá. Compartí. Creá. (Formosa, Chaco, Corrientes, Misiones)</t>
  </si>
  <si>
    <t>Ing Electricista. Diplomado en Ciudades Inteligentes .UTN.(Buenos Aires). Diplomando en Politicas https://t.co/mGMOGFWRTy Manager (Univ Galileo).</t>
  </si>
  <si>
    <t>✨Produtos Personalizados.
✨ Produção de Arte Digital para Mídias.
✈️ Enviamos para todo Brasil.
Nosso site ⬇️⬇️⬇️
https://t.co/qlytuzS2qY</t>
  </si>
  <si>
    <t>Mancomunidad Tierras de Medina. 
Centro Cultural Integrado Isabel la Católica. 
Plaza D. Federico Velasco s/n
Medina del Campo.
Tfno: 983 81 00 03.</t>
  </si>
  <si>
    <t>Centro de Información Juvenil. Infórmate #Empleo #Becas #Estudios #CarnéJoven #GarantíaJuvenil #Ocio
Teléfonos 667 679 717 /677 499 251</t>
  </si>
  <si>
    <t>Cuenta oficial del Ayuntamiento de Medina del Campo.</t>
  </si>
  <si>
    <t>Junta de Castilla y León.  Servicio público de empleo - eCyL</t>
  </si>
  <si>
    <t>Además de los #KindleFlash diarios puedes promocionar tu libro con nosotros, ¿cómo? Visita nuestra web para informarte ⤵️</t>
  </si>
  <si>
    <t>Cada día una reflexión sobre persuasión, ventas y liderazgo en -- https://t.co/wT68Nd0gb2
Persuadir para liderar y vender ➡️ https://t.co/kG6IXFE0ww</t>
  </si>
  <si>
    <t>Canal de YT con objetivo simple: Ayudarte a conseguir empleo. Avisos de EMPLEOS REALES, tips y consejos. Queremos que triunfes. Suscribete👉https://t.co/AWbjksAYo9</t>
  </si>
  <si>
    <t>#Emagreça com saúde #💃</t>
  </si>
  <si>
    <t>https://t.co/bFsgFfvNb6
Consultas a:
Legalmente.ayuda@gmail.com</t>
  </si>
  <si>
    <t>🇧🇷 Conservador | 📺 Entretenimento | 🦁 Futebol
“E conhecereis a verdade e a verdade vos libertará.” João 8:32 - #SDV</t>
  </si>
  <si>
    <t>Filho da Dona Lindu, marido da @JanjaLula, presidente da República. Trabalhando para reconstruir o Brasil.</t>
  </si>
  <si>
    <t>Rock and roller</t>
  </si>
  <si>
    <t>Página dedicada a Margaret Thatcher conhecida como Dama de Ferro. Falamos sobre cotidiano, direito, economia, entretenimento e política. Sempre com humor.</t>
  </si>
  <si>
    <t>Engenheiro. Autor de 5 livros. Comentarista da @JovemPanNews. Ex-consultor do Banco Mundial e ex-Secretário de Estado. Pai. Instagram: @robertomottaoficial</t>
  </si>
  <si>
    <t>MESTRE DE VENDAS DIGITAIS! Ajudo você a vender o seu produto ou serviço para o mundo, através da internet ❤</t>
  </si>
  <si>
    <t>Empresa especialista en Recursos Humanos y Reclutamiento
Contactanos
admon@elcaph.com.mx</t>
  </si>
  <si>
    <t>CEO de TRIUNO Consultora de Talento Humano, CA. Psicóloga, Mg. en Gerencia de RRHH, Facilitadora, Consultora, Venezolana comprometida con la libertad @MDI_Vzla</t>
  </si>
  <si>
    <t>Hinchada las bolas de todo. Experta en quejarme, con un doctorado en el arte de la puteada.</t>
  </si>
  <si>
    <t>Consultor y Formador en Ventas | CEO en groWZ Consultants | Speaker Internacional | Impulsor de la Venta Híbrida | #VendedorHibrido</t>
  </si>
  <si>
    <t>Me dedico a publicar vacantes en México con sueldo visible y de dominios de empresas (no gmail, outlook, etc)</t>
  </si>
  <si>
    <t>Empresa que te dará soluciones para tu Capital Humano. Consultoría, Capacitación, Outsourcing, Atracción de Talento, Gestión, Team Building, Especialistas IT.</t>
  </si>
  <si>
    <t>Diario digital más leído en la ciudad de Madrid y sus 21 distritos | Recibe las noticias por Telegram y WhatsApp: https://t.co/XPNXvc5MK8 | contacto@gacetinmadrid.com</t>
  </si>
  <si>
    <t>Portal con ofertas de trabajo en Madrid. Recíbelas por WhatsApp (https://t.co/riUN0aHgvP) y Telegram (https://t.co/39SDMy8Hfm)</t>
  </si>
  <si>
    <t>Degustador de memes.</t>
  </si>
  <si>
    <t>Somos un nuevo concepto en televisión para toda la familia, ofreciéndote una variada programación. La mejor señal a nivel nacional.</t>
  </si>
  <si>
    <t>Periodismo jurídico en línea. Web de noticias, jurisprudencia, informes y entrevistas con un ángulo legal. De @gacetajuridica.</t>
  </si>
  <si>
    <t>Somos a Gravity uma agência de Inbound Marketing, Links Patrocinados, SEO e mais!</t>
  </si>
  <si>
    <t>Esposo Feliz / Ingeniero Industrial / SEO /Especialista en Mantenimiento de Maquinaria Pesada / HSSO / Consultor</t>
  </si>
  <si>
    <t>Faço Histórias, com o dia-a-dia</t>
  </si>
  <si>
    <t>Para que estés enterado de todo lo que ocurre en #Chiriquí 
Tú  👉fuente confiable de información!
retenchiriqui@outlook.com
#RetenChiriqui #RSGE #Vost #Noticia</t>
  </si>
  <si>
    <t>Ecossistema de tecnologia e inteligência de dados movido a ajudar indústria, varejo e distribuidor a venderem mais, com mais margem.</t>
  </si>
  <si>
    <t>El Solucionario es un sitio web de apoyo a estudiantes y profesores universitarios con cientos de textos académicos para las diferentes áreas de la ciencia.</t>
  </si>
  <si>
    <t>Especialistas en #Cybersecurity &amp; #EthicalHacking, sigue también a @IOIOcorporation</t>
  </si>
  <si>
    <t>#89FM é a emissora de rádio alternativa mais ouvida do Brasil</t>
  </si>
  <si>
    <t>A Cia de Resultados é uma empresa inovadora em Terceirização de Vendas e conta com as Soluções Comerciais mais completas do mercado.</t>
  </si>
  <si>
    <t>Head of Digital Marketing B2B en Telecom Argentina | Growth Hacker ⚡ | Experto en LinkedIn B2B | Marketing Digital | Speaker| Líder en transformación</t>
  </si>
  <si>
    <t>𝑷𝒓𝒐𝒇𝒆𝒔𝒐𝒓 𝒆 𝒊𝒏𝒗𝒆𝒔𝒕𝒊𝒈𝒂𝒅𝒐𝒓 𝑰𝑪𝑮𝑫𝑬 𝑩𝑼𝑨𝑷, 𝑷𝒓𝒐𝒇 𝒗𝒊𝒔𝒊𝒕𝒂𝒏𝒕𝒆 𝒅𝒆𝒍 𝑰𝑷𝑵, SNI 1 𝒐𝒑𝒊𝒏𝒊ó𝒏 𝒑𝒆𝒓𝒔𝒐𝒏𝒂l.</t>
  </si>
  <si>
    <t>Estación de radio de la @BUAPoficial Fundada el 25 de agosto de 1997. // Newsletter: https://t.co/QRm99p5W0H</t>
  </si>
  <si>
    <t>Radiodifusora de la @UNAM_MX | 96.1 FM y 860 AM | Adolfo Prieto 133, Col. Del Valle. #ExperienciaSonora #radio #cultura #UNAM #CDMX</t>
  </si>
  <si>
    <t>Grupo Informativo del Estado de Puebla. Nuestro teléfono para tus reportes 22 22 38 29 90 📱 Estamos en Facebook como Cinco Radio</t>
  </si>
  <si>
    <t>Atendemos tus dudas en temas de consumo, así como asesoría para proteger y defender tus derechos como consumidor. | ☎️ 55 5568 8722 y 800 468 8722</t>
  </si>
  <si>
    <t>Procuraduría Federal del Consumidor | Av. José Vasconcelos 208, Col. Condesa, Alc. Cuauhtémoc | Teléfono del Consumidor 55 5568 8722 y 800 468 8722</t>
  </si>
  <si>
    <t>Cuenta Oficial de la Benemérita Universidad Autónoma de Puebla.</t>
  </si>
  <si>
    <t>XH-BUAP Canal 18.1 de televisión de la @buapoficial. // Newsletter: https://t.co/YdIzH2kO1C</t>
  </si>
  <si>
    <t>Hola, soy Rommyn Ciudadano y esto es un proyecto educativo.
No olvides seguirnos y compartir el contenido✨</t>
  </si>
  <si>
    <t>Jobomas is the leading job board in Latin America and one of the fastest-growing job boards worldwide.</t>
  </si>
  <si>
    <t>🚀 Sistemas de gestão para o comércio
🚀 Sistemas de gestão para restaurantes
🚀 Sistema de PDV Móvel na maquininha de cartão
https://t.co/THhKANjnX2</t>
  </si>
  <si>
    <t>Coches, Marketing y Basket</t>
  </si>
  <si>
    <t>Empregos, Vagas de Emprego e Currículos Grátis em Todo o Brasil</t>
  </si>
  <si>
    <t>Palestrante e Consultor Empresarial
Gestor de Carreira
Diretor na Digitare Soluções Acadêmicas 
Power Company</t>
  </si>
  <si>
    <t>Amante de  los deportes. Yo no sufro la locura. la disfruto a cada minuto.</t>
  </si>
  <si>
    <t>Somos un medio de comunicación nativo digital. Somos parte de la familia @POSTAmx</t>
  </si>
  <si>
    <t>👨🏻‍💻| Especialista em Tráfego Pago para Negócios Locais 📊| Aumento o Seu Faturamento Através dos Anúncios 👨‍👩‍👧| Amo minha Família e minha Profissão</t>
  </si>
  <si>
    <t>Religious wars are not caused by the fact that there is more than one religion, but by the spirit of intolerance... total eclipse of human reason.</t>
  </si>
  <si>
    <t>Coach Business. Especialista en Neuroventas, Motivación de equipos comerciales y lenguaje no verbal. + 800 conferencias, 120.000 asistentes</t>
  </si>
  <si>
    <t>Entidad privada de Promo Económica y Networking Empresarial. Desde año 2000 participan cada año más de 1200 Empresas participantes y 20.000 registros en España.</t>
  </si>
  <si>
    <t>Profesional con 38 años de experiencia en el mundo de las ventas y la empresa.</t>
  </si>
  <si>
    <t>Empreendedor e Palestrante. 
CEO da Allman</t>
  </si>
  <si>
    <t>Brindamos servicio integral inmobiliario que ofrece asesoría para la compra, venta, renta y/o construcción y facilidades de financiamiento de un bien inmueble😁</t>
  </si>
  <si>
    <t>Empresa dedicada a la comercialización de implementos y máquinas agrícolas.
Concesionaria oficial Valtra-Challenger/Crucianelli.
.
¡Haciendo futuro!</t>
  </si>
  <si>
    <t>#BolsaDeTrabajoTuitera es una cuenta gratuita, para ayudarte si estás sin empleo y difundir emprendimientos. #ApoyandoEmprendedores</t>
  </si>
  <si>
    <t>Marketing Digital e Comércio Eletrônico</t>
  </si>
  <si>
    <t>⚫️🟡 Mándanos tu Denuncia no importa de qué parte del #País seas WhatsApp 👉🏻☎️5635670180 ¡Hagámoslo Viral!    Derechos Reservados 2023</t>
  </si>
  <si>
    <t>En Habiteo ofrecemos soluciones 3D full web con el objetivo de optimizar la promoción y comercialización de obra nueva #PropTech #innovación #inmuebles</t>
  </si>
  <si>
    <t>Que sea breve y dulce, solo tienes 160 caracteres. Actualízate al nuevo navegador web mas veloz y seguro hasta el momento  https://t.co/4FJEkurHna</t>
  </si>
  <si>
    <t>Non siamo soli...</t>
  </si>
  <si>
    <t>Da Bahia pro mundo 🌎
Do mundo pra perto da gente 📲</t>
  </si>
  <si>
    <t>🍀⚓️ 32 anos 🖤🤍       Dicas para vendedores 📈 siga: ➡️ @victorfreitasrj</t>
  </si>
  <si>
    <t>LA AMVD agrupa a las principales empresas mexicanas y extranjeras de Venta Directa que operan en el país garantizando la sana competencia,</t>
  </si>
  <si>
    <t>Desde el año 2006, somos una organización comprometida en brindar un servicio personalizado y altamente calificado en información y consultoría tributaria, NIIF</t>
  </si>
  <si>
    <t>Ceo: @RobertEdimir
#TropicalYDeportiva
#HechaParaTi</t>
  </si>
  <si>
    <t>⚫️🟡 Mándanos tu Denuncia no importa de qué parte del #País seas WhatsApp 👉🏻☎️5635670180 ¡Hagámoslo Viral! Derechos Reservados 2023</t>
  </si>
  <si>
    <t>As principais marcas comercializadas estão aqui.😉
💥 Diversos produtos com preços promocionais!
#peças
#pneus
#acessorios
🚌 #onibus
🚛 #caminhão</t>
  </si>
  <si>
    <t>Consultoria de MKT Digital para seu negócio.
Mostro como conquistar sua autoridade
Sua empresa depende de você e dos anúncios pagos.
Contato: 48 99627-6091</t>
  </si>
  <si>
    <t>BUSCANDO TALENTO</t>
  </si>
  <si>
    <t>Construindo marcas, ampliando alcance, alcançando resultados. Somos a agência de marketing que transforma ideias em impacto digital.</t>
  </si>
  <si>
    <t>Ideias e Desafios, Speaker, Autor, Formador, Coach, Formação de Vendas, Motivação, Liderança Comercial, Coaching Comercial</t>
  </si>
  <si>
    <t>Co-fundador da @restoraphoneexperts Empreendedor, Empresário e Vendedor. O profissional que sabe vender se diferencia dos demais. 🚀</t>
  </si>
  <si>
    <t>Cobrança inteligente!</t>
  </si>
  <si>
    <t>nas</t>
  </si>
  <si>
    <t>Terceirização Evidence One Security &amp; Serviços.
Projeto musical SPECTRU.
Portal de Notícias.
c: andregestao301@gmail.com</t>
  </si>
  <si>
    <t>⚜️l Mineiro
⚜️l LifeStyle
⚜️l 29 Anos
⚜️l Gestão de tráfego
⚜️l Mercado Digital
⚜️l Venda de info-produtos
⚜️l Pai do Nicolas</t>
  </si>
  <si>
    <t>#KIAFRA la primera inmobiliaria en México preocupada en ayudarte a alcanzar tu casa soñada.</t>
  </si>
  <si>
    <t>Especialista em Vendas Internas (Inside Sales)
Crie processos de vendas de forma simples e eficiente para dobrar suas vendas através do WhatsApp.</t>
  </si>
  <si>
    <t>Todo sobre mi Paraguay Querido</t>
  </si>
  <si>
    <t>Bem vindo ao mundo da notícia boa! Somos o 1º portal de jornalismo positivo do Brasil. Comece o dia com notícia boa!!! i instagram @ sonoticiaboaoficial</t>
  </si>
  <si>
    <t>Transparência e responsabilidade. Nossas causas: DireitosHumanos, Meio Ambiente, Situação de Emergência. Seja um dos #ParceirosBrilhantes</t>
  </si>
  <si>
    <t>💛 A vaquinha do @sonoticiaboaofc para realizar sonhos e impulsionar talentos 
🔗Ajude nesse link⬇️</t>
  </si>
  <si>
    <t>ES/RJ ❤️👭❤️</t>
  </si>
  <si>
    <t>Me gusta: foto, fotografía, crear activos, volar...caminar me ayuda a pensar</t>
  </si>
  <si>
    <t>Dios te ama!
sígueme en Instagram @rafaelcineasta @rafaeljimenezav @rafashotz https://t.co/Bk5Q2caRwJ trabajos
https://t.co/cN4Mr3wxcT portafolio fotos</t>
  </si>
  <si>
    <t>Comunicadora social en Agencia IP</t>
  </si>
  <si>
    <t>⚖️| ADVOGADA TRABALHISTA EMPRESARIAL          🗣️| Se você é EMPRESÁRIO e deseja um empreender tranquilo e seguro, seu lugar é AQUI🚀 🇧🇷| Atuação em todo país</t>
  </si>
  <si>
    <t>Torne-se um vendedor profissional na internet!</t>
  </si>
  <si>
    <t>Economista🎓#ExportManager📈 
Me gusta el #vino🍷 #queso🧀 y el pan🥖 y si son de #Galicia mejor!  Todo #gourmet 
#Lectura📚 #Musica🎧 y #Deportes⚽🏀🏈⚾</t>
  </si>
  <si>
    <t>Medidor privado e Ingeniero gestor comercial con 20 años de experiencia en ventas.</t>
  </si>
  <si>
    <t>O Mova-se Empreendedor é um canal com a missão de levar a empreendedores(as) informação e conhecimento, a partir da experiência de 3 publicitários.</t>
  </si>
  <si>
    <t>Somos una academia de Marketing Digital, creemos en democrotización de la educación digital.</t>
  </si>
  <si>
    <t>Encuentra #Inmuebles, #Vehículos, #Empleos y mucho más en Aviso Oportuno, una sección de @El_Universal_Mx. ¡Anúnciate!</t>
  </si>
  <si>
    <t>◦ ᴡᴇʙsɪᴛᴇs
◦ ʟᴀɴᴅɪɴɢ ᴘᴀɢᴇs
◦ Sɪsᴛᴇᴍᴀs ᴄʟᴏᴜᴅ
𝘛𝘳𝘢𝘯𝘴𝘧𝘰𝘳𝘮𝘦 𝘴𝘶𝘢 𝘱𝘳𝘦𝘴𝘦𝘯𝘤̧𝘢 𝘰𝘯𝘭𝘪𝘯𝘦 𝘦𝘮 𝘙𝘌𝘚𝘜𝘓𝘛𝘈𝘋𝘖𝘚!
💻 🌐 🚀</t>
  </si>
  <si>
    <t>Reportero de Saúl Salazar Noticias y radio La Grandiosa FM. 
Trabajó como corresponsal en @nvinoticiasoax, 
@informativo6y7 y @adn_sureste</t>
  </si>
  <si>
    <t>Fabricamos el mejor cuero para calzado y vestimenta con colores de moda y óptima calidad</t>
  </si>
  <si>
    <t>Empresário, Palestrante, Músico e Compositor.  NA VIDA TUDO É VENDA!</t>
  </si>
  <si>
    <t>Si alguna vez me preguntaste duda de lo que te respondí, porqué las respuestas cambian a cada instante. SMS en  @moblescanbarato y @milyunsofa y escritor novel</t>
  </si>
  <si>
    <t>Aquí es donde la gente opina huevadas ?</t>
  </si>
  <si>
    <t>Academia de formación online ubicada en Madrid, nacida en 2011 y especializada en la formación orientada al empleo.</t>
  </si>
  <si>
    <t>Medios Radiofónicos de Michoacán, lleva a tu #Radio el concepto mas excelso de la música en #Morelia 99.1 FM, #Pátzcuaro 106.5 FM y #CdHidalgo 97.7 FM</t>
  </si>
  <si>
    <t>Contabilista Certificada</t>
  </si>
  <si>
    <t>Live and let live 💚</t>
  </si>
  <si>
    <t>No conozco nada más bello que ir hacia lo desconocido.</t>
  </si>
  <si>
    <t>#Empregos em #Salvador/RM e...
(Não sou responsável pelas #vagas) https://t.co/O27gXsXiXF
@vagasdesalvador 
🚩❤️🏳️‍🌈🏳️‍⚧️🏳</t>
  </si>
  <si>
    <t>Medio digital. Información real en tiempo real. Escríbenos al link https://t.co/BhhEuJ9qtO</t>
  </si>
  <si>
    <t>Docente, Perito Judicial TJGO, Dra. e MSc. em Estruturas e Construção Civil; Engenheira Agrícola; Eng. Seg. Trab.; Psicanalista (EPC); Army.</t>
  </si>
  <si>
    <t>Ser callado con la música por dentro 😃😃😃</t>
  </si>
  <si>
    <t>Bimbo te da la mejor combinación para una vida sana y sabrosa. Recetas nutritivas para tu familia, consejos sobre salud para tu equilibrio, y mucho más.</t>
  </si>
  <si>
    <t>Start-up global de origen mexicano, en 34 países.
+145 mil colaboradores.
Nuestras recetas: Para Ti, Para la Vida y Para la Naturaleza</t>
  </si>
  <si>
    <t>Compra e Venda de Automóveis! 
Mais de 25 anos realizando sonho de várias famílias com nossa qualidade e garantia!</t>
  </si>
  <si>
    <t>Profesor Universitario ULA
❌No me hables de equipo si ni siquiera conozco a tu pareja
👉Me gustan la Oratoria y las Ventas</t>
  </si>
  <si>
    <t>Portal de produção e curadoria de conteúdo voltado para estudantes e profissionais do Direito e com tema dedicado à inovação, tecnologia e empreendedorismo.</t>
  </si>
  <si>
    <t>Te ayudamos a lograr el crecimiento de tu empresa con estrategias de Marketing Digital planeando, ejecutando y midiendo con el fin de lograr tus objetivos.</t>
  </si>
  <si>
    <t>Maior Feira de Negócios do Centro-Oeste  Insta: @goianiacal_</t>
  </si>
  <si>
    <t>▶️ #Noticias sobre #Turquia y #Eurasia en español
🇬🇧  English: https://t.co/pJEhSz42nb
¿Nos invitas a un café turco? 💗 https://t.co/Oj9DmOcQ2A</t>
  </si>
  <si>
    <t>Libre pensador 🎭
Abogado  (Vzla) ⚖️
Esp. en Inmigración.
Master en Docencia Universitaria.
Cocinero 👨‍🍳
Escritor 📚
Estudiante de Derecho y Filosofía (ULL)</t>
  </si>
  <si>
    <t>AH Revista de negocios creada para entregar  a las empresas y negocios  un alto nivel de #marketing , y para   nuestros suscriptores #contenido de alta calidad</t>
  </si>
  <si>
    <t>Te guste o no...
🔻TODO VA CON MARKETING
🔴 Estrategias digitales
☄️ Publicidad en RRSS
🟨 Plataformas sociales</t>
  </si>
  <si>
    <t>Faço Mkt Digital para empresas. contato: contatoleonardodantas@outlook.com</t>
  </si>
  <si>
    <t>🌐Levamos o Direito em qualquer Lugar
Advogado desde 2000, Pós Graduado em Direito Previdenciário, Trabalhista e Tributário
Sociedade de Advogados</t>
  </si>
  <si>
    <t>Servicios de Asesoría laboral para microempresas, empresas y público en general.</t>
  </si>
  <si>
    <t>Desde 2001 oferecendo soluções e produtos completos para os segmentos de comunicação visual, construção civil e industrial.</t>
  </si>
  <si>
    <t>Los pequeños siempre seran pequeños y los grandes habran sentenciado su fin,si no aprenden a vender!
Vender para alcanzar el exito! 🚀
📍Porto🇵🇹
#ventas</t>
  </si>
  <si>
    <t>PERIODISTA Y EN CONTRA DE LA INJUSTICIA SOCIAL.
SÍGUEME Y TE SIGO...</t>
  </si>
  <si>
    <t>Te ayudo a vender más en https://t.co/Rrthz077Iq</t>
  </si>
  <si>
    <t>Um novo conceito em processos seletivos e gerenciamento de recursos humanos.
Busque a sua vaga em nosso site https://t.co/1P1iF6NRf1</t>
  </si>
  <si>
    <t>Grado Medio de Comercio y Marketing 
buscando trabajo actualmente 
Me 
Encanta 
mi 
Ciudad 
ANTEQUERA 🌁🌇</t>
  </si>
  <si>
    <t>TelePremier #ContigoSiempre 🤝
Canal 16 de Xtrim TvCable 📺
Facebook 📲 Instagram 📷 y YouTube ▶️</t>
  </si>
  <si>
    <t>Puedes ver Negocios Televisión en el canal 140 de Movistar+, iOS, Android y di "Alexa, abre negocios en directo". O en Spotify!</t>
  </si>
  <si>
    <t>Escribo sobre:  Experiencia del Cliente y Ventas desde la Ciudad de México. Director de SQI-México.</t>
  </si>
  <si>
    <t>Sonder Valor Argentino SRL Indumentaria Deportiva
Desde 1992</t>
  </si>
  <si>
    <t>Estado Luz somos un medio dedicado a compartir las historias y la luminosidad de #Guanajuato ✨</t>
  </si>
  <si>
    <t>Canal oficial de #BilleteraMóvil  #MediodePago</t>
  </si>
  <si>
    <t>Toda la Información y Capacitación Jurídica que necesitás para resolver con éxito el ejercicio de tu profesión.</t>
  </si>
  <si>
    <t>Abogados - Consultores - Agentes de la Propiedad Industrial</t>
  </si>
  <si>
    <t>Atuamos no ramo da construção civil desde 2005, no mercado de Curitiba e Região Metropolitana, litoral do Paraná e litoral norte do Estado de Santa Catarina.</t>
  </si>
  <si>
    <t>Notisias de Graná cada mañana en tu móvil.</t>
  </si>
  <si>
    <t>👥 Reclutamiento / Sourcing
🌎 LATAM Recruitment / Bilingual talent
🧑‍🏫 Capacitación
🫂 Coaching y Mentoring
📄 Asesoría de carrera y perfil laboral</t>
  </si>
  <si>
    <t>Nada es normal aquí, Espero sacarte una sonrisa ❤</t>
  </si>
  <si>
    <t>Agencia Internacional de Seguros. Asesores en protección del patrimonio familiar. Cotiza tu póliza en línea | #SegurosconPGS #AgentePGS</t>
  </si>
  <si>
    <t>A maior plataforma de Pós-graduação online do Brasil.</t>
  </si>
  <si>
    <t>Comunidade de fãs de Chaves &amp; Chapolin no Brasil (certificada pelo @GrupoChespirito). Tudo sobre o mundo CH! Venha se divertir conosco. ❤️</t>
  </si>
  <si>
    <t>Soy  lo que soy contra viento y marea.</t>
  </si>
  <si>
    <t>Dependencia dedicada vincular a las empresas con las personas, para mejorar su calidad de vida, mediante un trabajo.
https://t.co/RGkMGQhd1K</t>
  </si>
  <si>
    <t>Creadores de contenido automotriz
Escucha nuestro podcast - https://t.co/agCTJtCtk2</t>
  </si>
  <si>
    <t>✝ Lo decreto,empresario, abogado,gamer.
Jurista Fiscal y tecnología aplicada al derecho . No tomo, no fumo, gimnasio, golf, fútbol, series, películas, libros.</t>
  </si>
  <si>
    <t>Con el mejor contenido y la cobertura más completa de Chihuahua
Una empresa de @gruposalinas
SIEMPRE CONECTADOS</t>
  </si>
  <si>
    <t>Periodista @TvAztecaChihuahua</t>
  </si>
  <si>
    <t>O nosso objetivo é simples:  trazer pra você mais clientes, mais vendas e mais tranquilidade no final do mês ! Vem com a gente: https://t.co/wWb2h0WPMY 🚀</t>
  </si>
  <si>
    <t>Mystery Project, a secret audit company Mystery Shopping. Mystery Guest - HEADHUNTING hola@mysteryproject.es</t>
  </si>
  <si>
    <t>¡Multiplica tu ahorro!
⚠️ En calidad de Afiliado de Amazon, obtengo ingresos por las compras adscritas que cumplen los requisitos aplicables</t>
  </si>
  <si>
    <t>La Televisión Guatemalteca</t>
  </si>
  <si>
    <t>• Ajudo vendedores a serem campeões.
• Através de palestras e mentorias.
• 125 000 vendedores treinados!
• insta: palestranteandresilva</t>
  </si>
  <si>
    <t>Cuenta del Servicio Navarro de Empleo / Nafar Lansareren kontua. ➡️ Directorio de rrss y condiciones del servicio https://t.co/HCWqEdmmlB</t>
  </si>
  <si>
    <t>Estudio de diseño gráfico especializado en el desarrollo de recursos y materiales didácticos e interactivos en multimedia.</t>
  </si>
  <si>
    <t>📊 Maior sistema de crediário próprio do Brasil
📣 Crediário para pequenos e grandes varejistas
▪ Conteúdo para varejo
▪ Saiba mais 👇</t>
  </si>
  <si>
    <t>Empresa de Telecomunicação fornecedora de Pabx Virtual (na Nuvem) para Empresas.
Rua Conselheiro Cotegipe, 1127 - Belenzinho - São Paulo - SP Tel: 0800-278-7896</t>
  </si>
  <si>
    <t>Sitio de LRF 210 Radio 3 - AM 780 Cadena Patagonia 📻 desde Trelew.
En Esquel: AM 1200 y Amanecer FM 88.1.
Lago Puelo y Comarca Andina: 104.1 FM Del Bosque.</t>
  </si>
  <si>
    <t>Aquí puro cotorreo, saquese con su mala vibra</t>
  </si>
  <si>
    <t>Metaforas tipo Froid, psicodélico Pink Floyd</t>
  </si>
  <si>
    <t>ARTISTApintor-DGráfico-SINESTÉSICO-INDIGOCRISTAL.</t>
  </si>
  <si>
    <t>Somos un centro de enseñanza especializado en una formación eLearning enfocada a la búsqueda de empleo, con una metodología sencilla y amena.</t>
  </si>
  <si>
    <t>Somos un equipo con más de 16 años de experiencia en el Diseño y Desarrollo Web, trabajamos bajo exigentes estándares de calidad.</t>
  </si>
  <si>
    <t>Somos la empresa de desarrollo organizacional y gestión del capital humano especialista en Organizaciones sociales y Empresas con impacto en Latinoamérica.</t>
  </si>
  <si>
    <t>Expertos en #ERP y #CRM para pymes canarias. Soluciones reales al alcance de tu mano.</t>
  </si>
  <si>
    <t>Report Consult é uma solução digital para as áreas de gestão e contabilidade com foco em gestão de dados.</t>
  </si>
  <si>
    <t>Porta Pallet | Representante Comercial</t>
  </si>
  <si>
    <t>#Publicista con titulación
#RedesSociales de profesión 
#Redactor de vocación
La #radio, una pasión, los domingos a las 12.05 #enredando en @convozde</t>
  </si>
  <si>
    <t>Analista, Yoga, Artista</t>
  </si>
  <si>
    <t>ACESSE O SITE🔽 
https://t.co/QVStRNjWCe</t>
  </si>
  <si>
    <t>Gracias Gracias Gracias Universo por todo lo que me has dado y me Daras,me lo Merezco ❤️❤️🙏🙏</t>
  </si>
  <si>
    <t>Our mission at Manifested Dreams is to help individuals and organizations unlock the full potential of AI technology.</t>
  </si>
  <si>
    <t>• Sales Strategy                      • Vendedor desde os 8 anos • Gestor de Perfils Comportamentais • Founder All Business Co.</t>
  </si>
  <si>
    <t>Recordar Epoca Contemporanea y transculturacion de Venezuela
Para nadie es un secreto que la transculturización en Venezuela ha jugado un papel fundamental</t>
  </si>
  <si>
    <t>like and subscribe.</t>
  </si>
  <si>
    <t>💙 Cada día más cerca del #ResuergirDeLaPatría.
🐑 Consigue aquí el borreguito que mejor te represente. 
✊🏻🇪🇨 Juntos Recuperaremos la Patria.</t>
  </si>
  <si>
    <t>Tienda Online - Visitanos!
Explora, Experimenta.
Envios Gratis a partir de $50
Productos sublimes a un sólo Click</t>
  </si>
  <si>
    <t>📢 ¡Descubre tu camino hacia el éxito profesional en Empleolandia! 🌟 Somos tu plataforma en línea para encontrar las mejores oportunidades laborales en España</t>
  </si>
  <si>
    <t>Aqui o sistema é déferenteee... Colombo/PR... Fé em DEUS que Ele é justo!</t>
  </si>
  <si>
    <t>Biblioteca de memes y otras imágenes que en su momento me gustaron</t>
  </si>
  <si>
    <t>🤖 O melhor sistema de gestão para WhatsApp
🧑‍💻 Venda mais e atenda melhor
🌍 + 3.000 clientes atendidos em 9 Países
😎 Conheça o ChatGuru ⤵️</t>
  </si>
  <si>
    <t>TUDO POSSO NAQUELE QUE ME FORTALECE
INSTAGRAM: @vinicius198547</t>
  </si>
  <si>
    <t>Empregada do Twitter 🙃</t>
  </si>
  <si>
    <t>Perfil oficial da CPTM. Monitorado de seg a sex, das 7h10 às 19h50. Central 24h 0800-055-0121</t>
  </si>
  <si>
    <t>Somos uma agência de criação e marketing digital inclusiva, que acredita na força que a representatividade pode oferecer.</t>
  </si>
  <si>
    <t>Coach de vendas!! 🤪</t>
  </si>
  <si>
    <t>Agencia Consultora 📊
Soluciones de RRHH para todo tipo de organizaciones 🗂️
Socios estratégicos de tu negocio 👩‍💻</t>
  </si>
  <si>
    <t>Firma consultora especializada en Reclutamiento y Selección de Personal. 12 años refiriendo los mejores talentos.</t>
  </si>
  <si>
    <t>Dejé las direcciones internacionales por acompañarte con pasión y experiencia a lograr el éxito de tu empresa a través de #consultoria, #formacion y #coaching</t>
  </si>
  <si>
    <t>Sites Profissionais, Catálogos Online e Lojas Virtuais com Modelos Prontos, Modernos e Gerenciáveis, com Diversas Integrações! Escolha o modelo ideal pra você!</t>
  </si>
  <si>
    <t>Arquitecto de Software de El Salvador, Centro América</t>
  </si>
  <si>
    <t>Inteligencia Creativa_x000D_
Email Marketing_x000D_
Internet Marketing_x000D_
Diseño Vital_x000D_
Marketing de afiliados</t>
  </si>
  <si>
    <t>A AACD FAZ UM ÓTIMO TRABALHO E É LÁ QUE VOU CONSEGUIR UMA PRÓTESE TRANSTIBIAL GRATUITA PARA PODER VOLTAR A ANDAR !</t>
  </si>
  <si>
    <t>Loan Officer NMLS 1342502
275 E Rivulon Blvd, Suite 200
Gilbert, AZ 85297
Barrett Financial Group
NMLS #181106 | https://t.co/Pt5Is90p00 | Equal Housing Oppor</t>
  </si>
  <si>
    <t>Agencia de consultoría dedicada a los servicios de Reclutamiento y selección de personal, así como también investigación de estudios socioeconómicos.</t>
  </si>
  <si>
    <t>💼 Compartimos vacantes de empleo del sector público y social en Mx, desliza hacia abajo para ver las que están vigentes y comparte ❤
 Fundador: @Landon_Gtz 👈</t>
  </si>
  <si>
    <t>Derechos laborales, DH, memes y doy tips a la banda para encontrar #Chambing. Trabajo digno y bien remunerado para todxs. 💚💜🎶📸🐈</t>
  </si>
  <si>
    <t>Santo Linkedin nos ampara y Twitter nos respalda. 
Recopilando, cazando y rolando chambas 👥💻
Nuestra misión: Que tengas trabajo</t>
  </si>
  <si>
    <t>Este es un espacio administrado por la periodista Fátima Vázquez. Los tuits escritos personalmente se firmarán como -F.V. Cuenta personal -@fatimavazquezmx</t>
  </si>
  <si>
    <t>Ser un puente entre quienes necesitan un empleado y quienes buscan un empleo me da mucha felicidad!!
 Amo lo que hago!!!</t>
  </si>
  <si>
    <t>En los detalles está la Grandeza.</t>
  </si>
  <si>
    <t>“La #política es el arte de disfrazar de interés general el interés particular”
 “Un mal #político engaña a sus electores; uno bueno, a la historia”</t>
  </si>
  <si>
    <t>Nos gusta apoyar a nuestros colegas ingenieros y arquitectos con información de valor para que su crecimiento profesional sea más fácil y eficiente.</t>
  </si>
  <si>
    <t>Economista
https://t.co/8gtwEkrPGM</t>
  </si>
  <si>
    <t>Asociación sin ánimo de lucro, que trabaja por el desarrollo rural de la comarca de Tierras Sorianas del Cid.</t>
  </si>
  <si>
    <t>Apoyo a personas desempleadas, empresas y emprendedores del Medio Rural</t>
  </si>
  <si>
    <t>Librería Especializada en Negocios, Autoayuda, Liderazgo, Psicología y Filosofía | Envío GRATIS 🛵</t>
  </si>
  <si>
    <t>Há + de 17 anos vendendo. Dono de Ótica, Encapsulados e Consultoria. Especialista em vendas presenciais e digitais. + de R$1.5 Milhão de Vendas na Internet.</t>
  </si>
  <si>
    <t>Um Olhar à Direita</t>
  </si>
  <si>
    <t>Nuestra misión es ayudar a 1 millón de emprendedores a vender más, quitando del camino todo el humo y bullsh*t que existe en el mundo de las ventas.</t>
  </si>
  <si>
    <t>Apenas alguém que tenta manter a coerência e o bom senso de acordo com o que vem acontecendo.</t>
  </si>
  <si>
    <t>Jurista | Autor Best-Seller | Prof. Dr. Ms. Bel. pelo Largo São Francisco | Jornalista | Apresentador</t>
  </si>
  <si>
    <t>Comediante Stand Up, Integrante do Pânico, Dublador, Imitador, Radialista e Chapeiro.</t>
  </si>
  <si>
    <t>Somos un medio de comunicación digital, con cobertura en la Zona Metropolitana del Valle de México, y presencia en 16 estados del país.</t>
  </si>
  <si>
    <t>Cuenta oficial del Gobierno de Tlalnepantla de Baz 2022 - 2024 Presidente municipal @TonyRodriguezMX Emergencias C4 📞 55 5366 4444</t>
  </si>
  <si>
    <t>Por vuestra salud 🥂😵‍💫</t>
  </si>
  <si>
    <t>Gestão de serviços tradicionais segurança patrimonial 24 horas e limpeza.Atendimento Empresas e Cond.
SP.
Email:andretpgoncalves@gmail.com
w...01198772-0972</t>
  </si>
  <si>
    <t>MKT Digital para Negocios</t>
  </si>
  <si>
    <t>Miembro comité ejecutivo Sindicato de trabajadores de Hospitales y Clínicas Distrito Capital,no compito para tener seguidores.</t>
  </si>
  <si>
    <t>Médico-Cirujano, Ph. D., Profesor Titular UCV, Investigador en Neuroquímica, Neurofisiología, Educación Universitaria, Ciencia y Tecnología. Luchador político.</t>
  </si>
  <si>
    <t>Jornal online com a missão de produzir jornalismo sério, com credibilidade e informação atualizada, da cidade de Rio Verde e região.</t>
  </si>
  <si>
    <t>cada esfuerzo por pequeño o grande que sea tiene su recompensa
ya tengo mi Podcasts https://t.co/aVQVey45rF</t>
  </si>
  <si>
    <t>gestor de conversão, 
ajudo a sua empresa a aumentar o faturamento através de estratégias com anúncios nas redes sociais</t>
  </si>
  <si>
    <t>🗞 Informação Pontual;
📍 Desde Abril de 2010;
Acesse agora mesmo 👇🏼</t>
  </si>
  <si>
    <t>Las Personas criticaran tu Trabajo, Esfuerzo o Resultados, si no lo pagan (tu trabajo) en realidad NO IMPORTA SU OPINION.</t>
  </si>
  <si>
    <t>Amante de mi maravillosa familia, inspirado por el amor hacia mis hijos,  enamorado de mi increíble esposa y apasionado por el mundo de los Negocios!!!</t>
  </si>
  <si>
    <t>Empresa especializada em soluções inteligentes de armazenamento, exposição e acondicionamento de produtos.</t>
  </si>
  <si>
    <t>interested in science, history, nature, politics and social improvement. Doesn't matter left or right if it makes sense.</t>
  </si>
  <si>
    <t>Casado | Recifense | Pai de 2 filhos | Bacharel em Direito | Empresário na Empresa AB LINS Serviços Administrativos | DJ | Libriano</t>
  </si>
  <si>
    <t>IDEA = FUTURO PROYECTO</t>
  </si>
  <si>
    <t>Ing. De sistemas, marketing tráfico y consumo, Analista it</t>
  </si>
  <si>
    <t>camila 29 años colombiana🇨🇴
creadora de contenido XXX
whatsapp nuevo +573135245685
https://t.co/AYaXOwfxAs</t>
  </si>
  <si>
    <t>Soluciones en Software Empresarial, con Soporte y Asistencia, Adiestramiento al personal. Objetivo tus resultados.</t>
  </si>
  <si>
    <t>Referência mundial em soluções de recursos humanos.</t>
  </si>
  <si>
    <t>✞☆☆☆☭☆☆☆✞
88888888888</t>
  </si>
  <si>
    <t>GUI TERRENGUI | VENDAS B2B
🏆 Técnicas de alta performance comercial
👇🏻 Ebook “Guia Prático de Vendas”
https://t.co/BK9xDeWf0m…</t>
  </si>
  <si>
    <t>Tubería y conexiones de acero inoxidable para las industrias alimentaria, farmacéutica y cosmética.</t>
  </si>
  <si>
    <t>Lic. Periodismo. Docente. Escribo. Ex 3FRadio/91.5. Prof. Universit. Publicidad-UAI. Coord. Zona de Poetas. Creador de El cine que no se vio. IG doraziogustavo</t>
  </si>
  <si>
    <t>Maior fabricante de Unidades Móveis do Brasil e referência em Implementos Rodoviários Pesados</t>
  </si>
  <si>
    <t>Abraham Hold, Diplomado Administración de Empresas,  Autor Amazon. Libros  El Santo Decurion, Mundo Humanoides o Humanos Búsqueda Google  y en https://t.co/khoB3UsfQX</t>
  </si>
  <si>
    <t>¿Te gusta el #traiding?Necesitas analizar tu #brokers. Aqui encontrarás artículos #financieros, tips y consejos que te ayudarán en tus #finanzas 📈</t>
  </si>
  <si>
    <t>Somos líderes en generación de conocimiento en microbiología.
ARAVANLABS produce +200 productos/servicios para control microbiológico.</t>
  </si>
  <si>
    <t>Il nostro obiettivo è fornire contenuti e vogliamo condividere con Voi.  
#Felicitá #Tecnologia #Suggerimenti di #Shopping</t>
  </si>
  <si>
    <t>Desde 2008 criamos. Identidades Visuais . Soluções Web . Mídias Impressas . Projetos 3D . Edição de Vídeos . Comunicação Visual . Fotos de Produtos | #bolsonaro</t>
  </si>
  <si>
    <t>Naci un 24 de Mayo en Bajo Flores, Ciudad de BsAs 🇦🇷 Comercio/Escritor/ Intérprete de música de cuarteto/ Hincha y socio de Talleres de Córdoba.</t>
  </si>
  <si>
    <t>Vantajoso pra quem vende, compra e troca. Faça parte da nossa comunidade!</t>
  </si>
  <si>
    <t>Negro mais fod@ da internet Brasileira</t>
  </si>
  <si>
    <t>Crea un #Curriculum de éxito, con los consejos y contenidos de este timeline para hacer currículums + #PlantillasCV para descargar gratis 👇#resume #cv</t>
  </si>
  <si>
    <t>Apasionada por el Social Media #CommunityManager, Marketing Digital, búsqueda de empleo, curriculums y Tecnología 📱Creadora de contenidos en @CVPlantillas</t>
  </si>
  <si>
    <t>Cuenta oficial Guardia Civil en la Comunidad Foral de #Navarra. Este canal no atiende denuncias. ☎️𝐄𝐦𝐞𝐫𝐠𝐞𝐧𝐜𝐢𝐚𝐬 𝟎𝟔𝟐</t>
  </si>
  <si>
    <t>Mostro seus produtos e serviços na internet para as pessoas que estão te procurando, bora fazer? Nós fazemos.</t>
  </si>
  <si>
    <t>Licenciada.</t>
  </si>
  <si>
    <t>🇻🇪 Reportero 
📍Caracas 
💯 USMista</t>
  </si>
  <si>
    <t>La Fundación ReporteYa es la red pionera de Periodismo Ciudadano y alfabetización digital en Venezuela. Dicta talleres sobre uso efectivo de redes sociales</t>
  </si>
  <si>
    <t>Conferencista. Consultor. Ventas. Líder de Desarrollo Humano y productividad. Sígueme en mis redes sociales: https://t.co/bp4ALaY3Sy</t>
  </si>
  <si>
    <t>@CoopsAgroAND es la organización representativa del cooperativismo andaluz, con 641 entidades asociadas, +297.000 productores y 10.470 millones de facturación.</t>
  </si>
  <si>
    <t>Desenvolvo líderes e vendedores de alta performance, de forma prática e simples. Treinamento bem focado e com resultados imediatos.</t>
  </si>
  <si>
    <t>Seleção de Mão de obra temporária, efetiva e especializada. Além da gestão de processos terceirizados de Portaria, Segurança, Limpeza e Conservação Patrimonial.</t>
  </si>
  <si>
    <t>Consultora Colombo - ecuatoriana en #Comunicación Estratégica y apasionada por ayudar a emprendedores con la construcción de sus marcas.</t>
  </si>
  <si>
    <t>Marketing digital para empresas - Atraia mais clientes e torne seu negócio ainda mais conhecido em sua região. @dznprojectmedia</t>
  </si>
  <si>
    <t>HOLA QUE TAL, SOY KIKE TRATO DE HACER REIR CON MIS PERSONAJES SOMOS PERSONALIDAD MULTIPLE…</t>
  </si>
  <si>
    <t>Sou CEO da CN BRASIL, a proteção veicular que é um clube de benefícios.</t>
  </si>
  <si>
    <t>Periódico Digital Poblano que tiene el objetivo de informar en tiempo real con veracidad y promotor de la Voz Ciudadana.</t>
  </si>
  <si>
    <t>Siga a #resultadocomtrafego para receber conteúdos inovadores de Gestão de Tráfego Pago!
👉🏻 @resultadocomtrafego
https://t.co/4vMqLCJbou</t>
  </si>
  <si>
    <t>📍| Rj021
🏍| Consultor de vendas Honda
💳| Financiamento, Consórcio 
💳|Cartão de crédito, Crediário 
🏍|Especialista em realizar sonhos
📲| 21 97496-4320</t>
  </si>
  <si>
    <t>link in bio</t>
  </si>
  <si>
    <t>Empresa de Consultoria de RH, no RJ, com atuação nacional.  Oferecemos soluções na área de recursos humanos e atendimento humanizado para nossos clientes.</t>
  </si>
  <si>
    <t>💙</t>
  </si>
  <si>
    <t>Ensino sobre a tríade: Poder, Dinheiro e Alta Performance. 🔺 Só me siga se tiver convicção de que vai fazer parte dos Top 1%. 🌎</t>
  </si>
  <si>
    <t>Greetings From Orlando, Florida! Your local Realtor working with the Orlando Residents and Military families is my expertise .</t>
  </si>
  <si>
    <t>Consultor e Palestrante Especialista em Desenvolvimento de Pessoas e Negócios!
Contato:
https://t.co/I5OvYUQrm7</t>
  </si>
  <si>
    <t>Ayudamos a las empresas en sus procesos de cambio con quienes los hacen posible: las personas. Somos catalizadores del cambio https://t.co/WZUXPDM7zK</t>
  </si>
  <si>
    <t>Estrategias de IT que evolucionan tu negocio.</t>
  </si>
  <si>
    <t>Engineer, MBA, Mkt &amp; Sales Director, ExFEMSA,  turned Stock Trader, Business Pimp and content creator. Derecho sin dobleces y directo pa decir las cosas.</t>
  </si>
  <si>
    <t>🔥ECOMERCE CON PROPÓSITO
❤️AMOR-ALEGRÍA-PAZ 
👇LA IMPORTANCIA DE CAMINAR EN LA TIERRA 📱 +51915328448👉https://t.co/0jw2FNlqnU</t>
  </si>
  <si>
    <t>Indumentaria Masculina</t>
  </si>
  <si>
    <t>Lider social. Defensor de DDHH y Territorios Afro Vocero del Movimiento por la vida @MovidaCol. ExCandidato a la Cámara Afro #FuerzaAfro ✊🏿✊🏾✊🏽</t>
  </si>
  <si>
    <t>Tribunal Supremo de lo Contencioso Administrativo y Máximo Cuerpo Consultivo del Gobierno</t>
  </si>
  <si>
    <t>A Top Ip atua no mercado oferecendo diversos serviços e produtos na área de segurança eletrônica, automação comercial, informática e outros.</t>
  </si>
  <si>
    <t>Acompañamiento con métodos, técnicas y herramientas para que tu empresa sea más rentable y más eficiente</t>
  </si>
  <si>
    <t>Te ayudamos a convertir a tus clientes actuales en clientes leales. T: +52 (668) 817.0607.</t>
  </si>
  <si>
    <t>En Salesland somos especialistas en ventas. Comercializamos productos de terceros en todos los canales: Venta Presencial, TeleMarketing y Venta Digital.</t>
  </si>
  <si>
    <t>I changed my Facebook Name Joao Serpa Santos and Bio !</t>
  </si>
  <si>
    <t>Apaixonado por Farmácias e Drogarias.
👨🏽‍💻 CEO | Fundador do Grupo CB Drogarias
👫 + 👦🏼👧🏽👧🏼 Casado a 15 anos, pai de 03 filhos.
✝️ Cristão</t>
  </si>
  <si>
    <t>Artist. Author-Illustrator of Children's Book. Follow me on instagram @midnight_atelier. Represented by @rachelprospect of @Prospect_Agency</t>
  </si>
  <si>
    <t>See the world, one drawing at a time. Hashtag #urbansketchers in your tweet for a chance to be featured and retweet! Mention your country/city name.</t>
  </si>
  <si>
    <t>#Bitcoin Economista Ubuntu Defi MBA
USDT
0xf48b58104667eb0303b99177cf60d719dcaac992
BTC
bc1qe9yqf2ddnp8zvhgh7cwruuk0sf0jqat83ekt7j</t>
  </si>
  <si>
    <t>Licda. Admón de empresas. Profesional en el área de Recursos Humanos, con 10 años de experiencia en el área de R&amp;S.
Isaías 43</t>
  </si>
  <si>
    <t>Erik Penna é Palestrante de Vendas e Palestrante de Motivação. Autor de 6 livros e já tem mais de 1 milhão de views no YouTube. https://t.co/UFp4dw4vYh</t>
  </si>
  <si>
    <t>Trabajo con emprendedores y empresas para construir un mensaje poderoso, establecer relaciones sólidas con su audiencia, generar transformaciones y vender más.</t>
  </si>
  <si>
    <t>Somos una empresa de #beneficios &amp; #affinity, por medio de nuestros #multiservicios ayudamos a las #familias en #México a tener #mejor calidad de #vida. 🚑 🛠️</t>
  </si>
  <si>
    <t>🤩 Fidelize o cliente de maneira irreversível
▪️ Atendimento, vendas e encantamento
▪️ Cursos, treinamentos e palestras
⚡ Conteúdo brabo ⤵️</t>
  </si>
  <si>
    <t>AGENTE COMERCIAL. BLOGGER, POLÍTICA PÚBLICA Y ARTICULISTA DE OPINIÓN. OSASUNISTA. ❤️ORGULLOSO DE TENER SANGRE NAVARRA. CATÓLICO. AFILIADO DE VOX BARCELONA. 🇪🇦</t>
  </si>
  <si>
    <t>Empresa líder a nivel nacional en Servicios de Defensa Jurídica en Responsabilidad Profesional y con más de 7000 clientes activos. T. (55) 5871.5167</t>
  </si>
  <si>
    <t>O maior portal de saneamento básico da internet! #residuos #agua #efluentes #drenagem</t>
  </si>
  <si>
    <t>Entrenador de baloncesto - Formador informático - Social Media Manager - Marketing Technologist #CommunityManager #SocialMedia</t>
  </si>
  <si>
    <t>Lo que necesitas saber.</t>
  </si>
  <si>
    <t>Las noticias de Guatemala y el mundo en nuestro perfil oficial, Telediario Historias que son noticia.</t>
  </si>
  <si>
    <t>lógica</t>
  </si>
  <si>
    <t>Economist and entrepreneur with passion for technology - Two time @TEDx Speaker - Innovator of the year by MIT’s TR35</t>
  </si>
  <si>
    <t>Soy un profesional que busca de alguna manera el avance profesional y personal, honradamente.</t>
  </si>
  <si>
    <t>La musica</t>
  </si>
  <si>
    <t>Con presencia en Latam, Asia, y África estamos reconocidos como la 9ª multinacional latina más importante y una de las mayores marcas de bebidas mundiales.</t>
  </si>
  <si>
    <t>ALPHA● Hétero●23 anos
Pes 38- venda de packs por DM. #Findom.</t>
  </si>
  <si>
    <t>berth99 Studio Creative Design es un estudio de diseño gráfico, desarrollo Web y comunicación afincado en Sevilla desde el año 2005.</t>
  </si>
  <si>
    <t>Donos de academia '', quer sair do operacional e gerar mais lucro trabalhando menos? O SEU LUGAR É AQUI,SEGUE O PERFIL!</t>
  </si>
  <si>
    <t>KAJURU SE ORGULHA DE SER O SENADOR DOS BILHÕES PRA GOIÁS, E O SEGUNDO MELHOR DO BRASIL DE ACORDO COM O CONGRESSO EM FOCO!!!</t>
  </si>
  <si>
    <t>Contralínea, periodismo de investigación sobre corrupción, abuso de poder, narcotráfico, desigualdad, pobreza, indigenismo y emancipación de los pueblos.</t>
  </si>
  <si>
    <t>Primera aceleradora nuclear de empresas con un fondo de capital emprendedor que las impulsa con servicios especializados, educación y tecnología.</t>
  </si>
  <si>
    <t>Aportamos Soluciones Acertadas de Personal 
Desde el año 2000 liderando la Gestión Humana en Venezuela</t>
  </si>
  <si>
    <t>Pronavícola ofrece a los avicultores, las mejores opciones en genética avícola entregadas con la más alta calidad, seriedad y confiabilidad.</t>
  </si>
  <si>
    <t>Concesionarios #Peugeot, #Nissan e #Isuzu para la provincia de A Coruña.</t>
  </si>
  <si>
    <t>Flouds, uma empresa especializada em captação de leads com tráfego pago e integração, treinamento e aprimoramento em crm</t>
  </si>
  <si>
    <t>Adaptándonos #nuevanormalidad pueden promocionar vacantes sin costo en nuestra red de empleo sin ningún costo https://t.co/jwYXiwvKPg #Emplehabilitate</t>
  </si>
  <si>
    <t>Perfil oficial del Consejo General de los Colegios Oficiales de Agentes de la Propiedad Inmobiliaria de España.
RGPD https://t.co/qTKLGxxO0u</t>
  </si>
  <si>
    <t>Realtor Lic.#02110458 
Former Reporter / Producer Univision 21 Fresno
Former Radio Personality Univision Radio Fresno</t>
  </si>
  <si>
    <t>Founder at Younik, empreendedor e comunicador</t>
  </si>
  <si>
    <t>Comentarista  da Record News, Portal R7 ⁣⁣e Nova Brasil 89.7
Palestrante/Media Training
herodoto@herodoto.com.br
https://t.co/lQZZErjr4H…</t>
  </si>
  <si>
    <t>Estratega Financiero - ¡Te ayudo a simplificar las finanzas de tu negocio!</t>
  </si>
  <si>
    <t>Con más de 25 años trabajando en multinacionales, algo habré aprendido. Solucionando problemas. Hago que los sueños se hagan realidad.</t>
  </si>
  <si>
    <t>Comunicador Social-Periodismo
Universidad Mariana
Pasto-Nariño</t>
  </si>
  <si>
    <t>Programa de radio en Universal 970 Porque tenés derecho a saberlo, nosotros te lo vamos a decir. Derechos, negocios, alimentación. Suscribite en YouTube.</t>
  </si>
  <si>
    <t>Un poco de #humor , un poco de #entrevistas y un poco de #locura 😁</t>
  </si>
  <si>
    <t>⚠️ SIGA-ME
Vídeo de construção e tudo sobre tecnologia da informação técnica 🛠️🚛 🏘️Vídeos Sobre Engenharias - Manutenção - Dicas - Curiosidades - Elétrica💡</t>
  </si>
  <si>
    <t>Le enseño a tu equipo a INCREMENTAR SUS VENTAS EN PANDEMIA, soy TED TALK Speaker, conferencista y profesor de alto nivel e investigador del fenómeno de ventas</t>
  </si>
  <si>
    <t>Criação de Sites e Marketing Digital</t>
  </si>
  <si>
    <t>🚀 | Dedicado ao sucesso de empresas de software e serviços de TI. Já ajudei + de 1.700 clientes.</t>
  </si>
  <si>
    <t>🚛 O primeiro balcão virtual de peças a Diesel do Brasil
📦 Entrega em até 4 horas na Grande São Paulo!
Acesse 👇
https://t.co/Fv7biaDtCd</t>
  </si>
  <si>
    <t>do first, think later - making since '99  web🛠️mobile</t>
  </si>
  <si>
    <t>Buenas amigos, soy vendedor de juegos de Xbox digitales, algunos se usaran canjearan mediante VPN y otros son de region mexicana, mas info al msj :D</t>
  </si>
  <si>
    <t>Empresa especialista en consultoría BTL, realización de activaciones y promotoría a nivel nacional.</t>
  </si>
  <si>
    <t>Ex-funcionario Alcaldia(nl)Sostenibilidad, BiCi,Viajes, Apolitico a mucho honor,hincha del D.Cali ,Pasa la Pagina el mundo sigue girando* Sin pelos en la lengua</t>
  </si>
  <si>
    <t>soy estudiante de ingeniería Electrica y trabajo de especialista Informático. la tecnología es mi pasión</t>
  </si>
  <si>
    <t>🖼Unique NFT collection of authentic digital art, exploring human connection to the world.
🎨Art, emotion, reflection, rarity and uniqueness.</t>
  </si>
  <si>
    <t>Helping entrepreneurs build their online businesses 🎯 // Co-Founder of @clickfunnels // Father, husband, wrestler, NYT Bestseller</t>
  </si>
  <si>
    <t>Vamos que vamos</t>
  </si>
  <si>
    <t>Cuenta Oficial de Radio Cadena SONORA. Acá publicamos sólo avances noticiosos que son ampliados a través de nuestras 30 frecuencias en toda Guatemala.</t>
  </si>
  <si>
    <t>Engenheiro de Software. Tecnologia, música e futebol.</t>
  </si>
  <si>
    <t>CEO do Grupo Marajoara, fundador do Avistão e Gravasom. 🇧🇷 Brasil “vender é um ato de servir” Carlos Santos Vendedor</t>
  </si>
  <si>
    <t>The Method to Ignite the Innovation &amp; Intrapreneurship in Your Company</t>
  </si>
  <si>
    <t>Publicista, ANTI: socialista, feminazis, correistas, comunismo, progress, etc!
- Directo, legal, ético, crítico y profesional
#RedDeTuiterosDemocraticos</t>
  </si>
  <si>
    <t>El Cuco Digital es el diario del Valle de Uco: buen periodismo y trabajo en comunidad . Porque LO CERCANO ES LO IMPORTANTE.</t>
  </si>
  <si>
    <t>Advogado trabalhista! Trabalhador, não deixe seu patrão lesar seu direito! Atendo em todo território nacional. WhatsApp: (31) 991036202.</t>
  </si>
  <si>
    <t>#ATXbs Expertos en consultoría e implementación de soluciones #ERP, #CRM y de productividad de propiedad @Microsoft</t>
  </si>
  <si>
    <t>Nuestro trabajo es ofrecerte mejores oportunidades de #empleo. Somos los especialistas en el #reclutamiento de talento #TIC para grandes corporativos.</t>
  </si>
  <si>
    <t>Creatividad, Marketing, Inteligencia, Negocios en Internet...</t>
  </si>
  <si>
    <t>Centramos nuestros esfuerzos en servicios Outsourcing para tu empresa y somos expertos en seguridad jurídica y garantia de calidad. Entra en nuestra web.</t>
  </si>
  <si>
    <t>Conteúdo diferenciado sobre orientação pessoal e profissional, comunicação e negócios.</t>
  </si>
  <si>
    <t>Servicio Nacional de Empleo Tamaulipas</t>
  </si>
  <si>
    <t>🚨 PERFORMANCE ÉPICA 🦅
Empreendedorismo, mentalidade e ação
Quer crescer? Construa a vida que você sempre sonhou aqui!</t>
  </si>
  <si>
    <t>Infos Gratuitos sobre Investimento, Venda e Locação de Imóvel! Para você Proprietário, Inquilino e Corretor de Imóveis! 😃😍🏆🙂🤝 @rogeriomouraimoveis</t>
  </si>
  <si>
    <t>Venda, Locação, Administração de Condomínio, Avaliação e Perícia Judicial de Imóveis. Face : RogerioMouraImoveis | WhatsApp: (35) 3011-0102</t>
  </si>
  <si>
    <t>elCaribe te mantiene al tanto de la actualidad con todo a cada minuto, desde Rep Dom. Facebook ► https://t.co/P00rkAxVK3 
Instagram ► https://t.co/Kpl8r1FMTn</t>
  </si>
  <si>
    <t>Multiplicamos tus ideas de #negocio 🛒 ¿Quieres #vender más? Lanza tu negocio en #internet con nosotros  🤑</t>
  </si>
  <si>
    <t>Brasil vive em uma ditadura juridica</t>
  </si>
  <si>
    <t>Te ayudo a que no pases desapercibido cuando hablas.
Un truco, una estrategia, un cosejo diario GRATIS en mi newsletter: https://t.co/EvJ9Rr4si5</t>
  </si>
  <si>
    <t>Quero Poder por aqui apresentar a FG Variedades Pra Vc a Sua mais nova Opção de compras Online. divulgamos muitos sites e lojas virtuais trazendo qualid e preço</t>
  </si>
  <si>
    <t>CEO &amp; Fundador de Apasiona-T S.A.S. Emprendedor, apasionado de las ventas, quiero ayudar a vendedores para que sean mejores, y sí vivo en Colombia!!</t>
  </si>
  <si>
    <t>Ecuatoriano 🇪🇨amo mi patria.
#marketingdigital.
https://t.co/CZogFV6GQS</t>
  </si>
  <si>
    <t>Mentor Linkedin&amp;Social Selling|Impulso tu Marca Personal para Elevar tus oportunidades de Negocios | Speaker Linkedin.</t>
  </si>
  <si>
    <t>⚡️| Somos uma aceleradora de resultados especialista em e-commerces.
📈 | Marketing baseado em dados.</t>
  </si>
  <si>
    <t>Ajudo pessoas e empresas no crescimento e desenvolvimento profissional, aplicando técnicas, desenvolvendo estratégias, treinando e contribuindo na boa gestão.</t>
  </si>
  <si>
    <t>Somos el periódico más completo en nuestra región del Sur de Sonora.</t>
  </si>
  <si>
    <t>Startup de venda de passagens de ônibus interestaduais e municipais. Desenvolvedora de ternologia e soluções tecnológicas.</t>
  </si>
  <si>
    <t>consultor, palestrante e escritor. Autor DVD Videoaula p/Supermercados, Postos, Vitrines, Farmácias e Móveis,</t>
  </si>
  <si>
    <t>Somos un Festival No Competitivo que busca Rescatar y Fortalecer la Copla Popular en la región cundiboyacantandereana, y visibilizar a sus Copleros.</t>
  </si>
  <si>
    <t>Somos uma empresa de comércio eletrônico com loja e-commerce. Atuamos nos segmentos de informática, áudio e vídeo, games/acessórios e telefonia...</t>
  </si>
  <si>
    <t>Somos la página Audiovisual #1 en Guatemala.  infórmate en https://t.co/mN6zsEanUR</t>
  </si>
  <si>
    <t>I´m always learning and looking for a new challenges!  Sempre pronta para novos desafios! Apaixonada por tecnologia e marketing 😍🖥</t>
  </si>
  <si>
    <t>Canal Regional de la Zona Centro del Estado de #Veracruz, llegando a 17 municipios. APP: TVeo Móvil FB: TVeo Canal 41 #TVeoCanal41...Donde tu ciudad TV</t>
  </si>
  <si>
    <t>#Lea y #Escuche las Mejores #Novedades y #NoticiasBolivia</t>
  </si>
  <si>
    <t>Toda una vida como Profesor, Mentor y Consultor, es decir, como Educador.
A whole life as Professor, Mentor and Consultant, that is, as an Educator.</t>
  </si>
  <si>
    <t>Generalista RR.HH. Selección, laboral y formación. https://t.co/njzHYl3P32 https://t.co/hWIWtTGNZn https://t.co/ELlphuK1xU</t>
  </si>
  <si>
    <t>@Rafalui da lugar para a gigante XiiT_TV no youtube e tiktok
Ceo do Regra 18, no insta.
Mae da DicasDaDiabety tbm no insta
Desinformação e algumas ideias</t>
  </si>
  <si>
    <t>📰 Colaboradora de🗞 Contrates de Puebla 💻 Estilo Universitario📱Pulso Regiónal 📰 Puebla Roja 🔴</t>
  </si>
  <si>
    <t>•Renda recorrente
•trafego orgânico
•trafego pago
•meu numero: (24) 999679690</t>
  </si>
  <si>
    <t>Evaluación psicológica, selección de personal y psicología integral para un mejor desarrollo de la salud individual y colectiva.</t>
  </si>
  <si>
    <t>Periodista de tiempo completo en Contrastes, Puebla Roja, Estilo Universitario y Pulso Regional</t>
  </si>
  <si>
    <t>Aqui você vai acompanhar o dia a dia do empreendedor. Aqui você deixe sua jornada mais fácil.</t>
  </si>
  <si>
    <t>La mejor información, en el sitio de noticias más visitado de la Patagonia. Análisis, actualidad y todo lo que tenés que saber de la región, el país y el mundo.</t>
  </si>
  <si>
    <t>Técnico Superior en Automoción. Apasionado de las ventas. Asesor comercial. TT desde 1986</t>
  </si>
  <si>
    <t>Simple, pero complejo
Los insultos son carencia de recursos y falta de argumentos
Mi ignorancia es mi mejor virtud
Antes de ser chileno, nací iquiqueño</t>
  </si>
  <si>
    <t>Psicóloga🔱
Activista LGBTIQ y Feminista
Fundación Avanzando🏳️‍🌈🏳️‍⚧️
Profe POPULARTE🎨
Congreso delos Pueblos🧡✊🏽
Psicóloga de Mujer y Equidad de Género💜</t>
  </si>
  <si>
    <t>Co-Founder and CEO at CityTroops (CityHeroes INC) Entrepreneur, TEDx speaker, MIT Innovator under 35. Passionate about tech, innovation, strategy and sales.</t>
  </si>
  <si>
    <t>Seu maior site de notícias da região.</t>
  </si>
  <si>
    <t>https://t.co/xM7Y6ZnGIo
https://t.co/CDCjMZbcH5
https://t.co/fUOUrVtdOp Videos EBooks Music Guitar Infopreneur COMISIONESAFILIADO AMAZONAFF</t>
  </si>
  <si>
    <t>Sua Vaga está aqui
Emprego, estágio e muito mais</t>
  </si>
  <si>
    <t>Palestrante de Vendas, Vendedor, Autor da Newsletter Ideias Poderosas de Vendas.  Tel 11-93950-9932</t>
  </si>
  <si>
    <t>Nací en Recoleta Moriré en Recoleta / estudie en la escuela publica republica del paraguay 🇵🇾/ liceo Leonardo Murialdo / Liceo A11 Valentín Letelier/</t>
  </si>
  <si>
    <t>🚲 Gobernador de la #RegiónMetropolitana @Gob_Santiago “La cabeza piensa donde están los pies"</t>
  </si>
  <si>
    <t>Ministra del Interior y Seguridad Pública del Gobierno del Presidente @gabrielboric. Presentes por un mejor futuro.</t>
  </si>
  <si>
    <t>Presidente de la República de Chile, período 2022-2026.'La duda debe seguir a la convicción como una sombra' A. Camus</t>
  </si>
  <si>
    <t>Ministra del Trabajo y Previsión Social @mintrabchile en el Gobierno del Presidente @Gabrielboric
Presentes por un mejor futuro 🇨🇱</t>
  </si>
  <si>
    <t>Você tem o sonho ✨, nós temos o conhecimento💡 para transformá-lo em realidade.
Venha aprender os SEGREDOS do SUCESSO!
Visite nosso site
https://t.co/c6QGORXc0J</t>
  </si>
  <si>
    <t>Asesoría, consultoría, compraventa de farmacias.</t>
  </si>
  <si>
    <t>Somos el diario económico, financiero y de negocios de México, fundado en 1988. Hablamos con los profesionales.</t>
  </si>
  <si>
    <t>Ideas para poder trabajar desde casa...</t>
  </si>
  <si>
    <t>O Fastcommerce é o sistema de loja virtual mais utilizado do Brasil. São mais de 20 anos de estrada e mais de 40 mil lojas cadastradas.</t>
  </si>
  <si>
    <t>Vende sin pagar comisiones, en https://t.co/TGwptH8jap puedes promover tu producto o servicio, ¡si quieres vender, déjate ver!</t>
  </si>
  <si>
    <t>Gosto de compartilhar informações sobre assuntos jurídicos</t>
  </si>
  <si>
    <t>Amo inmensamente a mi familia</t>
  </si>
  <si>
    <t>***</t>
  </si>
  <si>
    <t>Te enseño y motivo para que desarrolles y maximices tus habilidades en ventas para alcanzar tus metas en cualquier rubro, y así convertirte en un Vendedor Todo</t>
  </si>
  <si>
    <t>Medio nativo digital independiente con base en #Anzoátegui. Ig @diarioelvistazo 📬 Directora @zamaria_ 🇻🇪🇪🇸</t>
  </si>
  <si>
    <t>Transformamos cultura y negocio de las organizaciones alineando las fortalezas hacia las aspiraciones en el sentido de las oportunidades
  #AppreciativeInquiry</t>
  </si>
  <si>
    <t>Emprendedora salvadoreña. Amante de la Innovación constante.</t>
  </si>
  <si>
    <t>cuenta de venta de dibujos! 
ig: https://t.co/LimdTtQzcx</t>
  </si>
  <si>
    <t>📰Periodismo de investigación, que informa constante y oportunamente acontecimientos a nivel local, nacional e internacional.
📲 Denuncia ciudadana: 2221602010</t>
  </si>
  <si>
    <t>#Asesoría especializada en el asesoramientos fiscal, laboral, jurídico y contable de todo tipo de #empresas, #pymes, #autónomos y #emprendedores</t>
  </si>
  <si>
    <t>Especialista em gestão comercial, estrategias de mkt, planos de ação e execução.
Família e Conhecimento</t>
  </si>
  <si>
    <t>Vendedor raiz! Sócio da V4 Company. 🚀🚀🚀</t>
  </si>
  <si>
    <t>Suplemento jurídico a base de tips legales👨🏻‍⚖️👩‍⚖️💊 Dosis diaria legal para juristas y no juristas🤓📚 Espacio para informarse, debatir y compartir🗣️🗯️</t>
  </si>
  <si>
    <t>Somos el Consejo Hispano de Acreditación y Certificación COHACER S.C. ® junto con nuestra marca UNIDHO™. Una opción segura para los sueños mexicanos.</t>
  </si>
  <si>
    <t>#RepuestosAutomotrices 
Entusiasta de la #CervezaArtesanal. Comercialización Cerveza Caquetíos. #CommunityManager. Gestión de #RRSS. #Eventos. IG @LMChirino.</t>
  </si>
  <si>
    <t>Somos Huntee. Estamos comprometidos en atraer al talento adecuado a la posición adecuada. HEAD HUNTING, RECLUTAMIENTO,RPO, CONSULTORÍA.</t>
  </si>
  <si>
    <t>Reportero de radio y plataformas digitales. Comentarios a título personal.</t>
  </si>
  <si>
    <t>⚙ Ingeniero, Ventas, Marketing, Datos.
🤝🏼15 años en negocios B2B y B2C.
💪🏼 Fitness.
👨‍👩‍👦‍👦 Mi gran inspiración.
⁉️ ¿Cómo te ayudo?, envíame mensaje</t>
  </si>
  <si>
    <t>Consultor comercial y empresarial.🚀</t>
  </si>
  <si>
    <t>Asesor en emprendimiento, comercial y gerente de empresas</t>
  </si>
  <si>
    <t>Agencia Internet # hub online = agencia digital</t>
  </si>
  <si>
    <t>Especialistas en, Calidad Agroalimentaria, Inocuidad y 
Sanidad Vegetal</t>
  </si>
  <si>
    <t>Depressão só sabe quem tem!</t>
  </si>
  <si>
    <t>En nuestras lágrimas nace la fuerza para florecer en la oscuridad</t>
  </si>
  <si>
    <t>Somos a NEXTTHOUSE, uma empresa de automação residencial, corporativa e marítima. Trazendo a solução perfeita para sua casa, seu negócio e seu lazer.</t>
  </si>
  <si>
    <t>Secretario de Justicia y Seguridad de San Juan de Pasto , Veterano de Guerra y Especialista en Seguridad y Defensa Nacional.</t>
  </si>
  <si>
    <t>Perfil oficial do @BlogPDNotícia com as principais notícias e informações de Salvador e da Bahia</t>
  </si>
  <si>
    <t>🙌 Conectamos Talentos con el Mundo Laboral | 📢 Pauta tus Vacantes aquí➕80k seguidores | 📝 Diseño HV➕400 Personas Asesoradas</t>
  </si>
  <si>
    <t>LOCUTOR; Divulgador, Facebook https://t.co/LjunUQlQAM DIVULGANDOR de Novos Talentos da Musica gospel Brasil. Evangélica</t>
  </si>
  <si>
    <t>CEO|CMO @JunqueiraConsul | Professor MKT. JUR | Jornalista || Mundo Pauta e JC TALKS 
Imprensa: contato@junqueiraconsultoria.net.br</t>
  </si>
  <si>
    <t>Informamos sobre noticias, compartimos imágenes de nuestro país como así también enseñamos la cultura, bailes, comidas típicas etc de nuestro querido Paraguay.</t>
  </si>
  <si>
    <t>Organizaciòn de  Eventos  
Sociales &amp;  Corporativos
#SondeSolé  Orq
#kullayki
#Danzas
#Decoracion, estructuras, en general
#Parrillas 
#Brasas</t>
  </si>
  <si>
    <t>Levantou, a gente corta.</t>
  </si>
  <si>
    <t>Medio de comunicación centrado en el Estado de México 📝📷🎥</t>
  </si>
  <si>
    <t>🏭🏘 Sirvo a propietarios y compradores para que nunca tengan que estresarse | Asesor Inmobiliario | Colaborador con #Century21CapitalLpa 🏘🏭</t>
  </si>
  <si>
    <t>Somos un sitio informativo.</t>
  </si>
  <si>
    <t>Hago videos de viajes y cosas interesantes en general 👍🏽🛩️</t>
  </si>
  <si>
    <t>#Editorial especializada desde hace más de 50 años en #marketing y #empresa. Difundimos el conocimiento de ESIC Education.
En CSIC SPI #3 Economía, #15 General.</t>
  </si>
  <si>
    <t>Actualidad de la producción y la distribución alimentaria. Novedades a disposición del consumidor en las estanterías de  supermercados e hipermercados.</t>
  </si>
  <si>
    <t>Coach Ejecutivo de Alta Dirección y Coach de Equipos especialista en Liderazgo. Agile Leadership|Agile Coach</t>
  </si>
  <si>
    <t>Experto en Venta Emocional y Digital</t>
  </si>
  <si>
    <t>Somos Vendedores, realizamos sonhos e proporcionamos experiência.</t>
  </si>
  <si>
    <t>El diario de mayor expansión digital de #Chubut
En la #Patagonia desde 1954 🇦🇷</t>
  </si>
  <si>
    <t>Diretamente de Pernambuco para o Brasil, você encontra Oportunidades de Empregos, Estágios, Cursos, Concursos e Dicas. E-mail: contato@comunidadeemprego.com.br</t>
  </si>
  <si>
    <t>Somos el portal de noticias de los balnearios y ciudades del Este de Canelones.</t>
  </si>
  <si>
    <t>Tu web de #empleo para la búsqueda de oportunidades. Nuestro #trabajo es que trabajes. 
¡Bienvenido/a a Infoempleo! 👋¡Descarga ya nuestra #app! 📲</t>
  </si>
  <si>
    <t>GAIA | Ingeniería Ambiental🌎
Gaia Servicios Ambientales. ¡Pasión por un planeta sostenible!
Descarga la app📱👉🏾https://t.co/6e5e2vRnUF</t>
  </si>
  <si>
    <t>Cuenta oficial de la Alcaldía de Pasto ¡𝗣𝗔𝗦𝗧𝗢 𝗟𝗔 𝗚𝗥𝗔𝗡 𝗖𝗔𝗣𝗜𝗧𝗔𝗟! Dirección: Sede Anganoy Los Rosales II - PBX: +(57) 2 7244326</t>
  </si>
  <si>
    <t>| Todas las mañanas en 🎙#AlOído W Radio | Periodista  | Esp. Estrategia |  Comunicación Política |Opiniones PERSONALES| #AmarEsParaValientes</t>
  </si>
  <si>
    <t>Somos un grupo de periodistas guerrerenses interesados en mostrar la realidad de lo que ocurre en Guerrero.</t>
  </si>
  <si>
    <t>cruzrojamexicana.org.mx</t>
  </si>
  <si>
    <t>guerrero.gob.mx</t>
  </si>
  <si>
    <t>gob.mx/sedena</t>
  </si>
  <si>
    <t>gob.mx/guardianacional</t>
  </si>
  <si>
    <t>fiscaliaguerrero.gob.mx</t>
  </si>
  <si>
    <t>seguridadgro.gob.mx</t>
  </si>
  <si>
    <t>coachpepevillacis.com</t>
  </si>
  <si>
    <t>acsiresearch.com</t>
  </si>
  <si>
    <t>linktr.ee/carlosagami</t>
  </si>
  <si>
    <t>lecheriatv.blogspot.com/?m=1</t>
  </si>
  <si>
    <t>innetsolucoes.com.br</t>
  </si>
  <si>
    <t>carlazucolotobeauty.com.br</t>
  </si>
  <si>
    <t>jobs.bayton.com</t>
  </si>
  <si>
    <t>mercadolibre.cl</t>
  </si>
  <si>
    <t>mercadolibre.com</t>
  </si>
  <si>
    <t>psyteco.com</t>
  </si>
  <si>
    <t>visocym.com</t>
  </si>
  <si>
    <t>alicam.com.mx</t>
  </si>
  <si>
    <t>linktr.ee/gfsasp</t>
  </si>
  <si>
    <t>bizupconsultora.com.ar</t>
  </si>
  <si>
    <t>tradeviewforex.com/es</t>
  </si>
  <si>
    <t>bit.ly/geracao---mili…</t>
  </si>
  <si>
    <t>modosobreviviente.com</t>
  </si>
  <si>
    <t>telenoticias.com.do</t>
  </si>
  <si>
    <t>armandoperaltadiaz.blogspot.com</t>
  </si>
  <si>
    <t>sistemasperseo.com</t>
  </si>
  <si>
    <t>apsdr.com</t>
  </si>
  <si>
    <t>nakahashi.com.br</t>
  </si>
  <si>
    <t>doctour.app</t>
  </si>
  <si>
    <t>chapintv.com/programa/noti-7</t>
  </si>
  <si>
    <t>evaluacionbroker.com</t>
  </si>
  <si>
    <t>linktr.ee/centralcursoss</t>
  </si>
  <si>
    <t>fotocasa.com/academy</t>
  </si>
  <si>
    <t>pro.fotocasa.es</t>
  </si>
  <si>
    <t>conocimientoydesarrollo.com.co</t>
  </si>
  <si>
    <t>mercadolibre.com.mx</t>
  </si>
  <si>
    <t>tnoa.com.ar</t>
  </si>
  <si>
    <t>timbralofacil.com</t>
  </si>
  <si>
    <t>rocketmentoring.com.br</t>
  </si>
  <si>
    <t>shugardeli.com</t>
  </si>
  <si>
    <t>itsmy.bio/EliteWebTechno…</t>
  </si>
  <si>
    <t>centro.rjguase.com.br</t>
  </si>
  <si>
    <t>youtube.com/@cintiaxis</t>
  </si>
  <si>
    <t>beacons.ai/dnrconsultor</t>
  </si>
  <si>
    <t>linktr.ee/amaneciendomx</t>
  </si>
  <si>
    <t>elenicosta.com</t>
  </si>
  <si>
    <t>ief.com.br</t>
  </si>
  <si>
    <t>vendolite.com/index.html</t>
  </si>
  <si>
    <t>bio.link/netgen</t>
  </si>
  <si>
    <t>clicktimepage.com.ar</t>
  </si>
  <si>
    <t>linktr.ee/wallapop</t>
  </si>
  <si>
    <t>jonnyviccari.com/links</t>
  </si>
  <si>
    <t>prefiroconsorcio.com.br</t>
  </si>
  <si>
    <t>aliqindoi.com</t>
  </si>
  <si>
    <t>revolucaoconsig.com.br</t>
  </si>
  <si>
    <t>linkin.bio/sumundotv</t>
  </si>
  <si>
    <t>konfio.mx/mi/solicitud/r…</t>
  </si>
  <si>
    <t>agsmaquinas.com</t>
  </si>
  <si>
    <t>novaeraestrategia.com</t>
  </si>
  <si>
    <t>linktr.ee/spreaker</t>
  </si>
  <si>
    <t>facebook.com/SNEPueblaOfi</t>
  </si>
  <si>
    <t>paredonpaterna.es</t>
  </si>
  <si>
    <t>vivirensalamanca.com</t>
  </si>
  <si>
    <t>alavepro.com</t>
  </si>
  <si>
    <t>jornada.com.mx</t>
  </si>
  <si>
    <t>palmaparafusos.com.br</t>
  </si>
  <si>
    <t>radionacional.com.ar</t>
  </si>
  <si>
    <t>pablokosiner.com.ar</t>
  </si>
  <si>
    <t>transdoc.com</t>
  </si>
  <si>
    <t>erpsol.com.mx</t>
  </si>
  <si>
    <t>frameticket.com.br</t>
  </si>
  <si>
    <t>linktr.ee/destino_em_maos</t>
  </si>
  <si>
    <t>opensea.io/Raoliveira</t>
  </si>
  <si>
    <t>open.spotify.com/show/1zIWXK8Ci…</t>
  </si>
  <si>
    <t>instagram.com/reservadaisado…</t>
  </si>
  <si>
    <t>instagram.com/reel/CY_9kCavo…</t>
  </si>
  <si>
    <t>instagram.com/invites/contac…</t>
  </si>
  <si>
    <t>ultimalinea.es</t>
  </si>
  <si>
    <t>libreriasdezaragoza.com</t>
  </si>
  <si>
    <t>minci.gob.ve/tag/librerias-…</t>
  </si>
  <si>
    <t>libreriascantabria.es</t>
  </si>
  <si>
    <t>libreriasindependientes.com</t>
  </si>
  <si>
    <t>mpmsoftware.com</t>
  </si>
  <si>
    <t>rogeriomartins.com.br</t>
  </si>
  <si>
    <t>otrozurdo.com</t>
  </si>
  <si>
    <t>leomigdal.com</t>
  </si>
  <si>
    <t>patriciamurphy.com.ar</t>
  </si>
  <si>
    <t>mactredxc.com.ar</t>
  </si>
  <si>
    <t>calltocall.com.br</t>
  </si>
  <si>
    <t>abcomm.org</t>
  </si>
  <si>
    <t>tumundo.cl</t>
  </si>
  <si>
    <t>movistar.cl</t>
  </si>
  <si>
    <t>gomusic.mus.br</t>
  </si>
  <si>
    <t>pinterest.com</t>
  </si>
  <si>
    <t>destaca.es/tiempo-y-segur…</t>
  </si>
  <si>
    <t>wa.me/message/FL3GBJ…</t>
  </si>
  <si>
    <t>ceoencamiseta.com</t>
  </si>
  <si>
    <t>portavisa.edu.sv</t>
  </si>
  <si>
    <t>linktr.ee/zcmayoristas</t>
  </si>
  <si>
    <t>rrsolucoesdigitais.online</t>
  </si>
  <si>
    <t>acovedi.org.co</t>
  </si>
  <si>
    <t>grandemomento.com</t>
  </si>
  <si>
    <t>augustocury.com.br</t>
  </si>
  <si>
    <t>facebook.com/El-Informal-de…</t>
  </si>
  <si>
    <t>calfer.com.mx</t>
  </si>
  <si>
    <t>ec.moore-global.com</t>
  </si>
  <si>
    <t>expopublicitas.com</t>
  </si>
  <si>
    <t>eleditorplatense.com</t>
  </si>
  <si>
    <t>elogiou.com.br</t>
  </si>
  <si>
    <t>linktr.ee/pratiscrm</t>
  </si>
  <si>
    <t>linktr.ee/RegionNET</t>
  </si>
  <si>
    <t>perfilcomercial.com</t>
  </si>
  <si>
    <t>infopymes.info</t>
  </si>
  <si>
    <t>tetransformamos.com</t>
  </si>
  <si>
    <t>treinta.shop/nicols</t>
  </si>
  <si>
    <t>biolinky.co/orobertovilela…</t>
  </si>
  <si>
    <t>linktr.ee/oevandroazevedo</t>
  </si>
  <si>
    <t>linktr.ee/rhprojettar</t>
  </si>
  <si>
    <t>olemanocomunicaciones.com</t>
  </si>
  <si>
    <t>redesvisuales.com</t>
  </si>
  <si>
    <t>tilsobataglia.com.br</t>
  </si>
  <si>
    <t>wautechnologies.com</t>
  </si>
  <si>
    <t>bit.ly/CertificatCcial</t>
  </si>
  <si>
    <t>linktr.ee/helio.couto</t>
  </si>
  <si>
    <t>mucao.com.br</t>
  </si>
  <si>
    <t>disenio.com.mx</t>
  </si>
  <si>
    <t>vagassa.blogspot.com.br</t>
  </si>
  <si>
    <t>asv.com.br</t>
  </si>
  <si>
    <t>visaooeste.com.br</t>
  </si>
  <si>
    <t>nalves.com.br</t>
  </si>
  <si>
    <t>moblescanbarato.com</t>
  </si>
  <si>
    <t>mendozantigua.blogspot.com</t>
  </si>
  <si>
    <t>ht.ly/IM2nO</t>
  </si>
  <si>
    <t>empleocerca.com</t>
  </si>
  <si>
    <t>linkme.bio/diariodoestado…</t>
  </si>
  <si>
    <t>gisellejacome.com</t>
  </si>
  <si>
    <t>negocioefetivo.com.br</t>
  </si>
  <si>
    <t>guiase.com.br</t>
  </si>
  <si>
    <t>agnesrh.com.br</t>
  </si>
  <si>
    <t>tienda.montparnasse.mx</t>
  </si>
  <si>
    <t>taplink.cc/recrutadora.of…</t>
  </si>
  <si>
    <t>thelogisticsworld.com</t>
  </si>
  <si>
    <t>ovationamericas.com</t>
  </si>
  <si>
    <t>grupotsalach.com</t>
  </si>
  <si>
    <t>6printdesign.art.br</t>
  </si>
  <si>
    <t>tierrasdemedina.com</t>
  </si>
  <si>
    <t>juventudmedina.es</t>
  </si>
  <si>
    <t>medinadelcampo.es</t>
  </si>
  <si>
    <t>empleo.jcyl.es</t>
  </si>
  <si>
    <t>librosflash.com</t>
  </si>
  <si>
    <t>shor.by/santiagotorre</t>
  </si>
  <si>
    <t>youtube.com/channel/UCVrH2…</t>
  </si>
  <si>
    <t>LegalMente.etsy.com</t>
  </si>
  <si>
    <t>linktr.ee/workshopdantas</t>
  </si>
  <si>
    <t>lula.com.br/siga-o-lula/</t>
  </si>
  <si>
    <t>about.me/rogermoreira</t>
  </si>
  <si>
    <t>youtube.com/@Damadeferroof…</t>
  </si>
  <si>
    <t>instagram.com/robertomottaof…</t>
  </si>
  <si>
    <t>sergiramo.com</t>
  </si>
  <si>
    <t>mensch.com.mx</t>
  </si>
  <si>
    <t>gacetinmadrid.com</t>
  </si>
  <si>
    <t>youtube.com/thefernandolou…</t>
  </si>
  <si>
    <t>aliatec.la</t>
  </si>
  <si>
    <t>canal11.hn</t>
  </si>
  <si>
    <t>gravity.com.br</t>
  </si>
  <si>
    <t>linkedin.com/in/valdiviamar…</t>
  </si>
  <si>
    <t>facebook.com/RetenChiriqui</t>
  </si>
  <si>
    <t>elsolucionario.org</t>
  </si>
  <si>
    <t>youtube.com/@Hacktivos</t>
  </si>
  <si>
    <t>linktr.ee/89fm</t>
  </si>
  <si>
    <t>ciaderesultados.com.br</t>
  </si>
  <si>
    <t>youtube.com/channel/UCrE84…</t>
  </si>
  <si>
    <t>radioytv.buap.mx</t>
  </si>
  <si>
    <t>radio.unam.mx</t>
  </si>
  <si>
    <t>cincoradio.com.mx</t>
  </si>
  <si>
    <t>gob.mx/profeco</t>
  </si>
  <si>
    <t>buap.mx</t>
  </si>
  <si>
    <t>jobomas.com</t>
  </si>
  <si>
    <t>automafast.com.br</t>
  </si>
  <si>
    <t>netcarreiras.com.br</t>
  </si>
  <si>
    <t>digitare.com.br</t>
  </si>
  <si>
    <t>durango.posta.com.mx</t>
  </si>
  <si>
    <t>davidhernandes.com.br/gestor-de-traf…</t>
  </si>
  <si>
    <t>lauracantizano.com</t>
  </si>
  <si>
    <t>ciebarcelona.com</t>
  </si>
  <si>
    <t>twitter.com/luiswolly?s=21…</t>
  </si>
  <si>
    <t>allman.com.br</t>
  </si>
  <si>
    <t>mercasa.com.mx</t>
  </si>
  <si>
    <t>agricolacenteno.com.ar</t>
  </si>
  <si>
    <t>niurymartins.com.br</t>
  </si>
  <si>
    <t>quepocamadre.mx</t>
  </si>
  <si>
    <t>habiteo.com/es</t>
  </si>
  <si>
    <t>ibahia.com</t>
  </si>
  <si>
    <t>accounter.co</t>
  </si>
  <si>
    <t>PentagramaTuRadio.com</t>
  </si>
  <si>
    <t>frame.agencia.promo</t>
  </si>
  <si>
    <t>ideiasedesafios.com</t>
  </si>
  <si>
    <t>easycob.com.br</t>
  </si>
  <si>
    <t>youtube.com/c/PhilipFernan…</t>
  </si>
  <si>
    <t>kiafra.com/mx/</t>
  </si>
  <si>
    <t>instagram.com/henriquesilver…</t>
  </si>
  <si>
    <t>ipparaguay.com.py</t>
  </si>
  <si>
    <t>sonoticiaboa.com.br</t>
  </si>
  <si>
    <t>parceirosbrilhantes.com.br</t>
  </si>
  <si>
    <t>sovaquinhaboa.com.br</t>
  </si>
  <si>
    <t>casada.com</t>
  </si>
  <si>
    <t>fotoganando.com</t>
  </si>
  <si>
    <t>facebook.com/noelia.ferreir…</t>
  </si>
  <si>
    <t>tklegal.com.br</t>
  </si>
  <si>
    <t>dinheironoseubolso.com.br</t>
  </si>
  <si>
    <t>avisooportuno.mx</t>
  </si>
  <si>
    <t>douglasdallagnol.com.br</t>
  </si>
  <si>
    <t>facebook.com/saulsalazarnot…</t>
  </si>
  <si>
    <t>linktr.ee/josueseibel</t>
  </si>
  <si>
    <t>josepdegaia.es</t>
  </si>
  <si>
    <t>coformacion.com</t>
  </si>
  <si>
    <t>clasicsfm.com</t>
  </si>
  <si>
    <t>abtoc.pt</t>
  </si>
  <si>
    <t>vagasdeempregosemsalvador.blogspot.com</t>
  </si>
  <si>
    <t>korraleja.co</t>
  </si>
  <si>
    <t>bimbo.com.mx</t>
  </si>
  <si>
    <t>grupobimbo.com</t>
  </si>
  <si>
    <t>instagram.com/vimaraautomove…</t>
  </si>
  <si>
    <t>juanvicentepinto.com</t>
  </si>
  <si>
    <t>portaljuristec.com.br</t>
  </si>
  <si>
    <t>opensinergia.com</t>
  </si>
  <si>
    <t>goianiacal.com.br</t>
  </si>
  <si>
    <t>hispanatolia.com</t>
  </si>
  <si>
    <t>diazfranklin.wordpress.com</t>
  </si>
  <si>
    <t>adrianahernandezgroup.com/revista-ah/</t>
  </si>
  <si>
    <t>instagram.com/vaconmarketing…</t>
  </si>
  <si>
    <t>instagram.com/oleonardodantas</t>
  </si>
  <si>
    <t>negis.com.br</t>
  </si>
  <si>
    <t>plasticoslaminados.com.br</t>
  </si>
  <si>
    <t>noticieroelcirco.com</t>
  </si>
  <si>
    <t>ventasexito.com</t>
  </si>
  <si>
    <t>globalempregos.com.br</t>
  </si>
  <si>
    <t>instagram.com/juanpedropor21…</t>
  </si>
  <si>
    <t>youtube.com/channel/UCjldv…</t>
  </si>
  <si>
    <t>negocios.com/directo/</t>
  </si>
  <si>
    <t>crea.com.mx</t>
  </si>
  <si>
    <t>sonder.com.ar</t>
  </si>
  <si>
    <t>billeteramovil.gob.ve</t>
  </si>
  <si>
    <t>rprsabogados.com.ar</t>
  </si>
  <si>
    <t>casasmaracana.com.br</t>
  </si>
  <si>
    <t>gestionmashumana.com</t>
  </si>
  <si>
    <t>youtube.com/c/KevinTanori1…</t>
  </si>
  <si>
    <t>pgs-consulting.com</t>
  </si>
  <si>
    <t>academyeducacao.com.br</t>
  </si>
  <si>
    <t>…rmadochaves-echapolin.blogspot.com.br</t>
  </si>
  <si>
    <t>get.peoople.co/7Y6GpJ8zxgb</t>
  </si>
  <si>
    <t>linktr.ee/snesanluis</t>
  </si>
  <si>
    <t>stpsslp.gob.mx</t>
  </si>
  <si>
    <t>linkr.bio/14dm</t>
  </si>
  <si>
    <t>aztecachihuahua.com</t>
  </si>
  <si>
    <t>webmor.com.br</t>
  </si>
  <si>
    <t>mysteryproject.es</t>
  </si>
  <si>
    <t>chapintv.com</t>
  </si>
  <si>
    <t>palestranteandresilva.com.br/bio/</t>
  </si>
  <si>
    <t>empleo.navarra.es</t>
  </si>
  <si>
    <t>erlan.mx</t>
  </si>
  <si>
    <t>linktr.ee/meu_crediario</t>
  </si>
  <si>
    <t>ipforce.com.br</t>
  </si>
  <si>
    <t>radio3cadenapatagonia.com.ar</t>
  </si>
  <si>
    <t>jacklupio.com</t>
  </si>
  <si>
    <t>facebook.com/dOLEone</t>
  </si>
  <si>
    <t>academia-formacion.com</t>
  </si>
  <si>
    <t>marcrixnoticias.com.mx</t>
  </si>
  <si>
    <t>linktr.ee/yakuconsultora</t>
  </si>
  <si>
    <t>adapta.tech/soluciones-med…</t>
  </si>
  <si>
    <t>reportconsult.com</t>
  </si>
  <si>
    <t>raphaelcordova.com</t>
  </si>
  <si>
    <t>manifesteddreams.org</t>
  </si>
  <si>
    <t>vcsmasterclass.com.br</t>
  </si>
  <si>
    <t>bio.link/ameericastore</t>
  </si>
  <si>
    <t>chatguru.com.br</t>
  </si>
  <si>
    <t>cptm.sp.gov.br</t>
  </si>
  <si>
    <t>thesauce.com.br</t>
  </si>
  <si>
    <t>youtube.com/@henriiquepc</t>
  </si>
  <si>
    <t>consultoresdeproductividad.com</t>
  </si>
  <si>
    <t>bit.ly/soy2miradas</t>
  </si>
  <si>
    <t>yess.com.br</t>
  </si>
  <si>
    <t>autoresponder.com.es</t>
  </si>
  <si>
    <t>barrettfinancial.com/mtzompantzi/</t>
  </si>
  <si>
    <t>rhplanning.com.mx</t>
  </si>
  <si>
    <t>facebook.com/groups/8958917…</t>
  </si>
  <si>
    <t>linkr.bio/laderh</t>
  </si>
  <si>
    <t>fatimavazquez.com</t>
  </si>
  <si>
    <t>livy.com.ar</t>
  </si>
  <si>
    <t>podermail.com/?r=Twitter</t>
  </si>
  <si>
    <t>instagram.com/evandrobassil</t>
  </si>
  <si>
    <t>tierrasdelcid.es</t>
  </si>
  <si>
    <t>empleorural.es</t>
  </si>
  <si>
    <t>superslimx.com.br</t>
  </si>
  <si>
    <t>agreggavendas.com.br</t>
  </si>
  <si>
    <t>iloveventas.com</t>
  </si>
  <si>
    <t>youtube.com/@pavinatto</t>
  </si>
  <si>
    <t>rogeriomorgado.com.br</t>
  </si>
  <si>
    <t>tlalnepantla.gob.mx</t>
  </si>
  <si>
    <t>linktr.ee/inmoinformativ…</t>
  </si>
  <si>
    <t>andretpgservicos.wixsite.com/my-site-1</t>
  </si>
  <si>
    <t>bonner.mx</t>
  </si>
  <si>
    <t>jornalsomos.com.br</t>
  </si>
  <si>
    <t>youtu.be/puhDzNAEu60</t>
  </si>
  <si>
    <t>marcelagonzalez.com</t>
  </si>
  <si>
    <t>instagram.com/andreval.gesto…</t>
  </si>
  <si>
    <t>radiomejor.com/radiosol/103.9…</t>
  </si>
  <si>
    <t>blogdohiellevy.com.br</t>
  </si>
  <si>
    <t>buse.com.py</t>
  </si>
  <si>
    <t>gondola.com.br</t>
  </si>
  <si>
    <t>arbconsultoria.net</t>
  </si>
  <si>
    <t>neobrainstorm.com</t>
  </si>
  <si>
    <t>onlyfans.com/camilasanta1990</t>
  </si>
  <si>
    <t>instagram.com/arcentroeduca</t>
  </si>
  <si>
    <t>manpowergroup.com.br</t>
  </si>
  <si>
    <t>ogmantuberias.com</t>
  </si>
  <si>
    <t>gdorazio.blogspot.com.ar</t>
  </si>
  <si>
    <t>truckvan.com.br</t>
  </si>
  <si>
    <t>analisisbrokers.com</t>
  </si>
  <si>
    <t>aravanlabs.com.uy</t>
  </si>
  <si>
    <t>apsd.com.br</t>
  </si>
  <si>
    <t>localapp.com/lang_pt_br/</t>
  </si>
  <si>
    <t>linktr.ee/mitoraiam</t>
  </si>
  <si>
    <t>guardiacivil.es/es/institucion…</t>
  </si>
  <si>
    <t>storlabs.net</t>
  </si>
  <si>
    <t>facebook.com/danielalvarezr…</t>
  </si>
  <si>
    <t>heliosherrera.mx</t>
  </si>
  <si>
    <t>agroalimentarias-andalucia.coop</t>
  </si>
  <si>
    <t>gruponewcompany.com.br</t>
  </si>
  <si>
    <t>paulaocampob.com</t>
  </si>
  <si>
    <t>linktr.ee/kikemultiple</t>
  </si>
  <si>
    <t>clubecnbrasil.org.br/https://linktr…</t>
  </si>
  <si>
    <t>cursorinformativo.com</t>
  </si>
  <si>
    <t>resultadocomtrafego.com.br</t>
  </si>
  <si>
    <t>personale.com.br</t>
  </si>
  <si>
    <t>instagram.com/loganlyne?igsh…</t>
  </si>
  <si>
    <t>carmensanchezhomes.com</t>
  </si>
  <si>
    <t>cholloterapia.com</t>
  </si>
  <si>
    <t>netma.com.ar</t>
  </si>
  <si>
    <t>vincenzo.com.ar</t>
  </si>
  <si>
    <t>consejodeestado.gov.co</t>
  </si>
  <si>
    <t>topip.com.br</t>
  </si>
  <si>
    <t>coachbetygalvan.mx</t>
  </si>
  <si>
    <t>crecesmx.com</t>
  </si>
  <si>
    <t>salesland.net</t>
  </si>
  <si>
    <t>prestigeforhome.pt</t>
  </si>
  <si>
    <t>midnightatelier.com</t>
  </si>
  <si>
    <t>urbansketchers.org</t>
  </si>
  <si>
    <t>erikpenna.com.br</t>
  </si>
  <si>
    <t>carlosgonzalezcopywriter.com</t>
  </si>
  <si>
    <t>facebook.com/QualityAssistMx</t>
  </si>
  <si>
    <t>instagram.com/joaonatas/</t>
  </si>
  <si>
    <t>asistenciamedicolegal.com</t>
  </si>
  <si>
    <t>saneamentobasico.com.br</t>
  </si>
  <si>
    <t>chapintv.com/programa/teled…</t>
  </si>
  <si>
    <t>everest.la</t>
  </si>
  <si>
    <t>ajegroup.com</t>
  </si>
  <si>
    <t>privacy.com.br/@blucasgomes23</t>
  </si>
  <si>
    <t>linktr.ee/berth99</t>
  </si>
  <si>
    <t>pay.hotmart.com/L75402080D</t>
  </si>
  <si>
    <t>recursoskajuru.carrd.co</t>
  </si>
  <si>
    <t>contralinea.com.mx</t>
  </si>
  <si>
    <t>wortev.com</t>
  </si>
  <si>
    <t>asap.com.ve/servicios?utm_…</t>
  </si>
  <si>
    <t>pronavicola.com</t>
  </si>
  <si>
    <t>flouds.com.br</t>
  </si>
  <si>
    <t>consejocoapis.org</t>
  </si>
  <si>
    <t>carorico.com</t>
  </si>
  <si>
    <t>youtube.com/FernandoVitolo</t>
  </si>
  <si>
    <t>herodoto.com.br</t>
  </si>
  <si>
    <t>ferrendonx.com</t>
  </si>
  <si>
    <t>facebook.com/consigueloqueq…</t>
  </si>
  <si>
    <t>ideasycontenidos.uy</t>
  </si>
  <si>
    <t>instagram.com/sinnafta/</t>
  </si>
  <si>
    <t>juliolozoya.com</t>
  </si>
  <si>
    <t>rangelwebsite.com.br</t>
  </si>
  <si>
    <t>lp.vendadesoftware.com.br</t>
  </si>
  <si>
    <t>mqr.pt</t>
  </si>
  <si>
    <t>instagram.com/feloroble/</t>
  </si>
  <si>
    <t>opensea.io/collection/my-…</t>
  </si>
  <si>
    <t>linktr.ee/russell.brunson</t>
  </si>
  <si>
    <t>sonora.com.gt</t>
  </si>
  <si>
    <t>pcontrol.com.br</t>
  </si>
  <si>
    <t>carlossantos.com.br</t>
  </si>
  <si>
    <t>pintomotaadvocacia.com.br</t>
  </si>
  <si>
    <t>atx.mx</t>
  </si>
  <si>
    <t>recluit.com</t>
  </si>
  <si>
    <t>goo.gl/aHoFmf</t>
  </si>
  <si>
    <t>flexibleos.com</t>
  </si>
  <si>
    <t>dvseditora.com.br</t>
  </si>
  <si>
    <t>empleo.gob.mx</t>
  </si>
  <si>
    <t>youtube.com/@RogerioMoura</t>
  </si>
  <si>
    <t>rogeriomoura.com</t>
  </si>
  <si>
    <t>elcaribe.com.do</t>
  </si>
  <si>
    <t>picaperu.com</t>
  </si>
  <si>
    <t>interaccionhumana.es/suscribete</t>
  </si>
  <si>
    <t>…riedadespravc.lojavirtualnuvem.com.br</t>
  </si>
  <si>
    <t>apasiona-t.co</t>
  </si>
  <si>
    <t>linktr.ee/diegoiturralde…</t>
  </si>
  <si>
    <t>heromidia.com</t>
  </si>
  <si>
    <t>luisfpfreitas.com.br</t>
  </si>
  <si>
    <t>diariodelyaqui.mx</t>
  </si>
  <si>
    <t>gruposupera.com.br</t>
  </si>
  <si>
    <t>festivaldelacopla.com</t>
  </si>
  <si>
    <t>evovend.com.br</t>
  </si>
  <si>
    <t>linkedin.com/in/vanessa-alm…</t>
  </si>
  <si>
    <t>digitaldebolivia.blogspot.com</t>
  </si>
  <si>
    <t>about.me/lauravaropastor</t>
  </si>
  <si>
    <t>youtube.com/channel/UCN-qU…</t>
  </si>
  <si>
    <t>humanoendesarrollo.blogspot.com</t>
  </si>
  <si>
    <t>contrastesdepuebla.mx</t>
  </si>
  <si>
    <t>rodrigobaldoino.com</t>
  </si>
  <si>
    <t>danielponceg.com</t>
  </si>
  <si>
    <t>riomaframix.com.br</t>
  </si>
  <si>
    <t>comprasguitarramusicaymas.cloud</t>
  </si>
  <si>
    <t>suavaga.com.br</t>
  </si>
  <si>
    <t>leandrobranquinho.com</t>
  </si>
  <si>
    <t>linktr.ee/GobiernodeSant…</t>
  </si>
  <si>
    <t>gob.cl/chileavanzando/</t>
  </si>
  <si>
    <t>mtr.bio/gabrielboric</t>
  </si>
  <si>
    <t>mintrab.gob.cl</t>
  </si>
  <si>
    <t>keepgrowing.com.br</t>
  </si>
  <si>
    <t>asefarma.com</t>
  </si>
  <si>
    <t>eleconomista.com.mx</t>
  </si>
  <si>
    <t>smartlink.metricool.com/public/smartli…</t>
  </si>
  <si>
    <t>fastcommerce.com.br</t>
  </si>
  <si>
    <t>linktr.ee/dgstreinamentos</t>
  </si>
  <si>
    <t>jordidice.com</t>
  </si>
  <si>
    <t>ananicolau.blogspot.com</t>
  </si>
  <si>
    <t>linktr.ee/Claudel_Vlogs</t>
  </si>
  <si>
    <t>vendedortodoterreno.com</t>
  </si>
  <si>
    <t>diarioelvistazo.com</t>
  </si>
  <si>
    <t>madavi.es</t>
  </si>
  <si>
    <t>instagram.com/rubyy_studios?…</t>
  </si>
  <si>
    <t>periodicoenfoque.com.mx</t>
  </si>
  <si>
    <t>solucaoimovel.com</t>
  </si>
  <si>
    <t>v4.company</t>
  </si>
  <si>
    <t>unidho.mx/contacto.html</t>
  </si>
  <si>
    <t>beacons.ai/javi_v7.0</t>
  </si>
  <si>
    <t>angelsainz.com</t>
  </si>
  <si>
    <t>agenciainter.net</t>
  </si>
  <si>
    <t>lcrn.mx</t>
  </si>
  <si>
    <t>nextthouse.com.br</t>
  </si>
  <si>
    <t>blogpdanoticia.blogspot.com</t>
  </si>
  <si>
    <t>facebook.com/jesuseacurapvc</t>
  </si>
  <si>
    <t>mundopauta.com.br</t>
  </si>
  <si>
    <t>wix.com/kaiser20062/cr…</t>
  </si>
  <si>
    <t>linktr.ee/telecablecentr…</t>
  </si>
  <si>
    <t>payagar.negocio.site</t>
  </si>
  <si>
    <t>cutt.ly/eO186nV</t>
  </si>
  <si>
    <t>youtube.com/@luisitocomuni…</t>
  </si>
  <si>
    <t>esic.edu/editorial/</t>
  </si>
  <si>
    <t>retailactual.com</t>
  </si>
  <si>
    <t>raqueldavo.com</t>
  </si>
  <si>
    <t>jcjimenezemotions.com</t>
  </si>
  <si>
    <t>instagram.com/venezianolopes…</t>
  </si>
  <si>
    <t>diariojornada.com.ar</t>
  </si>
  <si>
    <t>comunidadeempregope.com.br</t>
  </si>
  <si>
    <t>infoempleo.com</t>
  </si>
  <si>
    <t>gaiasa.co/linktree</t>
  </si>
  <si>
    <t>pasto.gov.co</t>
  </si>
  <si>
    <t>m.youtube.com/channel/UC9A_q…</t>
  </si>
  <si>
    <t>laplazadiario.com.mx</t>
  </si>
  <si>
    <t>https://t.co/x8tXKcbMS2 https://t.co/IVyXc47wD9</t>
  </si>
  <si>
    <t>https://t.co/tfFlHJWyRc https://t.co/q26BGs6pQl</t>
  </si>
  <si>
    <t>https://t.co/0vdjgS4WkG https://t.co/uFKaCM0AIG</t>
  </si>
  <si>
    <t>https://t.co/dHUhyo9j39 https://t.co/CmMaRxgM1H</t>
  </si>
  <si>
    <t>https://t.co/wT68Nd0gb2 https://t.co/kG6IXFE0ww</t>
  </si>
  <si>
    <t>https://t.co/riUN0aHgvP https://t.co/39SDMy8Hfm</t>
  </si>
  <si>
    <t>https://t.co/Bk5Q2caRwJ https://t.co/cN4Mr3wxcT</t>
  </si>
  <si>
    <t>https://t.co/pJEhSz42nb https://t.co/Oj9DmOcQ2A</t>
  </si>
  <si>
    <t>https://t.co/P00rkAxVK3 https://t.co/Kpl8r1FMTn</t>
  </si>
  <si>
    <t>https://t.co/njzHYl3P32 https://t.co/hWIWtTGNZn https://t.co/ELlphuK1xU</t>
  </si>
  <si>
    <t>https://t.co/xM7Y6ZnGIo https://t.co/CDCjMZbcH5 https://t.co/fUOUrVtdOp</t>
  </si>
  <si>
    <t>http://instagram.com/foco.informati http://t.me/focoinformativo</t>
  </si>
  <si>
    <t>http://otrozurdo.com http://anchor.fm/zorbash</t>
  </si>
  <si>
    <t>http://TuMundo.cl http://tumundo.cl</t>
  </si>
  <si>
    <t>http://Destaca.es http://ClubWPress.com</t>
  </si>
  <si>
    <t>http://santiagotorre.com/twitter/ http://www.persuhabilidad.com</t>
  </si>
  <si>
    <t>Https://is.gd/Xx0QxP</t>
  </si>
  <si>
    <t>https://chat.whatsapp.com/BboYqaCMTuhFKnzkkealKV https://t.me/GMempleo</t>
  </si>
  <si>
    <t>https://bit.ly/3etNXWz https://bit.ly/2MOe9lY</t>
  </si>
  <si>
    <t>https://twitter.com/HispanatoliaEN http://ko-fi.com/hispanatolia</t>
  </si>
  <si>
    <t>http://goo.gl/C17HEA http://goo.gl/7oB9KY</t>
  </si>
  <si>
    <t>http://lauravaropastor.blogspot.com http://linkedin.com/in/varolaura https://www.instagram.com/cocinandoconmipeque</t>
  </si>
  <si>
    <t>http://comprasguitarramusicaymas.net/ http://comprasguitarramusicaymas.com http://comprasguitarramusicaymas.cloud</t>
  </si>
  <si>
    <t>amzn.to/44NTOzt</t>
  </si>
  <si>
    <t>linktr.ee/mercadolibre.cl</t>
  </si>
  <si>
    <t>linktr.ee/ayudameli</t>
  </si>
  <si>
    <t>open.spotify.com/show/26XPZvMWT…</t>
  </si>
  <si>
    <t>linktr.ee/advogadotrabal…</t>
  </si>
  <si>
    <t>fb.me/Noti7</t>
  </si>
  <si>
    <t>t.me/evaluacionbrok…</t>
  </si>
  <si>
    <t>meli.la/2vo9ypg</t>
  </si>
  <si>
    <t>amaneciendo.com.mx</t>
  </si>
  <si>
    <t>wa.me/551732316976</t>
  </si>
  <si>
    <t>diariodeuberlandia.com.br</t>
  </si>
  <si>
    <t>instagram.com/foco.informati t.me/focoinformativo</t>
  </si>
  <si>
    <t>torcadul.com</t>
  </si>
  <si>
    <t>player.dcarsat.com.ar/rn_sc_rad4/</t>
  </si>
  <si>
    <t>otrozurdo.com anchor.fm/zorbash</t>
  </si>
  <si>
    <t>TuMundo.cl tumundo.cl</t>
  </si>
  <si>
    <t>Destaca.es ClubWPress.com</t>
  </si>
  <si>
    <t>instagram.com/oficialeudiego…</t>
  </si>
  <si>
    <t>gringo.meuspedidos.com.br</t>
  </si>
  <si>
    <t>Publicas.UTN.Community</t>
  </si>
  <si>
    <t>santiagotorre.com/twitter/ persuhabilidad.com</t>
  </si>
  <si>
    <t>is.gd/Xx0QxP</t>
  </si>
  <si>
    <t>legalmente.info</t>
  </si>
  <si>
    <t>bit.ly/2NCInGz</t>
  </si>
  <si>
    <t>chat.whatsapp.com/BboYqaCMTuhFKn… t.me/GMempleo</t>
  </si>
  <si>
    <t>radioytvbuap.mx</t>
  </si>
  <si>
    <t>radioytvbuap.substack.com</t>
  </si>
  <si>
    <t>linktr.ee/automafast</t>
  </si>
  <si>
    <t>cb.run/cKE8</t>
  </si>
  <si>
    <t>bit.ly/3etNXWz bit.ly/2MOe9lY</t>
  </si>
  <si>
    <t>salvadorfolhetim.blogspot.com/?m=0</t>
  </si>
  <si>
    <t>api.whatsapp.com/send/?phone=57…</t>
  </si>
  <si>
    <t>twitter.com/HispanatoliaEN ko-fi.com/hispanatolia</t>
  </si>
  <si>
    <t>wa.me/+524445416729</t>
  </si>
  <si>
    <t>spoti.fi/3lauH6E</t>
  </si>
  <si>
    <t>bit.ly/DirecNA</t>
  </si>
  <si>
    <t>linktr.ee/radiostudio</t>
  </si>
  <si>
    <t>nmlsconsumeraccess.org</t>
  </si>
  <si>
    <t>tiktok.com/@evandrobassil</t>
  </si>
  <si>
    <t>open.spotify.com/show/6bKlj7ggY…</t>
  </si>
  <si>
    <t>facebook.com/propiedadesmg?…</t>
  </si>
  <si>
    <t>t.me/+alfK6nGjgxVjY…</t>
  </si>
  <si>
    <t>guiterrengui.com/guia-pratico-d</t>
  </si>
  <si>
    <t>Amazon.com</t>
  </si>
  <si>
    <t>bit.ly/3jopaYv</t>
  </si>
  <si>
    <t>resultadocomtrafego.com.br/linktree</t>
  </si>
  <si>
    <t>wa.me/5516996262108</t>
  </si>
  <si>
    <t>youtu.be/_c22Uvic-wY</t>
  </si>
  <si>
    <t>bit.ly/Info369</t>
  </si>
  <si>
    <t>consejocoapis.org/aviso-legal/</t>
  </si>
  <si>
    <t>youtube.com/c/pordentrodam</t>
  </si>
  <si>
    <t>linktr.ee/pecagrigo</t>
  </si>
  <si>
    <t>goo.gl/C17HEA goo.gl/7oB9KY</t>
  </si>
  <si>
    <t>lauravaropastor.blogspot.com linkedin.com/in/varolaura instagram.com/cocinandoconmi…</t>
  </si>
  <si>
    <t>comprasguitarramusicaymas.net comprasguitarramusicaymas.com comprasguitarramusicaymas.cloud</t>
  </si>
  <si>
    <t>facebook.com/radiokpmusicbr…</t>
  </si>
  <si>
    <t>bit.do/app-gaia</t>
  </si>
  <si>
    <t>sensitive_media</t>
  </si>
  <si>
    <t>none</t>
  </si>
  <si>
    <t>regular</t>
  </si>
  <si>
    <t>Open Twitter Page for This Person</t>
  </si>
  <si>
    <t xml:space="preserve">cruzroja_mx
</t>
  </si>
  <si>
    <t xml:space="preserve">gob_guerrero
</t>
  </si>
  <si>
    <t xml:space="preserve">sedenamx
</t>
  </si>
  <si>
    <t xml:space="preserve">gn_mexico_
</t>
  </si>
  <si>
    <t xml:space="preserve">fgeguerrero
</t>
  </si>
  <si>
    <t xml:space="preserve">sspgro
</t>
  </si>
  <si>
    <t>coachvillacis
En ventas, ABC es un acrónimo de
"Always Be Closing", un mantra
motivacional para impulsar a los
equipos de ventas a prospectar
con energía y usar venta profesional
para cerrar los negocios. #ventas
#técnicadeventas #vendedor #comercial
#coachpepevillacis #ActionCOACH
https://t.co/ac1me7NtsA</t>
  </si>
  <si>
    <t>acsiresearch
¡Únete al equipo! Si es de tu interés,
envía tu curriculum a la Mtra.
Mireya Luna al correo: mireya@acsiresearch.mx
. . . #OfertaLaboral #Empleo #ACSIResearch
#Ventas #InvestigaciondeMercados
#Vendedor #Clientes https://t.co/CbCHDp5tW6</t>
  </si>
  <si>
    <t>carlosagami
🔑🛍️ Este es el secreto en las
ventas, recuérdalo: no se trata
de 'vender'. En lugar de eso, sé
empático con tus clientes y envuelve
tu producto o servicio en la solución
a sus problemas. - - - #ventas
#vendedor #vendedora #secretos
#consejos #vendemas #emprendedor
#emprendedora https://t.co/IAfM2vwrVb</t>
  </si>
  <si>
    <t>sagitariomaz
#busquedalaboral #vendedor #indumentaria
Me ayudan a compartir ? 🙏🏻 https://t.co/gAOoduEkSc</t>
  </si>
  <si>
    <t>m_malaquias
Quem nunca passou por isso? Nada
melhor que lembrar dos nãos para
valorizarmos o sim! #vendedor #malaquias
#resiliencia em Iguatemi Alphaville
https://t.co/uU82iZb7kh</t>
  </si>
  <si>
    <t xml:space="preserve">tarcisiogdf
</t>
  </si>
  <si>
    <t>lecheriateve
Lechería Tv: La personalidad de
un #vendedor. 10 rasgos vitales
https://t.co/QrhsHx4hbr #Ahora
#Actualidad #Emprendimiento #Literatura
#Noticias #Negocios #Empresas #Lecheria
#Opinion #Radio</t>
  </si>
  <si>
    <t>innetsolucoes
Olá Lojistas ! Você sabia que vender
mais em sua loja pode ser fácil,
mesmo se você for um pequeno negócio?
Aqui estão cinco dicas para ajudá-lo
a aumentar suas vendas. #loja #lojaderoupas
#gestaodeloja #vendamais #maisvenda
#vendas #vendermais #Dicas https://t.co/QspI2Y3p6B</t>
  </si>
  <si>
    <t xml:space="preserve">carlazucoloto
</t>
  </si>
  <si>
    <t>redclinicapsi
#Busquedalaboral #empleovillaluro
#villaluro #vendedor #empleadoconcesionaria
Envíanos tu CV con foto - asunto:
"VENDEDOR" y te contactaremos infolaboral2018@gmail.com
https://t.co/tucDd1UiVK</t>
  </si>
  <si>
    <t>jobsbayton
📢 Atención Mar Del Plata!! Buscamos
#vendedor viajante, pref. con exp.
en alimentos (pollos y envasados).
Desarrollará zona del Gran Bs.
As., Radicado en Mar del Plata.
con Movilidad propia y licencia
de conducir B1. 📩 Envianos tu
CV a aguariste@bayton.com.ar #BuscoTrabajo
https://t.co/aE3hy1b5r5</t>
  </si>
  <si>
    <t>jpsotohelo
Alguien sabe que hacer? #mercadolibre
no se hacen responsable por diferencias
de productos enviados al servicio
full @ML_Ayuda @ML_Chile El servicio
de #colecta es de ellos y el #vendedor
debe asumir las diferencias que
no llegan.</t>
  </si>
  <si>
    <t xml:space="preserve">ml_chile
</t>
  </si>
  <si>
    <t xml:space="preserve">ml_ayuda
</t>
  </si>
  <si>
    <t>tina_pimenteld
Native News Carajás: Vendedor de
bíblias é preso por estuprar menina
de... https://t.co/0nLHX2qmzF #nativenewscarajás
#vendedor #bíblias #preso #estupro
#meninade4anos #Pinhalzinho #SC</t>
  </si>
  <si>
    <t>daphinefmera
Vagas de vendedor para inicio Imediato.
#vendas #atendimento #atendimentoaocliente
#vendedorinterno #vendedor https://t.co/NE95A1Xl1D</t>
  </si>
  <si>
    <t>psyteco_
RT @YoSoyOriginal_: 👜 ¿Quieres
asegurarte de que tu #bolso es
original? 👉 1º Revisa todas las
opiniones del #vendedor 👉 2º Analiza
las #cos…</t>
  </si>
  <si>
    <t>yosoyoriginal_
👜 ¿Quieres asegurarte de que tu
#bolso es original? 👉 1º Revisa
todas las opiniones del #vendedor
👉 2º Analiza las #costuras 👉
3º Comprueba si es piel o no 👉
4º Revisa #etiquetas y coteja el
código con el modelo original https://t.co/JJCoiAOENp
#StopFalsificaciones https://t.co/hFo310hZ7G</t>
  </si>
  <si>
    <t>dznprojectmedia
Ajudamos a manter a presença digital
e a cadência de vendas ideal para
crescer o seu negócio. Saiba mais
👇 https://t.co/6FQvYnx04J DZN
Project - Marketing Digital para
Negócios, em Constantina/RS. #MarketingDigital
#AgênciaDeMarketing #VenderMais
#DZNProject https://t.co/fHSzBPOlBU</t>
  </si>
  <si>
    <t>digitaltic1
#díadeltendero #vendedor https://t.co/zCtC9SBa5j</t>
  </si>
  <si>
    <t>diarioenlaruta
#ElDiarioDeUnVendedor Como cuando
quieres empezar la semana bien
🦾🧔🏻‍♂ Madrugas para comenzar
y terminar la ruta temprano pero...los
clientes aún no están atendiendo.
#Diario #Lima #Peru #rutamods #ruta
#madrugar #ventas #vendedor #productos
#Confesiones #sueño #Esperanza
#fe https://t.co/sZsqyRNeNG</t>
  </si>
  <si>
    <t>visocym
🧠✍️ Cuando las personas sienten
que un #vendedor los quiere ayudar
de forma desinteresada, están mas
expuestas a #comprar lo que en
realidad mas adelante desea venderle.
https://t.co/f46zOTDUpg</t>
  </si>
  <si>
    <t>alicam_mx
El chiste se cuenta solo 📷 #vendedor
#marketing #marketingdigital #sitiosweb
#paginaweb #reforma222 https://t.co/pMoIQh2WZF</t>
  </si>
  <si>
    <t>gfsaadv
👉🏻 PROPAGANDISTA GANHA HORAS
EXTRAS . Confira esse caso em que
o Colaborador ganhou por conseguir
comprovar seu controle de jornada.
. #gfsa #trabalhista #propagandista
#horasextras #trabalhoexterno #direitotrabalhista
#justicadotrabalho #TST #saopaulo
#vendedor https://t.co/UYMBkTsioD</t>
  </si>
  <si>
    <t>se_personalize
Tudo de bom! 🥰🥰🥰 #personalizados
#vendedor #vendasonline #vendas
#empreendedorismo #emprendedores
#emprendimiento #pix #clientes
#cliente #pacientes https://t.co/hZmi6vM5xr</t>
  </si>
  <si>
    <t>guidocurletto
Buscamos #vendedor #retail #comercio
para ciudad de #riocuarto Envianos
tu #cv https://t.co/GoCuDq1T7S</t>
  </si>
  <si>
    <t>joaonetoupcont
Fazer a leitura de cada perfil
de cliente e se conectar a ele
é o que torna uma concretização
de venda possível. #vendas #empreendedorismo
#sucesso #empreendedor #vendedor
@fafitalopesp @fernandarocha.ss
#joaonetocontador #profissaoempreendedorpodcast
https://t.co/BYtEkHam1U</t>
  </si>
  <si>
    <t xml:space="preserve">fernandarocha
</t>
  </si>
  <si>
    <t>tradeviewes
En el campo de los negocios, debes
ser multifacético. 😎 💯 En última
instancia, deberás ir más allá
del rol de vendedor que se utilizaba
anteriormente #Ventas #Vendedor
https://t.co/wPK0XpeJW0</t>
  </si>
  <si>
    <t>tramicares
La #notificacion de venta es un
trámite que ayuda al #vendedor
de un vehículo a protegerse de
cualquier responsabilidad sobre
el vehículo, en el caso de que
el comprador no realice el obligatorio
#cambiodetitularidad 🚗🏍️ ¡Te
contamos cómo hacerlo! https://t.co/fhdQV0nOmU</t>
  </si>
  <si>
    <t>wandergomes33
📌 Você pode passar a sua vida
inteira reclamando disso ou daquilo,
ou pode levantar a cabeça e brigar
como um leão por aquilo que você
quer. A escolha é sua. #decisao
#geraçãodevalor #geracaomilionaria
#braip #vendermais #vendas https://t.co/TvFvOt0fLT</t>
  </si>
  <si>
    <t>gilbester
Importancia de los ciclos en nuestra
vida personal y profesional. https://t.co/PEtnytWfyv
#empresario #emprendedor #liderazgo
#vendedor #FelizViernesATodos #ViernesBotanero</t>
  </si>
  <si>
    <t>telenoticiasrd
#ElPaís | VIDEO: #Asesinan a "Chilo
La Para", #Reconocido #Vendedor
de #Drogas en #Moca #Telenoticias
#Telesistema11 #PN #Policia https://t.co/SCNG7qRZar</t>
  </si>
  <si>
    <t>armandopdiaz
"¡Descubre el poder del vendedor
camaleón para conquistar cualquier
cliente!" Te invitamos a ver este
episodio donde charlamos con nuestro
invitado Germán Normandía en YouTube
https://t.co/JwnKWlQ0eV #ventas
#vendedor #vendedorcamaleon #practicasempresarialespodcast
#podcast</t>
  </si>
  <si>
    <t>pfdoarmario
#onibus #vigia #vigilante #medico
#consulta #provador #vendedor #loja</t>
  </si>
  <si>
    <t>ticjobco
👋👋 HIT Latam te está buscando
🕵👀 #Vendedor #B2B #Servicios
#Integrados #Telecomunicaciones
🚀 con más de dos (2) años de experiencia
➡https://t.co/6g9U2W5C7E 🔉revisa
su #ofertatic y aplica 😉 #trabajosihay
#networking #ciberseguridad #SASE
#omnicanalidad #wifi #ticjob https://t.co/CgzSRSlOqN</t>
  </si>
  <si>
    <t>grupoperseo
¡YA NO PIERDAS VENTAS! https://t.co/GoHHsXtF1e
es más que un CRM. @GrupoPerseo
#ventas #gestióndeventas #crm #vendedor
#empresa https://t.co/peOxtXAcAG</t>
  </si>
  <si>
    <t>thesassypants70
The absolutely non toxic urge to
stop at every single rainbow umbrella.
#vendedor https://t.co/HryQFow0km</t>
  </si>
  <si>
    <t>vacantesaps
Interesados en aplica enviado tu
hoja de vida al correo: talentos@apsdr.com (Colocar
en el “asunto” el nombre de la
vacante). #vacantes #vacantesrd #vendedor #comercial
https://t.co/ieX1VLd0FQ</t>
  </si>
  <si>
    <t>lojaelenicosta
Imagina só?! A esposa querendo
comprar e o marido chamando para
ir embora. Você já passou por isso?
😅😂 #clientes #lojas #compras
#atendimento #atendimentoaocliente
#lojasdesapatos #lojasdesapatosfemininos
#sapataria #vendedor #vendedora
#vendedores https://t.co/73tIqyuC7s</t>
  </si>
  <si>
    <t>nakahashiadv
Minha comissão pode ser reduzida?
Empresa quer fazer isso depois
de anos. #comissao #vendedor #ferias
#trabalho #trabalhador #dinheiro
#emprego #salario #pis #fgts #sp
#saopaulo #advogado #sampa #direitodotrabalho
#clt #inss #variavel https://t.co/IS66y7zz6A</t>
  </si>
  <si>
    <t>gavrocheg
We are #hiring! Know anyone who
might be interested? We need salesperson
with experience in the corporate
health and insurance industry.
#health #insuranceindustry #vendedores
#vendedor https://t.co/IePGLSMF4x</t>
  </si>
  <si>
    <t>noti7guatemala
Invitó a su casa a #vendedor ambulante
que estaba bajo la lluvia y le
dio una sorpresa ➡ https://t.co/ai1DCCJSze</t>
  </si>
  <si>
    <t>carmen197713
Oferta laboral #trabajo #vendedor
En La Teja Kapan Mueblería https://t.co/BOr0RPQxIV</t>
  </si>
  <si>
    <t>evaluabroker
El #broker es el encargado de buscar
un #vendedor que quiera vender
el #activo que nosotros queremos
#comprar. Lo mismo en caso de que
en vez de comprar ese #activo,
queramos es #venderlo  #evaluacionbrokers
#aprende #blog #bolsa #broker #estafa
#cripto #criptotech #crypto https://t.co/VifMZquYj1</t>
  </si>
  <si>
    <t>centralcursoss
Em busca de oportunidades como
#Vendedor (a) Prepare-se agora
mesmo: 👉 Acesse aqui https://t.co/tDxdJBppK8
✅</t>
  </si>
  <si>
    <t>rainmakersalesc
Cuando tratamos de venderle a un
cliente, es necesario hacerle las
preguntas necesarias para conocer
las necesidades de nuestro cliente.
Esto nos ayudará a cerrar las ventas
de una manera más sencilla, donde
el cliente se sentirá satisfecho.
#inversiones #vender #vendedor
https://t.co/Zqidy0Aqm2</t>
  </si>
  <si>
    <t>canalupcast
Quem nunca fracassou em uma meta
de vendas? 🤣 #metadevendas #vender
#vendedor #podcast https://t.co/dUiiondpr2</t>
  </si>
  <si>
    <t>ismaelkardoudi
Hoy quiero hablaros de las razones
por las que debemos presentar el
plan de #marketing de la #vivienda
al #vendedor en el #blog de @fotocasapro👇
https://t.co/0MW1ZxK8mj #agenteinmobiliario
#formacioninmobiliaria #sectorinmobiliario
#FotocasaProAcademy https://t.co/i5eVcPSNhM</t>
  </si>
  <si>
    <t xml:space="preserve">fotocasapro
</t>
  </si>
  <si>
    <t>conocimientoyde
#Escucha En Conocimiento y Desarrollo
Empresarial te traemos recomendaciones
que todo empresario debería escuchar
al menos una vez en su vida. Link
del curso👇👇 https://t.co/aFQuqMdHwW
#ventas #vendedor #curso https://t.co/mVsJg25HCm</t>
  </si>
  <si>
    <t>nienna_26
@ML_Ayuda @ML_Ayuda @Mercadolibre
@ML_Mexico #problema #vendedor
#robo para uds puede ser solo una
venta más o una mediación más pero
no pueden respaldar solo al comprador</t>
  </si>
  <si>
    <t xml:space="preserve">ml_mexico
</t>
  </si>
  <si>
    <t xml:space="preserve">mercadolibre
</t>
  </si>
  <si>
    <t>trabajoenelnoa
⚫⚪️ #SANTIAGODELESTERO - #VENDEDOR
#VIAJANTE 1️⃣ Registrate en: https://t.co/cmqY8Fay8l
2️⃣ Ingresá al aviso: https://t.co/ep9Rymg0k9
3️⃣ Seguí las indicaciones para
enviar tu currículum #TNOA #SantiagodelEstero
#empleoar #trabajoar https://t.co/pN2DBekZQW</t>
  </si>
  <si>
    <t>timbralofacil
#plataformasdigitales #timbralofacil
conoce lo sencillo de especificar
un #vendedor en la #remision de
nuestro #puntodeventa https://t.co/NRxsuosaL5</t>
  </si>
  <si>
    <t>geraimpacto
Se você também celebra as vitórias
da equipe assim, parabéns, você
é um excelente Líder e/ou Mentor!
🚀🚀🚀​ ​ Agora, se você não sabe
o que estou falando, dê uma olhada
no meu perfil! #líder #liderança
#mentor #mentoria #vendas #vendedor
#RH #recursoshu…https://t.co/esnlJ9aCqR</t>
  </si>
  <si>
    <t>shugardeli1
¡Feliz Día del #Vendedor! 💰💸🤑
#vendedor #vendedora #vendedores
#vendo #vender #pasteleria #pastelerias
#pasteleriaartesanal #galleta #galletas
#cookie #cookies #galletaglaseada
#galletasglaseadas #glazedcookie
#glazedcookies #cookiesofinstagram
#bakery #bakerys https://t.co/6bqSFNBA2k</t>
  </si>
  <si>
    <t>vivendex
Cómo determinar si un #comprador
está cualificado para comprar una
#vivienda? Aunque no existe una
respuesta exacta, hay algunas pistas
que, como #vendedor, pueden guiarte
a la hora de evaluar su capacidad.
https://t.co/UvvSIo5nK5</t>
  </si>
  <si>
    <t>elbonanews
🔴La #inseguridad no cesa en #Pergamino:
#robaron en la misma cuadra de
la #Comisaría Segunda 👉Un #vendedor
ambulante ingresó a un #local de
#venta de #celulares y #robó varios
equipos en avenida Juan B. Justo
y Lavalle 👇Leé la nota https://t.co/KOtQaI1hz1</t>
  </si>
  <si>
    <t>merchantsguider
Eres tu propio obstáculo para lograr
las metas que te propongas. #Educacionfinanciera
#inspiracion #vendedor #vender
#Menteexitosa https://t.co/YmsIw0u3Gt</t>
  </si>
  <si>
    <t>guiaserjcentro
SMART é a sigla em inglês para:
Specific (Específico), Measurable
(Mensurável), Achievable (Alcançável),
Realistic (Realista) e Time based
(Temporal).🎯 #guiase #smart #metas
#objetivos #vendas #empreendedorismo
#vendermais #marketing #marketingdigital
https://t.co/KTfkIbn6bN</t>
  </si>
  <si>
    <t>cintiaxis
¡#EdSheeran trabajando en un Food
Truck! https://t.co/obM4lCOKAG
#foodtruck #carrito #carro #comidarapida
#vendedor https://t.co/kHY2RNuKJ7</t>
  </si>
  <si>
    <t>dnrconsultor
No es lo que vendes, es cómo lo
vendes. #Ventas #vendedor https://t.co/leFpW7bM8B</t>
  </si>
  <si>
    <t>amaneciendomx
#Vendedor evita que retiren su
puesto en #PlazaPrincipal de Apan.
https://t.co/i1orgSzTga</t>
  </si>
  <si>
    <t>abigaildelolmo1
#TrabajoSiHay #trabajo #emprendedores
#vendedor #Tlalpan https://t.co/w0ZRFH3JvU</t>
  </si>
  <si>
    <t>antenasanluis
#Seguridad | Ejecut@n a #vendedor
de miches cuando se echaba unas
quesadilla con su #esposa Al puesto
arribó un individuo de playera
blanca, sacó una pist0la y disp@ró
de manera directa -&amp;gt; https://t.co/za7b2gAlX5
https://t.co/nuJZouE51m</t>
  </si>
  <si>
    <t>elenicostadf
Imagina só?! A esposa querendo
comprar e o marido chamando para
ir embora. Você já passou por isso?
😅😂 #clientes #lojas #compras
#atendimento #atendimentoaocliente
#lojasdesapatos #lojasdesapatosfemininos
#sapataria #vendedor #vendedora
#vendedores https://t.co/ENVIb058NH</t>
  </si>
  <si>
    <t>vendes_o_ayudas
¿Qué hago con las objeciones? ¡¡¡¡¡¡¡¡¡¡¡¡¡¡¡¡¡¡¡NADA!!!!!!!!!!!!!!!!!
Si quieres aprender más sobre cómo
ayudar personas y ganar dinero.
VISITA MI PERFIL PARA MAS CONTENIDO.
- - - - - - - - - - #vendesoayudas
#vendedor #negocio #economia #finance
https://t.co/bO94ofJeDg</t>
  </si>
  <si>
    <t>informacaoief
5 Ações Para #VenderMais nos negócios
digitais https://t.co/81pjgAeCif
https://t.co/6SFK2MtYGc</t>
  </si>
  <si>
    <t>vendolite
VEND SMART - NOT HARD | #vendolite
#vendingmachine #smart #business
#touch #onlinepayment #vendedor
#businessowner #picoftheday #snacksonsnacks
#colddrink #snackslover https://t.co/qdlFgMtn6M</t>
  </si>
  <si>
    <t>bavaronews
El cruce de Verón fue el lugar
ideal que Juan Carlos vio para
empezar este trabajo, que se ha
convertido en el sustento de él
y su familia. https://t.co/snBT8BLsgZ
#Frutas #Frutero #JuanCarlosGrullón
#Vendedor #Verón #Bávaro #PuntaCana
https://t.co/E7Hv9NJIj1</t>
  </si>
  <si>
    <t>netgen_al
Próximamente. #marketing #graphicdesign
#marketingdigital #marketingstrategy
#networking #vendedor #inmobiliario
#medicos https://t.co/FiPz4TY6Zv</t>
  </si>
  <si>
    <t>info_clicktime
Hola! 😀 Comparto una de nuestras
búsquedas activas en @info_clicktime
Vendedor Asesor Provincia de Córdoba
(Ciudad de Córdoba). Postulate!
https://t.co/kfLWVNkb5m #busquedalaboral
#trabajo #clicktime #Cordoba #vendedor
#ventas https://t.co/re0M3mcz7J</t>
  </si>
  <si>
    <t>esther260420
@wallapop #timo @wallapop he sido
#engañada con una #venta por medio
de un mensaje #falso recibido en
su nombre, #miedo como #vendedor
#reclamacion #opiniones #denuncia
Quien me #devuelve el #dinero?</t>
  </si>
  <si>
    <t xml:space="preserve">wallapop
</t>
  </si>
  <si>
    <t>prcticasempres1
"¡Descubre el poder del vendedor
camaleón para conquistar cualquier
cliente!" Te invitamos a ver este
episodio donde charlamos con nuestro
invitado Germán Normandía en YouTube
https://t.co/GVjkNYSght #ventas
#vendedor #vendedorcamaleon #practicasempresarialespodcast
#podcast</t>
  </si>
  <si>
    <t>viccarijonny
Vendas 2.0 já está morrendo, e
você está ligado nas novas tendências?
Confira o e-book de vendas que
fiz - Link no meu perfil #vendas
#b2b #vendedor https://t.co/Y3nlBGpYqK</t>
  </si>
  <si>
    <t>dancarlossilva
"Quer ter sucesso em vendas? Não
foque no dinheiro, foque em SERVIR
COM EXCELÊNCIA! O dinheiro é consequência".
Eduardo Tevah #vendedor #consorcio</t>
  </si>
  <si>
    <t>aliqindoi
¿Compras en #Aliqindoi? ¡Tu dinero
está seguro! 🔒💵 Con los pagos
en #escrow, el dinero se ingresa
al #vendedor después de que hayas
confirmado el buen funcionamiento
de tu #móvil 👍 https://t.co/JW1wMs266u</t>
  </si>
  <si>
    <t>civilmercantil
Os presentamos este 🎯#CASOPRÁCTICO🎯
sobre la problemática que surge
acerca de la naturaleza del contrato
que vincula a las #AgenciasInmobiliarias
como #mediadoras entre #comprador
y #vendedor. https://t.co/pVqT9VOAXn</t>
  </si>
  <si>
    <t>rodrigo90818252
Los moros@$ paguen sus deudas...
#Tatuador #Emplead@Pública #Vendedor@deVestidos
#Medica</t>
  </si>
  <si>
    <t>lausalda0115
⚠️Encuentra los detalles de ésta
oferta de #EmpleoVerde en: https://t.co/xV0DPZ8ym2
☘️ #EmpleaVerde @GaiaAmbiente #SostenibilidadAmbiental
#FuturoV #DesarrolloSostenible
#trabajosihay #buscoempleo #vendedor</t>
  </si>
  <si>
    <t>daniel_consig
Não existe crise que resista a
10 ligações por dia! Vende mais,
quem liga mais! #empreendedorismo
#business #motivacional #vendas
#vendedor</t>
  </si>
  <si>
    <t>sumundotv
¡A plena luz del día! atracadores
ultiman vendedor de café en Pantoja
#atracadores #vendedor #disparo
#pantoja #sumundodigital https://t.co/u1bFzEyCGO</t>
  </si>
  <si>
    <t>luchoveracruz
#grantcardone #ventas #vender #vendedor
#ventaonline #sales #insidesales
#vendermas #soyvendedor #comunidadsoyvendedor
#motivacion #vendesporquevendes
#empresas #empresa #negocios #emprendimiento
#motivacion #venderesayudar #elmomentoesahora
#siempreeshoy #invierte https://t.co/9HM71XYMxL</t>
  </si>
  <si>
    <t>luizrocca_
Clube das 5:30 da manhã. Não porque
os outros dizem fazer mas porque
o dever nos chama! #clubedas5 #vendedor</t>
  </si>
  <si>
    <t>novaeraestrateg
📣 Novo Podcast! "Desligue o Piloto
Automático na sua Empresa" no @Spreaker
#atendermelhor #atendimentoaocliente
#comercial #comoatendermelhor #comovendermais
#live #melhoraroatencimento #vendermais
https://t.co/NuriFlB2sR</t>
  </si>
  <si>
    <t xml:space="preserve">spreaker
</t>
  </si>
  <si>
    <t>andreassaallan
Um motorista vendedor que cumpria
jornadas de trabalho superiores
a 13h diárias e mais de 75h semanais
deverá receber indenização por
dano moral existencial... Fonte:
TRT-RS #direitosindical #sindicato
#advogadotrabalhista #vendedor
#motorista https://t.co/Sa4Z6RIZzf</t>
  </si>
  <si>
    <t>diarioudi
MERCADO DE TRABALHO Decathlon prevê
abertura da primeira loja da marca
na cidade em junho; veja como se
candidatar. #uberlandia #emprego
#mercadodetrabalho #declathon #vagas
#vendedor #empregouberlandia https://t.co/OEancNO0dC</t>
  </si>
  <si>
    <t>elfocoinforma
#FocoInformativo || Sucesos ➡️
Capturan a vendedor de drogas en
Sabaneta #6marzo #capturan #Vendedor
#Drogas #sabaneta #Maracaibo #Venezuela
#Cpez https://t.co/ERoSfDeFAd</t>
  </si>
  <si>
    <t>juan41195
RT @Torcadul: ⚠ ¡OFERTA DE TRABAJO!
✅ Experiencia en el sector de dulces
✅ Disponibilidad de lunes a domingo
✅ Campaña navideña Envía tu…</t>
  </si>
  <si>
    <t>torcadul
⚠ ¡OFERTA DE TRABAJO! ✅ Experiencia
en el sector de dulces ✅ Disponibilidad
de lunes a domingo ✅ Campaña navideña
Envía tu CV a rrhh@torcadul.com
#TrabajoDulce #NavidadEnFábrica
#Empleo #DulcesYEmpleo #Ofertadetrabajo
#Antequera #Vendedor #Navidad https://t.co/ppcmRunOVv</t>
  </si>
  <si>
    <t>ivangzg
🚶🏾‍♂️ ¿Hacia dónde creéis que
transita el vendedor/a en la actualidad?
🤯¿Conocéis algún vendedor de "mente
rígida"? #vendedor #comercial #gestión
#comercial de #ventas #certificado
de #profesionalidad https://t.co/yuqey0AZBg</t>
  </si>
  <si>
    <t>snepueblaofi
🔸 ¡Atención #Tehuacán! Conoce
la #vacante regional del día. ➡️Oficinas
Centrales: 222 232 55 13 ➡️CIS
Angelópolis: 222 303 46 00 Ext.
292140 ➡️Unidad Regional Tehuacán:
222 303 46 00 Ext. 6330 y 6328
📧 bolsa.trabajo@puebla.gob.mx
#Tehuacán #Chofer #Vendedor #Puebla
https://t.co/lrV5XDRCT5</t>
  </si>
  <si>
    <t>paredonpaterna
🗓️ 18 de enero de 1940 👉🏼 José
Esteve Gimeno, 44 años, #vendedor
ambulante, de #Manises ☠️ ASESINADO
por #Franco en 'El Terrer' de #Paterna
#MemoriaHistórica</t>
  </si>
  <si>
    <t>manuarias_c
📣 Nuevo Podcast! "Inmopodcast
30 - Qué es una MLS" en @Spreaker
#agentesinmobiliarios #bienesraices
#comprador #exclusiva #inmobiliaria
#inquilino #mls #propietario #realestate
#realtors #vendedor https://t.co/xBu5YmOnvj</t>
  </si>
  <si>
    <t>danielnobregao
Ser #Vendedor https://t.co/wpfrjBcbBs</t>
  </si>
  <si>
    <t>lajornadaonline
#DíaEnImágenes Un #vendedor de
dulces aguarda clientes mientras
su #perro descansa sobre un colchón,
en Paseo de la Reforma, #CDMX.
Foto: Luis Castillo https://t.co/FVGOADmCTB</t>
  </si>
  <si>
    <t>palmaparafusos
Os vendedores da Palma são implacáveis
quando o assunto é solucionar os
problemas, dúvidas e também pra
fazer aquele marketing bacana,
né?!🤩 Então, vem pra Palma e hasta
la vista baby! 😎 #venda #napalmatem
#vendedor #hastalavistababy #meme
#meta #bomhumor #recife #cabo https://t.co/2nu5iW3c6I</t>
  </si>
  <si>
    <t>noemi_12mmo
@Pablokosiner @NacionalSalta Ud
fué el mentor de estos movimientos,
vive armando coaliciones alianzas
y lo único que logran es ubicar
alguna bendición en un cargo de
asesor en planta permanente dentro
del gobierno o poder judicial Sr
basta del cuento Ud nunca será
salvador es un simple oportunista
#Vendedor</t>
  </si>
  <si>
    <t xml:space="preserve">nacionalsalta
</t>
  </si>
  <si>
    <t xml:space="preserve">pablokosiner
</t>
  </si>
  <si>
    <t>empleadorserial
Volvimos! Después de un receso
por diferentes motivos, acá estamos
En mi tierra natal #lomasdelmirador,
te están buscando: #vendedoresdesalon
#vendedor #redes en Lomas Del Mirador,
Buenos Aires, Argentina https://t.co/C6k2DFeWds</t>
  </si>
  <si>
    <t xml:space="preserve">mostazaok
</t>
  </si>
  <si>
    <t>transdoctrabajo
#Guatemala #empleos GRUPO LC #VENDEDOR
MULTIMARCA (VEHICULO) CIUDAD CAPITAL-
1 de todas las plazas publicadas.
Aplica👉https://t.co/9R1FTs1k7o
El proceso es directo con el reclutador
de cada empresa. https://t.co/HEBwp8mKAy</t>
  </si>
  <si>
    <t>azojca
Traçamos a estratégia certa para
decolar seu negócio. Quer vender
mais??? Fale conosco!!! . . . .
#trafegopago #trafego #trafegopagoads
#trafegopagofacebook #trafegoparanegocioslocais
#trafegopagoinstagram #vendermais
https://t.co/1O2C5OvhoX</t>
  </si>
  <si>
    <t>erpsolmex
Oracle Sales es una herramienta
más de Oracle CX puedes obtener
muchos beneficios al implementar
esta solución. Visita nuestro sitio
web: https://t.co/5VcQKSIqE5 Y
contáctanos: 5530980398 #vendedor
#historia #historiadeexito #sales
#software #cx #oracle https://t.co/f5MhQqDUEB</t>
  </si>
  <si>
    <t>mercedesnuru
📣 Oportunidad de Empleo: Se necesita
Vendedores/as para verano en CC
Miramar de Fuengirola, jornada
de 20 horas. #Oportunidad #EMPLEO
#Trabajo #Fuengirola #Mijas #Málaga
#Vendedor@s #CCMiramar Echa un
vistazo a este empleo en Rituals:
https://t.co/OXL0RqPqDu</t>
  </si>
  <si>
    <t>frameticket
A utilização de um sistema inteligente
de gestão de ingressos e controle
de acesso é primordial para o sucesso
do negócio. Acesse o link do blog:
https://t.co/BPNXuqT1ry #controledevendas
#vendermais #relatorios #frameticket
#plataformadevendas #gestãointeligente
#sucesso https://t.co/aLwDIuketP</t>
  </si>
  <si>
    <t>calzatodos
¡Como cuando te toca el vendedor
intenso! 😁👟✅ #ecuador #calzado
#vendedor #humor https://t.co/qQONTDb18A</t>
  </si>
  <si>
    <t>destino_em_maos
Marca aqui uma pessoa que você
acha que precisa ver esse post!
💚 #vendas #MEI #canela #cravosdaindia
#noz #boasvibrações #boasenergias
#baralhocigano #tarotdabruxa #oráculodadeusa
#tarotbrasil #leiturasbrasil #rj
#riodejaneiro #autonomo #vendedora
#vendedor #conselho #lua</t>
  </si>
  <si>
    <t>maround_sports
Hoy repasamos con @angelesantiago
los 4 acuerdos a los que llegas
contigo mismo para ser mejor comunicador,
mejor vendedor. Entra aquí para
conocer más: https://t.co/6kW6Mvggot
#ventas #liderazgo #cliente #actitud
#comunicador #vendedor #producto
https://t.co/MN9uv7E2NK</t>
  </si>
  <si>
    <t xml:space="preserve">angelesantiago
</t>
  </si>
  <si>
    <t>adrianod_rafael
Como andam suas vendas? #vendas
#oportunidade #inovacao #vendedor
https://t.co/YKB6426zvA</t>
  </si>
  <si>
    <t>desdela3cuerda
Rafael Beltrán es uno de los primeros
vendedores de máscaras, si aún
no ha escuchado su historia acá
dejó el link 🤼‍♂️👊🏽💥 &amp;gt; https://t.co/wvAg5IPnod
. . . . #ArteyLuchaLibre #LuchayArte
#Luchalibremexicana #LuchaLibre
#Lucha #mascarero #Vendedor #México
#DL3C #podcast https://t.co/HRybxArMcp</t>
  </si>
  <si>
    <t>reserva_isadora
🚨 LIQUIDAÇÃO RESERVA 🚨 40% OFF
+ DESCONTO EXTRA Use os cupons
e aproveite!! Cupom de vendedora:
RSV4576 Cupom de desconto: SAUDADE20
🔗 https://t.co/0wPbT25e7G #promocao
#CupomDeDesconto #reserva #cupomreserva
#roupamasculina #reservacupom #vendedor
https://t.co/pOOt1ZBtHP</t>
  </si>
  <si>
    <t>markusdesigner
#vagas #projetista #vendedor #pinheiros
https://t.co/IQh4UftrOa</t>
  </si>
  <si>
    <t>mislenetbrito
Essas sãos apenas algumas das dicas
que podem ajudar a crescer nas
vendas onlines. Me siga para mais
dicas! . . . #MISBRITO #gestoradetrafego
#subida #dicas #vendas #vendermais
#empreender #online #AhazouVendas
https://t.co/yPhCUBBmfg</t>
  </si>
  <si>
    <t>edultimalinea
Hoy sale a la venta el #libro que
te ayudará a ser el mejor #vendedor
Disponible en @todostuslibros_
@cegal @libreriasl @LibreriasLAC
@LibreriasLt @libreriasdezgz https://t.co/vnVTo02PHi
https://t.co/MHsqF9f5IR</t>
  </si>
  <si>
    <t xml:space="preserve">libreriasdezgz
</t>
  </si>
  <si>
    <t xml:space="preserve">libreriaslt
</t>
  </si>
  <si>
    <t xml:space="preserve">libreriaslac
</t>
  </si>
  <si>
    <t xml:space="preserve">libreriasl
</t>
  </si>
  <si>
    <t xml:space="preserve">cegal
</t>
  </si>
  <si>
    <t xml:space="preserve">todostuslibros_
</t>
  </si>
  <si>
    <t>joaormilanezi
Técnica aplicada na venda de refrigerantes,
mas contém uma técnica muito interessante.
Aposto que você não sabia😉 #vendas
#tecnicas #vendedor #sucesso https://t.co/tITMordsaO</t>
  </si>
  <si>
    <t>mpmsoftware
Estos últimos tiempos tan revueltos
requieren nuevas formas de trabajar.
Para evitar perder cuota de #mercado
y afianzar la relación con los
#clientes, aquí te dejamos algunos
consejos que todo buen #vendedor
debe poner en práctica. https://t.co/fIHDnmoAWi
#correduriainteligente https://t.co/8WzlFHbEj4</t>
  </si>
  <si>
    <t>rogermar
💲 COMO VENDER MAIS COM INTELIGÊNCIA
EMOCIONAL 🧠 Informações: ➡️ https://t.co/4zNrjLYXj2
⭐ ⭐ ⭐ #palestraonline #vendas #vendermais
#vendamais #palestra #inteligenciaemocional
#palestranterogeriomartins</t>
  </si>
  <si>
    <t>umancolombia
!Estamos en búsqueda del mejor
talento¡ puedes postularte enviando
tu Hoja de Vida al correo: estefania.prieto@weareuman.com
#trabajo #trabajaconnosotros #trabajosihay
#busquedalaboral #FelizJuevesATodos
#empleo #vendedor #aeropuerto #empleobogota
https://t.co/80J1ZwYo6N</t>
  </si>
  <si>
    <t>zorbash
Usando culturas milenarias para
vender #Vendedor https://t.co/nHT5jdoOHu</t>
  </si>
  <si>
    <t>nicolassalesadv
Nenhuma loja física é obriga a
trocar produto, exceto em caso
de defeito! #roupa #troca #cliente
#direitodoconsumidor #festa #aniversario
#vendedor https://t.co/8INvHPgD4K</t>
  </si>
  <si>
    <t>alexbru65408321
1. ¡No te pierdas nuestro último
catálogo de #Hiroshima! ¡La mejor
selección de productos para todos
tus proyectos de ventas! #Vendedor
- via https://t.co/kK15qu2m6E</t>
  </si>
  <si>
    <t>canalfs0ciety
#SamirNews: VENDEDOR DO MERCADOLIVRE
É HACKEADO E GOLPISTAS FATURAM
R$300 MIL https://t.co/WYIggFBrSP
#bolhadev # #vendedor #do #mercadolivre
#é #hackeado #e #golpistas #faturam
#r$300 #mil</t>
  </si>
  <si>
    <t>lado_mx
#Vendedor: &amp;amp;#92'Canelo&amp;amp;#92'
Álvarez recuerda el día en que
lo quisieron secuestrar. https://t.co/pvV6Ve27Zt</t>
  </si>
  <si>
    <t>dudiinhass
@bezudo_ #vendedor</t>
  </si>
  <si>
    <t>leomigdal
🌎👨🏻‍💻Los datos tienen la gran
ventaja de ahorrarle a los vendedores
tiempo y energia, así como hacer
que su negocio sea más rentable
🤑 #ventas #vendedor #tipsdeventas
#negocios #vendedores</t>
  </si>
  <si>
    <t>pmurphy_ar
Oportunidad Laboral: VENDEDOR INDUSTRIAL
INTERNO Ciudad de Córdoba https://t.co/YTH0WeBDT3
#industria #ventas #comercial #cliente
#vendedor #comercializacion #Cordoba
#Trabajo #empleo #TrabajoAr #OportunidadLaboral
https://t.co/ZJ8pUCUJ9M</t>
  </si>
  <si>
    <t>odylarios
🔴En la carretera a Oaxaca, en
#Izúcar de Matamoros, a un costado
de la #gasolinera⛽ de Antorcha
Campesina, un #vendedor de autos🚗
fue ejecutado de 5 #balazos🔫.
El occiso solo está identificado
como Adalberto N. https://t.co/mAdOMFgKSv</t>
  </si>
  <si>
    <t>mactredxc
BÚSQUEDA LABORAL PARA JUNIN, BUENOS
AIRES. POSTULATE! TE ESTAMOS BUSCANDO!
SOMOS MACTRE CONSULTORA #vendedor
#redactor #secretaria #desarrolladordeventos
https://t.co/U73Tx3GNaM</t>
  </si>
  <si>
    <t>calltocall
Fiquei para trás: como posso vender
mais? https://t.co/mQHqJU3mXp #vendermais
@abcommbrasil</t>
  </si>
  <si>
    <t xml:space="preserve">abcommbrasil
</t>
  </si>
  <si>
    <t>aosamit
ME ABURRIERON LOS WEONES DE @tumundo_cl...
algun #captador, #vendedor o #trabajador
de @MovistarChile para cambiarme
de compañia???</t>
  </si>
  <si>
    <t xml:space="preserve">tumundo_cl
</t>
  </si>
  <si>
    <t xml:space="preserve">movistarchile
</t>
  </si>
  <si>
    <t>gomusic29513980
#venderarte ,#vender #vendas #vendasonline
#vendasonlineparatodobrasil #vendas
#vendedor #vndedordigital | Instagram
https://t.co/kEhCrJUBre via @pinterest</t>
  </si>
  <si>
    <t xml:space="preserve">pinterest
</t>
  </si>
  <si>
    <t>zspindula
Criatividade: a chave para o sucesso
de qualquer negócio. Seja nas vendas,
no trato com os clientes, faça
diferente e INOVE! #vendas #vendedor
#representante #representantes
#zuleir #tyrculsultoria #mentor
#consultoria #empreendedorismo
#empreender #reflexao #reflexão
https://t.co/ou7Jd2mFo0</t>
  </si>
  <si>
    <t>jaimegarmar_
Soy #vendedor desde hace más años
que la tana y me las he visto de
mil colores. He sufrido colon irritable
durante 2 años a causa de estrés
del día a día con clientes en mis
inicios como #comercial "de cosas"
(de todo)... 🧵👇</t>
  </si>
  <si>
    <t>juanarizaruiz
Las escusas, las justificaciones...
los famosos "es que..." #liderazgo
#autoliderazgo #desarrolloprofesional
#mejoracontinua #crecimiento #credibilidad
#profesionalidad #metas #ventas
#objetivos #meritocracia #futuro
#presente #pymes #vendedor #equipo
https://t.co/4tR55wUMRP</t>
  </si>
  <si>
    <t>jxcabrer
@LeoPiccioli Cuál de todos, he
sido #vendedor, #chófer, #cocinero
, #PINTOR , #guardia, #aseo, #electricista,
#profesor #musico y hasta #político
😅, todo para llegar hasta lo que
más me gusta #Arquitetura</t>
  </si>
  <si>
    <t xml:space="preserve">leopiccioli
</t>
  </si>
  <si>
    <t>marciavalria15
Ele comprou o produto com defeito
por 50 reais e depois que consertou
o vendedor pediu o produto de volta
kkk #TikTok #mercadolivre #vendedor
https://t.co/0U5QgQD7bJ</t>
  </si>
  <si>
    <t>clientelacrm
Vendedor Externo e Interno: Você
conhece as diferenças? #vendas
#vendasconsultivas #vendasb2b #representantecomercial
#processocomercial #vendedor https://t.co/XwULe4Z9dj</t>
  </si>
  <si>
    <t>portidaniel
RT @portavisa: El vendedor efectivo
con su cliente.👀🤓👍 . . . #ventas
#vendedor #portavisa https://t.co/vS1NMddecT</t>
  </si>
  <si>
    <t>portavisa
El secreto de un buen vendedor.👀🤓👍
. . . #ventas #vendedor #portavisa
https://t.co/nFgeJbcqZp</t>
  </si>
  <si>
    <t>fmdlog
Adoro trabalhar com venda 🫠… Tenho
a melhor equipe 🫠 Tudo lindo ….
#vendedor #MoonlightChicken #Turkey</t>
  </si>
  <si>
    <t>zcmayoristas
Estamos en la búsqueda de Ejecutivo
de Ventas – Matriz Guayaquil (2
vacantes) Para postular ingrese
al siguiente link: https://t.co/G5rQj6d5fm
#ZCMayoristas #TodosSomosZC #Empleo
#BolsaDeTrabajo #Ventas #Vendedor
https://t.co/uN4RFs9N49</t>
  </si>
  <si>
    <t>rrsolucdigitais
Faça a diferença! Form7! #lucro
#vendermais #maisvendas #vendas
#leads #clientes #dinheiro #maisclientes
#vender https://t.co/XszrscW4g2</t>
  </si>
  <si>
    <t>callhimrog
El vendedor tiene horario. Pero
si le encanta lo hace todo el tiempo.
El negociante; es negociante en
el trabajo y en cada minutos de
su vida. Un emprendedor no tiene
horario. Un emprendedor real no
tiene un segundo de descanso! #emprendedor
#Entrevista #vendedor</t>
  </si>
  <si>
    <t>acovedi
La #VentaDirecta es un modo de
vida, que implica un comportamiento
ético, cívico y socialmente responsable.
Es una actividad lúdica y creativa,
donde el elemento activo es el
#vendedor y su principal instrumento
de trabajo es el #catálogo. https://t.co/Z04BPbXGOT</t>
  </si>
  <si>
    <t>grandemomento_
Cada doença pertence a um doente.
Cada doente tem uma mente. Cada
mente é um universo infinito. do
livro O Vendedor de Sonhos #augustocury
#augusto #cury #cada #doente #mente
#doena #pertence #universo #infinito
#livro #vendedor #sonhos @augustocury
https://t.co/2JK9tCJRrL</t>
  </si>
  <si>
    <t xml:space="preserve">augustocury
</t>
  </si>
  <si>
    <t>deinformal
Exigen justicia por la muerte de
Don Juanito, el vendedor de paletas
que atropelló la Ruta 13.🧐🧐🧐👉👉👉https://t.co/AGnfohPaKa
#Vendedor #Accidente https://t.co/rbABbAeVys</t>
  </si>
  <si>
    <t>vavaarthur
#vendedor</t>
  </si>
  <si>
    <t>talentoverdeco
⚠️Encuentra los detalles de ésta
oferta de #EmpleoVerde en: https://t.co/33XpCQRhik
🌱#EmpleaVerde @twoglasscol #SostenibilidadAmbiental
#DesarrolloSostenible #FuturoV
#trabajosíhay #Buscoempleo #vendedor
#freelance #economiacircular♻️</t>
  </si>
  <si>
    <t>meetlineup
Que tus clientes confíen en ti
es tu mejor asset siendo abogado.
Que confíen lo suficiente en ti
para ayudarlos a tomar las decisiones
difíciles que igual tienen miedo
de tomar 🤝. Todos los tips de
Santiago en el siguiente enlace
https://t.co/DWpdaKmMBz #DealClosers
#Vendedor https://t.co/1v51tRcWPC</t>
  </si>
  <si>
    <t>calfermx
#vacantes cubiertas: #almacen #chofer
. Gracias por postularte. Seguimos
#estamoscontratando #auxiliarcontable
#intendencia #vendedor Informes
reclutamiento@calfer.com.mx rhumanos@calfer.com.mx
Tel. 5550781200 Cel. 5548302991
https://t.co/WI5lfbHJb2</t>
  </si>
  <si>
    <t>mooreecuador
#OportunidadLaboral 📣📣 Ciudad: #Guayaquil
Cargo: VENDEDOR CANAL TRADICIONAL
Envía tu cv a: echavez@moore.ec
. . . #vendedor #ventas #ofertasdetrabajo
https://t.co/ICmIcDHY6T</t>
  </si>
  <si>
    <t>el_diariomx
#ElDiarioViral Todo inició cuando
el tiktoker se le acercó al hombre
vendedor de fruta, quien estaba
con su hijo, y les preguntó sobre
si en algún momento habían entrado
al lugar de diversiones #Disneylandia
#Vendedor 😮👉👉 ‼️ENTÉRATE AQUÍ:
⤵️⤵️ https://t.co/TnRawwrmA4</t>
  </si>
  <si>
    <t>adrianabacic
O pior atendimento é aquele que
subestima seu colega, seu concorrente
e até seu cliente. #cliente #atendimento
#relacionamento #pósvenda #vendedor</t>
  </si>
  <si>
    <t>expopublicitas_
#Quote #PublicitasTalks del #libro
"El Manual del #Vendedor Institucional":
Cómo llevar a cabo un Proceso de
#Venta #B2B Exitoso. #salesprofs
https://t.co/NjCtzDTMLs</t>
  </si>
  <si>
    <t>editor_platense
Murió un vendedor ambulante atropellado
en Tolosa #laplata #muerte #vendedor
https://t.co/Fyhqs3cxA0</t>
  </si>
  <si>
    <t>henriquesbno
Estou otimizando as campanhas do
#GoogleAds da @Elogiou, como de
costume todo domingo. A quantidade
de palavras chaves que eu removi
do tipo: (Simpatia, Mandinga, Trabalho,
Oração, Arquétipo, Reza) atrelado
a #vendermais, não tá escrito.
Brasileiro busca muito atalho,
pqp 😂</t>
  </si>
  <si>
    <t xml:space="preserve">elogiou
</t>
  </si>
  <si>
    <t>pratiscrm
Um bom CRM - intuitivo, prático
e pensado para o seu negócio -
oferece mais poder gerencial ao
líder de vendas, auxilia na gestão
de tempo e aumenta o ticket médio
de clientes ativos. #vendas #equipe
#b2b #líder #industria #vendasb2b
#vendedor #EquipeDeVendas #empreendedor
https://t.co/mmEKZyrKdn</t>
  </si>
  <si>
    <t>regionnet_ar
PROGRAMA DE FORMACIÓN PARA VENDEDORES
🛍️ AEGD 👉🏼 Vendedor Profesional
con orientación en Alimentos. 👉🏼
Vendedor Profesional con orientación
en Productos. ___ 📱 #RegionNET
| @RegionNET_ar 💻 https://t.co/ViCf1kkGYv
#vendedor #curso #taller #aegd
#generaldeheza #formacion https://t.co/CgMpA5mDUz</t>
  </si>
  <si>
    <t>perfilecuador
¿𝐂𝐎𝐌𝐎 𝐌𝐀𝐍𝐄𝐉𝐀𝐑 𝐋𝐀𝐒
𝐎𝐁𝐉𝐄𝐂𝐈𝐎𝐍𝐄𝐒 𝐃𝐄 𝐕𝐄𝐍𝐓𝐀𝐒
𝐃𝐄𝐋 𝐂𝐋𝐈𝐄𝐍𝐓𝐄? 𝗜𝗻𝗴𝗿𝗲𝘀𝗮
𝗮𝗹 𝗲𝗻𝗹𝗮𝗰𝗲 👉 👉 https://t.co/a19DClyChe
#objeciones #ventas #exito #vendedor
#profesional #vendedor https://t.co/huxQVKOOqb</t>
  </si>
  <si>
    <t>meionorte
O Ministério Público requereu a
homologação da prisão e a concessão
da liberdade provisória, mediante
a aplicação de medidas cautelares.
https://t.co/UQTWtJ6d2k #teresinense
#vendedor #macaco #teresinense
#presa #bahia</t>
  </si>
  <si>
    <t>jlatencio
Qué es ser un #vendedor? Mira lo
que dice #Victorkuppers https://t.co/mXknpqysWc</t>
  </si>
  <si>
    <t>laucierigomez
"A los 41 años y con experiencia
en ventas, busco trabajo #freelance
como vendedor. Si necesitas alguien
con habilidades de comunicación
y ventas, ¡contáctame! #trabajo
#ventas #oportunidad #vendedor
#freelance"</t>
  </si>
  <si>
    <t>tetransformamos
En las #ventas hay que adaptarse
al cliente y a sus necesidades…
Debes ser como los actores… Sé
tu mismo pero adáptate… #vender
#vendedor #vendedores #clients
https://t.co/r1jCleuloa</t>
  </si>
  <si>
    <t>nicolsproorg
La vida es cómo es... y quien lo
dice: ¡polloooo! #pollo #polloorganico
#orgánico #miércoles #tendencias
#ventas #vendedor #emprendedor
https://t.co/Ej92MBK9L1</t>
  </si>
  <si>
    <t>claudia_ardon
RT @portavisa: El vendedor efectivo
con su cliente.👀🤓👍 . . . #ventas
#vendedor #portavisa https://t.co/vS1NMddecT</t>
  </si>
  <si>
    <t>roberto_vilela
Vender é algo relativamente simples,
mas exige do profissional algumas
habilidades, OUVIR, certamente
é uma das importantes! #mercado
#brasil #vendas #negócios #hábitos
#comportamento #empreendedorismo
#vendedor #conexões #orobertovilelaoficial
https://t.co/vVU3JLUpSg</t>
  </si>
  <si>
    <t>joven360
📍📍📍Aplica aquí ➡️ https://t.co/fjcWCTXoIT
🌐 #Vendedor #upervisor #Empleo
#EmpleoSV #Contratando #BuscoEmpleo
#Joven360 #ElSalvador</t>
  </si>
  <si>
    <t>jg_humanr
Vacantes del día! #vacantes #panama
#laborales #correo #contrataciones
#contactos #empleo #profesional
#crecimientoprofesional #oportunidadeslaborales
#capitalhumano #secretaria #vendedor
#automotriz #capataz #ingeniero
https://t.co/JcKlN4jMY1</t>
  </si>
  <si>
    <t>clauromorh231
✔️ Te gustan las ventas y el servicio
al cliente? ✔️ Estás en busca de
empleo? SEARS ALTARIA, solicita
Vendedores (as) para el departamento
de CABALLEROS. #VacanteLaboral
#OfertaDeEmpleo #Sears #VacantesSears
#empleo #vacantes #Trabajo #vendedora
#vendedor #empleosaguascalientes
https://t.co/SpcGIaEklZ</t>
  </si>
  <si>
    <t>oevandroazevedo
Como vender mais, sem se matar
de trabalhar. #vendedora #varejo
#vendas #vender #vendermais https://t.co/abIEmXqxJA</t>
  </si>
  <si>
    <t>rhprojettar
Oportunidade de emprego para Anápolis
e Goiânia. Inicio imediato. #vagasdeemprego
#vagas #vendedor #Anápolis #Goiania
#emprego #auxiliardecozinha #domestica
#garçom #roupas #engenhariacivil
#engenharia #chefedefila #querovagas
#empregos https://t.co/VeC1f44fYl</t>
  </si>
  <si>
    <t>olemanocomunica
#Ole✋ Siguen la voces de solidaridad
y de tristeza, por el fallecimiento
de Pedro Elías Duarte, más conocido
como "Habitas", quien a sus 73
años y luego de meses con fuertes
reconocido vendedor quebrantos
de salud, dejó este mundo. #qepd
🙋‍♂️❌️😔 #Bucaramanga 🙋‍♂️ #Vendedor
😔 https://t.co/DMvlecVvPt</t>
  </si>
  <si>
    <t>gringodist
Aniversário do nosso menino! #vendedor
#misterparana https://t.co/7dKABYZfIc</t>
  </si>
  <si>
    <t>redesvisualesve
En #materiainmobiliaria cuando
das a conocer las bondades de una
zona en específico, le permites
al futuro #comprador decidir más
rápido y al #vendedor, poder mostrar
su #propiedad con las mejores cualidades.
🏡🔑 #urbanizacionesvenezuela #estrategiasocialmedia
https://t.co/SAG9ogU6W1</t>
  </si>
  <si>
    <t>tilsobataglia
Empreender Transforma! Vem ser
RE/MAX! #remax #carreira #vagas
#vendas #vendedor #corretor #corretordeimoveis
#corretordesucesso #corretoradeimoveis
#empreendedorismo #transicaodecarreira
https://t.co/v1EoWgl77a</t>
  </si>
  <si>
    <t>wautechnologies
🌳 «Hay que practicar el arte de
la paciencia, porque en la naturaleza
nada se hace apresuradamente.«
Og Mandino, en El #vendedor más
grande del mundo. 👉 Genera confianza
en tus #clientes https://t.co/s7pDdcnLce
#tecnologia #crm #comercial #growth
#erpcloud</t>
  </si>
  <si>
    <t>jgribbell
Buscamos #antofagasta #vendedor
https://t.co/eGrUykkK7r</t>
  </si>
  <si>
    <t>coachingcialcie
La suerte le llega a quien la busca,
no dejes de trabajar y buscar el
éxito 🔥💪🏻 . #coach #coaching
#coachingcomercial #coachdeventas
#coachingdeventas #vendedores #ventas
#negocios #aprende #ponencias #cursos
#vendedor #empresas #empresarios
#directordeventas #directorcomercial
https://t.co/yVJgkA7Fme</t>
  </si>
  <si>
    <t>helio_couto
📹Aula: "O PERFIL DO VENDEDOR DE
SUCESSO - PARTE 1"" 🔗 Assista
aqui: https://t.co/Rxbl3a7SFS #prosperidade
#sucesso #vendas #vendedordesucesso
#vender #vendedor #venda #perfil
#tecnicas #tecnicadevendas #tecnicasdevenda
#heliocouto #héliocouto https://t.co/gmPMGTR6VM</t>
  </si>
  <si>
    <t>mucaoaovivo
Marca aí aquele @ que deve comprar
essa pomada... . . . . . #mucão
#comedia #rir #humor #vendedor
#pomada #juazeirodonorte #pracapadrecicero
#videosengracados #mucaoaovivo
@tiagoanaao @joceliopaporeto @galocegoof
@gaalocego https://t.co/f613jAMGvn</t>
  </si>
  <si>
    <t xml:space="preserve">gaalocego
</t>
  </si>
  <si>
    <t xml:space="preserve">galocegoof
</t>
  </si>
  <si>
    <t>decalogooficial
#mx Mujer fulminada por rayo en
playa de Michoacán era de Guanajuato
y estaba casada 👇🏽 https://t.co/HG5mhqADTf…-y-estaba-casada/
#seguridad #inseguridad #muertos
#rayo #playa #matrimonio #accidente
#maruata #michoacán #vendedor #comerciante
#mujer #Decálogo https://t.co/82n9LiKgei</t>
  </si>
  <si>
    <t>porto_ba
CONQUISTE A CONFIANÇA DO SEU CLIENTE
COM A ESCUTA ATIVA. #vendas #vendedor
#marketing #negócios #business
https://t.co/sH1rt3VmBD</t>
  </si>
  <si>
    <t>nerimarmendes
A SUA forma de comunicação impacta
brutalmente no seu resultado. PARE
de ser chato e CAUSE VOLÚPIA. #nerimarmendes
#neuromarketing #marketing #vendas
#vendedor #sucesso #mentoria #empreendedorismo
#motivacao #treinamento #vitoria
#trafegopago #V+TSD #carreira https://t.co/j93VvMabpU</t>
  </si>
  <si>
    <t>amilcabogados
🌟🌟Muy satisfechos de conseguir
una #sentencia que #condena al
#vendedor a devolver a nuestro
cliente el dinero de 21.400 € pagado
por la compra de un #vehículo con
graves #viciosocultos 🎯 ☎️648634583☎️#España
#leonesp #consumidor https://t.co/IVzR7F8hSX
https://t.co/IPcAmXOvun</t>
  </si>
  <si>
    <t>alexkid18734651
Bora começa a segunda-feira! DEUS
abençoe a todos. #bebidas #cerveja
#promoção #vendedor #representantecomercial
#corretordebebidas #distribuidora
#adega #depositodebebidas https://t.co/Loqt1h7icv</t>
  </si>
  <si>
    <t>mondinthalles
📚 Live proibida em 27 Países https://t.co/LQFkIFg9dl
#vendas #vendedor #empreendedor
#caiocarneiro #joeljota https://t.co/8NpHRp9c6Q</t>
  </si>
  <si>
    <t>alucianio
#SUGA_AgustD_TOUR #viral #vendedor
#lucianioapvs #carros #protegidos
https://t.co/8X7PE28uRe</t>
  </si>
  <si>
    <t>luzpcg
#vendedor #Bucaramanga</t>
  </si>
  <si>
    <t>soyfelixrojasm
Puedes ser un muy buen vendedor
pero si no sabes nada acerca del
dinero entonces seguirás siendo
solo un muy buen vendedor #ventas
#EducacionFinanciera #vendedor</t>
  </si>
  <si>
    <t>diseniocapacita
VENDER. #Vender no es un asunto
de insistencia o persistencia.
Esos conceptos, son erróneos y
al practicarlos y no obtener los
resultados esperados, el #Vendedor
queda desconcertado Capacitar correctamente
es misión de la #PymesUnidas https://t.co/E7hVUG2F1d</t>
  </si>
  <si>
    <t>vagassa
Fruki Bebidas está várias oportunidades
em Canoas e Lajeado. Confira https://t.co/cwRBx7S4PF
#empresas #oportunidades #vaga
#vagas #vagassa #oportunidades
#empresas #vaga #oportunidades
#empregos #oportunidadedeemprego
#vagasdeemprego #fruki #auxiliardeprodução
#vendedor https://t.co/5ZZMVO9g7J</t>
  </si>
  <si>
    <t>asvtech
Você já conheceu sobre nossa sede
de Blumenau mas conhece todos os
serviços da nossa sede de Brusque?
Venha conferir todas nossas soluções!
Entre em contato e descubra mais!
#asv #tecnologia #sistemas #consultoria
#erp #bi #portaldovendedor #vendedor
#forçadevendas #gestão https://t.co/jEPjqVU4QL</t>
  </si>
  <si>
    <t>tobiasbrosas
Ser vendedor profissional é o ato
de estabelecer tarefas e aceitar
os “nãos” de forma receptiva! Foco
e determinação são ótimos atributos
da profissão! Você que tá querendo
trabalhar, vá vender algo e se
surpreenda!!! #vendedor</t>
  </si>
  <si>
    <t>visaooeste
PAT Santana de Parnaíba realiza
processo seletivo para auxiliar
de logística e vendedor nesta quarta-feira
(30) #AuxiliarDeLogística #PiraporaDoBomJesus
#ProcessoSeletivo #SantanaDeParnaíba
#vagas #vendedor https://t.co/uVEQt18KZJ</t>
  </si>
  <si>
    <t>nalvesadvocacia
Gostou desse conteúdo?! Envie para
uma empresária do ramo de loja
infanto juvenil! #maternidade #mãe
#filho #filha #criança #emprego
#vendedor #vendedora #vendas #empatia
#cliente #rh #trabalho #contrato
#documento #responsabilidade #advogado
#escritório #contrato #justiça
https://t.co/MPuSITQoRU</t>
  </si>
  <si>
    <t>moblescanbarato
Por ampliación de plantilla, buscamos
vendedor de muebles, preferiblemente
con experiencia: https://t.co/ApSSLCYQ6t
#empleo #vendedor #muebles #Mallorca
#Palma #moblescanbarato #jobs #hiring</t>
  </si>
  <si>
    <t>mendozantigua
Vendedor callejero ofreciendo al
público interesado un novedoso
tónico contra la caspa. 1918. #vendedor
#caspa #mendozantigua https://t.co/5ljKyACbuT
https://t.co/gv54CfxX88</t>
  </si>
  <si>
    <t>aperfin
Qué es un buen #vendedor #picoftheday
#trendingvideo #formula1 #ventas
#ventasonline https://t.co/5aeTB2bvuy</t>
  </si>
  <si>
    <t>vtgsolar
📍 Conheça um pouco do nosso Sócio
/ Vendedor Guilherme Francisco
! @fran.guii Obrigado por fazer
a VTG SOLAR caminhar 👏🏼 . . .
. #energiasolar #vendedor #arquitetura
#imóveis https://t.co/bDQbpc7IMO</t>
  </si>
  <si>
    <t xml:space="preserve">fran
</t>
  </si>
  <si>
    <t>empleocerca
🔎 Importante Mayorista se encuentra
en la búsqueda de Vendedores/ Preventistas
para la zona de Luján/ Rodríguez.
Si te interesa, no dudes en postularte
adjuntando tu CV con foto ingresando
en este enlace 📲 https://t.co/HyEc0SRS3x
#EmpleoCerca #Luján #OfertaLaboral
#Vendedor https://t.co/6klz5gyOuA</t>
  </si>
  <si>
    <t>diariodoestado
Em Santa Helena de Goiás, homem
furta carro após fazer test-drive
https://t.co/ZdcrMtYNkb #furto
#carro #testdrive #vendedor #goiás
https://t.co/q4LUIdvPNL</t>
  </si>
  <si>
    <t>gisellejacome
Muerte de #migrantes en costas
de #Italia. #ArabiaSaudita dona
400 millones de $ a #Ucrania. En
#Mexico protestan contra #AMLO.
#China mayor #vendedor de #armas.
#Ecuador comisaria #UE se reune
con @LassoGuillermo #26Febrero
#27Feb #noticiasrapidasec #noticias
#ULTIMAHORA https://t.co/1ZlWTakZ7y</t>
  </si>
  <si>
    <t xml:space="preserve">lassoguillermo
</t>
  </si>
  <si>
    <t>cidorodrigues
Sem clareza do papel do vendedor
todos perdem: o vendedor, a empresa
e o cliente que não tem a solução
que poderia resolver o problema
dele. #businesscoach #vendasb2b
#estrategia #vendedor#negocioefetivo
#Oportunidade 🚀🚀🚀 https://t.co/3YkZ6jIP78</t>
  </si>
  <si>
    <t>treinadoralexis
Vendedor, gestor e empreendedor,
quando você decide não investir
em si, você está fazendo uma escolha
consciente que limitará seus ganhos
e seu crescimento. #vendas #vendedor
#investimento #desenvolvimento
#desenvolvimentopessoal #treinamento</t>
  </si>
  <si>
    <t>agenciaguiase
SMART é a sigla em inglês para:
Specific (Específico), Measurable
(Mensurável), Achievable (Alcançável),
Realistic (Realista) e Time based
(Temporal). 🎯 #guiase #smart #metas
#objetivos #vendas #empreendedorismo
#vendermais #marketing #marketingdigital
https://t.co/AHUqDvsZNn</t>
  </si>
  <si>
    <t>applejuicejayy
“THEY CALL ME PALETERO MAN.” ❤️‍🔥
#paletero #paleteroman #streetvendor
#vendedor #poem #poetry #poems
#song #songwriter #tejuino #musical
#musicaltheatre https://t.co/IGKvOATW42</t>
  </si>
  <si>
    <t>agnesrh
Ass. Vendas em Indústria no CIC/Curitiba,
boa remuneração e somente de 2ª
a 6ª feira. Cadastre-se: https://t.co/ffXFP81IIX
e participe! #vagas #vagascuritiba
#dicaagnesrh #vendas #vendedor
#comercial https://t.co/ObO53ALJeo</t>
  </si>
  <si>
    <t>montparnassemx
📣📣📣 Tú puedes ser parte de la
pastelería más familiar de México.
Por crecimiento tenemos vacantes
de VENDEDORA disponibles. Si vives
cerca de la sucursal mencionada
por favor contáctanos vía Whatsapp.
#Montparlover #empleo #ventas #vendedor
#pastel #ÚneteALaFamilia https://t.co/WxA98rWMHN</t>
  </si>
  <si>
    <t>roberto_j_parra
#trabajosihay si eres apasionado
(a) por las ventas y te gusta trabajar
en equipo esta puede ser tu oportunidad..
https://t.co/Hf4YP4JA70 #trabajobogota
#vendedor #ventas https://t.co/dqut0oxPdu</t>
  </si>
  <si>
    <t>rrecrutadora
#Vaga #Vendedor #B2B #Prospeccoes
Envie seu currículo: 💻 https://t.co/OQnsJJzpFS
📧 curriculos.recrutadora@gmail.com
📍 Rua 14, 1462 - entre Avs 6 e
8 - Santa Cruz - Rio Claro/SP #compartilhe
#marque #recrutadora #curriculo
#vaga #emprego #rioclaro https://t.co/HDjuNrPbjv</t>
  </si>
  <si>
    <t>thelogisticswd
🛍 ¿Cómo encontrar a los mejores
vendedores en la industria logística
de México? Descubre las características
que se deben buscar en un Ejecutivo
Comercial para asegurar sus resultados
👉 https://t.co/baYmpghW2r #thelogisticsworld
#talentohumano #vendedor #ejecutivocomercial
https://t.co/a91QFo5EJ3</t>
  </si>
  <si>
    <t>ovationamericas
¿Cuáles son los beneficios de la
debida diligencia? /vía @CyberSecurityES
#debidadiligencia #tipos #Leyes
#Comprador #Vendedor #osint https://t.co/dUN3fBjC69</t>
  </si>
  <si>
    <t>cybersecurityes
¿Cuáles son los beneficios de la
debida diligencia? #debidadiligencia
#tipos #Leyes #Comprador #Vendedor
https://t.co/djqR5OR5uM</t>
  </si>
  <si>
    <t>grupotsalach
¿Aceptarse o resignarse?🤨 #Sales
#RealEstate #MartaMarci #Ventas
#Vendedor #WomenEmpowerment #WomenInBusiness
https://t.co/ApoFEo19zx</t>
  </si>
  <si>
    <t>tneaar
⚫🔴 #POSADAS - #VENDEDOR DE #DISTRIBUCIÓN
para Importante empresa de la región
👉 Enviar CV a: 📧 agenciarrhhps@gmail.com
Ref. ▪VENDEDOR DE DISTRIBUCIÓN
POSADAS▪ #TNEA #Misiones #empleoar
#trabajoar https://t.co/2PjKIyaY8N</t>
  </si>
  <si>
    <t>ingdascenzo
RT @tneaar: [#Resistencia] Consultoras
NEA busca #CAJERO #VENDEDOR ◉Registrate
en: https://t.co/PwT58PdWqU ◉Ingresá
aquí: https://t.co/0lr…</t>
  </si>
  <si>
    <t>6printdesign
A VENDA !!! https://t.co/sQD87tYyvd...
#venda #vendasonline #vendedor
#sublimação #sublimacao #AmendoinsElmaChips
#RiodeJaneiro #olx #DesapegueSeForCapazNoGNT
https://t.co/mEnRwVCkf1</t>
  </si>
  <si>
    <t>tierrasdemedina
Oferta de #Empleo: #Vendedor #Tienda
de #Muebles en #MedinadelCampo
Se busca vendedor para tienda de
muebles Jornada Completa Incorporación
inmediata Salario según convenio
Envío de CV: hx@grupomillan.com
@empleojcyl, @AyuntamientoMDC,
@juventud_MdC #TierrasdeMedina
https://t.co/JTOxSDCCCT</t>
  </si>
  <si>
    <t xml:space="preserve">juventud_mdc
</t>
  </si>
  <si>
    <t xml:space="preserve">ayuntamientomdc
</t>
  </si>
  <si>
    <t xml:space="preserve">empleojcyl
</t>
  </si>
  <si>
    <t>dandresamado
Oportunidad Laboral: VENDEDOR /
REPARTIDOR - San Francisco Córdoba
Importante Empresa de Nutrición
Animal https://t.co/DbgqfZpnuw
#TrabajoAr #Trabajo #Empleo #Vendedor
#Ventas #Comercial #SanFrancisco
#NutricionAnimal #Reparto #Repartidor
#OFERTA #Oportunidad https://t.co/Y8cmHgp1Mk</t>
  </si>
  <si>
    <t>librosflash
📖 &amp;gt; VENDER BIEN ES POSIBLE
SI TIENES LAS HERRAMIENTAS de @santiagotorre
hoy en #KindleFlash a 1,85€ 🛒
&amp;gt;&amp;gt; https://t.co/LqvzCyLljZ
#guia #manual #ventas #consejos
#herramientas #vendedor #leer #queleer
#lectura #libro #ebooks #kindle
#kindlebooks #amazon #FelizViernes</t>
  </si>
  <si>
    <t xml:space="preserve">santiagotorre
</t>
  </si>
  <si>
    <t>empleosrealesyt
AMERICAN CALL CENTER esta buscando
Asesores telefónicos con nivel
de inglés. Aprovecha esta gran
#Oporunidad #parati #sihaycamello
#desempleados #desempleo #contratando
#chambasihay #sihaychamba #trabajos
#Guayaquil #Duran #Ecuador #vendedor
https://t.co/HcEcjqm4xW</t>
  </si>
  <si>
    <t>josy85547308
https://t.co/cP13RsqCGM #vendedor
super atencioso, nota 1000 .#brinquedo
#pra toda família # https://t.co/GDMztKcjOj</t>
  </si>
  <si>
    <t>legalmenterrss
#echar a tu #inquilino para #vender
tu #casa . #vendercasa #piso #alquiler
#venta #inquilinos #propietario
#vivienda #inmuebles #leydearrendamientosurbanos
#ley #compraventa #comprador #vendedor
#compraventainmuebles #comprar
#compracasa #vendercasa #legalmente
#legal #abogados https://t.co/OnDD4srK5T</t>
  </si>
  <si>
    <t>workshopdantas
Gostou do conteúdo? Segue aê ➡️
@workshopdantas #educacaofinanceira
#empreendedor #dinheiro #finanças
#reflexao #empreendedorismo #vendermais
#organizacaofinanceira #rendaextra
#rendaextraemcasa #marketingdigital
#vendedor #direita #conservador
#sergiomoro https://t.co/BdFaEeUQhe</t>
  </si>
  <si>
    <t xml:space="preserve">lulaoficial
</t>
  </si>
  <si>
    <t xml:space="preserve">roxmo
</t>
  </si>
  <si>
    <t xml:space="preserve">damadeferroofic
</t>
  </si>
  <si>
    <t xml:space="preserve">rmotta2
</t>
  </si>
  <si>
    <t>garotoviniofc
03 COISAS SOBRE VENDER NA INTERNET:
1 - É possível 2 - Não é fácil
3 - Você vai começar a vender em
pelo menos 45 dias se for começar
do absoluto zero. #vendas #marketingdigital
#negocios #vendedor</t>
  </si>
  <si>
    <t>elcaph
Tienda de ropa de playa busca promotor
en venta, 2 años de experiencia;
para para nuestra tienda en TULUM,
Q.R., ofrecemos $8000 +P.L (IMSS,
INFONAVIT, aguinaldo) #Retail #Ventas
#trabajo #empleomoda #Vendedor
#empleo #Ventas #QuintanaRoo #TULUM
#RIVIERAMAYA #TrabajoTulum https://t.co/IxqkpB5YDZ</t>
  </si>
  <si>
    <t>vivicolme
Busco personal VENDEDOR DE CONSUMO
MASIVO. ¿Tienes el perfil o conoces
a alguien a quien podría interesarle?
¡Postúlate! #hiring #buscamostalento
#vendedor #consumomasivo #empleomaracaibo
#oportunidaddeempleo #triunotalenthum
#cv https://t.co/a8XSwbjg30</t>
  </si>
  <si>
    <t>inconfor_mista
Hay algún otro #vendedor al que
#mercadolibre le está cambiando
el stock y no se hace cargo? Los
invito a #denunciar a estos #chantas
que lo único que dan es #verguenza
porque respuesta ninguna.</t>
  </si>
  <si>
    <t>sergiramo
Así como un trampolín puede ayudar
a impulsarse más después de un
salto fallido, el #vendedor puede
salir airoso de un error. No os
perdáis mi artículo sobre ello:
https://t.co/fMrHJkJ1zr</t>
  </si>
  <si>
    <t>vacantesmx
#Vacantes #Vendedor</t>
  </si>
  <si>
    <t>menschmx
Si te interesa una de nuestras
vacantes Manda tu CV a: reclutamiento@mensch.com.mx
| https://t.co/nwLqQHllWC También
en nuestros grupos de: Telegram
https://t.co/vdk2Nr5ll9 WhatsApp
https://t.co/LWQvLVUKLm #VacantesDisponibles
#empleo #vacantes #Jobs #Vacantes
https://t.co/wxaCkVxhUl</t>
  </si>
  <si>
    <t>gacetinmadrid
#Empleo: Se buscan vendedores para
la primera tienda del Barça en
Madrid (contrato indefinido) #Madrid
#FCBarcelona #Barça #Tienda #Vendedor
#Indefinido #EmpleoEnMadrid #OfertadeEmpleo
#BuscaEmpleoMadrid #GMB @buscaempleomad
https://t.co/b77h2zM12Z</t>
  </si>
  <si>
    <t xml:space="preserve">gmw
</t>
  </si>
  <si>
    <t>buscaempleomad
#Empleo: Se buscan vendedores para
la primera tienda del Barça en
Madrid (contrato indefinido) #Madrid
#Tienda #FCBarcelona #Barça #Vendedor
#Indefinido #EmpleoEnMadrid #OfertadeEmpleo
#BuscaEmpleoMadrid @buscaempleomad
https://t.co/JneFXQN8gC</t>
  </si>
  <si>
    <t>thefernandolour
UM VENDEDOR A FRENTE DO TEMPO KKKK
#vendedor #dicadevenda #clientes
#metro #saopaulo #meme #zoeira
#humor https://t.co/kaRuTrstDL</t>
  </si>
  <si>
    <t>aliatecla
Te compartimos una serie de tips
que harán que tu estrategia comercial
alcance su máximo potencial. No
dudes en contactarnos para más
información 📱 #Aliatec #ventas
#empresas #mexico #tips #incrementodeventas
#vendermas #vendedor #vendedores
https://t.co/utzWg3Z3ez</t>
  </si>
  <si>
    <t>canal11hn
VIDEO| Vendedor de tamales es embestido
por una camioneta; conductor se
dio a la fuga Más información aquí:
https://t.co/K1dreLL1V7 #Vendedor
#Tamales #Atropellado https://t.co/VuocwMk7Dc</t>
  </si>
  <si>
    <t>laleype
🚨El #Indecopi determinó que si
un #vendedor #ambulante ingresa
a un #restaurante, el establecimiento
es responsable si sustrae bienes
de los #consumidores 🖱️Clic aquí
para más detalles https://t.co/sqyQB1Ojxn</t>
  </si>
  <si>
    <t>gravitycombr
8 benefícios de contratar uma agência
de marketing digital - Descubra
os benefícios de contratar uma
agência de marketing digital e
impulsione o crescimento do seu
negócio. 📲🌟 #MarketingDigital
#AgenciadeMarketing #Vendermais
https://t.co/tNAk1PQjeW</t>
  </si>
  <si>
    <t>valdiviamarlon
Equipos TRT Chile® #requiere de
#vendedor enviar email: reclutamiento@equipostrt.com
. . #jobs #crane #rigger https://t.co/LF0rTe8qv1</t>
  </si>
  <si>
    <t>umviajante
Quem aqui é vendedor? #vendedor</t>
  </si>
  <si>
    <t>retenchiriqui
Vacante Laboral Se necesita un
vendedor con licencia de conducir
comercial, carnet blanco y con
experiencia para una empresa reconocida.
Enviar hoja de vida al correo electrónico
hojadevidachiriqui@gmail.com #empresa
#vida #hojadevida #vendedor #hoja
https://t.co/dK0QLhcjSa</t>
  </si>
  <si>
    <t>neogrid
Foram 600 participantes, 10 palestras
e 11 cases de sucesso apresentados!
Já imaginou vivenciar todas essas
experiências, com opção presencial
ou online? Então, inscreva-se já
pelo link: https://t.co/l40NcL2CND
#vendermais #tecnologia #cadeiadeconsumo
#eventosobretecnologia</t>
  </si>
  <si>
    <t>elsolucionario
📝 15 habilidades de ventas según
La Biblia del Vendedor ➖➖➖ ✅ https://t.co/vG3upLz0rz
➖➖➖ El vendedor competitivo es
aquel que está enfocado en alcanzar
sus metas y superar a su competencia......
#Liderazgo #Vendedor #Ventas #elsolucionario
#blog #estudiantes #univ... https://t.co/bSqOGsYdlc</t>
  </si>
  <si>
    <t>hacktivos
¿Cuáles son los beneficios de la
debida diligencia? #debidadiligencia
#tipos #Leyes #Comprador #Vendedor
https://t.co/6IG7LouYPo</t>
  </si>
  <si>
    <t>radiorock89
E aí, compraria? 😂 #aradiorock
#vivaorock #89fm #89aradiorock
#rock #show #música #hotdog #meme
#vendedor https://t.co/DfibE0t3fo</t>
  </si>
  <si>
    <t>resultadoscia
Se você precisa de oportunidade
para trabalhar e desenvolver suas
competências, certamente a nossa
empresa é o lugar ideal! Topa esse
desafio? Venha crescer com a gente!
https://t.co/b5Cyb8hPBw #oportunidade
#vendedor @CiaResultados</t>
  </si>
  <si>
    <t xml:space="preserve">ciaresultados
</t>
  </si>
  <si>
    <t>nacho_asprella
⚡️Cuando veas este video, cambiará
para siempre tu percepción hacia
el #vendedor... 💥...el vendedor
debe ser permeable ante la ira
y al desprecio... 💥... siempre
optimista ante los objetivos del
mes, cargando la mochila del siguiente
para volver a em…https://t.co/nM1d2KqqIG</t>
  </si>
  <si>
    <t>mariana64692094
@rommynciudadano @TVBUAP @BUAPoficial
@Profeco @AtencionProfeco @laredcincoradio
Este nos dice que todo consumidor
al haber dejado un depósito de
su mercancía está en todo su derecho
de tenerla de vuelta cuando el
trato no se cumpla. #consumidor
#Buapoficial #Vendedor</t>
  </si>
  <si>
    <t xml:space="preserve">romansanchezz
</t>
  </si>
  <si>
    <t xml:space="preserve">radiobuap
</t>
  </si>
  <si>
    <t xml:space="preserve">radiounam
</t>
  </si>
  <si>
    <t xml:space="preserve">laredcincoradio
</t>
  </si>
  <si>
    <t xml:space="preserve">atencionprofeco
</t>
  </si>
  <si>
    <t xml:space="preserve">profeco
</t>
  </si>
  <si>
    <t xml:space="preserve">buapoficial
</t>
  </si>
  <si>
    <t xml:space="preserve">tvbuap
</t>
  </si>
  <si>
    <t xml:space="preserve">rommynciudadano
</t>
  </si>
  <si>
    <t>jobomas
Importante Empresa busca #Vendedor
en #Quito #Ecuador Accede a la
#Vacante para conocer los #Requisitos
y enviar tu #CV 👇 https://t.co/PpKen577uq
. . . #Jobomas #JobomasEmpleos
#JobomasEcuador #EmpleosEcuador
#Trabajo #Empleo #EmpleosEnTodoElMundo
#TrabajoSíHay https://t.co/YmAxFSCXBL</t>
  </si>
  <si>
    <t>automafast
Mantenha contato com os clientes!
Não deixe a concorrência sair na
frente. Saiba mais com nossos consultores
pelo (11) 91311 8482 ou acesse
o link da bio. #automafast #tecnoloia
#gohiper #whatsapp #vendedor #varejo
#comercio #stone #catalogodigital
#vendasonline https://t.co/BOyjGJb1Rm</t>
  </si>
  <si>
    <t>molkiades
Busco personal para nuestro departamento
de Ventas en Peugeot Tumosa, #hiring.
¿Conoces a alguien a quien podría
interesarle? Inscripciones aquí:
https://t.co/AzezLXaGdJ #ventas
#vendedor #b2b #comercial #peugeot
#stellantis #oportunidad #laboral
https://t.co/e3KXHrLZsC</t>
  </si>
  <si>
    <t>netcarreiras
#Oportunidade de #emprego de #Vendedor
de #Reservas em #CaboFrio #RJ #viagens
#rh #vagasdeemprego #trabalho #contratando
#temosvagas #recrutamento #jobsearch
#vagasrj https://t.co/YSy0admSqE</t>
  </si>
  <si>
    <t>ederzardin
dia 32 de 365 novas oportunidades
em 2023 "Tudo o que você sempre
quis está do outro lado do medo."
George Addair #ederzardin #sucesso
#motivacaodiaria #passosparaosucesso
#motivacao #vendedor #palestrante
#geracaodevalor #negocios #vendas
#atendimento #atitude #meusucesso
https://t.co/0nCKpP3a0F</t>
  </si>
  <si>
    <t>victorv82449539
Te voy a encontrar #vendedor ambulante!!!!
😡🤬 https://t.co/YFN88F7NUa</t>
  </si>
  <si>
    <t>postadurango
#Share 📲| ¿Se salvaron los elotes?😢
Un #video muestra cómo una camioneta🛻
rescata a un #vendedor y su puesto
de elotes🌽 después de que quedará
atrapado en una inundación☔ https://t.co/WOpYEMJi9U</t>
  </si>
  <si>
    <t>eudavidhernande
Vender é entender necessidades
e solucionar problemas 🚀 #trafegopago
#vendas #vendasonline #marketing
#marketingdigital #vendedor https://t.co/FAqsa7yolw</t>
  </si>
  <si>
    <t>elmeromero90210
RT @LauraCantizano: Las personas
olvidarán lo que dijiste, pero
no olvidarán lo que sintieron contigo.
Feliz día😍 #motivación #motivacion…</t>
  </si>
  <si>
    <t>lauracantizano
Las personas olvidarán lo que dijiste,
pero no olvidarán lo que sintieron
contigo. Feliz día😍 #motivación
#motivacion #feliz #bienestar #bienestaremocional
#actitud #emociones #liderazgo
#exito #resultados #tipsdeventas
#emprendedores #emprendimiento
#vendedor #comercial https://t.co/F67LHfJWla</t>
  </si>
  <si>
    <t>ciebarcelona
La suerte le llega a quien la busca,
no dejes de trabajar y buscar el
éxito 🔥💪🏻 . #coach #coaching
#coachingcomercial #coachdeventas
#coachingdeventas #vendedores #ventas
#negocios #aprende #ponencias #cursos
#vendedor #empresas #empresarios
#directordeventas #directorcomercial
https://t.co/0Fg26Xc7jP</t>
  </si>
  <si>
    <t>luiswolly
Primera entrega de 2023 de mi libro
"Gorda, grande y que no pese...".
Hemos hablado aquí de #optimismo,
#empatía, #escucha y #asertividad
como #palancas esenciales para
el #exito del #vendedor. Pero ninguna
de ellas resulta definitiva si
no se genera #CO…https://t.co/6K0ZWKwSmk</t>
  </si>
  <si>
    <t>deciopes
Sexxxxtaaa de Carnaval e "nós ta
como:" Preparando para o Bloquinho
das Vendas... 🔥E como vai ser
seu carnaval aí? Comenta aqui para
rirmos juntos 😢 #vendas #vendedor
#empreendedorismo #empreender #verdermais
https://t.co/6MccnPkuh6</t>
  </si>
  <si>
    <t>mercasa3
¡Ingresos extras sólo con Mercasa!
👌😉 Únete a nuestro equipo de
brokers y genera ingresos a través
de las bienes raíces- 🟨¡Contáctanos
para mayor información! ☎️ 246
462 8297 #broker #vendedor #vendercasas
#trabajo https://t.co/2ouC2UYiPJ</t>
  </si>
  <si>
    <t>agricolacenteno
¡Déjanos tu Cv! #HuincaRenanco
#vendedor #mecanico https://t.co/CLqWreXNZI</t>
  </si>
  <si>
    <t>bolsadtrabajot
¿Buscas pega y eres amable? ¡Entonces
esta es tú oportunidad! #Vendedor
#Computin https://t.co/oTq4AvSJae</t>
  </si>
  <si>
    <t>niurymartins
Siga @niurymartins para mais dicas
#vendas #vendedor #marketing #marketingdigital
#ecommerce #motivação #estratégia
#empreendedor #empreendedorismo
#empreendedor https://t.co/mhDcZb9ejl</t>
  </si>
  <si>
    <t>quepocamadre_mx
SE PASÓ DE GANDALLA🥴⚠🚨 🟡Una
#turista enfureció con un #vendedor
ambulante luego de que el hombre
presuntamente la #estafara al venderle
una prueba de empanada en 500 pesos,
en la zona de playas en #Tulum, #QuintanaRoo.
https://t.co/BwfUwuZWzH</t>
  </si>
  <si>
    <t>habiteoes
[VENDER] 💡¿Qué es un buen #comercial
y cuáles son las necesidades de
sus prospectos? ➡️ Escuchar, analizar,
aconsejar, tranquilizar... ¿Cuál
consideras que es la principal
cualidad del #vendedor #immobiliario?
UN BUEN COMERCIAL</t>
  </si>
  <si>
    <t>el_ruana
@CatalinaSuarezB mediante una campaña
publicitaria,con las frases y palabras
que los ciudadanos querían escuchar,
en pocas palabras gano el mejor
#vendedor de conciencias jamás
un verdadero líder político.</t>
  </si>
  <si>
    <t>roollingstar
#Empleo #Vacantes #CDMX #Morelos
#Ventas #Vendedor #CV #Bolsadeempleo
https://t.co/7pDczbHhaj</t>
  </si>
  <si>
    <t>ibahia
Vendedor chamado de Tiazinha e
Nhonho será indenizado em Salvador
Homem alega ainda sofrer cobranças
excessivas e ser comparado a outros
personagens, como forma de humilhação
#indenização #vendedor #nhonho
#tiazinha https://t.co/jbnJlPhTpd</t>
  </si>
  <si>
    <t>vpinguim
Já vai desistir? 👀🚫 #vendedor
#empreender #motivacional https://t.co/CKbPMyOS0Y</t>
  </si>
  <si>
    <t>euqueroameta
a comissão desse mês não foi boa
galera :-( . . . . . . #vencernavida
#euqueroameta #representantecomercial
#sucesso #vendedores #vendedor
#politica #comissao https://t.co/e8PNssgkeg</t>
  </si>
  <si>
    <t xml:space="preserve">mineiro
</t>
  </si>
  <si>
    <t>amvdmx
Vender va más allá de recibir dinero
por un producto o servicio. Implica
comprender las necesidades de los
clientes y satisfacerlas efectivamente.
#Vendedor #Valor #VentaDirecta
#metas https://t.co/dC0G9jDlOi</t>
  </si>
  <si>
    <t>accounterweb
Retención en la fuente en venta
de bienes inmuebles #tipsaccounter
#videotipsaccounter #accounterweb
#noticias #news #tips #contador
#retencionenlafuente #ventadeinmuebles
#ventainmueble #personasjuridicas
#personanatural #comprador #vendedor
https://t.co/ohKPTTdSsU</t>
  </si>
  <si>
    <t>maria_mzorrilla
Allow me to assist you in discovering
the perfect professional for your
upcoming transition....Learn more
at https://t.co/GnM7AV3Sqc #Mariazorrilla
#Realtor #Seller #Buyer #vendedor
#comprador #seller #Buyer #RealEstate
#investor https://t.co/tkaYlTrKE7</t>
  </si>
  <si>
    <t>tupentagrama
Amigo #Empresario #Fabricante #Emprendedor
#Vendedor #Productor #Invierte
tu dinero con la mejor #Publicidad
trato directo Comunicate Ya #WhatsApp
+51970153454 #LunesDePentagrama
#PentagramaTuRadio https://t.co/De5pCKi8Jk
#MarzoEsDePentagrama #19Mar2023
https://t.co/JtoJ1TGcYG</t>
  </si>
  <si>
    <t>quepocamadremex
SE PASÓ DE GANDALLA🥴⚠🚨 🟡Una
#turista enfureció con un #vendedor
ambulante luego de que el hombre
presuntamente la #estafara al venderle
una prueba de empanada en 500 pesos,
en la zona de playas en #Tulum, #QuintanaRoo.
https://t.co/Ov6xXlECRb</t>
  </si>
  <si>
    <t>maatacado
📢 Estamos contratando vendedor
interno para o escritório de São
Paulo! Venha fazer parte da nossa
equipe! Enviar currículo para:
🔁 marcus.oliveira@maautopecas.com
📱 (11) 99500-7090 📱SP (11) 2643-5032
. #maatacado #atacado #sãopaulo
#vagadeempregos #vendedor https://t.co/8vYGBpD90m</t>
  </si>
  <si>
    <t>juanpedroporra2
RT @Torcadul: ⚠ ¡OFERTA DE TRABAJO!
✅ Experiencia en el sector de dulces
✅ Disponibilidad de lunes a domingo
✅ Campaña navideña Envía tu…</t>
  </si>
  <si>
    <t>mktraquelsouza
Seu anúncio só roda no seu horário
de atendimento se vc quiser.😁
Veja o vídeo. Caso precise de mais
informações me chame . . . Seu
negócio depende de você . E do
tráfego pago.. . #whats #whatsapp
#venderpelowhatsapp #vendermais
https://t.co/ytClfKQEgu</t>
  </si>
  <si>
    <t>talentomayan
¡¡¡Inicia el año nuevo con Nuevo
Trabajo!!! ✨VENDEDOR (A) ✨ Ofrecemos
sueldo base quincenal + comisiones
semanales 💰 Envíanos tu CV o solicitud
de empleo capitalhumanomayan@gmail.com
#MayanFleaMarket #Vendedor #Retail
#PlayadelCarmen https://t.co/EdEsRZrd4a</t>
  </si>
  <si>
    <t>framemktdigital
Aprenda como aumentar significativamente
suas vendas no LinkedIn: 610 milhões
de usuários, possibilidades de
conectar com potenciais clientes,
ferramentas avançadas. Saiba como!
#VenderMais #LinkedinVendas #MarketingDigital
https://t.co/3Mwp3YAeJg</t>
  </si>
  <si>
    <t>ideiasedesafios
Procuramos comercial com experiência
na venda de recursos humanos especializados
Read more 👉 https://t.co/T36dpFuD3G
#Anúncio #Emprego #Comercial #Anunciodeemprego
#Vendedor https://t.co/VOvI9Csv8H</t>
  </si>
  <si>
    <t>alexandremota
Desvendando a verdade: A emoção
é a chave para vender mais! O profissional
que sabe vender se diferencia dos
demais. 🚀 🇧🇷 com: Ciro Bottini.
. #Vendas #EmoçõesEmVendas #CiroBottini
#TécnicasDeVendas #SucessoEmVendas
#DicasDeVendas #VenderMais #VendaEmocional
https://t.co/TDJ33NG6iB</t>
  </si>
  <si>
    <t>easycoboficial
Qualquer empresa precisa dessa
figura, afinal, sem vendas não
há negócio! Feliz dia do revendedor!
Marca o @ do seu comercial favorito!
Se você tem créditos à recuperar
entre em contato 📞 02125148983
ou 📧comercial@easycob-n.com.br
#easycob #cobrança #vendedor #revendedor
https://t.co/9iq7ZofkJ7</t>
  </si>
  <si>
    <t>jesusal50997127
#Minecraft #aldea #Vendedor #FelizMiercoles
#nadiedicenada https://t.co/eulCkuPXQY</t>
  </si>
  <si>
    <t>segevidenceone
São Paulo News A oportunidade de
fazer uma Renda Extra e atualizar
seus estudos Gestão Privada. Prof
Andre Gonçalves. Oferece consultoria
para empreendedores e aulas de
ADM.mtk. vendas e treinamento de
liderança. Contato: andregestao301@gmail.com
#estudante #saopaulo #vendedor
https://t.co/YqS7xf0quF</t>
  </si>
  <si>
    <t>ofcphilip
Não é sobre talento, é sobre dedicação
e prática🎯 #marketingdigital #empreendedorismo #boravender #boraempreender #digitalmarketing #seo #vendermais #marketingdeconteudo #marketingnaveia #venderonline #formuladelancamentos #lancamentosdigitais #marketingparalancamentos
https://t.co/ct06uaHE6Y</t>
  </si>
  <si>
    <t>kiaframx
¿Te Gustan las Ventas y Deseas
Incursionar en Bienes Raíces? Eres: Organizado,
Proactivo, Responsable y Cuentas
con Habilidades de Negociación.
¡Entonces Contáctanos! 442 200
6797 #ventadecasa #asesorinmobiliario
#vendedor #juriquilla #zibata #elcampanario
#queretaro https://t.co/VxVth0yhj6</t>
  </si>
  <si>
    <t>silveriorique
#equipedevendas #timedevendas #vendermais
#encantarclientes #posvendas #empreendedor
#fidelizarclientes #vendas #vendedor
#vendedordesucesso #empreendendorismo
#negóciosdigitais #vendedordesucesso
#marketingdigital #palestradevendas
https://t.co/84whTvknC6</t>
  </si>
  <si>
    <t>desdeparaguay
#ULTIMOMINUTO : Fue #captado el
#momento exacto en el que una #mujer
y un #vendedor de #hamacas #muren
al #instante a causa de la #caída
de un #Rayo, en la #playa de #Aquila,
#Michoacan, #Mexico. https://t.co/xDYsjqJ3aq</t>
  </si>
  <si>
    <t>sonoticiaboaofc
Moradores se unem e dão bike cargueira
a idoso de 93 anos que foi furtado.
Seu Raimundo usa a bicicleta para
vender frutas e se emocionou com
o presente. Veja! https://t.co/fkQpaLuajM
#bike #bicicleta #idoso #furtado
#vendedor #frutas #moradores #vaquinha
#ajudar</t>
  </si>
  <si>
    <t xml:space="preserve">parcbrilhantes
</t>
  </si>
  <si>
    <t xml:space="preserve">sovaquinhaboa
</t>
  </si>
  <si>
    <t>carolcamponez
#NovaIguaçu #Trabalho #vendedor
https://t.co/BMAbD11ofn</t>
  </si>
  <si>
    <t>fotoganando
Utiliza los últimos descubrimientos
sobre el cerebro para aumentar
tus ventas: https://t.co/5epB8ZViOf
#vender #ventas #vendedor #curso
#neuroventas https://t.co/AFYs2VdAX2</t>
  </si>
  <si>
    <t>rafaelcineasta7
Vendedor del centro 🏢 🔸🔸🔸🔸🔸🔸🔸🔸🔸🔸🔸🔸🔸🔸
#centro #vendedor #salesman #santamarta
#streetphotographerscommunity en
Santa Marta, Magdalena https://t.co/qmocciRZSi</t>
  </si>
  <si>
    <t>noejaz77
La Vidriera de #Empleo cuenta con
382 vacancias laborales para esta
semana, puestos que están siendo
requeridos por el sector privado.
Los rubros más solicitados son
para #vendedor externo, atención
al cliente, operario de #producción
y de #frigorífico. https://t.co/ePagJmo4dz</t>
  </si>
  <si>
    <t>advtalinykrein
#talinykrein #tklegal #vemserlegal
#direito #direitodotrabalho #emprego
#trabalho #empregado #trabalhador
#patrao #empresa #empresas #empregador
#empresario #advogada #advogado
#advogadatrabalhista #advogadotrabalhista
#advocaciatrabalhista #rh #dp #comissão
#comissões #vendedor https://t.co/e7ThBKmmK1</t>
  </si>
  <si>
    <t>crisperezmkt
O que caracteriza um bom vendedor,
seja no presencial ou na internet,
é a habilidade de saber escutar...#vendedor</t>
  </si>
  <si>
    <t>carlossolisd
El próximo #07Sep se celebra el
día del #enólogo y el día #3Jun
se celebró el día internacional
del #sommelier El #19jul el día
del bodeguero y, desconozco si
existe el día del #vendedor de
#vino e inclusive del #repartidor.
Pero todo llegará......#AsiEs https://t.co/Jj1PqLZtZF</t>
  </si>
  <si>
    <t>nortemediacion
El cargo de #vendedor requiere
de un entrenamiento especial por
parte de personas que han vendido
por años y no teóricos. Contáctenos
Norte Mediación - Gestión de Conflictos
y Capacitación https://t.co/njie6wM950</t>
  </si>
  <si>
    <t>se_empreendedor
Como você treina sua equipe de
vendas? Conteúdo para você que
empreende: https://t.co/W24j2MNMXG
#movaseempreendedor #vendedor #equipedegendas
#gestãocomercial #timecomercial
https://t.co/ZOZbwzLcNz</t>
  </si>
  <si>
    <t>exordia_ma
#Reels #ReelsInstagram #Instagram
#Marketing #Ventas #Copy #Copywriting
#CopywritingTips #Copywriters #Emprendedores
#Emprender #Empredimientos #Marketing
#MarketingDigital #Vender #Vendedor
#Venezuela #Mexico #España #Chile
#Colombia #Argentina https://t.co/bZgg8HhogL</t>
  </si>
  <si>
    <t>avisooportunomx
Hoy es un buen día para encontrar
#Trabajo 🤩 #Vendedor #AuxiliarContable
#Manicurista https://t.co/0AzuM0eDBM</t>
  </si>
  <si>
    <t>douglaswebp
📈💼 O número de seguidores não
é tudo! Descubra como alinhar suas
estratégias digitais para impulsionar
vendas e o crescimento do seu negócio.
💪✨ Leia mais no Instagram! https://t.co/rLtz2ietL8
#MarketingDigital #VendasOnline
#NegócioDigital #PresençaDigital
#VenderMais https://t.co/nIsaNv2laZ</t>
  </si>
  <si>
    <t>salazarbalbuena
#SaúlSalazarNoticias // 🚨 #ÚltimaHora
🚨|| Asesinan a #vendedor ambulante
en Santa Teresa, #Huajuapan Más
detalles en: https://t.co/UVsDRY65Sy
https://t.co/7ShTktvyZL</t>
  </si>
  <si>
    <t>teneriadiaz
Oportunidad Laboral #Quito #Ecuador;
envíanos tu hoja de vida a tdiazcl@teneriadiaz.com
#OportunidadLaboral #Empleo #Pichincha
#Vendedor https://t.co/NhnanaYZEZ</t>
  </si>
  <si>
    <t>josueseibel
📚 Trecho do meu #livro “Na vida
tudo é venda” (em breve disponível).
#Ambição é você ter fome de sucesso,
desejo ardente, muita vontade de
vencer. A ambição é a força propulsora
que motiva um #vendedor a superar
obstáculos e alcançar seus objetivos.
#fomedesucesso #vendas https://t.co/jofOMrzxbf</t>
  </si>
  <si>
    <t>joclarbh
En InfoJobs he encontrado esta
oferta de Dependiente/a en Islas
Baleares/Illes Balears: https://t.co/KW5k8bVNNy
#empleo #muebles #vendedor #Mallorca
#Palma https://t.co/Yn9ADCLSMJ</t>
  </si>
  <si>
    <t>pablosu91535628
A quienes trabajan en departamento
comercial, o sea ventas. ¿ Cómo
le hacen para poder aguantar tanto
rechazo ? Es pregunta seria #ventas
#trabajo #vendedor #Ecuador #comercial</t>
  </si>
  <si>
    <t>coformacion
Estas 5️⃣ competencias son básicas
para trabajar de comercial 🧑‍💼
🏬 🔗https://t.co/oRLjqUXQtT #agentecomercial
#agentedeventas #comercial #competenciasvendedor
#competencias #comunicación #autodisciplina
#vendedor #ejecutivodeventas #competenciaslaborales
#vendedorefectivo</t>
  </si>
  <si>
    <t>clasicsfm
#Vendedor de hot-dogs se queda
dormido y jóvenes lo ayudan a despachar
https://t.co/7A8NmPcnHq https://t.co/8y5YQc63Wk</t>
  </si>
  <si>
    <t>anaborgestoc
🔍 Sabia que num perdão de dívida
a um cliente, em sede de IVA, não
há qualquer regularização a fazer
por parte do prestador/vendedor?
#perdao #divida #iva #regularizacao
#prestador #vendedor #abtoc #dilema
#duvida #ajuda #solucao #trabalhorindependente
#sociedade #trabalhadores https://t.co/ZcvCEM28rN</t>
  </si>
  <si>
    <t>lajozzs
Estamos en busca de tu talento:
-Mesera (Laborar Lunes a Sábado)
Requisitos: -Dinámic@ -Experiencia
mínima Acudir a entrevista con
solicitud o CV en Calz. Chabacano
70, Vista Alegre o más info al
5521169552 #RT 🙏 #Meser@ #Trabajo
#Gastronomia #Restaurante #Vendedor</t>
  </si>
  <si>
    <t>naomiauve
RT @lajozzs: Estamos en busca de
tu talento: -Mesera (Laborar Lunes
a Sábado) Requisitos: -Dinámic@
-Experiencia mínima Acudir a entrev…</t>
  </si>
  <si>
    <t>vagasdesalvador
#Vaga - #VENDEDOR EXTERNO - #Salvador
- BA Possuir veículo e CNH ativa;
Ter disponibilidade em horário
comercial; Ter experiência com
vendas e busca por resultados e
metas e ... https://t.co/993TKpZW5z</t>
  </si>
  <si>
    <t>korraleja
🔵 Hallan cuerpo sin vida con signos
de #violencia en el sector “Brisas
del Sur” de #Sincelejo. La #víctima:
José Martelo, conocido como “El
Pingüi”, #vendedor de manillas
y residente en el barrio “La Esmeralda”
del corregimiento de #Chochó de
la capital sucreña. https://t.co/Jto5oc3tgu</t>
  </si>
  <si>
    <t>ceciliabolina
#vendedor #vagas #engenharia https://t.co/yQF2AiXIx3</t>
  </si>
  <si>
    <t>chuy13jesus04
@Grupo_Bimbo @BimboMx sellen bien
sus productos es pérdida para el
#vendedor #ciudaddemexico #Twitter
https://t.co/HMAflCyxBQ</t>
  </si>
  <si>
    <t xml:space="preserve">bimbomx
</t>
  </si>
  <si>
    <t xml:space="preserve">grupo_bimbo
</t>
  </si>
  <si>
    <t>vimaracarros
A vida do vendedor kkkkkkk . .
. #vendedor #meme https://t.co/Leq8x3bgr3</t>
  </si>
  <si>
    <t>juanvpe1980
El #vendedor corporativo que nunca
ha hecho #Venta de ruta (consumo
masivo, visita médica, proveedor
de repuestos) suele poner metas
basadas en su expectativas corporativas
olvidando en muchos casos que la
calle tiene su realidad real diaria.
👉Ojo con este detallazo</t>
  </si>
  <si>
    <t>juristecadv
UNILEVER DEVE INDENIZAR VENDEDOR
... | ... Para ler na íntegra,
acesse https://t.co/DWEvSQiBHk
FONTE: Portal Migalhas | FOTO:
Carreiras Unilever #portaljuristec
#Unilever #indenização #vendedor
https://t.co/wM7LXSPh1m</t>
  </si>
  <si>
    <t>opensinergia
𝟰 #𝗹𝗶𝗯𝗿𝗼𝘀 𝗾𝘂𝗲 𝘁𝗼𝗱𝗼
#𝗲𝗺𝗽𝗿𝗲𝗻𝗱𝗲𝗱𝗼𝗿 𝗱𝗲𝗯𝗲
𝗹𝗲𝗲𝗿 🤓 ✔️La magia de pensar
en grande. David Schwartz ✔️Inteligencia
emocional. Daniel Goleman ✔️Tribus.
Seth Godin ✔️El #vendedor más grande
del mundo. Og Mandino #lectura
#teen #leer #MarketingStrategy
https://t.co/ZZA77PUebE</t>
  </si>
  <si>
    <t>goianiacal
"Estar onde o cliente está”, se
você se identifica com essa frase
não pode ficar de fora da Goiâniacal!
Com quatro edições anuais, somos
a maior feira do centro-oeste brasileiro.
WhatsApp: (62) 8257 3869 #feiradenegocios
#goias #goiania #representantecomercial
#vendermais https://t.co/k0lDHsYbdQ</t>
  </si>
  <si>
    <t>saraperez0205
Estamos buscando tu talento✨ pide
más información al 4118 9214 y
se parte de este increíble equipo!
🎉#OportunidadLaboral #empleoguatemala
#guatemala #empleogt #ciudadGuatemala
#vendedor #vendedorDeCampo https://t.co/03dic3c4oY</t>
  </si>
  <si>
    <t>hispanatolia
#Imagenes del #polemico enfrentamiento
entre el #alcalde de #Estambul,
y un #comerciante en #Estambul
que le acusó de "ir de la mano
con el PKK". "Tú eres del PKK.
No eres un #vendedor" respondió
el alcalde, quien acabó ordenando
echar al comerciante, que ha presentado
#denuncia https://t.co/3TdXVMfJeu</t>
  </si>
  <si>
    <t>franklindiazl
🎧AUDIOLIBRO🎧 EL VENDEDOR DE IDEAS
Estudio y análisis minucioso de
las conductas y necesidades humanas
para utilizarlas en provecho personal.
🎧AUDIOLIBRO🎧 disponible en #googleplay
#lektu y #bubok https://t.co/8LHnN2eQGy
#puertafria #vendedor #cursoparavender
#RecomiendoLeer https://t.co/zsRm0c0l4D</t>
  </si>
  <si>
    <t>ahnegocios
Quieres que todos conozcan tus
productos y servicios pero no sabes
que debes hacer. Con nosotros encontrarás
un aliado para iniciar el crecimiento
de tu marca o negocio. #venta #emprendedor
#vendedor https://t.co/2oDx1tM5tt</t>
  </si>
  <si>
    <t>vaconmarke65311
Un #vendedor te da 10 razones para
no comprar. Un asesor de #ventas
te da 1000 razones para comprarte
y fidelizarte cómo #cliente. Allí
el secreto del #servicio.</t>
  </si>
  <si>
    <t>oleonardodantas
#vendas #vendermais #comovendermais
#comoaumentarasvendas</t>
  </si>
  <si>
    <t>doutornegis
Você concorda que vendedor deva
receber horas extras? Comente aqui
#notíciasjurídicas #vendedor #horasextras
https://t.co/8Ppnf2Ep7O</t>
  </si>
  <si>
    <t>alaboralec
#vendedor solucioneslaboralesec@gmail.com
https://t.co/n5L6ZFD8Lb</t>
  </si>
  <si>
    <t>plastlaminados
Quando o cliente fala que o ACM
não tem durabilidade. (O NOSSO
ACM TENDO 10 ANOS DE GARANTIA).
#vendedor #garantia O vendedor:
https://t.co/IXWtbiRdUU</t>
  </si>
  <si>
    <t>jorge_ebe85
https://t.co/WEJwVxX8Dc #ventas
#vender #sales #salestips #vendedor
#vendermas #salestraining</t>
  </si>
  <si>
    <t>elcircotv
¡Policías municipales de #Aguascalientes
detuvieron a #vendedor de #drogas
con 50 dosis de “crystal”! - https://t.co/xgy96pNnkC</t>
  </si>
  <si>
    <t>ventas_exito
“Todos los tontos los tengo como
clientes” “Este cliente es un tiquismiquis
o especialito”. Esto suelo escuchar
en muchos vendedores del sector
#horeca donde no consiguen vender
y le echan la culpa a cómo es el
#cliente… Si tú cómo #vendedor
no te ad…https://t.co/iygTzFbbyy</t>
  </si>
  <si>
    <t>globalempregos
#Vendedor | Niterói/RJ Para se
candidatar siga o link da vaga:
https://t.co/ilP5etG2dk #GlobalEmpregos
#VagasDeEmprego #OportunidadeDeEmprego
#Emprego #ProcuroEmprego #Currículo
#VagaDeTrabalho https://t.co/VNGclpNv9e</t>
  </si>
  <si>
    <t>juanpedroporra1
RT @Torcadul: ⚠ ¡OFERTA DE TRABAJO!
✅ Experiencia en el sector de dulces
✅ Disponibilidad de lunes a domingo
✅ Campaña navideña Envía tu…</t>
  </si>
  <si>
    <t>telepremier
🔴 Sicarios acabaron con la vida
de un vendedor en los exteriores
de la parada de la Metrovía ubicada
en Santa Priscila, Vía Daule, al
norte de la ciudad, los sujetos
fueron capturados después por la
Policía Nacional. #Sicariato #Vendedor
#Guayaquil #Ecuador https://t.co/KlH1qjj02s</t>
  </si>
  <si>
    <t>negocios_tv
Un trader misterioso tumba Apple
en unos minutos ¿Quién vendió 33M
de acciones? https://t.co/UsgfMCzUb7
#apple #trading #acciones #wallstreet
#stevejobs #mercados #mercado #tecnologia
#crisisapple #warrenbuffet #vendedor
#buffet #noticiasenespañol #negociostv
https://t.co/spKnPfSNwv</t>
  </si>
  <si>
    <t>oscarmarcosg
Vendedor toma en cuenta este consejo:
Cuando des un precio a tu cliente/prospecto
nunca hay que continuar con un
"pero", ya que se da la sensación
de que nos estamos justificando.
#ventas #vendedor #vendedores #vender</t>
  </si>
  <si>
    <t>sonderargentina
Buscamos #vendedor/a para nuestro
#local en CABA - Residir en #VillaCrespo
o alrededores. - Disponibilidad
full time (lun a dom, francos semanales).
- Conocimientos paquete Office,
facturación, email. Enviar CV a
rrhh@valorargentino.com.ar #ValorArgentinoSRL
#BúsquedaLaboral https://t.co/tek85PiLbL</t>
  </si>
  <si>
    <t>elvendedor81
En todas las empresas con asesores
de ventas, existen cruces de clientes.
La solución es nunca perder comunicación
con tu prospecto, porque puede
serte infiel con un compañero o
con la competencia. #vender #ventas
#vendedor #vende</t>
  </si>
  <si>
    <t>estadoluz_
Se viraliza video de autoridades
confiscando carrito de un vendedor
de pan de 80 años de edad 😔😔
. . . #Autoridades #confisca #vendedor
#apoyo #TeatroManuelDoblado #Guanajuato
#vendedordepan #DirecciónDeComercio
https://t.co/KgxvWqMBu1</t>
  </si>
  <si>
    <t>billeteramovil_
Visita la sección Territorio Billetera
Móvil, tanto en la modalidad Comprador
como Vendedor, disponible en https://t.co/fds2Ol5N68
#Comprador #Vendedor, descubre
y disfruta los beneficios que ofrece
esta sección a todos los usuarios
registrados en nuestra plataforma.
https://t.co/glmBH1wxOE</t>
  </si>
  <si>
    <t>eldial_com
🔗 Link: https://t.co/0DNDKCrC05
📌 Si querés acceder a todos los
fallos, artículos de doctrinas
y normas legales, suscribite a
https://t.co/Za62zcoizu | ¡Podés
probarlo gratis! 📌 #Xbox #consola
#juegos #compra #ecommerce #vendedor
#demanda #jurisprudencia https://t.co/tRnoUxHY0f</t>
  </si>
  <si>
    <t>rprsabogados1
RT @elDial_com: 🔗 Link: https://t.co/0DNDKCrC05
📌 Si querés acceder a todos los
fallos, artículos de doctrinas
y normas legales, suscribit…</t>
  </si>
  <si>
    <t>casasmaracana
⭕ VENHA FAZER PARTE DA NOSSA EQUIPE.
🫵🏻 ESTAMOS CONTRATANDO VENDEDOR
(A), COM EXPERIÊNCIA EM LOJA DE
MATERIAIS DE CONTRUÇÃO 🧱 #VENDEDORES
#vendedor #oportunidadedetrabalho
#materiaisdeconstrução https://t.co/qPLuqsotMJ</t>
  </si>
  <si>
    <t>juanitomalafoya
Me llamo Juanito Malafollá y te
voy a contar las #noticias de #granada
de hoy #lunes 3 de #julio de #2023
#verano #estafa #vendedor #thermomix
#tribunaldecuentas #cetursa #sentencia
#incendio #hlalainmaculada https://t.co/FgaHHdHr0i</t>
  </si>
  <si>
    <t>gestionmhumana
Capacita a tu fuerza de ventas
con el taller EL VENDEDOR DE ALTO
DESEMPEÑO Solicita tu cotización
llenando el formulario "requerimiento"
en nuestra página web o en la bio
#ventas #formación #habilidadesblandas
#vendedor #recursoshumanos #empresa
#negocios #talentohumano https://t.co/zRY8dce078</t>
  </si>
  <si>
    <t>kevintanori11
El típico vendedor del barrio 💸💪🏼
https://t.co/aWGImwH6Ub ❤ #YouTube
#YouTuber #Mexico #sketch #Parody
#vendedor #life https://t.co/XRYTu8QkyA</t>
  </si>
  <si>
    <t>pgsconsultingg
Vender “es un compendio de muchas
cosas que no funcionan una sin
la otra”. Si quieres saber cuáles
son esas herramientas, revisa este
video con Freddy Colina Machado
https://t.co/GAdExHF21M #vendedorexitoso
#vendedor #agentedeseguros</t>
  </si>
  <si>
    <t>academyeducacao
No MBA em VENDAS, NEGOCIAÇÃO E
RESULTADOS DE ALTA PERFORMANCE
ensinaremos o passo a passo das
estratégias que darão um UP nas
suas vendas. #vendas #negociação
#rapport #técnicasdevendas #vendedor
#pósgraduação #pósonline #MBA #neurociência
#neurociencia #inteligenciaemocional
https://t.co/826u4XKS1Y</t>
  </si>
  <si>
    <t>eliotello23
Comienza el #2023NewYear , si estás
en búsqueda de una oportunidad,
busco emprendedores en #Cordoba
#Trelew Que estás esperando? Envia
tu mp #emprendedores #vendedor
#ventas</t>
  </si>
  <si>
    <t>chavesechapolin
A turma do Chaves nos bastidores
do episódio "O vendedor de balões"
em 1977. ❤️🥰😍 #chaves #seumadruga
#quico #bastidores #fotorara #tbt
#chiquinha #seubarriga #donaflorinda
#vendedor #balões #humor #comedia
https://t.co/NTlWfoqYmU</t>
  </si>
  <si>
    <t>teslatemis007
#vendedor https://t.co/aJ6OpHkgql</t>
  </si>
  <si>
    <t>snesanluis
Miércoles de #TrabajoHay Te invitamos
al próximo #Reclutamiento que se
llevara a cabo: 📅 12 de abril
🕙 9:00 - 13:00 hrs 📍 @STPSSLP
😷 Uso de cubrebocas. ¡Te esperamos!
#Operario #InspectorDeCalidad #Vendedor
#Cajero #Trabajo #Empleo #SLP #LaSecretaríaDelTrabajoTeDaTrabajo
https://t.co/uyRFBFjP65</t>
  </si>
  <si>
    <t xml:space="preserve">stpsslp
</t>
  </si>
  <si>
    <t>cuartodemillamx
Hola, buen día soy Ricardo Martínez 
. Adquiri un vehículo bmw #m2 2024
de contado en #cever #santafe con
el #vendedor #Roberto #Martínez
que sube muchis videos en tik tok
el trato lo cerre por teléfono
le transferí un viernes me dijo
el miércoles ven oor tu coche llegue
me… https://t.co/Pv2flpomMN</t>
  </si>
  <si>
    <t>ingodwetrustja7
RT @cuartodemillamx: Hola, buen
día soy Ricardo Martínez  . Adquiri
un vehículo bmw #m2 2024 de contado
en #cever #santafe con el #vendedo…</t>
  </si>
  <si>
    <t>aztecachihuahua
Vendedor de leña en temporada invernal,
historia de Artemio . #Información
de @SolarKenia #Noticias #Chihuahua
#leña #vendedor #comerciantes https://t.co/E84oDQfJut</t>
  </si>
  <si>
    <t xml:space="preserve">solarkenia
</t>
  </si>
  <si>
    <t>awebmor
Estratégias digitais + Processos
de vendas bem alinhados = MAIS
FATURAMENTO. #webmor #negóciosonline
#empreendedorismo #vendermais #estratégiasdigitais
#assessoriadevendas #transformaçãodigital
#negócios #mei #pequenasempresas
#pequenasemediasempresas https://t.co/c9f58irNiS</t>
  </si>
  <si>
    <t>mysteryproject2
¡Nueva oferta de empleo! Desde
Mystery Project buscamos a un/a
#vendedor especializado en #SaaS
- 100% #teletrabajo #homework #remotework
#hiring https://t.co/0hUJ52erJr</t>
  </si>
  <si>
    <t>ofertapremium
🎯 Oferta loca en el Fire TV Stick
HD con mando por voz con Alexa
integrada #Publi #Amazon ⭕️ Ahora:
24,99€ 🛒 Aquí: https://t.co/c45xshVFNQ
#siguiente #vendedor #azalea https://t.co/9wTyGgxmO2</t>
  </si>
  <si>
    <t>canales3y7
🔴Momento en que #taxi embiste
a #vendedor ambulante (VIDEO) ➡
https://t.co/ku7QQKHAZY</t>
  </si>
  <si>
    <t>andresilva1206
Vendedor não é aquele que vence
sempre, mas sim aquele que luta
diariamente para não perder para
os seus pensamentos!!! #vendas
#vendermais</t>
  </si>
  <si>
    <t>empleo_na
👀#ofertasdeempleo #PersonalDeLimpieza
#Contable #administrativos/as #vendedor/a
#educador/a #gerocultor #gerocultora...
Cada semana recibimos nuevas demandas
de #empleo de empresas, organismos
y entidades de toda Navarra.  💼 
#comparte +detalles:  🔗 https://t.co/MAYlmX5ITR
https://t.co/xRZw80QGL0</t>
  </si>
  <si>
    <t>erlan_dgm
Estamos armando nuestro equipo
de ventas para nuestros servicios
y proyectos: Si estas interesado
ponte en contacto con nosotros
al correo: erlan.dgm@gmail.com
#vacante #ventas #mercadotecnia
#sintrabajo #buscandotrabajo #vendedor
#vendedora #equipodeventas #produccion
https://t.co/oBpOhh1V1q</t>
  </si>
  <si>
    <t>meucrediario
Pode dizer adeus ao "quem comprar
à vista compra pouco" e preparar
sua loja para vender ainda mais!
Conte com o crediário próprio e
aproveite ao máximo esse Dia das
Mães! 💸 #meucrediario #crediario
#lojas #vendas #diasdasmaes #vendermais
https://t.co/5qrhbWkqXG</t>
  </si>
  <si>
    <t>ipforce_telecom
#ipforce #empreendedores #vendedor
#PIN #pabxvirtual #pabxinteligente
#telefonia #telefoniaip #voip https://t.co/BzWfMCnqrh</t>
  </si>
  <si>
    <t>radio3trelew
Asalto a mano armada a un #vendedor
ambulante de muebles en #Trelew
🚨 ⬇️Más⬇️ https://t.co/npKCzMryZn</t>
  </si>
  <si>
    <t>jacklupio
Creen que me contraten? 😂 #zara
#tiendaderopa #trabajo #tiendadepartamental
#zaraoutfit #vendedor Tiendas de
ropa Ropa de Zara Vendedores de
Zara Trabajadores de Zara https://t.co/2GrtgzXZQA</t>
  </si>
  <si>
    <t>arthuroliveirad
💥MÊS DOS NAMORADOS NA BAW💥 🔥
MAIS DESCONTOS PROGRESSIVOS PARA
VOCÊ NAMORAR 🔥 #bawclothing #baw
#streetwear #desconto #cupomdedesconto
#cupom #liquidacao #vendedor #cupomdevendedor
#progressiva #diadosnamorados #namorados
https://t.co/lMlV5GycRO</t>
  </si>
  <si>
    <t>dole_one
Busco #VENDEDORA #VENDEDOR</t>
  </si>
  <si>
    <t>formate_oficial
Estas 5️⃣ competencias son básicas
para trabajar de comercial 🧑‍💼
🏬 🔗https://t.co/d8R2RwDhtq #agentecomercial
#agentedeventas #comercial #competenciasvendedor
#competencias #comunicación #autodisciplina
#vendedor #ejecutivodeventas #competenciaslaborales
#vendedorefectivo</t>
  </si>
  <si>
    <t>jeimage
Conoce cuatro consejos para #contratar
a un buen #vendedor #JEimage https://t.co/h6jEa2aVgw</t>
  </si>
  <si>
    <t>marcrixnoticias
#Accidente | 🚨 #Enfermera del
IMSS #atropella a #vendedor de
chicles en Cancún😧 El hombre terminó
con la pierna desgarrada https://t.co/belTtoMaNm</t>
  </si>
  <si>
    <t>yakuconsultora
Buscamos VENDEDOR EN TERRENO, envíanos
tu cv al 351 859 5250. #ofertalaboral
#oportunidadlaboral #vendedor https://t.co/4OcvnB8CKm</t>
  </si>
  <si>
    <t>adapta_tech
El #vendedor debe ayudar a tu #cliente
en la misma sala de ventas, sin
necesidad de desplazarse hacia
el #tpv. Ayudamos a los #comercios
a implantar soluciones #omnicanal
que facilicen la #fidelización
y mejoren la gestión integral de
la #empresa. https://t.co/JeIljwbvpL</t>
  </si>
  <si>
    <t>consult_report
Trecho do #dashboard : https://t.co/Mi1DKpH0wQ
Tecnologias envolvidas na análise
de performance dos vendedores:
- #css3 - #HTML5 - #bootstrap Destaques:
- Avatar com borda rotativa - Barra
de progresso baseada na análise
vertical do faturamento por #vendedor
https://t.co/yKiikODFgB</t>
  </si>
  <si>
    <t>raphael_cordova
#sistemasdearmazenagem #armazenagem
#portapalete #portapallets #varejo
#industria #industrias #industrial
#raphaelcordova #supermercado #atacarejo
#negócios #vendedor #vendas #representante
#representantecomercial https://t.co/EMffh8Mkj3</t>
  </si>
  <si>
    <t>zaloalo
RT @YoSoyOriginal_: 👜 ¿Quieres
asegurarte de que tu #bolso es
original? 👉 1º Revisa todas las
opiniones del #vendedor 👉 2º Analiza
las #cos…</t>
  </si>
  <si>
    <t>guardianaliento
Porfirio: Fue un atleta de Lucha
Libre con renombre Nacional. Luego
activista en San Juan y Martínez,
donde es muy conocido. Ahora es
trabajador por cuenta propia de
útiles del hogar, y a pesar de
todo, se siente muy contento por
desempeñar esa labor... #Vendedor
https://t.co/xNeb0uUI0G</t>
  </si>
  <si>
    <t>rdiostudiobr1
ATENÇÃO! #golpe #pix #vendedor
https://t.co/O7s9l2aYTP</t>
  </si>
  <si>
    <t>katherin8782818
Caso #vendedor cachorros Rt urgentw
https://t.co/j8cJN8Zs1i</t>
  </si>
  <si>
    <t>mnifstddreams
#ConsejoDiarioIA: #Vendedor, usa
#ChatGPT para redactar propuestas
y correos persuasivos. Crea descripciones
de productos atractivas. ¡#IA es
tu mejor asistente de ventas! #Ventas
#Tecnología #Cliente #Cierre #InteligenciaArtificial</t>
  </si>
  <si>
    <t>viniciusdiferr1
Vender é coisa séria 🧠 #vendas
#vender #vendedor #vendedores #vendasonline
#digital #marketing #marketingdigital
#plenitude #lucro</t>
  </si>
  <si>
    <t>puschinni
RT @portavisa: El vendedor efectivo
con su cliente.👀🤓👍 . . . #ventas
#vendedor #portavisa https://t.co/vS1NMddecT</t>
  </si>
  <si>
    <t>rasinkavz
😆😂🤣🤣🤣 cuando El #vendedor
es #mala #onda/#kiko https://t.co/QsCRe6vZLX
a través de @YouTube</t>
  </si>
  <si>
    <t xml:space="preserve">youtube
</t>
  </si>
  <si>
    <t>meeeegustarc5
✊🏻🇪🇨 Todos juntos volveremos
a recuperar la Patria. 💙 Consigue
aquí El borreguito de tu Profesión.
#MeeeeeGusta #ResurgirDeLaPatria
#TécnicoReparadordeComputadoras
#TejedorenTelar #TrabajadorSocial
#Vendedor https://t.co/nNjAwKpfCf</t>
  </si>
  <si>
    <t>danisanchez454
Empresa del sector de las telecomunicaciones
se encuentra en la búsqueda de
asesor comercial interno para la
ciudad de Bucaramanga. #empleo
#empleos2023 #bucaramanga #asesorcomercial
#vendedor #sihayempleo #sihaytrabajo
#atencionalcliente #Interno #telecomunicaciones
#santander https://t.co/LLoZ7Y0xJo</t>
  </si>
  <si>
    <t>colombiavozavoz
#EnVideo En local del centro de
#Cali una #mujer aprovecha el #descuido
de un #vendedor para #hurtar un
producto en cuestiónde segundos
sin que nadie se percatarse, el
hecho quedó registrado en camara,
#comerciantes están #desesperadospor
la #inseguridad. https://t.co/rumzxX4eLU</t>
  </si>
  <si>
    <t>michellenvarro
@Ameericastore busca #vendedor
#trabajoremoto #télétravail https://t.co/nIhjZ1l6qC</t>
  </si>
  <si>
    <t xml:space="preserve">ameericastore
</t>
  </si>
  <si>
    <t>empleolandia
MediaMarkt España abre una vacante
para Vendedor/a en Bilbao-Zubiarte.
#bilbao #empleoenespaña #vendedor
#busquedalaboral https://t.co/znJafIGUnX</t>
  </si>
  <si>
    <t>dux284
Orgulho de ser representante comercial.
Fonte: https://t.co/rWibww1sOc
CORE PR 👊🏻 feitooo! https://t.co/SwS39WwGDe
@EFRVendas #vendas #vendedor #motivação
#inteligência #negocio #vida #saúde
#representantecomercial #dinheiro
#resultado #paradigma #…https://t.co/IlsuxdNXCe</t>
  </si>
  <si>
    <t>memez_van
#Escopeta #Nirvana #Chiste #Vendedor
#KurtCobain #Kurt #Cobain https://t.co/AWPtFtEqwq</t>
  </si>
  <si>
    <t>chatguruoficial
O dever de todo #vendedor é conhecer
muitíssimo bem o que está vendendo.
😃 Se mostre disposto a solucionar
suas dúvidas, problemas e ajudá-lo
no que for preciso. Visite nosso
blog para conhecer mais dicas.
Link na bio! #chatguru #atendimentoaocliente
#experienciadocliente https://t.co/haasHhA9b7</t>
  </si>
  <si>
    <t>century21goldt
Recuerda que el próximo mes de
Abril se tiene que presentar la
declaración anual✍ de las propiedades
vendidas en el año 2022 ¿Si es
tu caso? prepárate para presentar
estar listo.✔ #declaracionanual
#vendadeinmueble #personafisica
#vendedor #inmueble #inmobiliariadeconfianza
https://t.co/XODEGcrteL</t>
  </si>
  <si>
    <t>vinicius198547
Eu nas vendas! #vendas #vendedor
#Memes https://t.co/qVF7csNXUZ</t>
  </si>
  <si>
    <t>tatahsouza21
RT @vinicius198547: Eu nas vendas!
#vendas #vendedor #Memes https://t.co/qVF7csNXUZ</t>
  </si>
  <si>
    <t>cptm_oficial
#cursogratuito #cursoonline #vendermais
#venderonline #cursoonline #cursogratuito
#cursoalimentos #cursobeleza #cursoestetica
#vendas #Sebrae #GovernoSP #mulherempreendedora
#mulheresempreendedorasdigital</t>
  </si>
  <si>
    <t>thesauce_ag
A The Sauce não para de crescer!!!
Estamos contratando um vendedor
apaixonado por publicidade para
se juntar à nossa equipe em São
Paulo! Venha trabalhar conosco!
#thesauceag #vagaemprego #publicidade
#vendedor #oportunidadeprofissional
#trabalheconosco #agênciadepublicidade
https://t.co/RVpGMDkqaM</t>
  </si>
  <si>
    <t>papodevendedor
Vê se vc identifica alguém aí!!?
Se quiser ver o vídeo todo vai
lá no app vizinho @henriquepc #vendas
#vendedor #viralizar #segueai https://t.co/LZT9G2yg8w</t>
  </si>
  <si>
    <t xml:space="preserve">henriquepc
</t>
  </si>
  <si>
    <t>focushr_
Nueva búsqueda laboral ⚠️👇🏼 #busquedalaboral
#focus #focusbusca #vendedor https://t.co/IjaUDWmXFn</t>
  </si>
  <si>
    <t>consultores_dp
BUSCAMOS VENDEDOR EXTERNO ❗️✨ Contratación
Inmediata ✅ Aplica o Comparte ✅Aplica
YA mediante nuestra web https://t.co/ClWfsAzCXP
o contáctanos al 809 582 6106 ¡Te
esperamos! #vacantesantiago #vacantesrd
#vacantesti #RRHH #empleosrd #trabajosrd
#trabajosihay #vendedor https://t.co/aaUQpyVZT7</t>
  </si>
  <si>
    <t>m_garciaarranz
Para un #vendedor contar con una
#Valoración Inmobiliaria profesional
de una propiedad resulta de gran
relevancia para afrontar una venta
con información técnica y objetiva
acerca del bien Impartiendo una
#formación sobre cómo hacer una
valoración en @redpiso_oficial
MGA https://t.co/D7v4J1bhsU</t>
  </si>
  <si>
    <t>yessagenciaweb
🎯 Criar um site sozinho ou contratar
uma agência? Confira as vantagens
e desvantagem de cada opção! Veja
mais informações na descrição!
#criacaodesite #criaçãodesitesresponsivos
#pequenasempresas #vendermais #catalogodigital
#lojavirtual #lojavirtualparanegocioslocais
https://t.co/8pVXA00WuV</t>
  </si>
  <si>
    <t>alimentadorweb
¿Usted cree que yo vendo por montones?
¡No señor! de cada 100 cotizaciones
que presentó 1 me aprueban. ¡Deje
de llorar y póngase a trabajar!
😠 #ventas #informaticas #sistemas
#vendedor</t>
  </si>
  <si>
    <t>inteligencia999
El curso profesional para crear
y construir una lista de suscriptores
voluntarios inmensa: https://t.co/gaiHihBMgc
#lista #suscriptores #curso #clientes
#leads #prospectos #vender #vendedor
#marketero</t>
  </si>
  <si>
    <t>julioce81307211
A vida é repleta de desafios cabe
á você enfrentar cada um deles
e não desistir. . . #motivacao
#motivacional #empreendedorismo
#vendedor #corretor #corretordeimoveis
#corretordeimóveis #rogeriopraes</t>
  </si>
  <si>
    <t>mtzompantzi
Agentes de bienes raíces: ¿Tienen
#concesiones de exceso de #vendedor
para usar? Trabaja conmigo y puedo
ayudar a tus compradores a aprovechar
una #tarifa fija más #baja. https://t.co/z8f213YEaD</t>
  </si>
  <si>
    <t>rhplanningmx
VENDEDOR DE CAMPO -Zona: Bosque
de las Lomas -Experiencia en ventas
-Bachillerato concluido -$12k +
Comisiones -Contrato directo con
la empresa Envía hoy mismo tu CV
con Susana Silva al 55 1832 3812
@LosCazaVacantes @la_de_rh @YVacantes
#reclutamiento #vendedor #EMPLEO
https://t.co/WFyVPpsOSi</t>
  </si>
  <si>
    <t xml:space="preserve">yvacantes
</t>
  </si>
  <si>
    <t xml:space="preserve">la_de_rh
</t>
  </si>
  <si>
    <t xml:space="preserve">loscazavacantes
</t>
  </si>
  <si>
    <t>fatimavazquezdg
🚩 #Tulum | Le pretenden cobrar
500 pesos por una empanada; enfurece
y tira su producto A través de
las redes sociales, se difundió
un video donde una #turista pelea
con un #vendedor ambulante en la
zona de playas en Tulum. #QuintanaRoo
https://t.co/KnoEwBhJt8</t>
  </si>
  <si>
    <t>marielalivy
Seguimos buscando VENDEDORES para
local de indumentaria masculina
ubicado en Flores, CABA. Horario
laboral: de lunes a viernes de
8 a 18hs Envianos tu CV y/o consultas
a cv@livy.com.ar #ropa #indumentaria
#vendedoras #vendedores #ventas
#vendedora #vendedor #comercial
https://t.co/kYCy5Szl5q</t>
  </si>
  <si>
    <t>podermail_com
El vendedor mas grande del Mundo.
- Un libro que verdaderamente cambio
mi forma de ver la vida... es una
recomendacion de mi padre. ¡Gracias!
#OgMandino #Vendedor #Libros #literatura
https://t.co/ewy60sRYms</t>
  </si>
  <si>
    <t>josepoliticus
#PedroSánchez #PSOE, un #vendedor
de #crecepelo El #Presidente del
#Gobierno tiene la intención de
#subvencionar la vida a muchos
de los #españoles Recordar aquellos
#regímenes en los que en el fondo
el mayor interés era mantener #adormilado
al #pueblo https://t.co/oiODtISKTm</t>
  </si>
  <si>
    <t>grucaps
#Vacante #puesto #vendedor #ventas
#Dinero #ganancias #trabajo https://t.co/rNG9Z2xMvj</t>
  </si>
  <si>
    <t>bassilevandro
Quando chega a fatura do cartão
de crédito e vejo que gastei mais
do que vendi de carro 😬😅 #FYP
#explorepage #explore #vendas #vendedor
#vendadeautomoveis #fatura #faturadocartao
#cartaodecredito #lascou https://t.co/p2XR85MKYe</t>
  </si>
  <si>
    <t>tierras_cid
🌅 @TierrasdelCid través del #LEADER
2014-2020 @empresasempleo está
gestionando oferta de empleo de
#vendedor@ #expendedor@ para estación
de servicio de San Esteban de Gormaz.
Interesad@ ⤵ https://t.co/3IbiGT4WZs…
👉https://t.co/AI60txo0dc ó https://t.co/jVtXIJuWYo
https://t.co/hymCMkGCpA</t>
  </si>
  <si>
    <t xml:space="preserve">empresasempleo
</t>
  </si>
  <si>
    <t xml:space="preserve">tierrasdelcid
</t>
  </si>
  <si>
    <t>lib_capitulos
Disponible en https://t.co/brLF5CYsjQ
🦉 Envío a domicilio a todo el
país. 🛵 #libreriacapitulos #complacemoslectores
#ogmandino #ventas #vendedor #libros
#leer #sale https://t.co/8obOy6tAHW</t>
  </si>
  <si>
    <t>oportoneto
Post novo lá no meu IG! Confira
ele completinho clicando no link
abaixo: ⤵️⤵️⤵️ https://t.co/idQYgTPxw7
. . . . . #Vendas #vendedor #equipe
#resultados #processos #time #ritmo
#ação #OPoderDasVendas 🔥 https://t.co/3Nwtm8QB5j</t>
  </si>
  <si>
    <t>juniorportare
Trabalho é sinônimo de dedicação,
esforço e superação. Neste dia
do trabalho, celebremos a importância
de cada profissão e o valor de
cada trabalhador. #diadotrabalho
#vendedor https://t.co/xU9altVlb3</t>
  </si>
  <si>
    <t>iloveventas
Diccionario de ventas: #Closers
(cerradores de negocios ) son quienes
hacen demos, reuniones y cierran
los #negocios Leer más 👉 https://t.co/EPA9x3UJ6b
#Saas #Emprender #Ventas #vendedor
#ILoveVentas #AprendeAVender</t>
  </si>
  <si>
    <t>binho_nog
@RogerioMorgado @rmotta2 @RogerioMorgado,
cara o @Pavinatto me enganou, disse
que ia dar de graça um material
quem escrevesse "panico" no insta
dele, chegando lá....é venda curso!!
dá uma moral lá pra nós!!! #pavinattomentiroso
#vendedor de curso</t>
  </si>
  <si>
    <t xml:space="preserve">pavinatto
</t>
  </si>
  <si>
    <t xml:space="preserve">rogeriomorgado
</t>
  </si>
  <si>
    <t>revistatmx
🚨 #Edoméx.- #DirecciónDeSeguridadPública
de @Gob_Tlalne, realizará la #búsqueda
de la persona responsable de arrollar
a un #vendedor de #tamales, a fin
de ponerla a disposición de las
#autoridades #competentes y deslindar
responsabilidades. 🌐 https://t.co/qWQdYELzLf
📰 https://t.co/DPY6tAUMfI</t>
  </si>
  <si>
    <t xml:space="preserve">gob_tlalne
</t>
  </si>
  <si>
    <t>inmoinformativo
Comisión de inmobiliarias #inmoinformativo
#inmobiliaria #realstate #comision
#cobrar #españa #agenciainmobiliaria
#comprador #vendedor https://t.co/IESXgwNtor</t>
  </si>
  <si>
    <t>1terceirizacao
Curso on line Jovem e Adulto. #estudante
#vendedor #representantecomercial
#saopaulo https://t.co/olETgR8PyU</t>
  </si>
  <si>
    <t>thebonnermx
¿Quieres persuadir como un experto?
🎩 Descubre los 7 principios de
persuasión de Robert Cialdini que
todo vendedor debe conocer. 👇
#Ventas #Persuasión #Negocios #RobertCialdini
#PrincipiosDePersuasión #Vendedor
#ÉxitoEnNegocios #Conectar #Influencia
https://t.co/le2FKoKjPe</t>
  </si>
  <si>
    <t>wil_carrillo18
@LFuenmayorToro #SeRematanTitulos
Según las informaciones el #vendedor
de los títulos,carga para el cobro,un
punto de venta inalámbrico,se puede
pagar en dólares y también se acepta
pago móvil,😜😂😭.</t>
  </si>
  <si>
    <t xml:space="preserve">lfuenmayortoro
</t>
  </si>
  <si>
    <t>jornalsomos
Senai e Sesi abrem vagas com salários
de até R$ 4,4 mil em Goiás https://t.co/CTpvEpoUkb
#RIOVERDE #GOIANIA #ANÁPOLIS #SESI
#SENAI #VAGAS #BIBLIOTECÁRIO #PSICÓLOGO
#VENDEDOR #TECNICODEENFERMAGEM
#PUBLICITÁRIO #PROFESSOR #TECNOLOGIA
#INSTRUTORDESOLDAGEMMETALMECANICA
https://t.co/GxxNGu3a8X</t>
  </si>
  <si>
    <t>rosaescamilla19
Estamos #Contratando para BAZAR
NAVIDEÑO🎄🎄🎄 Integrate como #Vendedor
Sears Irapuato, Sucursal Centro
Guerrero y Cortázar, Zona Centro
Informes 462.623.90.75 ext. 1120
whatsApp 4622490021 Registra tus
datos en: https://t.co/ipTgEmYFmC
https://t.co/7VNueF4qgM</t>
  </si>
  <si>
    <t>deobedsdl
Es Irónico cómo una actividad que
ya has hecho constantemente cuando
haces algunls cambios vuelve a
generar miedo, incertidumbre etc
#emprendimiento #vendedor #vendedorambulante
#cafeteria #vendocafe #miexperiencia
#CaminoPróspero💪🏻</t>
  </si>
  <si>
    <t>inmobgonzalez
El boleto de #compraventa deja
una constancia escrita de las condiciones
de la #transacción y de las obligaciones
asumidas por las partes. A su vez,
constituye un elemento de prueba
y en él, generalmente, se estipulan
penalidades a favor del #vendedor.
https://t.co/2KT1CINOgW</t>
  </si>
  <si>
    <t>andrevalgestor
Me chame e vamos elaborar a ESTRÉGIA
CORRETA, para o seu PUBLICO ALVO,
com valores baixo mas que você
vai aparecer para todos os possíveis
clientes. #andrevalgestor #estrategia
#vendermais https://t.co/w5bsz5cu92</t>
  </si>
  <si>
    <t>radiosol1039
#Vendedor de hot-dogs se queda
dormido y jóvenes lo ayudan a despachar
https://t.co/w9Hd7xrbXR https://t.co/xSrkeJHiad</t>
  </si>
  <si>
    <t>blogdohiel
Depois que vídeo com pedido de
ajuda viralizou, vendedor de dindin
com paralisia cerebral ganha geladeiras
para continuar trabalhando Leia
mais em https://t.co/NXULeiOpxl
#vídeo #ajuda #vendedor #dindin
#geladeiras</t>
  </si>
  <si>
    <t>myagastelum
Importante situarnos #Personalmente
en lo que somos y en lo que queremos
ser, porque siendo un comun o corriente
#Vendedor, nunca tendras necesidad
de cargar a una colonia, una ciudad,
un estado, y MUCHO MENOS UN PAIS.</t>
  </si>
  <si>
    <t>ricardobuse
Ventas un mundo increíble y único!!!
Video solo para entendidos... #ventas
#vendedor #mkt #mundo #World #negocios
#businessowner #exito https://t.co/wYUGQRvYoj</t>
  </si>
  <si>
    <t>gondolabrasil
A experiência de compras pode minimizar
os impactos desse perfil 😉 #DicionarioDoVarejo
#Showroomer #ExperienciaDoConsumidor
#VenderMais #VarejoInteligente
https://t.co/HLz9Mq9wPW</t>
  </si>
  <si>
    <t>luizreuter
Esta semana, li um #depoimento
no qual um homem se aproximou e
disse ser #vendedor de perfumes
a uma mulher quando ela se dirigia
ao carro em #estacionamento aberto.
Isso já aconteceu comigo quando
visitei alguma vila em #Portugal.
(cont)</t>
  </si>
  <si>
    <t>adv_arlisson
#vendedor https://t.co/omVps4A5HU</t>
  </si>
  <si>
    <t>brainstormlabs_
Así generé 100.000 € vendiendo
bicicletas !!! Como lo OYES, he
conseguido vender + de 1.000 bicicletas
de gravel en los últimos 12 meses.
#vendedor #tecnología #inteligenciaartificial
#emprendedor #brainstormlabs https://t.co/RNw1mS43ez</t>
  </si>
  <si>
    <t>alcalrodrguez1
@parejaHOTWIFEX Es normal, los
europeos ya saben que así pueden
ver gratis, le ha pasado muchos
que tiene #only esa metedo, tiene
tiempo de decir si la compra fue
por error o por algo que no gusta
….. recuerda que #onlyfan está
a favor del cliente no del #vendedor</t>
  </si>
  <si>
    <t xml:space="preserve">parejahotwifex
</t>
  </si>
  <si>
    <t>arcentroeduca
Buscar #oportunidades de expansión:
una vez que el negocio esté establecido,
el #vendedor puede explorar #oportunidades
para expandir su oferta de #productos
o abrir nuevos puntos de venta
en otros lugares. ¿𝗧𝗶𝗲𝗻𝗲𝘀
𝗱𝗶𝘀𝗲𝗻̃𝗮𝗱𝗼 𝘁𝘂 𝗺𝗼𝗱𝗲𝗹𝗼
𝗱𝗲 𝗻𝗲𝗴𝗼𝗰𝗶𝗼𝘀?</t>
  </si>
  <si>
    <t>manpowergbrasil
#Oportunidade para Vendedor(a),
em uma empresa no setor de transporte,
logística, cadeia de suprimentos.
Veja os detalhes e se candidate
pelo link: https://t.co/HyAjEIAwrm
#ManpowerGroup #Vendedor #Vendedora
#Manpower #VagasManpower https://t.co/AyJO05T0Et</t>
  </si>
  <si>
    <t>elyokasxd
disparan a vendedor, lo que vi
es que no se sabe porq lo mataron
dicen que tuvo algo que ver con
el cartel, pero nose sabe muy bien.
#VideoViral #gore #gorevideo #gorecenter
#gore #blood #vendedor #disparo
https://t.co/sxAAOXBN5I</t>
  </si>
  <si>
    <t>guiterrengui
Dica bônus: Escolha bem as pessoas
que vão trabalhar com você. O seu
time e o seu mentor são primordiais
para o sucesso do seu trabalho.
#negocios #vendas #empreendedorismo
#empreender #sucesso #business
#gestaodenegocios #vendermais #gestao
#desenvolvimentodenegocios https://t.co/t6xJvWxBgH</t>
  </si>
  <si>
    <t>ogmantuberias
El día de hoy, destacamos las habilidades
de nuestros vendedores, como su
constancia y atención personalizada
a nuestros clientes. ¡Feliz día
del #vendedor! https://t.co/XBmuqYVuIQ</t>
  </si>
  <si>
    <t>gustavodorazio
En casa de comidas céntrica, Ramos
Mejía. 1 empanada 400 pesos, un
sándwich de miga pequeño, 320;
una factura 210. Total: 930 pesos.
Agregar viaje de colectivo i/vuelta
al laburo/casa, una fruta, agua
de la canilla en botella propia.
El gasto mínimo x día de un #vendedor:
$1.500.</t>
  </si>
  <si>
    <t>truckvan
FALA AÍ, ILIMITADO! Quem fala hoje
é o vendedor de implementos rodoviários,
Edgar Brito, que ingressou no nosso
time de ilimitados em janeiro de
2021. Desejamos novas conquistas
e sucesso em seu caminho! Juntos
#SomosIlimitados #FalaAíIlimitado
#FamíliaTruckvan #Vendedor https://t.co/J0bC7fDdt7</t>
  </si>
  <si>
    <t>robertm07526169
♥️Maggi, defensora de la mano de
obra humana. ☠️York, defensor de
la mano artificial los robots.
#desempleo #abogado #medico #delivery
#profesor #obrero #mecanico #chofer
#empleado #conserje #guardia #policia
#campesino #vendedor 🌟Disponible
en https://t.co/1DVjXrU0Pm https://t.co/B6CQFMHXvE</t>
  </si>
  <si>
    <t>brokersanalisis
El #corredor toma ofertas de un
#comprador y las ofrece a un #vendedor
o viceversa. El #corredor recibe
una #comisión u #honorarios por
su trabajo ° #analisisbrokers #aprende
#blog #bolsa #broker #inversiones
#invertir #inverte #materiasprimas
#negocios #noticias #tecnologia
https://t.co/5yyUv3nR9L</t>
  </si>
  <si>
    <t>aravanlabs1
#oportunidadlaboral #ventas #vendedor
https://t.co/ahgZla2D4R</t>
  </si>
  <si>
    <t>infoblogmarket
Aumentare la capacità di promuovere
e #vendere un prodotto o #servizio
. Un’attività #strategica per espandere
i tuoi profitti... https://t.co/q6mwl5Bwpo
#marketing #negocios #imprenditore
#business #affare #apalancamiento
#socialmediamarketing #vendedor
https://t.co/087zMLzkwh</t>
  </si>
  <si>
    <t>apsddesign
Cartão de visita arte e impressão
Desenvolvemos a arte do seu cartão
após sua aprovação imprimimos e
enviamos para seu endereço. https://t.co/gmdkEYXhjR
#cartões #impresso #artes #uber
#graficarapida #gráfica #criação
#cartaodevisita #agenciapsd #artefinal
#vendedor #divulgar https://t.co/KusltoGJ7I</t>
  </si>
  <si>
    <t>pollodbienpegao
¡Y encima geminiano! ♊ (Recuerdos
post cuarentena) . . . #Humor #Geminis
#vendedor #comercio #malhumor #mañanas
#preguntasboludas #equipoinst #instareels
#instamood #Floresta #Rutina #cadadia
#buenhumor #gracioso #geminianos
#soyargentino #boludecesno #cadamañana
https://t.co/MYPiSsqWBE</t>
  </si>
  <si>
    <t>localappbr
Chegou a hora de você se tornar
um #vendedor 5 Estrelas!⭐️ https://t.co/OuKp7i8F0L</t>
  </si>
  <si>
    <t>mitoraiam
Top 5 profissões do mundo atual
#raiamsantosmcarn #dinheiro #profissao
#top5 #medico #agricultura #programador
#vendedor #influencer #fy #viral
https://t.co/PgjDLJp6sU</t>
  </si>
  <si>
    <t>melodionisio
Habilidades profesionales de venta
| 𝗖𝘂𝗿𝘀𝗼 "𝗜𝗻 𝗖𝗼𝗺𝗽𝗮𝗻𝘆"
🔥 #ventas #vendedor #consejerodelegado
#cursoventas https://t.co/nvdWYJFkLf</t>
  </si>
  <si>
    <t>cvplantillas
🧑‍💼 ¿Qué funciones debe de cubrir
un vendedor en su curriculum vitae?
Ejemplos prácticos y consejos que
debes llevar a cabo 👇 https://t.co/SWNqGTmRnP
#CurriculumVitae #Vendedor #Empleo
https://t.co/57AYpcxqBc</t>
  </si>
  <si>
    <t>luismanolos315
📌 ¿Qué funciones debe de cubrir
un vendedor en su curriculum vitae?
https://t.co/kBU1aSwOOL via @CVPlantillas
#curriculum #vendedor #cv https://t.co/8GOQiwLMcr</t>
  </si>
  <si>
    <t>navarragc
*La Guardia Civil ha #detenido
a un #vendedor ambulante con 675
perfumes falsos en #Pamplona* ▪️
Eran #falsificaciones de conocidas
#marcas que el detenido trato de
vender a agentes de paisano que
realizaban inspecciones en un locutorio
▪️ En el… https://t.co/S3dxDiBmo1</t>
  </si>
  <si>
    <t>storlabsmkt
Fala Lindeza! Bom aqui na StorLabs
a gente só recomenda o que a gente
testa e essa estratégia traz mensagens
de clientes interessados no nosso
serviço todos os dias e se dá certo
pra mim vai dar certo pra você
também! #storlabs #socialmedia
#clientes #vendermais https://t.co/gdC2CUS33I</t>
  </si>
  <si>
    <t>floraida17
@ReporteYa @DanielAlvarezRo Todo
esos #dólares se #perderían en
un #abrir y #cerrar de ojos a la
#isla se le #pondrían los ojos
como #vendedor de #prenda se pondrían
en #fila y la #metedera de #mano
en esas #arcas sería #descomunal
no #pide a #cambio de nada? Cuál
es la #agenda de los "#seudosopositores"?</t>
  </si>
  <si>
    <t xml:space="preserve">danielalvarezro
</t>
  </si>
  <si>
    <t xml:space="preserve">reporteya
</t>
  </si>
  <si>
    <t>helios_herrera
Cuando ya intentaste persuadir
al cliente de NO comprar lo que
quiere porque sabes que no le conviene…😩
#heliosherrera #heliosherreraconsultores
#heliosherreraventas #poderdevender
#ventas #vendedor #ventasexitosas
https://t.co/qA9QSfwoix</t>
  </si>
  <si>
    <t>coopsagroand
🔝Italia continúa un año más como
el primer #vendedor #mundial de
#vino 🍷🍷 💹Las #ventas crecieron
un 10,1% en 2022, alcanzando casi
los 7.834 millones de #euros, lo
que supone un máximo histórico
💶💶 https://t.co/fYetavpyA8</t>
  </si>
  <si>
    <t>leandroneuhaus
Coloque em prática essas dicas
e sinta a diferença em suas vendas.
#vendedor #empreendedorismo #sucesso
#foco https://t.co/U4TdzPfhYQ</t>
  </si>
  <si>
    <t>gruponewcompany
Acesse a vaga aqui: https://t.co/VekyWA4d44
#vaga #vagas #vendedor https://t.co/B8I2thAYj9</t>
  </si>
  <si>
    <t>paulaokmpo
#trabajosihay Vacantes laborales
para #quito, #latacunga y #guayaquil.
Recuerda compartir: una persona,
una familia te lo agreadecerán.
#supervisor #pasante #vendedor
#oportunidadeslaborales #oportunidadesdeempleo
#ikigai #ikigaihrconsulting #inspirandopropósitos
https://t.co/PBbJYsDwbq</t>
  </si>
  <si>
    <t>luzawesllei
Ajudamos a manter a presença digital
e a cadência de vendas ideal para
crescer o seu negócio. Saiba mais
👇 https://t.co/Ye2if7ZGps DZN
Project - Marketing Digital para
Negócios, em Constantina/RS. (54)
999579699 #DZNProject #MarketingDigital
#AgênciaDeMarketing #VenderMais
https://t.co/t0OupAPA7x</t>
  </si>
  <si>
    <t>kikemultiple
Sígueme @kikemultiple #comedia
#humor #broma #siyofuera #vendedor
#ropadeportiva #licras #chafas
#jajaaj https://t.co/VMj6YbEIGT</t>
  </si>
  <si>
    <t>alextri49052227
erros em vendas que você deve parar
de cometer hoje. Deixar de agregar
valor ao produto comercializado
Um cliente não está buscando apenas
bom preço, mas uma solução para
um problema específico. #vendedor
https://t.co/fFyilGDwzB</t>
  </si>
  <si>
    <t>cursorinformat1
#Nacional 🤬‼️ Continúan los abusos
😳 Una #turista enfureció con un
#vendedor ambulante luego de que
presuntamente la estafó al venderle
una prueba de empanada en 500 pesos,
en la zona de playas en #Tulum, #QuintanaRoo
#FelizMiercoles #NoVasASerPresidente
#LaydaSansoresCorrupta https://t.co/mcVBGgMkbZ</t>
  </si>
  <si>
    <t>resultadocomads
VENDEDOR DEVE AGIR COMO UM CONSULTOR
#resultadocomtráfego #vendas #vendedor
https://t.co/U9i0GJ1bG1</t>
  </si>
  <si>
    <t>lucashondarj021
Hoje foi o dia do meu amigo @samuel.amil
realizar seu sonho. Acredite! Você
pode ser o próximo. 📲21 97496-4320
🟢WhatsApp🟢 #honda #hondamotos
#recreiomotos #vendedor #realizandosonhos
#xrerally #xre300 https://t.co/ws3vJGs8qd</t>
  </si>
  <si>
    <t xml:space="preserve">samuel
</t>
  </si>
  <si>
    <t>grupopersonale
Buscamos profissional com experiência
em vendas de produtos do segmento
veterinário. Necessário superior
completo em Medicina Veterinária,
carro próprio e CNH B. Acesse:
https://t.co/Q5snTHSWy4 https://t.co/HX1YvAd7x5
#vagas #vagasdeemprego #vagasdf
#vendedor #medicinaveterinaria
https://t.co/sgCQO3hLpn</t>
  </si>
  <si>
    <t>stephengroberio
Na periferia o suco de Brasil #paocaseiro
#vitoria #tabuazeiro #vendedor
https://t.co/ufe1e5rAUE</t>
  </si>
  <si>
    <t>loganlyne
Tags: #networking #comunicacão
#Rapport #Network #persuasão #oratória
#linguagemcorporal #labia #vendas
#personalbranding #brandingpessoal
#dinheiro #empreendedorismo #empreender
#marketingdigital #mktdigital #Palestras
#vendedor #palestrante #orador
#empresário #influencer</t>
  </si>
  <si>
    <t>carmenrealtorfl
1 Copy of Guía del vendedor LPT
Realty https://t.co/y9qfAfBdcU
Guia del vendedor en español #VENDETUCASA
#inmobiliario #VENDEDOR #BIENESYRAICES</t>
  </si>
  <si>
    <t>cholloterapia
🎯 Oferta loca en el Fire TV Stick
HD con mando por voz con Alexa
integrada #Publi #Amazon ⭕️ Ahora:
24,99€ 🛒 Aquí: https://t.co/TwLO60W9NQ
#siguiente #vendedor #azalea https://t.co/yQlJIk0rMW</t>
  </si>
  <si>
    <t>prlusevero
Serviços Especializados de Desenvolvimento
Empresarial! #desenvolvimento #consultoriaempresarial
#vendermais #vendas #gestaoempresarial
#gestaocomercial https://t.co/nKUeBwBTPG</t>
  </si>
  <si>
    <t>dpersonas
Como vendedor, ¿sabes hablarle
a cada cliente para lograr resultados
favorables en tus ventas? Jesús
Gómez Espejel nos comparte los
pilares de un vendedor exitoso.
https://t.co/dSWynF0n5C #Podcast
#dpersonas #ListeningLeaders #ventas
#éxito #Podcasting #Marketing #Vendedor
https://t.co/DQKDRUSoFW</t>
  </si>
  <si>
    <t>latinnetma
#WeAreHiring ! Buscamos un/a Vendedor
Sr. para que se incorpore a nuestro
equipo #Oportunidad CV a: contacto@netma.com.ar
#talento #colaboradores #empleo
#transformaciondigital #negocios
#solucionesestrategicas #ventas
#comercial #vendedor #ventaconsultiva
#BúsquedaDeEmpleo https://t.co/j6Eu7JyRil</t>
  </si>
  <si>
    <t>hectorianlogic
Aprende a detectar oportunidades,
prospectar, ganar confianza, vender
soluciones, tratar objeciones,
negociar y cerrar. #vendedor #emprendimiento
#liderazgo #ventas #habilidadesdirectivas
#oportunidades https://t.co/zFlymhNcze
https://t.co/s8QycHDrS3</t>
  </si>
  <si>
    <t>rogervelayarce3
Gracias mi socio JOSE VERONA TU
CAPACITACIÓN ESTUVO BRUTAL #rogervelayarce
#mentepositiva #germankuttnick
#jurgenklaric #yudislonzoy #emprendedora
#emprendimiento #cosching #ia #vendedor
#mujer #itadux Verona https://t.co/btJnyUK2Ht</t>
  </si>
  <si>
    <t>_vincenzocoll
¡Unite a nuestro equipo! Estamos
buscando un vendedor en VENADO
TUERTO! Si te sentis identificado
con este perfil, envíanos tu CV
a csbaisero@gmail.com y unite a
nuestro equipo de ventas. #vendedor
#ventas #empleo #oportunidad #trabajo
#VenadoTuerto https://t.co/TnPMJwCjOY</t>
  </si>
  <si>
    <t>luiserolave
Y la nulidad de Polo Polo pa’ cuando
Sres @consejodeestado ? https://t.co/VhL4NmsT5E</t>
  </si>
  <si>
    <t xml:space="preserve">consejodeestado
</t>
  </si>
  <si>
    <t>topipcomputador
Um brinde refrescante é tudo que
um cliente precisa! 🥂 #humor #comedia
#vendedor #cliente #comercio #brinde
#promoção #oferta https://t.co/UICgRV3WFm</t>
  </si>
  <si>
    <t>galvngmez
¿Recuerdas la satisfacción que
sentiste al realizar tu primera
venta? Comparte tu experiencia.
Te leo. 😃 #Ventas #Marketing #Empresas
#Negocios #Vendedor #Mercadotecnia
#Prospecto https://t.co/R7xmpwaC0P</t>
  </si>
  <si>
    <t>creces
#LunesDeHumor Cualquier #vendedor
tiene que pasar por ahí 😂 https://t.co/L0EVMLWlMv</t>
  </si>
  <si>
    <t>krinavalencia
#marketingdigital Sabías qué?!
El 60% del proceso de #compra ya
fue realizado antes mismo de que
el #consumidor entre en contacto
con el #vendedor.</t>
  </si>
  <si>
    <t>gruposalesland
Con motivo del día del #vendedor,
Juan José Meneses, Director Regional
de Salesland para Perú y Ecuador,
nos habla en el diario peruano
Andina sobre las recomendaciones
que debe seguir todo comercial
para enfrentar el desafío de la
transformación digital. https://t.co/fj9LKEoYEN</t>
  </si>
  <si>
    <t>joaoserpasantos
🇵🇹 Fique a conhecer o nosso consultor
João Afonso, parte da família Prestige
For Home desde 2021. 🇬🇧 Get to
know our real estate agent João
Afonso, who has been part of the
Prestige For Home family since
2021. #prestigeforhome #consultorimobiliario
#agente #vendedor #reale… https://t.co/5cWqrl1tAT</t>
  </si>
  <si>
    <t>francocomprebem
Salve salve meu povo ! A pergunta
está clara ! Seu dinheiro está
correndo atrás de você ou você
dele ? REFLITA ! Saude e paz !
#vendedor #vendamaisemelhor #francocomprebem
#vendamaistodososdias #vendas #vendedordesucesso
https://t.co/7zplc172wT</t>
  </si>
  <si>
    <t>ateliermidnight
Vendors on Carretera (main street)
in Ajijic. Sombrero (hat) vendor.
* * * * * #SCBWI #CBIGNYC #childrensbooks
#childrensbookartist #childrensbookillustrator
#kidlit #kidlitart #picturebooks
#midnightatelier #yukotorii #streetvendor
#vendedor #hat #sombrero https://t.co/1MQNOQIOyG</t>
  </si>
  <si>
    <t xml:space="preserve">urbansketchers
</t>
  </si>
  <si>
    <t>oscarhbp1
Doxa 1637 La cultura de ventas
B2B debe cambiar para aprovechar
al máximo las herramientas digitales
https://t.co/njtJYpmpd7 #Doxa #cultura
#ventas #B2B #herramientas #digital
#cliente #tecnologia #digital #comprador
#vendedor #éxito</t>
  </si>
  <si>
    <t>araareclut67717
Estamos buscando para una empresa
importante en #guatemala su próximo
#vendedor de #ruta https://t.co/LN3TC7KOP6</t>
  </si>
  <si>
    <t>fsimilaresnorte
Estamos contratando! SALTILLO,
COAHUILA Contáctanos al 5526536089
Lic. Paola Ramos. #Saltillo #empleosaltillo
#trabajosaltillo #vendedor #mejorempleo
#farmaciasimilares https://t.co/JqiVH49HCS</t>
  </si>
  <si>
    <t>erikpenna
Noite inesquecível com 400 campeões
de vendas e atendimento de todo
Brasil (Presencial e on-line) com
@erikpennapalestrante @palestranteandreortiz
Vocês deram Shooooooooooooow! 👏🏻👏🏻
#vendas #motivação #atendimento
#palestra #vendas #vendedor #palestrante
#erikpenna https://t.co/EJaoweG1Z0</t>
  </si>
  <si>
    <t>cgcopywriter
Muchos se han lanzado a la aventura
de vender. Sin embargo, no lograron
los resultados que deseaban y se
quedaron con una gran frustración.
¿Por qué? Te revelo 5 claves/razones.
#MercadeoGlobal #AlvaroMendoza
#buenmarketing #vendedor https://t.co/DdtI8I1F0m</t>
  </si>
  <si>
    <t>qualityassist_
🌟 ¡Únete a nuestro equipo dinámico!
Buscamos un Vendedor apasionado
por brindar soluciones y elevar
la experiencia del cliente. Si
tienes habilidades en ventas y
un enfoque centrado en el cliente,
queremos conocerte. #empleo #vendedor
#CDMX 👇🏼 https://t.co/jYNKQFuWFr</t>
  </si>
  <si>
    <t>joaonatas
Que esperar desse ano? Tudo! Pode
vir 2023, estou pronto 🤘🏻⚡ #EmpreenderÉisso
#empreendedores #empreendedoresDigitais
#joaonatas #vendas #vendedores
#vendedor #FidelizarClientes #fidelidade
https://t.co/oJ3hj4uHMS</t>
  </si>
  <si>
    <t>lorenteandia
¿Vender o hacer clientes? https://t.co/iUpXFFr8s0
#vender #comercial #ventas #pyme
#hr #humanresources #rrhh #vendedor
#recursoshumanos #clientes #venta
#atenciónalcliente #venta #telemarketing
#serviciopostventa #pime #departamentosdeventas
https://t.co/QsCNUweLaZ</t>
  </si>
  <si>
    <t>asismedl
🤓 Hoy es el #DíaNacionalDelVendedor,💼Felicitamos
a todos los vendedores que con
su habilidad y esfuerzo contribuyen
al crecimiento y desarrollo de
la economía del país.✨ #Ventas
#FelizSabado #BuenosDías #Vendedor
https://t.co/9JbyvhQm9j</t>
  </si>
  <si>
    <t>sb_osite
📣 Vaga Aberta para Vendedor na
Biosis! Confira os Requisitos e
Envie o seu Currículo para steffany.dutra@biosis.eco.br
🔸 Candidaturas até 01.04.23! 🔗
Saiba Mais: https://t.co/7r8sALG9dA
#biosis #saneamentoambiental #vendedor
#vagadeemprego https://t.co/grvy5bnjNO</t>
  </si>
  <si>
    <t>rafapm_marbella
El truco del vendedor español mejor
valorado en Amazon: por qué las
reseñas con 5 estrellas no siempre
son lo que parecen https://t.co/8vBKzSJlho
via @BIEspana #Amazon #vendedor</t>
  </si>
  <si>
    <t xml:space="preserve">biespana
</t>
  </si>
  <si>
    <t>telediariogt
Invitó a su casa a #vendedor ambulante
que estaba bajo la lluvia y le
dio una sorpresa ➡ https://t.co/GXByoiwEHX</t>
  </si>
  <si>
    <t>cyromello
🔴 Quem nunca? Quem se identifica?
😅 #vendamais #vendatododia #vendedor
#negóciosonline #negociosonline
#afiliados #afiliadorelampago #marketingafiliado
#hotmartafiliados #afiliados #afiliadoorganico
#cyromello https://t.co/rHLgU97w5I</t>
  </si>
  <si>
    <t>lucasdtoledo
A partir de este año vendedores
de #MercadoLibre pueden ofrecer
sus publicaciones de combo #clásica
con el programa #Ahora12, tal como
ya lo hicimos con el combo #premium
¿Sos #Vendedor y te gustaría sumarte
al programa #Ahora12? Puedes desde
aquí: https://t.co/yxndSYE689</t>
  </si>
  <si>
    <t>alejand44877881
RT @portavisa: El vendedor efectivo
con su cliente.👀🤓👍 . . . #ventas
#vendedor #portavisa https://t.co/vS1NMddecT</t>
  </si>
  <si>
    <t>go_nater
#ajeper #aje #huelga #vendedor
@grupoaje https://t.co/AiBVgN11DX</t>
  </si>
  <si>
    <t xml:space="preserve">grupoaje
</t>
  </si>
  <si>
    <t>jumizlukas23
#conteúdoadulto #adulto #Packs
#Vendedor #Adultcontent #digitalinfluencer
https://t.co/i8ZZ1SOVgn</t>
  </si>
  <si>
    <t>berth99studio
https://t.co/NWHLecwDBI #pelicula
#frases #cinema #cine #friki #geek
#film #frase #expresion #humor
#cumpleaños #oferta #trabajo #padre
#madre #oficio #vendedor https://t.co/66HYEQwXvO</t>
  </si>
  <si>
    <t>soudiegooliveir
ANTES DE PROMOVER O SEU MELHOR
VENDEDOR,VEJA ISSO! #vendas #vendedor
#resultados #lideranca #resultados
#crescimento https://t.co/fjc8yQ2r67</t>
  </si>
  <si>
    <t>souza_dis
@SenadorKajuru #traidor,#traira,#malcarater,
#vendedor de voto,#contra o Brasil</t>
  </si>
  <si>
    <t xml:space="preserve">senadorkajuru
</t>
  </si>
  <si>
    <t>contralinea
Dos agentes de la #DEA, un #expolicía
de #Chicago y un #vendedor callejero
de droga #centroamericano testificaron
este 25 de enero en el #juicio
en contra de García Luna, ante
el #jurado y el juez Brian Cogan
#Contralínea #PeriodismodeInvestigación
https://t.co/NCMHRcBPj7</t>
  </si>
  <si>
    <t>wortev
Aprende cómo fortalecer tus habilidades
de #vendedor. No te pierdas el
nuevo episodio de #CómoLoVendo.
💰 https://t.co/gMuilTub0O 👈 https://t.co/TIR2GJ7WiH</t>
  </si>
  <si>
    <t>asap_news
Buscamos Asesores de venta para
cubrir Caracas y La Guaira 📌Envíanos
tu síntesis curricular al correo
de ventascaptacion@asapservicios.com.ve
#Empleo #Oportunidad #Trabajo #Vacante
#Candidato #Vendedor #Caracas https://t.co/hRlGv9NN6X</t>
  </si>
  <si>
    <t>pronavicolasa
🤓 Cuando los deseos del consumidor
y los objetivos de los vendedores
se unen, se genera un precio que
permite que ambos se beneficien
en el intercambio. #precios #vendedor
#consumidor #oferta #demanda #libremercado
#pronavicola https://t.co/igwflnahlG</t>
  </si>
  <si>
    <t>grupodimolk
⚠️ IMPORTANTE. OFERTA DE EMPLEO
EN TUMOSA ⚠️ Buscamos, con incorporación
inmediata: ✔️ 1 mecánico – electricista
de Taller ✔️ 1 vendedor/a Forma
parte de nuestro equipo aquí ➡️
https://t.co/NyU4PiaeaY __ #ofertadeempleo
#ofertadetrabajo #mecanico #vendedor
#peugeot #acoruña https://t.co/5STf8ezCvr</t>
  </si>
  <si>
    <t>flouds_
Não deixe que as barreiras digitais
te impeçam de crescer, todo mundo
quer #vendermais, certo? Então,
por que não dar o primeiro passo
e investir em uma gestão de tráfego
qualificada?</t>
  </si>
  <si>
    <t>agenciamiscorp
💯💼 𝙄𝙢𝙥𝙤𝙧𝙩𝙖𝙣𝙩𝙚 𝙚𝙢𝙥𝙧𝙚𝙨𝙖
𝙚𝙣 𝙚𝙡 𝙨𝙚𝙘𝙩𝙤𝙧 𝙘𝙤𝙣𝙩𝙧𝙖𝙩𝙖𝙧𝙖
🔥 🤩 Vendedor Departamental 📢
🚀 ¡𝗔𝗽𝗹𝗶𝗰𝗮! ✅ 🌐 https://t.co/UzDHlSF7MB
#Vendedor #vendedordepartamental
#miscorpnews #Emplehabilitate #empleosguatemala
#empleos2023 #TrabajoSiHay https://t.co/dOiw1vQotG</t>
  </si>
  <si>
    <t>consejocoapi
🏠 #Comprar una #vivienda con financiación
puede hacerse asumiendo la #hipoteca
del #vendedor. Este tipo de operaciones
son frecuentes en el #mercado español.
¿Sabes cómo funcionan? https://t.co/5TagZOdxbS</t>
  </si>
  <si>
    <t>cricocaro
💚Si tienen alguna pregunta 🩵
No dude en llamar o enviar un mensaje
de texto 💛 (559)283-0179 #SellingCentralValley
#VendiendoElValleCentral #FresnoRealtor
#VendiendoFresno #CasaNueva #Comprador
#Vendedor https://t.co/6y1BMp2aSj</t>
  </si>
  <si>
    <t>fernandovitolo
Esse papo de "o cliente tem sempre
razão" já está ultrapassado, não?
Corte da entrevista com Aline Lores.
#cliente #vendermais #doceria #receitas
#dizendonão https://t.co/6m9iuvpWi1</t>
  </si>
  <si>
    <t xml:space="preserve">hbarbeiro
</t>
  </si>
  <si>
    <t>ferrendonx
Análisis de Ventas 🚀📈 ¿Necesitas
ayuda con tus análisis? Escríbeme
✅️ #ventas #googlesheets #analisis
#vendedor #negocios #metas #dueñodenegocio
https://t.co/eTLunFs1sB</t>
  </si>
  <si>
    <t>loquetemotiva
Podrá acordarse que el #vendedor
retenga #laposesión. Es habitual
que la #compraventa con #pagoaplazado
se formalice en #documentoprivado. Y
que se otorgue #escriturapublica
de compraventa, en la #notaría
y el posterior #registrodelapropoedad;
cuando se liquide la totalidad.
https://t.co/bwpjaqykyJ</t>
  </si>
  <si>
    <t>abranoticias
Desconocidos m4t4r0n en el municipio
de #SamaniegoNariño ha reconocido
#vendedor de morocho... Denunciaron
que en menos de 8 días se registraron
5 homicidios... #VeaLosDetalles
#ABRA_NOTICIAS https://t.co/rQmm3CkGM5</t>
  </si>
  <si>
    <t>contenidos_y
Para reclamar sobre publicidad
engañosa siempre tiene que haber
un #consumidor y un #vendedor que
se dedique a venta y no algo "ocasional"
#leydefensadelconsumidor</t>
  </si>
  <si>
    <t>sinnafta
No te regales #vendedor #ambulante
#calles #entrevista #humor #comedia
Encontramos a un vendedor de medias
que eataba de pasada y nos queria
vender... pero no teniamos plata
https://t.co/7oalXcFgLu</t>
  </si>
  <si>
    <t>grsilengenharia
mãos experientes 💯 🚧 siga-nos:
@Grsilengenharia _ 💓 Toque duas
vezes se você gosta disso 🔔 Ative
as notificações de postagem 🔖
Marque seus amigos #ambulante #camelô
#vendedor #praia #dinheiro #turismo
#vendas #dica #ideia #familia #LOL
#civilengineering #civilengineer
https://t.co/thSRJvjMeq</t>
  </si>
  <si>
    <t>juliolozoya
📣 New Podcast! "Episode 106 -
Como Elegir Un Proveedor De Cursos
De Ventas" on @Spreaker #cursosdeventas
#juliolozoya #proveedor #vendedor
#ventas https://t.co/1OZgdYodIl</t>
  </si>
  <si>
    <t>rangelwebsite
Precisando de um Site Profissional
para seu negócio? Entre em contato
comigo e vamos tirar suas idéias
do papel. #MarketingDigital #criacaodesites
#vendermais #BABYMONSTERisSEVEN
#Sismo #JUNGKOOKxCALVINKLEIN https://t.co/PAEZONL8fB</t>
  </si>
  <si>
    <t>andreluis_vsw
😅 A Skynet é apenas uma parte
do processo, Sara. Você precisa
se abrir para a I.A.! . . . . .
. . . . . #chatgpt #openai #chatbot
#tecnologia #vendadesoftware #vendas
#vendedora #vendasonline #vendedor
#timedevendas https://t.co/EsDULX8sJa</t>
  </si>
  <si>
    <t>grigopeca
Kit grátis! É de graça, só tem
que pagar a taxa de entrega! Brincadeiras
a parte, nós da GriGo estamos prontos
para te atender! As entregas para
grande São Paulo são realizadas
em até 4 horas após o processo
do pedido! #meme #viral #explorar
#vendas #vendedor #peca #pecagrigo
https://t.co/avUprKqfXp</t>
  </si>
  <si>
    <t>quinaribeiro
Como é que por vezes um concorrente
vende um produto ou um serviço
pior que o teu? A resposta está
na confiança. Como achas que podes
aumentar a confiança com os teus
clientes? #confiança #vender #comercial
#vendedor #produtos #serviços https://t.co/qlUhbq7nfB</t>
  </si>
  <si>
    <t>luisedwinn38606
✅Juegos mediante codigo ✅Algunos
sera necesario VPN ✅Tengo mas juegos
en venta que no aparecen aqui,
puedes preguntar por el que desees
✅Puedes canjearlos en tu perfil
Manda mensaje para mas informacion
y precios: D #ventas #videojuegos
#XboxOne #Vendedor #Preciosbajos
https://t.co/32pMtT9oEY</t>
  </si>
  <si>
    <t>up_btl
🚨🔉 #Vacantes Vendedor con excelente
perfil y experiencia en tienda
departamental. #empleo #vendedor
#pachuca #equipoup #upvacantes
#uppromotion https://t.co/Wz6mgKVGDu</t>
  </si>
  <si>
    <t>ideassinlimite
Pura pinta de #Vendedor de helados,
menos de #Congresista ladron! como
son la mayoria https://t.co/nJUzhbVTmb</t>
  </si>
  <si>
    <t>felitosmp
Si me hicieran una recarga por
cada vendedor de pan ya tuviera
datos ilimitados #vendedor #memesespanol
#bolsadepanCuba</t>
  </si>
  <si>
    <t>karinpedezert
Reconocida empresa dedicada a la
importación y comercialización
de neumáticos busca incorporar
un Vendedor de Plaza. Si te sentís
alineado con la propuesta, envíanos
tu CV o comparte con quienes pueda
interesarle. Muchas gracias!! #vendedor
https://t.co/XLw2tyuptt</t>
  </si>
  <si>
    <t>raquel69454086
@felipe09051997 @russellbrunson
Quer aumentar visibilidade e alcançar
mais sucesso nas vendas. Acesse
nosso link abaixo e experimente
agora para ver a diferença em pouco
tempo." ⬇️⬇️⬇️⬇️ https://t.co/vGEMxGetbM
#funildevendas #copy #copywriting
#marketing #marketingdigital #plr
#vendas #vendedor #viral #fy #fyp</t>
  </si>
  <si>
    <t xml:space="preserve">russellbrunson
</t>
  </si>
  <si>
    <t xml:space="preserve">felipe09051997
</t>
  </si>
  <si>
    <t>sonora969
🔴#Albañil compra el celular más
caro y deja sin palabras al #vendedor
(VIDEO) ➡ https://t.co/h94FePKm9U</t>
  </si>
  <si>
    <t>helder_willian
https://t.co/WLuEPr0YgB #vendas
#vendedor #coldcall #pcontrol</t>
  </si>
  <si>
    <t>carlossantosven
Saiba mais https://t.co/8pZDXO62GI
#vencedor #vendedor #empreendedor
#vendas #carlossantosvencedor https://t.co/dax6C31SUx</t>
  </si>
  <si>
    <t>binterchallenge
Tip para iniciar la semana sólo
aqui, en Business Interchallenge
😉🤓 Estamos a sus órdenes 🫡 #tips,
#lunes, #cierredeventas, #vendedor,
#comprador, #businessinterchallege
https://t.co/YQOQsx1kGC</t>
  </si>
  <si>
    <t>feral_82
Dentro del #Narcotráfico los dos
lados están íntimamente ligados
(el #Consumidor y el #Vendedor)
Si bien el #Consumidor no es el
"culpable", si es una parte activa
para que esa actividad se siga
desarrollando Y peor aún, de manera
#Descarada con una #Ley #Permisiva!
3/4</t>
  </si>
  <si>
    <t>sammuelfogaca
Se você não está buscando a solução
então você é parte do problema!!
@professorjuniorgroth #empreender
#empreendedor #empresário #vendedor
#motivacao</t>
  </si>
  <si>
    <t>elcucodigital
Empresa con filial en Tunuyán busca
vendedor de maquinaria agrícola
#Busqueda #vendedor #maquinaria
#agrícola #ValleDeUco #ElCucoDigital
#empresa https://t.co/9xEgPHPlKH
https://t.co/2SMCrbyYAQ</t>
  </si>
  <si>
    <t>renatinhomota
A comissão do vendedor deve ser
calculada sobre o preço final do
produto, inclusive, sobre os encargos
do financiamento. #trabalho #trabalhador
#direitodotrabalhador #salarios
#salariomisto #salario #remuneracao
#comissoes #calculodecomissao #vendedor
#justicatrabalhista https://t.co/ejqWPvDf5n</t>
  </si>
  <si>
    <t>atxbusiness
Un #vendedor 5 estrellas es: vendedor/https://t.co/ohHklZQPpo</t>
  </si>
  <si>
    <t>recluitmx
¡Eres un #vendedor nato y la pasión
por cerrar tratos corre por tus
venas! 😎 Únete a nuestro equipo
como Ejecutivo de #Ventas y desata
tu potencial. 💪 No dudes en enviar
tu CV a: 📧 pablo.soto@recluit.com
📲 https://t.co/h5Op4Wd8rm https://t.co/4AsYU4N68Q</t>
  </si>
  <si>
    <t>gustavodost
Aprende a hacer más ventas con
Neuroventas: https://t.co/oUIfDFLAQV
#ventas #vender #neuro #marketing
#publicidad #vendedor https://t.co/95RXEp1JPM</t>
  </si>
  <si>
    <t>flexibleos
#Flexibleos #Profesionales #Trabajo
#Equipo #Comercial #EquipoProfesional
#TrabajoEnEquipo #Ventas #TalentoHumano
#NuevasMetas #emprendimiento #ventas
#nuevosretos #vendedor</t>
  </si>
  <si>
    <t>dvseditora
Que tal aprender com os feras em
VENDAS! A arte da prospecção é
daquele tipo de livro que vai DIRETO
AO PONTO! CADA PÁGINA é um "flash"📸📸🤣
de como prsopectar de forma eficiente
NOVOS CLIENTES! #prospecção #vendas
#vendedor #metas #alvo #plaejamento
#sucessoemvendas https://t.co/ew3GUTrFyG</t>
  </si>
  <si>
    <t>sne_tam
El #SNE #Matamoros realizó un #reclutamiento
de forma presencial, ofreciendo
la vacante de #chofer y #vendedor
de la empresa #Bokados. #Tamaulipas
#IniciaLaTransformacion #TransformandoVidasTamaulipas
#Trabajo #CV #PortalDelEmpleo #EntrevistaLaboral
#SNEparaTodos https://t.co/DWGLAY1z9M</t>
  </si>
  <si>
    <t>performandovida
Desistir? Só se for nunca! Qual
chave você pegou desse vídeo? Escreve
aí 👇🏻 Segue e compartilhe!!!
#performandovidas #vendas #vendasonline
#vender #vendedor #vendedoraguia
#vendasinstagram #viverdevendas
#vendedores #vendedordesucesso
#vendedora #motivacao #motivação
https://t.co/eRe2FWsj2J</t>
  </si>
  <si>
    <t>rogmoura
🔴 Desvendando o sucesso: Será
que as vendas são para você? Quer
saber mais sobre este vídeo ► Assista
ao vídeo completo no link da Bio
😉 . . . #vendas #habilidade #carreira
#competitividade #sucesso #vendedor
#planetavendas #rogeriomoura https://t.co/qpWP04doMU</t>
  </si>
  <si>
    <t>rogeriomouraa
RT @rogmoura: 🔴 Desvendando o
sucesso: Será que as vendas são
para você? Quer saber mais sobre
este vídeo ► Assista ao vídeo completo
no l…</t>
  </si>
  <si>
    <t>elcariberd
Un hombre en Florida tras ser tiroteado
en dentro de su camión de helados
quiso buscar la justicia y acabó
acusado de asesinar a dos hermanos
latinos, fue condenado a cadena
perpetua #elCaribe #elCariberd
#Sentencian #cadena #vendedor #helados
#latinos https://t.co/0iBKrvjizF</t>
  </si>
  <si>
    <t>picaperumedios
Empresario que madruga... [completa
la frase] Dale RT #Comparte 👍
Empiezo yo... Empresario que madruga...
👉 Vive para trabajar 🤪 #Emprendedor
#Madrugador #Vendedor #Ganador
https://t.co/vgQyA6he09</t>
  </si>
  <si>
    <t>emmagonzalezrc
TE GUSTA LA MODA? SOLICITAMOS VENDEDOR/A
DE PISO, DEPTO MODAS, CANCUN, QROO.
emma@regocorporativo.com 477 891
37 85 #ReclutamientoYSelecciondePersonal
#RecursosHumanos #RegoCorporativo
#Reclutador #ReclutamientoySelección
#vendedor #ventas #trabajo #VacantesCancun
#cancun #MoDa https://t.co/yom1IvxI0j</t>
  </si>
  <si>
    <t>advzimmermann
PROJETO DE LEI! TENTA OBRIGAR PESSOAS
DEFICIENTES A NÃO TRABALHAR! #deficiente
#cadeirante #trabalho #salario
#vendedor https://t.co/Wxh64cCb2y</t>
  </si>
  <si>
    <t>interaccionhuma
📣 Nuevo Podcast! "Episodio 123
- Sergi San José te explica cómo
vender más." en @Spreaker #comunicacion
#habilidades #impactar #ingresos
#liderazgo #marcapersonal #persuasion
#vendedor #vender #ventas https://t.co/bxrWi1bUb4</t>
  </si>
  <si>
    <t>fgdecristo
FG O Seu Divulgador Digital #divulgacao
#divulga #divulgações #divulgaçoes
#divulgacão #publi #publicidade
#publichistory #vendasonline #vendas
#venda #vender #vendermais https://t.co/sCd1ZuB6k0</t>
  </si>
  <si>
    <t>chemavich
Wow @ConstanzaIbiet2! espectacular
el video y más espectacular todavía
tu contribución, felicidades. Si
no te importa, lo comparto con
mi #red #Vender es la profesión
más bonita del mundo, a veces un
poco ingrata pero la más bonita!
Un #vendedor es un…https://t.co/uinQ5ecfWH</t>
  </si>
  <si>
    <t xml:space="preserve">diegoiturralde_
</t>
  </si>
  <si>
    <t xml:space="preserve">constanzaibiet2
</t>
  </si>
  <si>
    <t>heromidiamkt
Como vender mais no dia das mães?
#thread #vendermais #diadasmães
#ecommecer #estrategia https://t.co/vZFJxiu6g9</t>
  </si>
  <si>
    <t>luisfpfreitas
Estava refletindo hoje como é grande
o número de cargos de #vendedor
ocupados por pessoas que não são
vendedoras. Não faltam vendedores,
conheço muitos por aí, bons profissionais
inclusive. Faltam verdadeiros incentivos
para contratar esses bons vendedores
para a área de vendas!</t>
  </si>
  <si>
    <t>diarioyaqui
¿ #Brochetas de mugre? Captan a
#vendedor recuperando palos de
#madera de la basura 😮😠😢 https://t.co/CzMBdmoVt2</t>
  </si>
  <si>
    <t>vexadooficial
Por ser um #sistema 100% WEB e
#responsivo, o #vexado proporciona
ao #vendedor que a #venda seja
efetuada tanto pelo #computador
(notebook ou computador de mesa)
como por #dispositivos #móveis
(celular e tablet). https://t.co/hDm17jQAwm</t>
  </si>
  <si>
    <t>lsbusato
Firme e forte! Faça a sua parte,
para divulgar sua empresa baixe
o e-book no link: https://t.co/dDgeYo3bSv.
#dicasdevendas #comovender #vendermais
#lorenzobusato #marketing #brasil
https://t.co/FgPfnzbYKa</t>
  </si>
  <si>
    <t>festicopla
Nueva revista digital requiere
vendedor/a de publicidad en medios
escritos, con experiencia demostrable
y que viva en Medellín. Ideal que
tenga mercado en Medellín. Una
copla por cada RT. 😂 #Empleo #Trabajo
#Vendedor #Publicidad #MediosEscritos
#Prensa</t>
  </si>
  <si>
    <t>evovendsho
Vendedor ou facilitador? Há vinte
anos a internet era escassa, não
estava acessível a toda a população
e as informações não eram tão precisas.
https://t.co/xJhTmViHyw #vendedor
#facilitador #clientes #produtos
#serviços #INTERNET #necessidades
#dor #solução #evovend #guarapari
https://t.co/3f3hLDTTWF</t>
  </si>
  <si>
    <t>chapintv_
🔴Momento en que #taxi embiste
a #vendedor ambulante (VIDEO) ➡
https://t.co/5WNofiEuoa</t>
  </si>
  <si>
    <t>vanessa21br
Estamos #contratando. Você conhece
alguém que possa se interessar?
#vagasabertas #empregos #emprendedorismo
#savecash #consultor #vendedor
#vendasconsultivas https://t.co/YRQgomKoYo</t>
  </si>
  <si>
    <t>tveocanal41
Un hombre que se ganaba la vida
en la venta de conos de nieve,
murió luego de ser embestido por
el tren al momento que intentó
cruzar las vías con su carreta.
#nacional #tveo #Saltillo #tren
#muerte #vendedor #nieves https://t.co/TeyfnkAe5H</t>
  </si>
  <si>
    <t>notibolivia
Un gran #vendedor : https://t.co/RMa97xFgMs</t>
  </si>
  <si>
    <t>pamplin60079201
La mejor forma de dominar cualquier
tema es prepararse a fondo para
enseñar otros a hacerlo bien. #Saber
#Enseñar Este fue el caso de este
#Vendedor que, enseñando a sus
compañeros, se convirtió él mismo
en Vendedor Estrella. https://t.co/IEuy6hJxAY</t>
  </si>
  <si>
    <t>diegocandi
Oportunidad Laboral: VENDEDOR INDUSTRIAL
INTERNO Ciudad de Córdoba https://t.co/QEy5F3OMDr
#industria #ventas #comercial #cliente
#vendedor #comercializacion #Cordoba
#Trabajo #empleo #TrabajoAr #OportunidadLaboral
https://t.co/HOhRKabJOn</t>
  </si>
  <si>
    <t>choby03
1️⃣SE UN #VENDEDOR PROFESIONAL:
👉Comprométete con la empresa y
clientes. 👉Se determinado al aprendizaje
busca obtener y aplicar nuevo conocimiento.
👉Mantén una actitud positiva en
todo momento 👉Convéncete que tu
producto /servicio es el mejor.
👉Construye tu reputación</t>
  </si>
  <si>
    <t>varolaura
#OfertaDeEmpleo #vendedor #vendedora #orihuela dirigida
a personas con #diversidad #discapacidad
¿Disfrutas del contacto directo
con las personas?, ¿te apasiona
el deporte? Si has contestado sí,
este puesto es para ti. Podrás
dem…https://t.co/4gn263II9w https://t.co/CyAFFQf9cW</t>
  </si>
  <si>
    <t>rafalui
#vendedor #carro #oberdan #UNO
https://t.co/MheNwU4Ouj</t>
  </si>
  <si>
    <t>diana_va_ar
#Viral || 🌮🌯 #Vendedor de carnitas
despacha con #tenis de más de 14
mil pesos 👇 https://t.co/Q9cAl45pfZ</t>
  </si>
  <si>
    <t>recorrentep
Nas vendas eu devo focar em um
só nicho? - o clínico geral e o
especialista #dinheiro #ganhardinheiro
#MarketingDigital #MarketingStrategy
#marketing #hotmart #ficarrico
#rico #ganhar #eduzz #afiliado
#vendedor #vendasonline #vender
https://t.co/FT012hegLR</t>
  </si>
  <si>
    <t>humanoendesarro
Para tienda de celulares y accesorios
de tecnología ubicada en #maracay
se solicita encargado. Perfil:
#vendedor de #tienda con amplia
experiencia en atención al cliente,
manejo de inventario, Excel, control
de divisas, medios de…https://t.co/6RokqBmFcD
https://t.co/BhIWOHZeHr</t>
  </si>
  <si>
    <t>gomezcarlos79
🔴En la carretera a Oaxaca, en
#Izúcar de Matamoros, a un costado
de la #gasolinera⛽ de Antorcha
Campesina, un #vendedor de autos🚗
fue ejecutado de 5 #balazos🔫.
El occiso solo está identificado
como Adalberto N. https://t.co/qkajmGS887</t>
  </si>
  <si>
    <t>rodrigo_diario
Se o jogo não é seu, siga as regras
do jogo. Respeite as regras até,
você ter seu próprio jogo , ou
encontrar um jogo que se encaixe
para você. #funcionario #vendedor
#menssagemdodia #emprededores https://t.co/6RVcs208Pg</t>
  </si>
  <si>
    <t>joseluisgodoyph
Vendedor de globos... #photo #PHOTOS
#photographer #photographylovers
#Photofriday #Photographie #Fotos
#fotoshot #FotoDelDia #fotografia
#fotodevendedores #bnwphotography
#bnw #bnwphotography #bw #vendedor
#globos https://t.co/GXumq6vF9z</t>
  </si>
  <si>
    <t>lmneuquen
🧑‍💻Quiso comprar una cocina por
#Facebook y cayó en una #estafa
💻El #vendedor mandó a la #víctima
a un domicilio de una familia que
negó la venta y afirmó haber recibido
a otras víctimas de estafa previamente.
https://t.co/l3sAlf4262</t>
  </si>
  <si>
    <t>dutrilla
¿Por qué ser vendedor tiene tan
mala fama? https://t.co/de3UfYNXA7
#Ventas #Vendedor</t>
  </si>
  <si>
    <t>actionclient
#ChatGPT para las #empresas #vendedor
https://t.co/KK0oFILBUh</t>
  </si>
  <si>
    <t>divasto
Hola Saludos Sigo en busca de #Trabajo
ya sea como #Vendedor en terreno
o administrador de edificios (tengo
cursos actualizados) en #Iquique
espero me puedan dar algún dato
donde presentarme, gracias #Chile
#Tarapaca</t>
  </si>
  <si>
    <t>yez_col
Compañeros, estamos pidiendo ayuda
con el caso de Jorgito, #vendedor
informal que participa activamente
en el #mercadillo de los domingos
en la #UIS. Está pasando por una
situación delicada, pues por #dormir
en la calle ha tenido problemas
en la columna. Apoyemos y compartamos
https://t.co/1G0fSIaHI3</t>
  </si>
  <si>
    <t>danielponceg
Diccionario de ventas: #Closers
(cerradores de negocios ) son quienes
hacen demos, reuniones y cierran
los #negocios Leer más 👉 https://t.co/f3xU5Y4qdX
#Saas #Emprender #Ventas #vendedor
#ILoveVentas #AprendeAVender</t>
  </si>
  <si>
    <t>riomaframix
Loja abre vaga para cargo de vendedor
(a) em Mafra 👈 Veja como se candidatar
à vaga no site: https://t.co/ptNqeyLaj3
#Emprego #Trabalho #Vagas #Oportunidade
#Mafra #Vendedor https://t.co/1zK9xcEMe4</t>
  </si>
  <si>
    <t>josue_delrio
Soy #Vendedor #Afiliado Cualificado
de Amazon https://t.co/2jEIWnV3SJ</t>
  </si>
  <si>
    <t>vaga_sua
Se você mora em Carmópolis e tem
experiência como vendedor interno,
essa pode ser a sua chance! Nos
envie seu currículo através do
nosso WhatsApp 79 9 9660-4370 ou
se candidate para a vaga pelo site:
https://t.co/3xfH72v1dm #SuaVaga
#Vendedor #Carmópolis #Vaga https://t.co/TxeG7ZFx2d</t>
  </si>
  <si>
    <t>radiovendas
⁠Vão dizer que foi sorte sem saberem
que você batalhou. Só siga em frente.
#determinação #trabalho #vendedor</t>
  </si>
  <si>
    <t>karite70243384
🔴#Alerta #MallMaipu #AraucoMaipu
hubieron 2 #rehenes, terrible para
ambas personas el #Guardia y un
#Vendedor quien después los cuida
a ellos, @MovistarChile hará algo?
El daño está hecho, @jeannette_jara
@GabrielBoric @Carolina_Toha @Orrego
después se olvidan #MovistarTeam
https://t.co/3H6tE7L0Ru</t>
  </si>
  <si>
    <t xml:space="preserve">orrego
</t>
  </si>
  <si>
    <t xml:space="preserve">carolina_toha
</t>
  </si>
  <si>
    <t xml:space="preserve">gabrielboric
</t>
  </si>
  <si>
    <t xml:space="preserve">jeannette_jara
</t>
  </si>
  <si>
    <t>keepgrowing_
Fica a dica para o pessoa de vendas...
Se conecte com seus clientes! #keepgrowing
#keepgrowingmentoria #makeyourfuture
#desenvolvimentoprofissional #vendas
#vendedor #vendamais #EduardoTevah
#dicadevendas #clientes https://t.co/UlEq8UkzMC</t>
  </si>
  <si>
    <t>asefarma
¿Qué es lo que se necesita saber
en cuanto a un traspaso de negocios?
Damos nuestra visión en @eleconomista
https://t.co/UeI5xwHOKl #traspaso
#condiciones #comprador #vendedor
#fondodecomercio #empresa https://t.co/xoCWbArmqj</t>
  </si>
  <si>
    <t xml:space="preserve">eleconomista
</t>
  </si>
  <si>
    <t>trabajodesdcasa
El libro de las cartas de venta
de Robert Collier: https://t.co/bCQj80dkuL
#MarketingDirecto #MarketingDigital
#Publicidad #Ventas #Vender #Vendedor
#Libro #Clásico https://t.co/u4fcuxnyE1</t>
  </si>
  <si>
    <t>fastcommercebr
O DaVinci Resolve é um software
para edição de vídeo, correção
de cores e gráficos em movimento.
O melhor de tudo é que ele é grátis!
Acesse o link abaixo e confira
nossas dicas! https://t.co/EIPj2UQpsk
#lojavirtual #ecommerce #marketing
#vendermais #videos #edicao https://t.co/kqjGkR8LgV</t>
  </si>
  <si>
    <t>dgstreinamentos
Porque? Sigamos para nosso resumo
cast #vendedor #Executive #execution
#compraonline https://t.co/rdBiZ6Cr1A</t>
  </si>
  <si>
    <t>jordidiceofici1
¡Hooola! 👋 JordiDice: Policía
municipal detiene a "peligrosísimo"
vendedor de miel. 🤦‍♂️ Vende tu
producto o servicio en https://t.co/Y41hShQoXQ
sin pagar comisiones, 😎 más información
en: https://t.co/KXLcfzLsad 👀
#JordiDice🗣️ #policia #municipal
#vendedor #miel https://t.co/F38JHwZEQK</t>
  </si>
  <si>
    <t>pilarmiral90552
#NORAUTO lanza 28 #OfertasDeEmpleo
para #Trabajar como #MECÁNICO o
#Vendedor. Aquí te ayudamos con
los pasos a seguir 👇🏿 👇👇👇👇
https://t.co/3Py9t26FXH</t>
  </si>
  <si>
    <t>analucianicolau
Responsabilidade do comprador -
Débito deixado pelo vendedor -
Taxa Condominial #Responsabilidade
#comrador #vendedor #apartamento
#condominio #taxacondominial #direito
#codigocivil https://t.co/YhcMxOeet8</t>
  </si>
  <si>
    <t>emoes73
Te gustan las ventas? #vendedor
#Ecatepec https://t.co/q6byitUtOp</t>
  </si>
  <si>
    <t>hulajop
No está bien #visto que un #vendedor
te deje en visto cuándo pides más
datos, incluso para confirmar la
compra😕 y no te responden! hagan
#cursos de #ventas no sólo es la
foto pal #Ig</t>
  </si>
  <si>
    <t>claudel_vlogs
El mejor vendedor del mundo 🤣🤣🤣🤣🤣#humor
#vendedor #auto #comico #viral
#divertido #comedia https://t.co/aIRlj9h2G5</t>
  </si>
  <si>
    <t>vendedortodo
Suscríbete a mi canal de #Youtube
donde encontrarás cursos y contenidos
para convertirte en un #Vendedor
#TodoTerreno https://t.co/JponKZdJe0</t>
  </si>
  <si>
    <t>diarioelvistazo
🛠️ Se solicita #vendedor del sector
ferretero, para los estados #Sucre
y #Bolívar. #Clasificados #ClasificadosElVistazo
https://t.co/PBSSizmjOr</t>
  </si>
  <si>
    <t>madavicompany
¿Cómo convertir la #experienciaentienda
en algo único para el #cliente?
En este artículo hablamos sobre
cómo aprendiendo de las mejores
experiencias de cada #vendedor,
de historias reales y aprendizajes
aplicables, se consigue incrementar
ventas: https://t.co/nA4dV90mWg
#retail https://t.co/Fuz6Apa31f</t>
  </si>
  <si>
    <t>innovadorasv
RT @portavisa: El vendedor efectivo
con su cliente.👀🤓👍 . . . #ventas
#vendedor #portavisa https://t.co/vS1NMddecT</t>
  </si>
  <si>
    <t>rubyy_studios
#TwitterX #art #arte #comisiones
#commissionsopen #paypal #vendedor
#euro #dibujante #twitch #streamer
https://t.co/5qRtnIv6vs</t>
  </si>
  <si>
    <t>p_enfoque
Fallece vendedor de camotes en
Atlixco #vendedor #camotes #Atlixco
https://t.co/o4NvaP3ReI</t>
  </si>
  <si>
    <t>liberalyarjona
💼¿Cuánto tiempo tiene el agente
#comercial para reclamar sus comisiones?
🪙 #vendedor #asesorialaboral https://t.co/fepFSPyyPA</t>
  </si>
  <si>
    <t>filiperosan
Quarta-feira é dia de colocar em
prática as estratégias de vendas!
Focar no atendimento ao cliente,
estudar o mercado e produtos, além
de manter a motivação sempre alta!
#dicasdevenda #quartaédia #vendedor
#sucesso</t>
  </si>
  <si>
    <t>romulo_of
O melhor vendedor não é aquele
que vende mais. Mude a minha opinião!
#vendedor #vendas #marketing</t>
  </si>
  <si>
    <t>legal_cap
#Pacto de #retroventa: #Pacto en
el que el #vendedor se reserva
la facultad de recobrar la cosa
vendida reembolsando al #comprador
un monto determinado o devolviendo
el precio recibido en un plazo.
En #Paraguay este #pacto está permitido,
mas prohibido para bienes registrables.</t>
  </si>
  <si>
    <t>unidho
Hoy queremos felicitar a todas
las personas que hacen la gran
labor de vendedores. #díadelvendedor
#vendedor #cohacer #acuerdo286
#unidho #cdmx #mexico https://t.co/KK4FwbDuth</t>
  </si>
  <si>
    <t>jonatanbrl
É incrível o quanto a Ton tem inovado,
Valores e serviços que estão deixando
as demais, do mesmo segmento para
trás. https://t.co/wXuEcXtdHY #empreendedorismo
#vendas #vendedor #autonomo #microempreendedor
#campeao #maquina #maquininha #cartao
https://t.co/KzUDa1InTV</t>
  </si>
  <si>
    <t>lmchirino
Soy #vendedor. 35 años de experiencia.
Jamás se me ha ocurrido hacer lo
que ví hacer hoy a un vendedor.
Cobrarle a un #cliente un lunes
a las 8:30 am. Qué mal gusto! Qué
falta de código!</t>
  </si>
  <si>
    <t>hunteehr
#Vacante #Vendedor interno en OCCMundial,
¡Entra ahora! #Mexico https://t.co/Iow56YOjvN</t>
  </si>
  <si>
    <t>chucho_lemus1
#Viral || 🌮🌯 #Vendedor de carnitas
despacha con #tenis de más de 14
mil pesos 👇 https://t.co/j4AMrFaPuM</t>
  </si>
  <si>
    <t>valpere54616519
#Internet #wifi #vendedor #informatica
https://t.co/pO7ORuNUbm</t>
  </si>
  <si>
    <t>javi_v7
Vendedor(a) ≠ Cachapedidos . .
. #ventas #vendedor #negocio</t>
  </si>
  <si>
    <t>daniela78903757
La efectiva del vendedor ante su
cliente potencial.🤓 . . . #efectividad
#vendedor #portavisa2023 https://t.co/zvI7p0YKRt</t>
  </si>
  <si>
    <t>olimpiaavila1
RT @DanielA78903757: La efectiva
del vendedor ante su cliente potencial.🤓
. . . #efectividad #vendedor #portavisa2023
https://t.co/zvI7p0YK…</t>
  </si>
  <si>
    <t>iberonat
10% más de ventas este mes. #ventas
#ventaspormayor #ventasporinternet
#vendedor #vender https://t.co/Ac7a8YP2Pp</t>
  </si>
  <si>
    <t>internetagencia
El truco del #vendedor español
#mejor valorado en #Amazon https://t.co/skBlRObVQm
https://t.co/nWcmBR8Mme</t>
  </si>
  <si>
    <t>lcrnmx
Laboratorio Central Regional del
Norte, solicita personal para el
área de VENTAS📷. Envíanos tu CV
y solicitud de empleo al correo
electrónico : lcrn.gcalidad@gmail.com,
o llámanos al 81 8367 4486 ext.105.
#empleo #vendedor #quimico #laboratorio
#agronomia #MVZ #QBP #agronegocio
https://t.co/c9eJYydwfz</t>
  </si>
  <si>
    <t>cadubraganca
Estou #Contratando. Você conhece
alguém que possa se interessar?
#uniformes #uniforme #representantes
#varejo #vendedor #carteiradeclientes
https://t.co/p0I39vVcki</t>
  </si>
  <si>
    <t>chemapapupro
Acabo de hacer mi primera venta
#vendedor #emprendedor</t>
  </si>
  <si>
    <t>nextthouse
#vagaaberta #estamoscontratando
#vendedor #vendas https://t.co/GRtsuKHQTO</t>
  </si>
  <si>
    <t>andrespb1981
Así mismo, los #VigiasdeEspacioPublico
de @alcaldiapasto, apoyan la prevención
y diálogo para el respeto y sana
convivencia entre el #Peatón y
el #Vendedor en la #FeriadelPescado
🐠🐟🍥🐡🍤🍣!! #SemanaPolaVida
#FeriadelPescado #SemanaMayorEnFamilia
#SemanaSanta23 https://t.co/QMblHHwyv5</t>
  </si>
  <si>
    <t>blogpdnoticia
VÍDEO: Bell Marques compra material
de vendedor e distribui para foliões...
https://t.co/LB0Xx34szi #BellMarques
#PréCarnaval #Vendedor #Foliões
https://t.co/BVnT5Vl70t</t>
  </si>
  <si>
    <t>empleosdeleje
📌 #Miércoles 21 de #Junio 📍 #Armenia
#Quindío 👉 #Vendedor 🙌 No olvides
indicar en el Asunto el nombre
de la Vacante ✅ 🟣 𝗔𝗺𝗽𝗹𝗶𝗮
𝗹𝗮 𝗶𝗻𝗳𝗼𝗿𝗺𝗮𝗰𝗶𝗼́𝗻 𝗱𝗲
𝗹𝗮 𝗩𝗮𝗰𝗮𝗻𝘁𝗲 𝘆 𝗹𝗮 𝗘𝗺𝗽𝗿𝗲𝘀𝗮
𝗮𝗾𝘂𝗶́👉 https://t.co/WZfxNwx4SW
https://t.co/g2pYHj3ovY</t>
  </si>
  <si>
    <t>loc_adalberto
A pessoa quer comprar um sapato
para presentear a mãe, mas não
sabe o número do pé da #mãe? 😱
Gente saia de casa sabendo o número
do pé ou o que vai comprar. O #vendedor
não é adivinho. 🤣 #DiaDasMaes</t>
  </si>
  <si>
    <t>mundo_pauta
"Aprender é uma expansão sem volta
de sua consciencia." - Prof. Rafael
Junqueira. CEO e Diretor de Marketing
da Junqueira Consultoria. #RAFAELJUNQUEIRA
#JUNQUEIRACONSULTORIA #PROFESSOR
#CURSOONLINE #MARKETINGJURIDICO
#MARKETINGPARAADVOGADOS #VENDEDOR
#ADVOGADOS #Frases #Ensino https://t.co/ULJsQrfZEP</t>
  </si>
  <si>
    <t>cheparaguay
#ULTIMOMINUTO : Fue #captado el
#momento exacto en el que una #mujer
y un #vendedor de #hamacas #muren
al #instante a causa de la #caída
de un #Rayo, en la #playa de #Aquila,
#Michoacan, #Mexico. https://t.co/TLVRJqYm4G</t>
  </si>
  <si>
    <t>sol_wong
#LUNES ...preparando día de la
#secretaria y el dia del #vendedor...
#fulbito y #diadeltrabajo...qué
lindo cierre de #abril inicio de
#Mayo #celebra #disfruta #ViveSabroso
https://t.co/1DkJOeZueL</t>
  </si>
  <si>
    <t>midimashup
É impressionante o quanto que o
#comércio online perde com #vendas
por culpa própria. . Seja um #site
que não funciona e o #cliente desiste
da #compra. . Um #canal de #venda/
#suporte que não responde . Um
#vendedor despreparado.</t>
  </si>
  <si>
    <t>edomexred
#DETIENEN A #CONDUCTOR QUE #ATROPELLÓ
A #VENDEDOR DE TAMALES EN #TLALNEPANTLA
Leé aquí 👇👇👇 https://t.co/5vx2OBRdIn
https://t.co/i5AdlCG2t1</t>
  </si>
  <si>
    <t>telecentral
Forma parte de nuestra familia
¡Envíanos tu CV! #TelecableCentral
#TanVeganoComoTu #Empleo #trabajo
#ofertadeempleo #vendedor #vacante
https://t.co/yFOUoV4qI2</t>
  </si>
  <si>
    <t>payagar_sm
¿Qué pasa si quiero vender mi casa
pero me cuesta comprar otra para
mi mudanza? (PARTE 1). #sectorinmobiliario
#asesorinmobiliario #Century21CapitalLpa
#Canarias #España #viviendahabitual
#vendedor #comprador Os lo dejo
por aquí (PARTE 1): 👇👇👇👇 https://t.co/2Ua1amwegZ</t>
  </si>
  <si>
    <t>migranoticiasla
🔴#ULTIMAHORA🔴 Vendedor ambulante
golpea a @LuisitoComunica en las
calles de la #CDMX Lo+#viral #luisitocomunica
#vendedor #golpea #historia #testimonio
#calles #agresion #Parati #Compartir
#AHORA24H https://t.co/KWz0gzvIS2</t>
  </si>
  <si>
    <t xml:space="preserve">luisitocomunica
</t>
  </si>
  <si>
    <t>esiceditorial
📚#EmotionalSelling_Libro. Con
este libro se logra sintonizar
con la modalidad perceptual del
cliente y comunicarle de manera
efectiva el valor emocional de
la propuesta. 🖊️@JCJ360 ▶️https://t.co/H4VvlVMOJD
#Venta #Compra #Vendedor #MétodoB:Water
#Emociones #PVE #Cliente</t>
  </si>
  <si>
    <t xml:space="preserve">retailactual
</t>
  </si>
  <si>
    <t xml:space="preserve">raquel_davo
</t>
  </si>
  <si>
    <t xml:space="preserve">jcj360
</t>
  </si>
  <si>
    <t>venezianolopes
Vendedor que fica se vitimizando,
não gera resultados!!! Assume,
aceite e pague o preço. No final,
vale a pena!!🚀 #vendas #vendedor
#atendimento</t>
  </si>
  <si>
    <t>motorvirtualgt
Para ser un #vendedor de #exito
en #Amazon necesitas conocer de
muchos temas entre ellos de #PsicologiaDelConsumidor
que aplican al #Ecommerce Si quieres
aumentar tus ventas en #AmazonFBA
no dudes en contactarnos para conocer
nuestros servicios. https://t.co/WiEOGqAC8f
https://t.co/WdAxCUoHtZ</t>
  </si>
  <si>
    <t>jornadaweb
#VIRAL. ¡Miserable!: a punta de
#pistola, le robó lo recaudado
a un #vendedor ambulante (#Video)
https://t.co/JkzMkaKUdE https://t.co/ZIgu9NnjXX</t>
  </si>
  <si>
    <t>comuemprego
Vendedor(a), 05 vagas com salário
de R$ 1.302,00 para empresa de
higienização de reservatórios e
análise de água https://t.co/dk1jkpXNIw
#vendedor 🙏 𝗔𝗷𝘂𝗱𝗲 𝗲𝘀𝘁𝗲
𝘁𝗿𝗮𝗯𝗮𝗹𝗵𝗼 𝗮 𝗰𝗿𝗲𝘀𝗰𝗲𝗿,
𝗮𝗹𝗴𝘂𝗲́𝗺 𝗽𝗼𝗱𝗲 𝗲𝘀𝘁𝗮́
𝗽𝗿𝗲𝗰𝗶𝘀𝗮𝗻𝗱𝗼. https://t.co/vbtGggJ8q8</t>
  </si>
  <si>
    <t>costenses
#Costenses | Empresa busca vendedor
de salón en el rubro automotriz
https://t.co/AKdjgrTsyj #ofertalaboral
#ciudaddelacosta #vendedor</t>
  </si>
  <si>
    <t>infoempleo
🚨👉🏻@ca_europe selecciona 🕵🏻
#vendedor/a 👨🏻‍🦰 👱🏻‍♀️ para:
- 20h en turno de tarde. ¿Dónde?
En el Centro Comercial #Magic_Badalona
- #Barcelona #empleo https://t.co/SQvWYY6yK3</t>
  </si>
  <si>
    <t xml:space="preserve">gaiaambiente
</t>
  </si>
  <si>
    <t xml:space="preserve">alcaldiapasto
</t>
  </si>
  <si>
    <t xml:space="preserve">catalinasuarezb
</t>
  </si>
  <si>
    <t>laplazadiario
Ejecutan a comerciante en el mercado
de #Iguala 🌐 👉🏼 https://t.co/5q62IQkMVY
a través de @LaPlazaDiario #Policíaca
🚨 #violencia #vendedor #disparos
@SSPGro @FGEGuerrero @GN_MEXICO_
@SEDENAmx @Gob_Guerrero @CruzRoja_MX
https://t.co/hLyRgR4Uyl</t>
  </si>
  <si>
    <t>GraphSource░TwitterSearch3▓GraphTerm░#vendermais OR #vendedor▓ImportDescription░The graph represents a network of 747 Twitter users whose recent tweets contained "#vendermais OR #vendedor", or who were replied to, mentioned, retweeted or quoted in those tweets, taken from a data set limited to a maximum of 4.000 tweets, tweeted between 01/01/2023 08:24:33 and 28/09/2023 08:24:33.  The network was obtained from Twitter on Thursday, 28 September 2023 at 10:55 UTC._x000D_
_x000D_
The tweets in the network were tweeted over the 269-day, 20-hour, 10-minute period from Sunday, 01 January 2023 at 12:45 UTC to Thursday, 28 September 2023 at 08:55 UTC._x000D_
_x000D_
There is an edge for each "replies-to" relationship in a tweet, an edge for each "mentions" relationship in a tweet, an edge for each "retweet" relationship in a tweet, an edge for each "quote" relationship in a tweet, an edge for each "mention in retweet" relationship in a tweet, an edge for each "mention in reply-to" relationship in a tweet, an edge for each "mention in quote" relationship in a tweet, an edge for each "mention in quote reply-to" relationship in a tweet, and a self-loop edge for each tweet that is not from above.▓ImportSuggestedTitle░#vendermais OR #vendedor Twitter NodeXL SNA Map and Report for quinta-feira, 28 setembro 2023 at 10:25 UTC▓ImportSuggestedFileNameNoExtension░2023-09-28 10-25-20 NodeXL Twitter Search #vendermais OR #vendedor</t>
  </si>
  <si>
    <t>Directed</t>
  </si>
  <si>
    <t>Graph Type</t>
  </si>
  <si>
    <t>Modularity</t>
  </si>
  <si>
    <t>NodeXL Version</t>
  </si>
  <si>
    <t>Graph Gallery URL</t>
  </si>
  <si>
    <t>Graph Image URL</t>
  </si>
  <si>
    <t>Graph Source</t>
  </si>
  <si>
    <t>Graph Term</t>
  </si>
  <si>
    <t>Data Import</t>
  </si>
  <si>
    <t>Layout Algorithm</t>
  </si>
  <si>
    <t>Groups</t>
  </si>
  <si>
    <t>Edge Alpha</t>
  </si>
  <si>
    <t>Edge Color</t>
  </si>
  <si>
    <t>Edge Width</t>
  </si>
  <si>
    <t>Vertex Alpha</t>
  </si>
  <si>
    <t>Vertex Radius</t>
  </si>
  <si>
    <t>Vertex X</t>
  </si>
  <si>
    <t>Vertex y</t>
  </si>
  <si>
    <t>Not Applicable</t>
  </si>
  <si>
    <t>1.0.1.522</t>
  </si>
  <si>
    <t>TwitterSearch3</t>
  </si>
  <si>
    <t>#vendermais OR #vendedor</t>
  </si>
  <si>
    <t>The graph represents a network of 747 Twitter users whose recent tweets contained "#vendermais OR #vendedor", or who were replied to, mentioned, retweeted or quoted in those tweets, taken from a data set limited to a maximum of 4.000 tweets, tweeted between 01/01/2023 08:24:33 and 28/09/2023 08:24:33.  The network was obtained from Twitter on Thursday, 28 September 2023 at 10:55 UTC._x000D_
_x000D_
The tweets in the network were tweeted over the 269-day, 20-hour, 10-minute period from Sunday, 01 January 2023 at 12:45 UTC to Thursday, 28 September 2023 at 08:55 UTC._x000D_
_x000D_
There is an edge for each "replies-to" relationship in a tweet, an edge for each "mentions" relationship in a tweet, an edge for each "retweet" relationship in a tweet, an edge for each "quote" relationship in a tweet, an edge for each "mention in retweet" relationship in a tweet, an edge for each "mention in reply-to" relationship in a tweet, an edge for each "mention in quote" relationship in a tweet, an edge for each "mention in quote reply-to" relationship in a tweet, and a self-loop edge for each tweet that is not from above.</t>
  </si>
  <si>
    <t>Key</t>
  </si>
  <si>
    <t>Action Label</t>
  </si>
  <si>
    <t>Action URL</t>
  </si>
  <si>
    <t>Brand Logo</t>
  </si>
  <si>
    <t>Brand URL</t>
  </si>
  <si>
    <t>Hashtag</t>
  </si>
  <si>
    <t>&lt;?xml version="1.0" encoding="utf-8"?&gt;_x000D_
&lt;configuration&gt;_x000D_
  &lt;configSections&gt;_x000D_
    &lt;sectionGroup name="userSettings" type="System.Configuration.UserSettingsGroup, System, Version=2.0.0.0, Culture=neutral, PublicKeyToken=b77a5c561934e089"&gt;_x000D_
      &lt;section name="AutoScaleUserSettings" type="System.Configuration.ClientSettingsSection, System, Version=2.0.0.0, Culture=neutral, PublicKeyToken=b77a5c561934e089" allowExeDefinition="MachineToLocalUser" requirePermission="false" /&gt;_x000D_
      &lt;section name="GraphZoomAndScaleUserSettings" type="System.Configuration.ClientSettingsSection, System, Version=2.0.0.0, Culture=neutral, PublicKeyToken=b77a5c561934e089" allowExeDefinition="MachineToLocalUser" requirePermission="false" /&gt;_x000D_
      &lt;section name="GraphMetricUserSettings" type="System.Configuration.ClientSettingsSection, System, Version=2.0.0.0, Culture=neutral, PublicKeyToken=b77a5c561934e089" allowExeDefinition="MachineToLocalUser" requirePermission="false" /&gt;_x000D_
      &lt;section name="GeneralUserSettings4" type="System.Configuration.ClientSettingsSection, System, Version=2.0.0.0, Culture=neutral, PublicKeyToken=b77a5c561934e089" allowExeDefinition="MachineToLocalUser" requirePermission="false" /&gt;_x000D_
    &lt;/sectionGroup&gt;_x000D_
  &lt;/configSections&gt;_x000D_
  &lt;userSettings&gt;_x000D_
    &lt;AutoScaleUserSettings&gt;_x000D_
      &lt;setting name="AutoScale" serializeAs="String"&gt;_x000D_
        &lt;value&gt;False&lt;/value&gt;_x000D_
      &lt;/setting&gt;_x000D_
    &lt;/AutoScaleUserSettings&gt;_x000D_
    &lt;GraphZoomAndScaleUserSettings&gt;_x000D_
      &lt;setting name="GraphScale" serializeAs="String"&gt;_x000D_
        &lt;value&gt;1&lt;/value&gt;_x000D_
      &lt;/setting&gt;_x000D_
    &lt;/GraphZoomAndScaleUserSettings&gt;_x000D_
    &lt;GraphMetricUserSettings&gt;_x000D_
      &lt;setting name="GraphMetricsToCalculate" serializeAs="String"&gt;_x000D_
        &lt;value&gt;OverallMetrics&lt;/value&gt;_x000D_
      &lt;/setting&gt;_x000D_
    &lt;/GraphMetricUserSettings&gt;_x000D_
    &lt;GeneralUserSettings4&gt;_x000D_
      &lt;setting name="NewWorkbookGraphDirectedness" serializeAs="String"&gt;_x000D_
        &lt;value&gt;Directed&lt;/value&gt;_x000D_
      &lt;/setting&gt;_x000D_
      &lt;setting name="ReadGroupLabels" serializeAs="String"&gt;_x000D_
        &lt;value&gt;True&lt;/value&gt;_x000D_
      &lt;/setting&gt;_x000D_
      &lt;setting name="ReadVertexLabels" serializeAs="String"&gt;_x000D_
        &lt;value&gt;True&lt;/value&gt;_x000D_
      &lt;/setting&gt;_x000D_
      &lt;setting name="ReadEdgeLabels" serializeAs="String"&gt;_x000D_
        &lt;value&gt;True&lt;/value&gt;_x000D_
      &lt;/setting&gt;_x000D_
      &lt;setting name="ShowGraphLegend" serializeAs="String"&gt;_x000D_
        &lt;value&gt;False&lt;/value&gt;_x000D_
      &lt;/setting&gt;_x000D_
      &lt;setting name="ShowGraphAxes" serializeAs="String"&gt;_x000D_
        &lt;value&gt;False&lt;/value&gt;_x000D_
      &lt;/setting&gt;_x000D_
    &lt;/GeneralUserSettings4&gt;_x000D_
  &lt;/userSettings&gt;_x000D_
&lt;/configuration&gt;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</si>
</sst>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0.0"/>
    <numFmt numFmtId="166" formatCode="#,##0.000"/>
    <numFmt numFmtId="167" formatCode="0.000"/>
  </numFmts>
  <fonts count="14" x14ac:knownFonts="1">
    <font>
      <sz val="11"/>
      <color theme="1"/>
      <name val="Calibri"/>
      <family val="2"/>
      <scheme val="minor"/>
    </font>
    <font>
      <b/>
      <sz val="11"/>
      <color theme="1"/>
      <name val="Calibri"/>
      <family val="2"/>
      <scheme val="minor"/>
    </font>
    <font>
      <b/>
      <sz val="8"/>
      <color indexed="81"/>
      <name val="Tahoma"/>
      <family val="2"/>
    </font>
    <font>
      <sz val="8"/>
      <color indexed="81"/>
      <name val="Tahoma"/>
      <family val="2"/>
    </font>
    <font>
      <u/>
      <sz val="8"/>
      <color indexed="81"/>
      <name val="Tahoma"/>
      <family val="2"/>
    </font>
    <font>
      <sz val="11"/>
      <color theme="1"/>
      <name val="Calibri"/>
      <family val="2"/>
      <scheme val="minor"/>
    </font>
    <font>
      <sz val="11"/>
      <color theme="0"/>
      <name val="Calibri"/>
      <family val="2"/>
      <scheme val="minor"/>
    </font>
    <font>
      <b/>
      <sz val="11"/>
      <color theme="0"/>
      <name val="Calibri"/>
      <family val="2"/>
      <scheme val="minor"/>
    </font>
    <font>
      <b/>
      <sz val="9"/>
      <color indexed="81"/>
      <name val="Tahoma"/>
      <charset val="1"/>
    </font>
    <font>
      <sz val="9"/>
      <color indexed="81"/>
      <name val="Tahoma"/>
      <family val="2"/>
    </font>
    <font>
      <sz val="9"/>
      <color indexed="81"/>
      <name val="Tahoma"/>
      <charset val="1"/>
    </font>
    <font>
      <sz val="11"/>
      <color theme="1"/>
      <name val="Calibri"/>
      <scheme val="minor"/>
    </font>
    <font>
      <b/>
      <sz val="9"/>
      <color indexed="81"/>
      <name val="Tahoma"/>
      <family val="2"/>
    </font>
    <font>
      <u/>
      <sz val="11"/>
      <color theme="10"/>
      <name val="Calibri"/>
      <family val="2"/>
      <scheme val="minor"/>
    </font>
  </fonts>
  <fills count="10">
    <fill>
      <patternFill patternType="none"/>
    </fill>
    <fill>
      <patternFill patternType="gray125"/>
    </fill>
    <fill>
      <patternFill patternType="solid">
        <fgColor theme="1" tint="0.499984740745262"/>
        <bgColor indexed="64"/>
      </patternFill>
    </fill>
    <fill>
      <patternFill patternType="solid">
        <fgColor theme="4" tint="0.59996337778862885"/>
        <bgColor indexed="64"/>
      </patternFill>
    </fill>
    <fill>
      <patternFill patternType="solid">
        <fgColor theme="4" tint="0.39994506668294322"/>
        <bgColor indexed="64"/>
      </patternFill>
    </fill>
    <fill>
      <patternFill patternType="solid">
        <fgColor theme="4" tint="0.79998168889431442"/>
        <bgColor indexed="64"/>
      </patternFill>
    </fill>
    <fill>
      <patternFill patternType="solid">
        <fgColor theme="4" tint="-0.24994659260841701"/>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12">
    <border>
      <left/>
      <right/>
      <top/>
      <bottom/>
      <diagonal/>
    </border>
    <border>
      <left style="thin">
        <color theme="0"/>
      </left>
      <right style="thin">
        <color theme="0"/>
      </right>
      <top style="thin">
        <color theme="0"/>
      </top>
      <bottom style="thin">
        <color theme="0"/>
      </bottom>
      <diagonal/>
    </border>
    <border>
      <left style="thin">
        <color theme="0"/>
      </left>
      <right/>
      <top/>
      <bottom/>
      <diagonal/>
    </border>
    <border>
      <left/>
      <right style="thin">
        <color theme="0"/>
      </right>
      <top/>
      <bottom style="thick">
        <color theme="0"/>
      </bottom>
      <diagonal/>
    </border>
    <border>
      <left/>
      <right/>
      <top/>
      <bottom style="thick">
        <color theme="0"/>
      </bottom>
      <diagonal/>
    </border>
    <border>
      <left/>
      <right style="thin">
        <color theme="0"/>
      </right>
      <top/>
      <bottom style="thin">
        <color theme="0"/>
      </bottom>
      <diagonal/>
    </border>
    <border>
      <left/>
      <right/>
      <top/>
      <bottom style="thin">
        <color theme="0"/>
      </bottom>
      <diagonal/>
    </border>
    <border>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s>
  <cellStyleXfs count="10">
    <xf numFmtId="0" fontId="0" fillId="0" borderId="0"/>
    <xf numFmtId="49" fontId="5" fillId="2" borderId="1" applyNumberFormat="0" applyFont="0" applyAlignment="0" applyProtection="0"/>
    <xf numFmtId="0" fontId="5" fillId="0" borderId="0" applyNumberFormat="0" applyFont="0" applyFill="0" applyBorder="0" applyAlignment="0" applyProtection="0"/>
    <xf numFmtId="0" fontId="5" fillId="0" borderId="0" applyNumberFormat="0" applyFont="0" applyBorder="0" applyAlignment="0" applyProtection="0"/>
    <xf numFmtId="49" fontId="5" fillId="5" borderId="1" applyNumberFormat="0" applyFont="0" applyAlignment="0" applyProtection="0"/>
    <xf numFmtId="49" fontId="5" fillId="4" borderId="1" applyNumberFormat="0" applyAlignment="0" applyProtection="0"/>
    <xf numFmtId="0" fontId="6" fillId="6" borderId="1" applyNumberFormat="0" applyAlignment="0" applyProtection="0"/>
    <xf numFmtId="164" fontId="5" fillId="3" borderId="1" applyNumberFormat="0" applyFont="0" applyAlignment="0" applyProtection="0"/>
    <xf numFmtId="49" fontId="5" fillId="5" borderId="1" applyNumberFormat="0" applyFont="0" applyAlignment="0" applyProtection="0"/>
    <xf numFmtId="0" fontId="13" fillId="0" borderId="0" applyNumberFormat="0" applyFill="0" applyBorder="0" applyAlignment="0" applyProtection="0"/>
  </cellStyleXfs>
  <cellXfs count="106">
    <xf numFmtId="0" fontId="0" fillId="0" borderId="0" xfId="0"/>
    <xf numFmtId="49" fontId="0" fillId="0" borderId="0" xfId="0" applyNumberFormat="1"/>
    <xf numFmtId="1" fontId="0" fillId="0" borderId="0" xfId="0" applyNumberFormat="1"/>
    <xf numFmtId="0" fontId="1" fillId="0" borderId="0" xfId="0" applyFont="1" applyAlignment="1">
      <alignment wrapText="1"/>
    </xf>
    <xf numFmtId="49" fontId="1" fillId="0" borderId="0" xfId="0" applyNumberFormat="1" applyFont="1" applyAlignment="1">
      <alignment wrapText="1"/>
    </xf>
    <xf numFmtId="164" fontId="0" fillId="0" borderId="0" xfId="0" applyNumberFormat="1"/>
    <xf numFmtId="0" fontId="0" fillId="0" borderId="0" xfId="0" applyAlignment="1">
      <alignment vertical="top" wrapText="1"/>
    </xf>
    <xf numFmtId="0" fontId="0" fillId="0" borderId="0" xfId="0" applyAlignment="1">
      <alignment wrapText="1"/>
    </xf>
    <xf numFmtId="164" fontId="0" fillId="0" borderId="0" xfId="0" applyNumberFormat="1" applyAlignment="1">
      <alignment wrapText="1"/>
    </xf>
    <xf numFmtId="1" fontId="0" fillId="0" borderId="0" xfId="0" applyNumberFormat="1" applyAlignment="1">
      <alignment wrapText="1"/>
    </xf>
    <xf numFmtId="49" fontId="0" fillId="0" borderId="0" xfId="0" applyNumberFormat="1" applyAlignment="1">
      <alignment wrapText="1"/>
    </xf>
    <xf numFmtId="49" fontId="0" fillId="0" borderId="0" xfId="3" applyNumberFormat="1" applyFont="1"/>
    <xf numFmtId="0" fontId="0" fillId="5" borderId="1" xfId="4" applyNumberFormat="1" applyFont="1"/>
    <xf numFmtId="49" fontId="6" fillId="6" borderId="1" xfId="6" applyNumberFormat="1"/>
    <xf numFmtId="0" fontId="0" fillId="0" borderId="0" xfId="2" applyFont="1"/>
    <xf numFmtId="0" fontId="0" fillId="5" borderId="0" xfId="4" applyNumberFormat="1" applyFont="1" applyBorder="1"/>
    <xf numFmtId="1" fontId="0" fillId="5" borderId="0" xfId="4" applyNumberFormat="1" applyFont="1" applyBorder="1"/>
    <xf numFmtId="0" fontId="0" fillId="2" borderId="0" xfId="1" applyNumberFormat="1" applyFont="1" applyBorder="1"/>
    <xf numFmtId="0" fontId="5" fillId="4" borderId="0" xfId="5" applyNumberFormat="1" applyBorder="1"/>
    <xf numFmtId="164" fontId="5" fillId="4" borderId="0" xfId="5" applyNumberFormat="1" applyBorder="1"/>
    <xf numFmtId="1" fontId="5" fillId="4" borderId="0" xfId="5" applyNumberFormat="1" applyBorder="1"/>
    <xf numFmtId="0" fontId="5" fillId="4" borderId="2" xfId="5" applyNumberFormat="1" applyBorder="1"/>
    <xf numFmtId="0" fontId="0" fillId="5" borderId="2" xfId="4" applyNumberFormat="1" applyFont="1" applyBorder="1"/>
    <xf numFmtId="0" fontId="6" fillId="6" borderId="0" xfId="6" applyBorder="1"/>
    <xf numFmtId="0" fontId="6" fillId="6" borderId="2" xfId="6" applyBorder="1"/>
    <xf numFmtId="0" fontId="0" fillId="3" borderId="0" xfId="7" applyNumberFormat="1" applyFont="1" applyBorder="1"/>
    <xf numFmtId="0" fontId="0" fillId="3" borderId="2" xfId="7" applyNumberFormat="1" applyFont="1" applyBorder="1"/>
    <xf numFmtId="0" fontId="0" fillId="2" borderId="2" xfId="1" applyNumberFormat="1" applyFont="1" applyBorder="1"/>
    <xf numFmtId="0" fontId="0" fillId="0" borderId="2" xfId="2" applyFont="1" applyBorder="1"/>
    <xf numFmtId="0" fontId="1" fillId="0" borderId="0" xfId="0" applyFont="1"/>
    <xf numFmtId="4" fontId="0" fillId="0" borderId="0" xfId="0" applyNumberFormat="1"/>
    <xf numFmtId="0" fontId="5" fillId="4" borderId="1" xfId="5" applyNumberFormat="1"/>
    <xf numFmtId="0" fontId="5" fillId="4" borderId="1" xfId="5" applyNumberFormat="1" applyAlignment="1"/>
    <xf numFmtId="0" fontId="7" fillId="7" borderId="3" xfId="0" applyFont="1" applyFill="1" applyBorder="1"/>
    <xf numFmtId="0" fontId="7" fillId="7" borderId="4" xfId="0" applyFont="1" applyFill="1" applyBorder="1"/>
    <xf numFmtId="4" fontId="0" fillId="8" borderId="5" xfId="0" applyNumberFormat="1" applyFill="1" applyBorder="1"/>
    <xf numFmtId="0" fontId="0" fillId="8" borderId="6" xfId="0" applyFill="1" applyBorder="1"/>
    <xf numFmtId="4" fontId="0" fillId="9" borderId="5" xfId="0" applyNumberFormat="1" applyFill="1" applyBorder="1"/>
    <xf numFmtId="0" fontId="0" fillId="9" borderId="6" xfId="0" applyFill="1" applyBorder="1"/>
    <xf numFmtId="4" fontId="0" fillId="9" borderId="7" xfId="0" applyNumberFormat="1" applyFill="1" applyBorder="1"/>
    <xf numFmtId="0" fontId="0" fillId="9" borderId="0" xfId="0" applyFill="1"/>
    <xf numFmtId="0" fontId="0" fillId="8" borderId="5" xfId="0" applyFill="1" applyBorder="1"/>
    <xf numFmtId="0" fontId="0" fillId="9" borderId="5" xfId="0" applyFill="1" applyBorder="1"/>
    <xf numFmtId="0" fontId="0" fillId="9" borderId="7" xfId="0" applyFill="1" applyBorder="1"/>
    <xf numFmtId="1" fontId="5" fillId="4" borderId="1" xfId="5" applyNumberFormat="1"/>
    <xf numFmtId="167" fontId="5" fillId="4" borderId="1" xfId="5" applyNumberFormat="1"/>
    <xf numFmtId="1" fontId="5" fillId="4" borderId="1" xfId="5" applyNumberFormat="1" applyAlignment="1"/>
    <xf numFmtId="167" fontId="5" fillId="4" borderId="1" xfId="5" applyNumberFormat="1" applyAlignment="1"/>
    <xf numFmtId="167" fontId="11" fillId="4" borderId="1" xfId="5" applyNumberFormat="1" applyFont="1" applyAlignment="1"/>
    <xf numFmtId="0" fontId="5" fillId="2" borderId="1" xfId="1" applyNumberFormat="1"/>
    <xf numFmtId="0" fontId="6" fillId="6" borderId="1" xfId="6"/>
    <xf numFmtId="0" fontId="6" fillId="6" borderId="1" xfId="6" applyNumberFormat="1"/>
    <xf numFmtId="0" fontId="0" fillId="5" borderId="8" xfId="4" applyNumberFormat="1" applyFont="1" applyBorder="1"/>
    <xf numFmtId="0" fontId="0" fillId="5" borderId="9" xfId="4" applyNumberFormat="1" applyFont="1" applyBorder="1"/>
    <xf numFmtId="0" fontId="0" fillId="5" borderId="10" xfId="4" applyNumberFormat="1" applyFont="1" applyBorder="1"/>
    <xf numFmtId="0" fontId="0" fillId="3" borderId="8" xfId="7" applyNumberFormat="1" applyFont="1" applyBorder="1"/>
    <xf numFmtId="0" fontId="6" fillId="3" borderId="10" xfId="7" applyNumberFormat="1" applyFont="1" applyBorder="1"/>
    <xf numFmtId="0" fontId="5" fillId="2" borderId="8" xfId="1" applyNumberFormat="1" applyBorder="1"/>
    <xf numFmtId="0" fontId="5" fillId="2" borderId="10" xfId="1" applyNumberFormat="1" applyBorder="1"/>
    <xf numFmtId="0" fontId="5" fillId="4" borderId="8" xfId="5" applyNumberFormat="1" applyBorder="1"/>
    <xf numFmtId="0" fontId="5" fillId="4" borderId="9" xfId="5" applyNumberFormat="1" applyBorder="1"/>
    <xf numFmtId="0" fontId="0" fillId="3" borderId="1" xfId="7" applyNumberFormat="1" applyFont="1"/>
    <xf numFmtId="49" fontId="0" fillId="0" borderId="0" xfId="3" applyNumberFormat="1" applyFont="1" applyAlignment="1"/>
    <xf numFmtId="0" fontId="0" fillId="5" borderId="1" xfId="4" applyNumberFormat="1" applyFont="1" applyAlignment="1"/>
    <xf numFmtId="164" fontId="0" fillId="5" borderId="1" xfId="4" applyNumberFormat="1" applyFont="1" applyAlignment="1"/>
    <xf numFmtId="0" fontId="11" fillId="5" borderId="1" xfId="4" applyNumberFormat="1" applyFont="1" applyAlignment="1"/>
    <xf numFmtId="1" fontId="0" fillId="5" borderId="1" xfId="4" applyNumberFormat="1" applyFont="1" applyAlignment="1"/>
    <xf numFmtId="49" fontId="6" fillId="6" borderId="1" xfId="6" applyNumberFormat="1" applyAlignment="1"/>
    <xf numFmtId="0" fontId="6" fillId="6" borderId="1" xfId="6" applyNumberFormat="1" applyAlignment="1"/>
    <xf numFmtId="0" fontId="0" fillId="2" borderId="1" xfId="1" applyNumberFormat="1" applyFont="1" applyAlignment="1"/>
    <xf numFmtId="0" fontId="0" fillId="0" borderId="0" xfId="2" applyNumberFormat="1" applyFont="1" applyAlignment="1"/>
    <xf numFmtId="164" fontId="0" fillId="3" borderId="1" xfId="7" applyNumberFormat="1" applyFont="1" applyAlignment="1"/>
    <xf numFmtId="165" fontId="0" fillId="3" borderId="1" xfId="7" applyNumberFormat="1" applyFont="1" applyAlignment="1"/>
    <xf numFmtId="0" fontId="0" fillId="3" borderId="1" xfId="7" applyNumberFormat="1" applyFont="1" applyAlignment="1"/>
    <xf numFmtId="166" fontId="0" fillId="3" borderId="1" xfId="7" applyNumberFormat="1" applyFont="1" applyAlignment="1"/>
    <xf numFmtId="0" fontId="11" fillId="2" borderId="1" xfId="1" applyNumberFormat="1" applyFont="1" applyAlignment="1"/>
    <xf numFmtId="0" fontId="0" fillId="0" borderId="0" xfId="0" applyAlignment="1"/>
    <xf numFmtId="0" fontId="0" fillId="0" borderId="0" xfId="0" applyFill="1" applyAlignment="1"/>
    <xf numFmtId="22" fontId="0" fillId="0" borderId="0" xfId="0" applyNumberFormat="1" applyAlignment="1"/>
    <xf numFmtId="22" fontId="0" fillId="0" borderId="0" xfId="0" applyNumberFormat="1" applyFill="1" applyAlignment="1"/>
    <xf numFmtId="0" fontId="0" fillId="0" borderId="0" xfId="0" quotePrefix="1" applyAlignment="1"/>
    <xf numFmtId="0" fontId="0" fillId="0" borderId="0" xfId="0" quotePrefix="1" applyFill="1" applyAlignment="1"/>
    <xf numFmtId="0" fontId="13" fillId="0" borderId="0" xfId="9" applyAlignment="1"/>
    <xf numFmtId="0" fontId="13" fillId="0" borderId="0" xfId="9" applyFill="1" applyAlignment="1"/>
    <xf numFmtId="14" fontId="0" fillId="0" borderId="0" xfId="0" applyNumberFormat="1" applyAlignment="1"/>
    <xf numFmtId="14" fontId="0" fillId="0" borderId="0" xfId="0" applyNumberFormat="1" applyFill="1" applyAlignment="1"/>
    <xf numFmtId="11" fontId="0" fillId="0" borderId="0" xfId="0" applyNumberFormat="1" applyFill="1" applyAlignment="1"/>
    <xf numFmtId="1" fontId="11" fillId="4" borderId="1" xfId="5" applyNumberFormat="1" applyFont="1" applyAlignment="1"/>
    <xf numFmtId="49" fontId="0" fillId="0" borderId="0" xfId="3" applyNumberFormat="1" applyFont="1" applyBorder="1" applyAlignment="1"/>
    <xf numFmtId="0" fontId="0" fillId="5" borderId="11" xfId="4" applyNumberFormat="1" applyFont="1" applyBorder="1" applyAlignment="1"/>
    <xf numFmtId="164" fontId="0" fillId="5" borderId="11" xfId="4" applyNumberFormat="1" applyFont="1" applyBorder="1" applyAlignment="1"/>
    <xf numFmtId="1" fontId="0" fillId="5" borderId="11" xfId="4" applyNumberFormat="1" applyFont="1" applyBorder="1" applyAlignment="1"/>
    <xf numFmtId="49" fontId="6" fillId="6" borderId="11" xfId="6" applyNumberFormat="1" applyBorder="1" applyAlignment="1"/>
    <xf numFmtId="0" fontId="6" fillId="6" borderId="11" xfId="6" applyNumberFormat="1" applyBorder="1" applyAlignment="1"/>
    <xf numFmtId="164" fontId="0" fillId="3" borderId="11" xfId="7" applyNumberFormat="1" applyFont="1" applyBorder="1" applyAlignment="1"/>
    <xf numFmtId="165" fontId="0" fillId="3" borderId="11" xfId="7" applyNumberFormat="1" applyFont="1" applyBorder="1" applyAlignment="1"/>
    <xf numFmtId="0" fontId="0" fillId="3" borderId="11" xfId="7" applyNumberFormat="1" applyFont="1" applyBorder="1" applyAlignment="1"/>
    <xf numFmtId="166" fontId="0" fillId="3" borderId="11" xfId="7" applyNumberFormat="1" applyFont="1" applyBorder="1" applyAlignment="1"/>
    <xf numFmtId="1" fontId="11" fillId="4" borderId="11" xfId="5" applyNumberFormat="1" applyFont="1" applyBorder="1" applyAlignment="1"/>
    <xf numFmtId="167" fontId="11" fillId="4" borderId="11" xfId="5" applyNumberFormat="1" applyFont="1" applyBorder="1" applyAlignment="1"/>
    <xf numFmtId="167" fontId="5" fillId="4" borderId="11" xfId="5" applyNumberFormat="1" applyBorder="1" applyAlignment="1"/>
    <xf numFmtId="0" fontId="0" fillId="2" borderId="11" xfId="1" applyNumberFormat="1" applyFont="1" applyBorder="1" applyAlignment="1"/>
    <xf numFmtId="0" fontId="0" fillId="0" borderId="0" xfId="2" applyNumberFormat="1" applyFont="1" applyBorder="1" applyAlignment="1"/>
    <xf numFmtId="0" fontId="13" fillId="5" borderId="1" xfId="9" applyNumberFormat="1" applyFill="1" applyBorder="1" applyAlignment="1"/>
    <xf numFmtId="0" fontId="13" fillId="5" borderId="11" xfId="9" applyNumberFormat="1" applyFill="1" applyBorder="1" applyAlignment="1"/>
    <xf numFmtId="0" fontId="5" fillId="5" borderId="1" xfId="8" applyNumberFormat="1" applyAlignment="1"/>
  </cellXfs>
  <cellStyles count="10">
    <cellStyle name="Hiperlink" xfId="9" builtinId="8"/>
    <cellStyle name="NodeXL Do Not Edit" xfId="1" xr:uid="{00000000-0005-0000-0000-000000000000}"/>
    <cellStyle name="NodeXL Graph Metric" xfId="5" xr:uid="{00000000-0005-0000-0000-000001000000}"/>
    <cellStyle name="NodeXL Graph Metric Separator" xfId="8" xr:uid="{00000000-0005-0000-0000-000002000000}"/>
    <cellStyle name="NodeXL Label" xfId="6" xr:uid="{00000000-0005-0000-0000-000003000000}"/>
    <cellStyle name="NodeXL Layout" xfId="7" xr:uid="{00000000-0005-0000-0000-000004000000}"/>
    <cellStyle name="NodeXL Other Column" xfId="2" xr:uid="{00000000-0005-0000-0000-000005000000}"/>
    <cellStyle name="NodeXL Required" xfId="3" xr:uid="{00000000-0005-0000-0000-000006000000}"/>
    <cellStyle name="NodeXL Visual Property" xfId="4" xr:uid="{00000000-0005-0000-0000-000007000000}"/>
    <cellStyle name="Normal" xfId="0" builtinId="0"/>
  </cellStyles>
  <dxfs count="188">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border outline="0">
        <right style="thin">
          <color theme="0"/>
        </right>
      </border>
    </dxf>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border outline="0">
        <left style="thin">
          <color theme="0"/>
        </left>
      </border>
    </dxf>
    <dxf>
      <numFmt numFmtId="0" formatCode="General"/>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border outline="0">
        <left style="thin">
          <color theme="0"/>
        </left>
      </border>
    </dxf>
    <dxf>
      <numFmt numFmtId="1" formatCode="0"/>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numFmt numFmtId="0" formatCode="General"/>
    </dxf>
    <dxf>
      <numFmt numFmtId="4" formatCode="#,##0.00"/>
    </dxf>
    <dxf>
      <numFmt numFmtId="0" formatCode="General"/>
    </dxf>
    <dxf>
      <numFmt numFmtId="30" formatCode="@"/>
    </dxf>
    <dxf>
      <numFmt numFmtId="30" formatCode="@"/>
    </dxf>
    <dxf>
      <numFmt numFmtId="30" formatCode="@"/>
    </dxf>
    <dxf>
      <numFmt numFmtId="30" formatCode="@"/>
    </dxf>
    <dxf>
      <numFmt numFmtId="167" formatCode="0.000"/>
    </dxf>
    <dxf>
      <numFmt numFmtId="167" formatCode="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font>
        <b val="0"/>
        <i val="0"/>
        <strike val="0"/>
        <condense val="0"/>
        <extend val="0"/>
        <outline val="0"/>
        <shadow val="0"/>
        <u val="none"/>
        <vertAlign val="baseline"/>
        <sz val="11"/>
        <color theme="1"/>
        <name val="Calibri"/>
        <scheme val="minor"/>
      </font>
      <numFmt numFmtId="0" formatCode="General"/>
    </dxf>
    <dxf>
      <numFmt numFmtId="30" formatCode="@"/>
    </dxf>
    <dxf>
      <font>
        <b val="0"/>
        <i val="0"/>
        <strike val="0"/>
        <condense val="0"/>
        <extend val="0"/>
        <outline val="0"/>
        <shadow val="0"/>
        <u val="none"/>
        <vertAlign val="baseline"/>
        <sz val="11"/>
        <color theme="1"/>
        <name val="Calibri"/>
        <scheme val="minor"/>
      </font>
      <numFmt numFmtId="0" formatCode="General"/>
    </dxf>
    <dxf>
      <numFmt numFmtId="0" formatCode="General"/>
    </dxf>
    <dxf>
      <numFmt numFmtId="0" formatCode="General"/>
    </dxf>
    <dxf>
      <numFmt numFmtId="30" formatCode="@"/>
    </dxf>
    <dxf>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1" indent="0" justifyLastLine="0" shrinkToFit="0" readingOrder="0"/>
    </dxf>
    <dxf>
      <font>
        <color theme="0"/>
      </font>
      <fill>
        <patternFill>
          <bgColor theme="4"/>
        </patternFill>
      </fill>
      <border>
        <left style="thin">
          <color theme="0"/>
        </left>
        <right style="thin">
          <color theme="0"/>
        </right>
        <top style="thin">
          <color theme="0"/>
        </top>
        <bottom style="thin">
          <color theme="0"/>
        </bottom>
        <vertical style="thin">
          <color theme="0"/>
        </vertical>
        <horizontal style="thin">
          <color theme="0"/>
        </horizont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187"/>
      <tableStyleElement type="headerRow" dxfId="186"/>
    </tableStyle>
    <tableStyle name="NodeXL Table" pivot="0" count="1" xr9:uid="{00000000-0011-0000-FFFF-FFFF01000000}">
      <tableStyleElement type="headerRow" dxfId="18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Metrics'!$E$2</c:f>
              <c:strCache>
                <c:ptCount val="1"/>
                <c:pt idx="0">
                  <c:v>0</c:v>
                </c:pt>
              </c:strCache>
            </c:strRef>
          </c:tx>
          <c:spPr>
            <a:solidFill>
              <a:schemeClr val="accent1"/>
            </a:solidFill>
          </c:spPr>
          <c:invertIfNegative val="0"/>
          <c:cat>
            <c:numRef>
              <c:f>'Overall Metrics'!$D$2:$D$41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Metrics'!$E$2:$E$41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572D-4A91-B182-2EFB2D10BE05}"/>
            </c:ext>
          </c:extLst>
        </c:ser>
        <c:dLbls>
          <c:showLegendKey val="0"/>
          <c:showVal val="0"/>
          <c:showCatName val="0"/>
          <c:showSerName val="0"/>
          <c:showPercent val="0"/>
          <c:showBubbleSize val="0"/>
        </c:dLbls>
        <c:gapWidth val="0"/>
        <c:axId val="1190537248"/>
        <c:axId val="1190542144"/>
      </c:barChart>
      <c:catAx>
        <c:axId val="1190537248"/>
        <c:scaling>
          <c:orientation val="minMax"/>
        </c:scaling>
        <c:delete val="1"/>
        <c:axPos val="b"/>
        <c:title>
          <c:tx>
            <c:rich>
              <a:bodyPr/>
              <a:lstStyle/>
              <a:p>
                <a:pPr>
                  <a:defRPr/>
                </a:pPr>
                <a:r>
                  <a:rPr lang="en-US"/>
                  <a:t>Degree</a:t>
                </a:r>
              </a:p>
            </c:rich>
          </c:tx>
          <c:layout>
            <c:manualLayout>
              <c:xMode val="edge"/>
              <c:yMode val="edge"/>
              <c:x val="0.44107564559545148"/>
              <c:y val="0.83479536025738765"/>
            </c:manualLayout>
          </c:layout>
          <c:overlay val="0"/>
        </c:title>
        <c:numFmt formatCode="#,##0.00" sourceLinked="1"/>
        <c:majorTickMark val="out"/>
        <c:minorTickMark val="none"/>
        <c:tickLblPos val="none"/>
        <c:crossAx val="1190542144"/>
        <c:crosses val="autoZero"/>
        <c:auto val="1"/>
        <c:lblAlgn val="ctr"/>
        <c:lblOffset val="100"/>
        <c:noMultiLvlLbl val="0"/>
      </c:catAx>
      <c:valAx>
        <c:axId val="119054214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3724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Metrics'!$G$2</c:f>
              <c:strCache>
                <c:ptCount val="1"/>
                <c:pt idx="0">
                  <c:v>0</c:v>
                </c:pt>
              </c:strCache>
            </c:strRef>
          </c:tx>
          <c:spPr>
            <a:solidFill>
              <a:schemeClr val="accent1"/>
            </a:solidFill>
          </c:spPr>
          <c:invertIfNegative val="0"/>
          <c:cat>
            <c:numRef>
              <c:f>'Overall Metrics'!$F$2:$F$41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Metrics'!$G$2:$G$41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20D1-4C5B-AEFE-099D5EB44369}"/>
            </c:ext>
          </c:extLst>
        </c:ser>
        <c:dLbls>
          <c:showLegendKey val="0"/>
          <c:showVal val="0"/>
          <c:showCatName val="0"/>
          <c:showSerName val="0"/>
          <c:showPercent val="0"/>
          <c:showBubbleSize val="0"/>
        </c:dLbls>
        <c:gapWidth val="0"/>
        <c:axId val="1190542688"/>
        <c:axId val="1190537792"/>
      </c:barChart>
      <c:catAx>
        <c:axId val="1190542688"/>
        <c:scaling>
          <c:orientation val="minMax"/>
        </c:scaling>
        <c:delete val="1"/>
        <c:axPos val="b"/>
        <c:title>
          <c:tx>
            <c:rich>
              <a:bodyPr/>
              <a:lstStyle/>
              <a:p>
                <a:pPr>
                  <a:defRPr/>
                </a:pPr>
                <a:r>
                  <a:rPr lang="en-US"/>
                  <a:t>In-Degree</a:t>
                </a:r>
              </a:p>
            </c:rich>
          </c:tx>
          <c:layout>
            <c:manualLayout>
              <c:xMode val="edge"/>
              <c:yMode val="edge"/>
              <c:x val="0.43425552624336278"/>
              <c:y val="0.81759105918211861"/>
            </c:manualLayout>
          </c:layout>
          <c:overlay val="0"/>
        </c:title>
        <c:numFmt formatCode="#,##0.00" sourceLinked="1"/>
        <c:majorTickMark val="out"/>
        <c:minorTickMark val="none"/>
        <c:tickLblPos val="none"/>
        <c:crossAx val="1190537792"/>
        <c:crosses val="autoZero"/>
        <c:auto val="1"/>
        <c:lblAlgn val="ctr"/>
        <c:lblOffset val="100"/>
        <c:noMultiLvlLbl val="0"/>
      </c:catAx>
      <c:valAx>
        <c:axId val="119053779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268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Metrics'!$I$2</c:f>
              <c:strCache>
                <c:ptCount val="1"/>
                <c:pt idx="0">
                  <c:v>0</c:v>
                </c:pt>
              </c:strCache>
            </c:strRef>
          </c:tx>
          <c:spPr>
            <a:solidFill>
              <a:schemeClr val="accent1"/>
            </a:solidFill>
          </c:spPr>
          <c:invertIfNegative val="0"/>
          <c:cat>
            <c:numRef>
              <c:f>'Overall Metrics'!$H$2:$H$41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Metrics'!$I$2:$I$41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22A8-4B09-AE24-D772827842D0}"/>
            </c:ext>
          </c:extLst>
        </c:ser>
        <c:dLbls>
          <c:showLegendKey val="0"/>
          <c:showVal val="0"/>
          <c:showCatName val="0"/>
          <c:showSerName val="0"/>
          <c:showPercent val="0"/>
          <c:showBubbleSize val="0"/>
        </c:dLbls>
        <c:gapWidth val="0"/>
        <c:axId val="1190539424"/>
        <c:axId val="1190543232"/>
      </c:barChart>
      <c:catAx>
        <c:axId val="1190539424"/>
        <c:scaling>
          <c:orientation val="minMax"/>
        </c:scaling>
        <c:delete val="1"/>
        <c:axPos val="b"/>
        <c:title>
          <c:tx>
            <c:rich>
              <a:bodyPr/>
              <a:lstStyle/>
              <a:p>
                <a:pPr>
                  <a:defRPr/>
                </a:pPr>
                <a:r>
                  <a:rPr lang="en-US"/>
                  <a:t>Out-Degree</a:t>
                </a:r>
              </a:p>
            </c:rich>
          </c:tx>
          <c:layout>
            <c:manualLayout>
              <c:xMode val="edge"/>
              <c:yMode val="edge"/>
              <c:x val="0.41379516818709683"/>
              <c:y val="0.80898890864450268"/>
            </c:manualLayout>
          </c:layout>
          <c:overlay val="0"/>
        </c:title>
        <c:numFmt formatCode="#,##0.00" sourceLinked="1"/>
        <c:majorTickMark val="out"/>
        <c:minorTickMark val="none"/>
        <c:tickLblPos val="none"/>
        <c:crossAx val="1190543232"/>
        <c:crosses val="autoZero"/>
        <c:auto val="1"/>
        <c:lblAlgn val="ctr"/>
        <c:lblOffset val="100"/>
        <c:noMultiLvlLbl val="0"/>
      </c:catAx>
      <c:valAx>
        <c:axId val="119054323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3942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Metrics'!$K$2</c:f>
              <c:strCache>
                <c:ptCount val="1"/>
                <c:pt idx="0">
                  <c:v>0</c:v>
                </c:pt>
              </c:strCache>
            </c:strRef>
          </c:tx>
          <c:spPr>
            <a:solidFill>
              <a:schemeClr val="accent1"/>
            </a:solidFill>
          </c:spPr>
          <c:invertIfNegative val="0"/>
          <c:cat>
            <c:numRef>
              <c:f>'Overall Metrics'!$J$2:$J$41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Metrics'!$K$2:$K$41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F1AF-4CEF-8017-7F5B1D33A156}"/>
            </c:ext>
          </c:extLst>
        </c:ser>
        <c:dLbls>
          <c:showLegendKey val="0"/>
          <c:showVal val="0"/>
          <c:showCatName val="0"/>
          <c:showSerName val="0"/>
          <c:showPercent val="0"/>
          <c:showBubbleSize val="0"/>
        </c:dLbls>
        <c:gapWidth val="0"/>
        <c:axId val="1190543776"/>
        <c:axId val="1190548128"/>
      </c:barChart>
      <c:catAx>
        <c:axId val="1190543776"/>
        <c:scaling>
          <c:orientation val="minMax"/>
        </c:scaling>
        <c:delete val="1"/>
        <c:axPos val="b"/>
        <c:title>
          <c:tx>
            <c:rich>
              <a:bodyPr/>
              <a:lstStyle/>
              <a:p>
                <a:pPr>
                  <a:defRPr/>
                </a:pPr>
                <a:r>
                  <a:rPr lang="en-US"/>
                  <a:t>Betweenness Centrality</a:t>
                </a:r>
              </a:p>
            </c:rich>
          </c:tx>
          <c:layout>
            <c:manualLayout>
              <c:xMode val="edge"/>
              <c:yMode val="edge"/>
              <c:x val="0.32728710116056114"/>
              <c:y val="0.82619320971975252"/>
            </c:manualLayout>
          </c:layout>
          <c:overlay val="0"/>
        </c:title>
        <c:numFmt formatCode="#,##0.00" sourceLinked="1"/>
        <c:majorTickMark val="out"/>
        <c:minorTickMark val="none"/>
        <c:tickLblPos val="none"/>
        <c:crossAx val="1190548128"/>
        <c:crosses val="autoZero"/>
        <c:auto val="1"/>
        <c:lblAlgn val="ctr"/>
        <c:lblOffset val="100"/>
        <c:noMultiLvlLbl val="0"/>
      </c:catAx>
      <c:valAx>
        <c:axId val="119054812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377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Metrics'!$M$2</c:f>
              <c:strCache>
                <c:ptCount val="1"/>
                <c:pt idx="0">
                  <c:v>0</c:v>
                </c:pt>
              </c:strCache>
            </c:strRef>
          </c:tx>
          <c:spPr>
            <a:solidFill>
              <a:schemeClr val="accent1"/>
            </a:solidFill>
          </c:spPr>
          <c:invertIfNegative val="0"/>
          <c:cat>
            <c:numRef>
              <c:f>'Overall Metrics'!$L$2:$L$41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Metrics'!$M$2:$M$41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0E76-46AB-9214-CD1717535575}"/>
            </c:ext>
          </c:extLst>
        </c:ser>
        <c:dLbls>
          <c:showLegendKey val="0"/>
          <c:showVal val="0"/>
          <c:showCatName val="0"/>
          <c:showSerName val="0"/>
          <c:showPercent val="0"/>
          <c:showBubbleSize val="0"/>
        </c:dLbls>
        <c:gapWidth val="0"/>
        <c:axId val="1190536704"/>
        <c:axId val="1190549760"/>
      </c:barChart>
      <c:catAx>
        <c:axId val="1190536704"/>
        <c:scaling>
          <c:orientation val="minMax"/>
        </c:scaling>
        <c:delete val="1"/>
        <c:axPos val="b"/>
        <c:title>
          <c:tx>
            <c:rich>
              <a:bodyPr/>
              <a:lstStyle/>
              <a:p>
                <a:pPr>
                  <a:defRPr/>
                </a:pPr>
                <a:r>
                  <a:rPr lang="en-US"/>
                  <a:t>Closeness Centrality</a:t>
                </a:r>
              </a:p>
            </c:rich>
          </c:tx>
          <c:layout>
            <c:manualLayout>
              <c:xMode val="edge"/>
              <c:yMode val="edge"/>
              <c:x val="0.35406086287408578"/>
              <c:y val="0.82619320971975252"/>
            </c:manualLayout>
          </c:layout>
          <c:overlay val="0"/>
        </c:title>
        <c:numFmt formatCode="#,##0.00" sourceLinked="1"/>
        <c:majorTickMark val="out"/>
        <c:minorTickMark val="none"/>
        <c:tickLblPos val="none"/>
        <c:crossAx val="1190549760"/>
        <c:crosses val="autoZero"/>
        <c:auto val="1"/>
        <c:lblAlgn val="ctr"/>
        <c:lblOffset val="100"/>
        <c:noMultiLvlLbl val="0"/>
      </c:catAx>
      <c:valAx>
        <c:axId val="119054976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3670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Metrics'!$O$2</c:f>
              <c:strCache>
                <c:ptCount val="1"/>
                <c:pt idx="0">
                  <c:v>0</c:v>
                </c:pt>
              </c:strCache>
            </c:strRef>
          </c:tx>
          <c:spPr>
            <a:solidFill>
              <a:schemeClr val="accent1"/>
            </a:solidFill>
          </c:spPr>
          <c:invertIfNegative val="0"/>
          <c:cat>
            <c:numRef>
              <c:f>'Overall Metrics'!$N$2:$N$41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Metrics'!$O$2:$O$41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EEC9-4FC8-8CE7-6787E6319234}"/>
            </c:ext>
          </c:extLst>
        </c:ser>
        <c:dLbls>
          <c:showLegendKey val="0"/>
          <c:showVal val="0"/>
          <c:showCatName val="0"/>
          <c:showSerName val="0"/>
          <c:showPercent val="0"/>
          <c:showBubbleSize val="0"/>
        </c:dLbls>
        <c:gapWidth val="0"/>
        <c:axId val="1190544320"/>
        <c:axId val="1190548672"/>
      </c:barChart>
      <c:catAx>
        <c:axId val="1190544320"/>
        <c:scaling>
          <c:orientation val="minMax"/>
        </c:scaling>
        <c:delete val="1"/>
        <c:axPos val="b"/>
        <c:title>
          <c:tx>
            <c:rich>
              <a:bodyPr/>
              <a:lstStyle/>
              <a:p>
                <a:pPr>
                  <a:defRPr/>
                </a:pPr>
                <a:r>
                  <a:rPr lang="en-US"/>
                  <a:t>Eigenvector</a:t>
                </a:r>
                <a:r>
                  <a:rPr lang="en-US" baseline="0"/>
                  <a:t> </a:t>
                </a:r>
                <a:r>
                  <a:rPr lang="en-US"/>
                  <a:t>Centrality</a:t>
                </a:r>
              </a:p>
            </c:rich>
          </c:tx>
          <c:layout>
            <c:manualLayout>
              <c:xMode val="edge"/>
              <c:yMode val="edge"/>
              <c:x val="0.33732726180313355"/>
              <c:y val="0.82619320971975252"/>
            </c:manualLayout>
          </c:layout>
          <c:overlay val="0"/>
        </c:title>
        <c:numFmt formatCode="#,##0.00" sourceLinked="1"/>
        <c:majorTickMark val="out"/>
        <c:minorTickMark val="none"/>
        <c:tickLblPos val="none"/>
        <c:crossAx val="1190548672"/>
        <c:crosses val="autoZero"/>
        <c:auto val="1"/>
        <c:lblAlgn val="ctr"/>
        <c:lblOffset val="100"/>
        <c:noMultiLvlLbl val="0"/>
      </c:catAx>
      <c:valAx>
        <c:axId val="119054867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432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Metrics'!$S$2</c:f>
              <c:strCache>
                <c:ptCount val="1"/>
                <c:pt idx="0">
                  <c:v>0</c:v>
                </c:pt>
              </c:strCache>
            </c:strRef>
          </c:tx>
          <c:spPr>
            <a:solidFill>
              <a:schemeClr val="accent1"/>
            </a:solidFill>
          </c:spPr>
          <c:invertIfNegative val="0"/>
          <c:cat>
            <c:numRef>
              <c:f>'Overall Metrics'!$R$2:$R$41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Metrics'!$S$2:$S$41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77AC-477A-B1C5-B6AC36152A52}"/>
            </c:ext>
          </c:extLst>
        </c:ser>
        <c:dLbls>
          <c:showLegendKey val="0"/>
          <c:showVal val="0"/>
          <c:showCatName val="0"/>
          <c:showSerName val="0"/>
          <c:showPercent val="0"/>
          <c:showBubbleSize val="0"/>
        </c:dLbls>
        <c:gapWidth val="0"/>
        <c:axId val="1190545408"/>
        <c:axId val="1190545952"/>
      </c:barChart>
      <c:catAx>
        <c:axId val="1190545408"/>
        <c:scaling>
          <c:orientation val="minMax"/>
        </c:scaling>
        <c:delete val="1"/>
        <c:axPos val="b"/>
        <c:title>
          <c:tx>
            <c:rich>
              <a:bodyPr/>
              <a:lstStyle/>
              <a:p>
                <a:pPr>
                  <a:defRPr/>
                </a:pPr>
                <a:r>
                  <a:rPr lang="en-US"/>
                  <a:t>Clustering Coefficient</a:t>
                </a:r>
              </a:p>
            </c:rich>
          </c:tx>
          <c:layout>
            <c:manualLayout>
              <c:xMode val="edge"/>
              <c:yMode val="edge"/>
              <c:x val="0.33732726180313377"/>
              <c:y val="0.82619320971975252"/>
            </c:manualLayout>
          </c:layout>
          <c:overlay val="0"/>
        </c:title>
        <c:numFmt formatCode="#,##0.00" sourceLinked="1"/>
        <c:majorTickMark val="out"/>
        <c:minorTickMark val="none"/>
        <c:tickLblPos val="none"/>
        <c:crossAx val="1190545952"/>
        <c:crosses val="autoZero"/>
        <c:auto val="1"/>
        <c:lblAlgn val="ctr"/>
        <c:lblOffset val="100"/>
        <c:noMultiLvlLbl val="0"/>
      </c:catAx>
      <c:valAx>
        <c:axId val="119054595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540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Metrics'!$Q$2</c:f>
              <c:strCache>
                <c:ptCount val="1"/>
                <c:pt idx="0">
                  <c:v>0</c:v>
                </c:pt>
              </c:strCache>
            </c:strRef>
          </c:tx>
          <c:spPr>
            <a:solidFill>
              <a:schemeClr val="accent1"/>
            </a:solidFill>
          </c:spPr>
          <c:invertIfNegative val="0"/>
          <c:cat>
            <c:numRef>
              <c:f>'Overall Metrics'!$R$2:$R$41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Metrics'!$Q$2:$Q$41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A203-4C5D-8FB9-42653A226400}"/>
            </c:ext>
          </c:extLst>
        </c:ser>
        <c:dLbls>
          <c:showLegendKey val="0"/>
          <c:showVal val="0"/>
          <c:showCatName val="0"/>
          <c:showSerName val="0"/>
          <c:showPercent val="0"/>
          <c:showBubbleSize val="0"/>
        </c:dLbls>
        <c:gapWidth val="0"/>
        <c:axId val="1190546496"/>
        <c:axId val="1190547040"/>
      </c:barChart>
      <c:catAx>
        <c:axId val="1190546496"/>
        <c:scaling>
          <c:orientation val="minMax"/>
        </c:scaling>
        <c:delete val="1"/>
        <c:axPos val="b"/>
        <c:title>
          <c:tx>
            <c:rich>
              <a:bodyPr/>
              <a:lstStyle/>
              <a:p>
                <a:pPr>
                  <a:defRPr/>
                </a:pPr>
                <a:r>
                  <a:rPr lang="en-US"/>
                  <a:t>PageRank</a:t>
                </a:r>
              </a:p>
            </c:rich>
          </c:tx>
          <c:layout>
            <c:manualLayout>
              <c:xMode val="edge"/>
              <c:yMode val="edge"/>
              <c:x val="0.41764854694368031"/>
              <c:y val="0.82619320971975252"/>
            </c:manualLayout>
          </c:layout>
          <c:overlay val="0"/>
        </c:title>
        <c:numFmt formatCode="#,##0.00" sourceLinked="1"/>
        <c:majorTickMark val="out"/>
        <c:minorTickMark val="none"/>
        <c:tickLblPos val="none"/>
        <c:crossAx val="1190547040"/>
        <c:crosses val="autoZero"/>
        <c:auto val="1"/>
        <c:lblAlgn val="ctr"/>
        <c:lblOffset val="100"/>
        <c:noMultiLvlLbl val="0"/>
      </c:catAx>
      <c:valAx>
        <c:axId val="119054704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649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639579878386837E-3"/>
          <c:y val="8.0430855234004828E-3"/>
          <c:w val="0.99723592884220325"/>
          <c:h val="0.9839124654872371"/>
        </c:manualLayout>
      </c:layout>
      <c:barChart>
        <c:barDir val="col"/>
        <c:grouping val="clustered"/>
        <c:varyColors val="0"/>
        <c:ser>
          <c:idx val="1"/>
          <c:order val="0"/>
          <c:tx>
            <c:strRef>
              <c:f>'Overall Metrics'!$U$2</c:f>
              <c:strCache>
                <c:ptCount val="1"/>
                <c:pt idx="0">
                  <c:v>#REF!</c:v>
                </c:pt>
              </c:strCache>
            </c:strRef>
          </c:tx>
          <c:spPr>
            <a:solidFill>
              <a:schemeClr val="accent1"/>
            </a:solidFill>
          </c:spPr>
          <c:invertIfNegative val="0"/>
          <c:cat>
            <c:numRef>
              <c:f>'Overall Metrics'!$T$2:$T$41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Metrics'!$U$2:$U$41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857C-4797-BBE8-848E1247739B}"/>
            </c:ext>
          </c:extLst>
        </c:ser>
        <c:dLbls>
          <c:showLegendKey val="0"/>
          <c:showVal val="0"/>
          <c:showCatName val="0"/>
          <c:showSerName val="0"/>
          <c:showPercent val="0"/>
          <c:showBubbleSize val="0"/>
        </c:dLbls>
        <c:gapWidth val="0"/>
        <c:axId val="1190549216"/>
        <c:axId val="1190550304"/>
      </c:barChart>
      <c:catAx>
        <c:axId val="1190549216"/>
        <c:scaling>
          <c:orientation val="minMax"/>
        </c:scaling>
        <c:delete val="1"/>
        <c:axPos val="b"/>
        <c:numFmt formatCode="#,##0.00" sourceLinked="1"/>
        <c:majorTickMark val="out"/>
        <c:minorTickMark val="none"/>
        <c:tickLblPos val="none"/>
        <c:crossAx val="1190550304"/>
        <c:crosses val="autoZero"/>
        <c:auto val="1"/>
        <c:lblAlgn val="ctr"/>
        <c:lblOffset val="100"/>
        <c:noMultiLvlLbl val="0"/>
      </c:catAx>
      <c:valAx>
        <c:axId val="1190550304"/>
        <c:scaling>
          <c:orientation val="minMax"/>
        </c:scaling>
        <c:delete val="1"/>
        <c:axPos val="l"/>
        <c:numFmt formatCode="General" sourceLinked="1"/>
        <c:majorTickMark val="out"/>
        <c:minorTickMark val="none"/>
        <c:tickLblPos val="none"/>
        <c:crossAx val="1190549216"/>
        <c:crosses val="autoZero"/>
        <c:crossBetween val="between"/>
      </c:valAx>
      <c:spPr>
        <a:solidFill>
          <a:schemeClr val="bg1">
            <a:lumMod val="85000"/>
          </a:schemeClr>
        </a:solidFill>
        <a:ln>
          <a:noFill/>
        </a:ln>
      </c:spPr>
    </c:plotArea>
    <c:plotVisOnly val="0"/>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xdr:colOff>
      <xdr:row>65</xdr:row>
      <xdr:rowOff>38100</xdr:rowOff>
    </xdr:from>
    <xdr:to>
      <xdr:col>1</xdr:col>
      <xdr:colOff>918209</xdr:colOff>
      <xdr:row>72</xdr:row>
      <xdr:rowOff>180975</xdr:rowOff>
    </xdr:to>
    <xdr:graphicFrame macro="">
      <xdr:nvGraphicFramePr>
        <xdr:cNvPr id="2" name="DegreeHistogram">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79</xdr:row>
      <xdr:rowOff>38100</xdr:rowOff>
    </xdr:from>
    <xdr:to>
      <xdr:col>1</xdr:col>
      <xdr:colOff>918209</xdr:colOff>
      <xdr:row>86</xdr:row>
      <xdr:rowOff>180975</xdr:rowOff>
    </xdr:to>
    <xdr:graphicFrame macro="">
      <xdr:nvGraphicFramePr>
        <xdr:cNvPr id="5" name="InDegreeHistogram">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93</xdr:row>
      <xdr:rowOff>28575</xdr:rowOff>
    </xdr:from>
    <xdr:to>
      <xdr:col>1</xdr:col>
      <xdr:colOff>918209</xdr:colOff>
      <xdr:row>100</xdr:row>
      <xdr:rowOff>171450</xdr:rowOff>
    </xdr:to>
    <xdr:graphicFrame macro="">
      <xdr:nvGraphicFramePr>
        <xdr:cNvPr id="4" name="OutDegreeHistogram">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107</xdr:row>
      <xdr:rowOff>9525</xdr:rowOff>
    </xdr:from>
    <xdr:to>
      <xdr:col>1</xdr:col>
      <xdr:colOff>918210</xdr:colOff>
      <xdr:row>114</xdr:row>
      <xdr:rowOff>152400</xdr:rowOff>
    </xdr:to>
    <xdr:graphicFrame macro="">
      <xdr:nvGraphicFramePr>
        <xdr:cNvPr id="6" name="BetweennessCentralityHistogram">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121</xdr:row>
      <xdr:rowOff>19050</xdr:rowOff>
    </xdr:from>
    <xdr:to>
      <xdr:col>2</xdr:col>
      <xdr:colOff>0</xdr:colOff>
      <xdr:row>128</xdr:row>
      <xdr:rowOff>161925</xdr:rowOff>
    </xdr:to>
    <xdr:graphicFrame macro="">
      <xdr:nvGraphicFramePr>
        <xdr:cNvPr id="7" name="ClosenessCentralityHistogram">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135</xdr:row>
      <xdr:rowOff>19050</xdr:rowOff>
    </xdr:from>
    <xdr:to>
      <xdr:col>1</xdr:col>
      <xdr:colOff>918210</xdr:colOff>
      <xdr:row>142</xdr:row>
      <xdr:rowOff>161925</xdr:rowOff>
    </xdr:to>
    <xdr:graphicFrame macro="">
      <xdr:nvGraphicFramePr>
        <xdr:cNvPr id="8" name="EigenvectorCentralityHistogram">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163</xdr:row>
      <xdr:rowOff>9525</xdr:rowOff>
    </xdr:from>
    <xdr:to>
      <xdr:col>1</xdr:col>
      <xdr:colOff>918210</xdr:colOff>
      <xdr:row>170</xdr:row>
      <xdr:rowOff>152400</xdr:rowOff>
    </xdr:to>
    <xdr:graphicFrame macro="">
      <xdr:nvGraphicFramePr>
        <xdr:cNvPr id="9" name="ClusteringCoefficientHistogram">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149</xdr:row>
      <xdr:rowOff>0</xdr:rowOff>
    </xdr:from>
    <xdr:to>
      <xdr:col>1</xdr:col>
      <xdr:colOff>918210</xdr:colOff>
      <xdr:row>156</xdr:row>
      <xdr:rowOff>142875</xdr:rowOff>
    </xdr:to>
    <xdr:graphicFrame macro="">
      <xdr:nvGraphicFramePr>
        <xdr:cNvPr id="10" name="ClusteringCoefficientHistogram">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0</xdr:colOff>
      <xdr:row>1</xdr:row>
      <xdr:rowOff>0</xdr:rowOff>
    </xdr:from>
    <xdr:to>
      <xdr:col>22</xdr:col>
      <xdr:colOff>381000</xdr:colOff>
      <xdr:row>4</xdr:row>
      <xdr:rowOff>28575</xdr:rowOff>
    </xdr:to>
    <xdr:graphicFrame macro="">
      <xdr:nvGraphicFramePr>
        <xdr:cNvPr id="2" name="DynamicFilterHistogram">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Edges" displayName="Edges" ref="A2:BI2141" totalsRowShown="0" headerRowDxfId="184" dataDxfId="125">
  <autoFilter ref="A2:BI2141" xr:uid="{00000000-0009-0000-0100-000001000000}"/>
  <tableColumns count="61">
    <tableColumn id="1" xr3:uid="{00000000-0010-0000-0000-000001000000}" name="Vertex 1" dataDxfId="101" dataCellStyle="NodeXL Required"/>
    <tableColumn id="2" xr3:uid="{00000000-0010-0000-0000-000002000000}" name="Vertex 2" dataDxfId="99" dataCellStyle="NodeXL Required"/>
    <tableColumn id="3" xr3:uid="{00000000-0010-0000-0000-000003000000}" name="Color" dataDxfId="100" dataCellStyle="NodeXL Visual Property"/>
    <tableColumn id="4" xr3:uid="{00000000-0010-0000-0000-000004000000}" name="Width" dataDxfId="135" dataCellStyle="NodeXL Visual Property"/>
    <tableColumn id="11" xr3:uid="{00000000-0010-0000-0000-00000B000000}" name="Style" dataDxfId="134" dataCellStyle="NodeXL Visual Property"/>
    <tableColumn id="5" xr3:uid="{00000000-0010-0000-0000-000005000000}" name="Opacity" dataDxfId="133" dataCellStyle="NodeXL Visual Property"/>
    <tableColumn id="6" xr3:uid="{00000000-0010-0000-0000-000006000000}" name="Visibility" dataDxfId="132" dataCellStyle="NodeXL Visual Property"/>
    <tableColumn id="10" xr3:uid="{00000000-0010-0000-0000-00000A000000}" name="Label" dataDxfId="131" dataCellStyle="NodeXL Label"/>
    <tableColumn id="12" xr3:uid="{00000000-0010-0000-0000-00000C000000}" name="Label Text Color" dataDxfId="130" dataCellStyle="NodeXL Label"/>
    <tableColumn id="13" xr3:uid="{00000000-0010-0000-0000-00000D000000}" name="Label Font Size" dataDxfId="129" dataCellStyle="NodeXL Label"/>
    <tableColumn id="14" xr3:uid="{00000000-0010-0000-0000-00000E000000}" name="Reciprocated?" dataDxfId="128" dataCellStyle="NodeXL Graph Metric"/>
    <tableColumn id="7" xr3:uid="{00000000-0010-0000-0000-000007000000}" name="ID" dataDxfId="127" dataCellStyle="NodeXL Do Not Edit"/>
    <tableColumn id="9" xr3:uid="{00000000-0010-0000-0000-000009000000}" name="Dynamic Filter" dataDxfId="126" dataCellStyle="NodeXL Do Not Edit"/>
    <tableColumn id="8" xr3:uid="{00000000-0010-0000-0000-000008000000}" name="Add Your Own Columns Here" dataDxfId="98" dataCellStyle="NodeXL Other Column"/>
    <tableColumn id="15" xr3:uid="{0D2E8168-CC1A-4FA0-A364-B0C9C52EE041}" name="Relationship" dataDxfId="97" dataCellStyle="Normal"/>
    <tableColumn id="16" xr3:uid="{6D1E7493-4301-4D90-A9FA-83EDE9790DE9}" name="Relationship Date (UTC)" dataDxfId="96" dataCellStyle="Normal"/>
    <tableColumn id="17" xr3:uid="{502D470B-9E16-4D5D-ABEB-7E9F61BB571C}" name="Tweet" dataDxfId="95" dataCellStyle="Normal"/>
    <tableColumn id="18" xr3:uid="{73E58A97-92B2-4801-B086-31EDA2ECB422}" name="Retweet Count" dataDxfId="94" dataCellStyle="Normal"/>
    <tableColumn id="19" xr3:uid="{ADDD0A89-47DF-4501-9EC9-6A543F4FF6A1}" name="Favorite Count" dataDxfId="93" dataCellStyle="Normal"/>
    <tableColumn id="20" xr3:uid="{7719F559-741A-488C-A941-8548E0BFE939}" name="Reply Count" dataDxfId="92" dataCellStyle="Normal"/>
    <tableColumn id="21" xr3:uid="{F46B2F26-3F6C-4ED0-931D-A112363F0B16}" name="Quote Count" dataDxfId="91" dataCellStyle="Normal"/>
    <tableColumn id="22" xr3:uid="{F17050FD-8F17-44DD-84D0-EF7C1ACE4562}" name="Impression Count" dataDxfId="90" dataCellStyle="Normal"/>
    <tableColumn id="23" xr3:uid="{3AEEF044-BE98-4A94-9E57-03B6BB7EF791}" name="Hashtags in Tweet" dataDxfId="89" dataCellStyle="Normal"/>
    <tableColumn id="24" xr3:uid="{7FCC981D-595C-4F42-A809-947481E329F2}" name="URLs in Tweet" dataDxfId="88" dataCellStyle="Normal"/>
    <tableColumn id="25" xr3:uid="{33CB3BA6-E7D1-4463-9346-2E3718428951}" name="Domains in Tweet" dataDxfId="87" dataCellStyle="Normal"/>
    <tableColumn id="26" xr3:uid="{8C1C4340-4ED1-4946-9C21-52DBAC4C9C2D}" name="Mentions in Tweet" dataDxfId="86" dataCellStyle="Normal"/>
    <tableColumn id="27" xr3:uid="{1A33F008-4339-41D2-8BE8-A30B7550088B}" name="Media in Tweet" dataDxfId="85" dataCellStyle="Normal"/>
    <tableColumn id="28" xr3:uid="{64F8CE9C-85D8-4845-B173-5B70B1221634}" name="Media Type" dataDxfId="84" dataCellStyle="Normal"/>
    <tableColumn id="29" xr3:uid="{2F62B43F-2175-49CB-BBE0-0DF0471E36B0}" name="Source" dataDxfId="83" dataCellStyle="Normal"/>
    <tableColumn id="30" xr3:uid="{C0BF6BAD-DDA6-4684-99F7-F31C7DE9AC13}" name="Language" dataDxfId="82" dataCellStyle="Normal"/>
    <tableColumn id="31" xr3:uid="{43765114-2A1C-43C3-B6C9-5CEA64615605}" name="Twitter Page for Tweet" dataDxfId="81" dataCellStyle="Normal"/>
    <tableColumn id="32" xr3:uid="{28E522F5-E230-4FE2-8273-0640E1922DC3}" name="Tweet Date (UTC)" dataDxfId="80" dataCellStyle="Normal"/>
    <tableColumn id="33" xr3:uid="{C2E39B18-5065-46D1-A8FF-C86A2F15017E}" name="Date" dataDxfId="79" dataCellStyle="Normal"/>
    <tableColumn id="34" xr3:uid="{D6BB759C-F5B6-4684-883C-F643810A9E03}" name="Time" dataDxfId="78" dataCellStyle="Normal"/>
    <tableColumn id="35" xr3:uid="{558D7F4A-7939-4D16-B8F6-0E4DD27AFC11}" name="Possibly Sensitive" dataDxfId="77" dataCellStyle="Normal"/>
    <tableColumn id="36" xr3:uid="{9D8D0056-E363-4FE8-A56E-C0AADCF72AA4}" name="Place Bounding Box" dataDxfId="76" dataCellStyle="Normal"/>
    <tableColumn id="37" xr3:uid="{A6433F07-E27C-423B-8A2B-5B559D872079}" name="Place Country" dataDxfId="75" dataCellStyle="Normal"/>
    <tableColumn id="38" xr3:uid="{E01DF5E0-B4E6-45E2-B0CC-FF220DD702A7}" name="Place Country Code" dataDxfId="74" dataCellStyle="Normal"/>
    <tableColumn id="39" xr3:uid="{6E5C0E23-0FE7-4200-A7C6-CA8B1E523EFA}" name="Place Full Name" dataDxfId="73" dataCellStyle="Normal"/>
    <tableColumn id="40" xr3:uid="{1BBE5C82-B057-4344-8721-B78B4C350CE8}" name="Place ID" dataDxfId="72" dataCellStyle="Normal"/>
    <tableColumn id="41" xr3:uid="{3BD139E6-C199-43D9-BE9C-D41BAED3D71D}" name="Place Name" dataDxfId="71" dataCellStyle="Normal"/>
    <tableColumn id="42" xr3:uid="{AE6188D8-A30A-451D-8844-BF51CCF3E84C}" name="Place Type" dataDxfId="70" dataCellStyle="Normal"/>
    <tableColumn id="43" xr3:uid="{B1F198F6-0B9C-4556-B36A-B1A0963561AC}" name="Media Key" dataDxfId="69" dataCellStyle="Normal"/>
    <tableColumn id="44" xr3:uid="{4B03500C-9AF7-482B-B9A3-C431C1A78BDF}" name="Media Duration (ms)" dataDxfId="68" dataCellStyle="Normal"/>
    <tableColumn id="45" xr3:uid="{40D51FBF-1437-4092-9460-4CBB4459D825}" name="Media Height" dataDxfId="67" dataCellStyle="Normal"/>
    <tableColumn id="46" xr3:uid="{6E841377-8D32-4A1D-AB40-63158595DA47}" name="Media Width" dataDxfId="66" dataCellStyle="Normal"/>
    <tableColumn id="47" xr3:uid="{B1A0033B-40F1-4EB0-8574-31FF3E3DA90E}" name="Media View Count" dataDxfId="65" dataCellStyle="Normal"/>
    <tableColumn id="48" xr3:uid="{0C57789C-4164-4870-A423-2CEADACCCB77}" name="Tweet Image File" dataDxfId="64" dataCellStyle="Normal"/>
    <tableColumn id="49" xr3:uid="{308E5088-BC5D-4E2F-A22D-DBF0DD06A848}" name="Imported ID" dataDxfId="63" dataCellStyle="Normal"/>
    <tableColumn id="50" xr3:uid="{8D69FD49-C581-4522-B009-0BC8FA5FE647}" name="Conversation ID" dataDxfId="62" dataCellStyle="Normal"/>
    <tableColumn id="51" xr3:uid="{A10EC170-5AE1-4CA5-9395-8B2DF63DC4C7}" name="In Reply To User ID" dataDxfId="61" dataCellStyle="Normal"/>
    <tableColumn id="52" xr3:uid="{2F8D30B0-1A90-453D-9744-61E99618A9C7}" name="In Reply To Tweet ID" dataDxfId="60" dataCellStyle="Normal"/>
    <tableColumn id="53" xr3:uid="{5412B753-C686-4CD1-B5DE-D2C591060BC6}" name="Quoted Status ID" dataDxfId="59" dataCellStyle="Normal"/>
    <tableColumn id="54" xr3:uid="{3CDEB945-E9AB-434D-8D71-D909BD9944E5}" name="Retweet ID" dataDxfId="58" dataCellStyle="Normal"/>
    <tableColumn id="55" xr3:uid="{4E994B74-967F-4AA6-BCBD-3F896EB50D8D}" name="Unified Twitter ID" dataDxfId="57" dataCellStyle="Normal"/>
    <tableColumn id="56" xr3:uid="{B459B414-83D0-49F7-A523-93E6541BF26A}" name="Author ID" dataDxfId="56" dataCellStyle="Normal"/>
    <tableColumn id="57" xr3:uid="{8721ABCC-2D6A-42E5-8F55-7E36AFB080DB}" name="Poll ID" dataDxfId="55" dataCellStyle="Normal"/>
    <tableColumn id="58" xr3:uid="{0E45D90A-631F-47F1-A668-92B3AFAA3BF2}" name="Poll Options" dataDxfId="54" dataCellStyle="Normal"/>
    <tableColumn id="59" xr3:uid="{F93077B7-39D9-496E-9E85-4551200FCD27}" name="Poll Duration" dataDxfId="53" dataCellStyle="Normal"/>
    <tableColumn id="60" xr3:uid="{79F07B41-5240-4EAD-B0C0-BD09FF684410}" name="Poll End Date" dataDxfId="52" dataCellStyle="Normal"/>
    <tableColumn id="61" xr3:uid="{AA70DB64-DB63-4789-8D23-DC50F3607B64}" name="Poll Voting Status" dataDxfId="51" dataCellStyle="Normal"/>
  </tableColumns>
  <tableStyleInfo name="NodeXL Table"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Vertices" displayName="Vertices" ref="A2:BO749" totalsRowShown="0" headerRowDxfId="183" dataDxfId="102">
  <autoFilter ref="A2:BO749" xr:uid="{00000000-0009-0000-0100-000002000000}"/>
  <tableColumns count="67">
    <tableColumn id="1" xr3:uid="{00000000-0010-0000-0100-000001000000}" name="Vertex" dataDxfId="124" dataCellStyle="NodeXL Required"/>
    <tableColumn id="2" xr3:uid="{00000000-0010-0000-0100-000002000000}" name="Color" dataDxfId="123" dataCellStyle="NodeXL Visual Property"/>
    <tableColumn id="5" xr3:uid="{00000000-0010-0000-0100-000005000000}" name="Shape" dataDxfId="122" dataCellStyle="NodeXL Visual Property"/>
    <tableColumn id="6" xr3:uid="{00000000-0010-0000-0100-000006000000}" name="Size" dataDxfId="121" dataCellStyle="NodeXL Visual Property"/>
    <tableColumn id="4" xr3:uid="{00000000-0010-0000-0100-000004000000}" name="Opacity" dataDxfId="14" dataCellStyle="NodeXL Visual Property"/>
    <tableColumn id="7" xr3:uid="{00000000-0010-0000-0100-000007000000}" name="Image File" dataDxfId="12" dataCellStyle="NodeXL Visual Property"/>
    <tableColumn id="3" xr3:uid="{00000000-0010-0000-0100-000003000000}" name="Visibility" dataDxfId="13" dataCellStyle="NodeXL Visual Property"/>
    <tableColumn id="10" xr3:uid="{00000000-0010-0000-0100-00000A000000}" name="Label" dataDxfId="120" dataCellStyle="NodeXL Label"/>
    <tableColumn id="16" xr3:uid="{00000000-0010-0000-0100-000010000000}" name="Label Fill Color" dataDxfId="119" dataCellStyle="NodeXL Label"/>
    <tableColumn id="9" xr3:uid="{00000000-0010-0000-0100-000009000000}" name="Label Position" dataDxfId="8" dataCellStyle="NodeXL Label"/>
    <tableColumn id="8" xr3:uid="{00000000-0010-0000-0100-000008000000}" name="Tooltip" dataDxfId="6" dataCellStyle="NodeXL Label"/>
    <tableColumn id="18" xr3:uid="{00000000-0010-0000-0100-000012000000}" name="Layout Order" dataDxfId="7" dataCellStyle="NodeXL Layout"/>
    <tableColumn id="13" xr3:uid="{00000000-0010-0000-0100-00000D000000}" name="X" dataDxfId="118" dataCellStyle="NodeXL Layout"/>
    <tableColumn id="14" xr3:uid="{00000000-0010-0000-0100-00000E000000}" name="Y" dataDxfId="117" dataCellStyle="NodeXL Layout"/>
    <tableColumn id="12" xr3:uid="{00000000-0010-0000-0100-00000C000000}" name="Locked?" dataDxfId="116" dataCellStyle="NodeXL Layout"/>
    <tableColumn id="19" xr3:uid="{00000000-0010-0000-0100-000013000000}" name="Polar R" dataDxfId="115" dataCellStyle="NodeXL Layout"/>
    <tableColumn id="20" xr3:uid="{00000000-0010-0000-0100-000014000000}" name="Polar Angle" dataDxfId="114" dataCellStyle="NodeXL Layout"/>
    <tableColumn id="21" xr3:uid="{00000000-0010-0000-0100-000015000000}" name="Degree" dataDxfId="113" dataCellStyle="NodeXL Graph Metric"/>
    <tableColumn id="22" xr3:uid="{00000000-0010-0000-0100-000016000000}" name="In-Degree" dataDxfId="112" dataCellStyle="NodeXL Graph Metric"/>
    <tableColumn id="23" xr3:uid="{00000000-0010-0000-0100-000017000000}" name="Out-Degree" dataDxfId="111" dataCellStyle="NodeXL Graph Metric"/>
    <tableColumn id="24" xr3:uid="{00000000-0010-0000-0100-000018000000}" name="Betweenness Centrality" dataDxfId="110" dataCellStyle="NodeXL Graph Metric"/>
    <tableColumn id="25" xr3:uid="{00000000-0010-0000-0100-000019000000}" name="Closeness Centrality" dataDxfId="109" dataCellStyle="NodeXL Graph Metric"/>
    <tableColumn id="26" xr3:uid="{00000000-0010-0000-0100-00001A000000}" name="Eigenvector Centrality" dataDxfId="108" dataCellStyle="NodeXL Graph Metric"/>
    <tableColumn id="15" xr3:uid="{00000000-0010-0000-0100-00000F000000}" name="PageRank" dataDxfId="107" dataCellStyle="NodeXL Graph Metric"/>
    <tableColumn id="27" xr3:uid="{00000000-0010-0000-0100-00001B000000}" name="Clustering Coefficient" dataDxfId="106" dataCellStyle="NodeXL Graph Metric"/>
    <tableColumn id="29" xr3:uid="{00000000-0010-0000-0100-00001D000000}" name="Reciprocated Vertex Pair Ratio" dataDxfId="105" dataCellStyle="NodeXL Graph Metric"/>
    <tableColumn id="11" xr3:uid="{00000000-0010-0000-0100-00000B000000}" name="ID" dataDxfId="104" dataCellStyle="NodeXL Do Not Edit"/>
    <tableColumn id="28" xr3:uid="{00000000-0010-0000-0100-00001C000000}" name="Dynamic Filter" dataDxfId="103" dataCellStyle="NodeXL Do Not Edit"/>
    <tableColumn id="17" xr3:uid="{00000000-0010-0000-0100-000011000000}" name="Add Your Own Columns Here" dataDxfId="50" dataCellStyle="NodeXL Other Column"/>
    <tableColumn id="30" xr3:uid="{33186CAD-F306-4F56-BDDB-C37805B2A6E0}" name="Name" dataDxfId="49" dataCellStyle="Normal"/>
    <tableColumn id="31" xr3:uid="{21EA0126-1C05-4E99-A712-AD13DA1F2705}" name="User ID" dataDxfId="48" dataCellStyle="Normal"/>
    <tableColumn id="32" xr3:uid="{7AD90969-C48E-443E-AC36-59F290E74204}" name="Followers" dataDxfId="47" dataCellStyle="Normal"/>
    <tableColumn id="33" xr3:uid="{1575DB53-1BF9-4776-B059-A33ECB2B95EC}" name="Followed" dataDxfId="46" dataCellStyle="Normal"/>
    <tableColumn id="34" xr3:uid="{45A68140-76B3-43A3-BDDA-F917D6698021}" name="Tweets" dataDxfId="45" dataCellStyle="Normal"/>
    <tableColumn id="35" xr3:uid="{EAF9238C-2A9F-44B6-A2DF-94019A68375C}" name="Listed Count" dataDxfId="44" dataCellStyle="Normal"/>
    <tableColumn id="36" xr3:uid="{B63BBCDF-0DBB-45A4-A554-C72D0DF3BBD1}" name="Favourites Count" dataDxfId="43" dataCellStyle="Normal"/>
    <tableColumn id="37" xr3:uid="{672C2E10-8000-466E-964C-8E66AEF3DFD3}" name="Media Count" dataDxfId="42" dataCellStyle="Normal"/>
    <tableColumn id="38" xr3:uid="{00D3A7B5-30AF-4006-9959-1D163CAD5E3A}" name="Verified" dataDxfId="41" dataCellStyle="Normal"/>
    <tableColumn id="39" xr3:uid="{24ABAC7A-BE2E-4956-9F1C-7764958B544F}" name="Joined Twitter Date (UTC)" dataDxfId="40" dataCellStyle="Normal"/>
    <tableColumn id="40" xr3:uid="{D32ADB8A-1950-435A-88CD-9F165762A0D7}" name="Location" dataDxfId="39" dataCellStyle="Normal"/>
    <tableColumn id="41" xr3:uid="{CBCFA68A-69C2-459A-B4BF-AE50EDA8C4FB}" name="Description" dataDxfId="38" dataCellStyle="Normal"/>
    <tableColumn id="42" xr3:uid="{460E710F-7FA2-4880-AC43-24C2C676D93C}" name="URLs (Details)" dataDxfId="37" dataCellStyle="Normal"/>
    <tableColumn id="43" xr3:uid="{C29FD4C7-7FE8-4D07-AEC2-47D0450C11BA}" name="Expanded URLs (Details)" dataDxfId="36" dataCellStyle="Normal"/>
    <tableColumn id="44" xr3:uid="{D9491980-5946-4D22-80A0-A2A64891DCD1}" name="Display URLs (Details)" dataDxfId="35" dataCellStyle="Normal"/>
    <tableColumn id="45" xr3:uid="{3609A2B6-DD91-4B6F-A791-43EF805CB1F0}" name="Description URLs (Details)" dataDxfId="34" dataCellStyle="Normal"/>
    <tableColumn id="46" xr3:uid="{56C0686D-8AA0-4EA8-B64A-9306C53B1B7D}" name="Description Expanded URLs (Details)" dataDxfId="33" dataCellStyle="Normal"/>
    <tableColumn id="47" xr3:uid="{1DEE8AC9-EBA5-44F4-979D-7AEBAE9ACC69}" name="Description Display URLS (Details)" dataDxfId="32" dataCellStyle="Normal"/>
    <tableColumn id="48" xr3:uid="{85C26460-E1E1-4340-8F74-FBACC91C82EE}" name="Pinned Tweet ID" dataDxfId="31" dataCellStyle="Normal"/>
    <tableColumn id="49" xr3:uid="{319B3BA6-FB97-46EF-911E-78748BFC44B7}" name="URL" dataDxfId="30" dataCellStyle="Normal"/>
    <tableColumn id="50" xr3:uid="{7ECB3291-04DC-4912-8981-603B3657BD1D}" name="Is Blue Verified" dataDxfId="29" dataCellStyle="Normal"/>
    <tableColumn id="51" xr3:uid="{6890278D-403A-4121-805D-F2CDF7342B3B}" name="You Are Followed By" dataDxfId="28" dataCellStyle="Normal"/>
    <tableColumn id="52" xr3:uid="{20D46EF8-FA14-4218-92C2-9178E963C513}" name="You Are Following" dataDxfId="27" dataCellStyle="Normal"/>
    <tableColumn id="53" xr3:uid="{C737A5C0-1746-459C-BEF4-DC3A050417BA}" name="Can DM" dataDxfId="26" dataCellStyle="Normal"/>
    <tableColumn id="54" xr3:uid="{3B79850D-E0B9-4BD4-9163-85278713C48F}" name="Can Media Tag" dataDxfId="25" dataCellStyle="Normal"/>
    <tableColumn id="55" xr3:uid="{6DBDF9CB-EE53-4DEE-8024-F401A01783BF}" name="Default Profile" dataDxfId="24" dataCellStyle="Normal"/>
    <tableColumn id="56" xr3:uid="{71BC28A5-3F6A-4552-B177-78BA6A470CCE}" name="Default Profile Image" dataDxfId="23" dataCellStyle="Normal"/>
    <tableColumn id="57" xr3:uid="{365369BC-C34C-4C97-AF41-F3B7AC4DC912}" name="Has Custom Timelines" dataDxfId="22" dataCellStyle="Normal"/>
    <tableColumn id="58" xr3:uid="{52439B0D-BC7C-48F9-9419-36A362C3FC6B}" name="Is Translator" dataDxfId="21" dataCellStyle="Normal"/>
    <tableColumn id="59" xr3:uid="{CAE7D033-EEF5-4E36-9FA8-CD01C2DF7A25}" name="Possibly Sensitive" dataDxfId="20" dataCellStyle="Normal"/>
    <tableColumn id="60" xr3:uid="{1FC6B1F4-E9A9-4077-8EC9-0E915F5E058A}" name="Profile Banner URL" dataDxfId="19" dataCellStyle="Normal"/>
    <tableColumn id="61" xr3:uid="{ECED0997-5D33-4468-B395-FAEE7326E32C}" name="Profile Interstitial Type" dataDxfId="18" dataCellStyle="Normal"/>
    <tableColumn id="62" xr3:uid="{24CF5E38-F1F9-4081-9078-EE0538E2C39B}" name="Translator Type" dataDxfId="17" dataCellStyle="Normal"/>
    <tableColumn id="63" xr3:uid="{96BE36B7-C6E7-47BC-8EEB-FD0E366BE961}" name="Want Retweets" dataDxfId="16" dataCellStyle="Normal"/>
    <tableColumn id="64" xr3:uid="{6DC44C7C-4A4C-4828-83E5-1ABE377D18F1}" name="Withheld" dataDxfId="15" dataCellStyle="Normal"/>
    <tableColumn id="65" xr3:uid="{7F175182-62DD-491F-9875-4E3F4E0311D6}" name="Tweeted Search Term?" dataDxfId="11" dataCellStyle="Normal"/>
    <tableColumn id="66" xr3:uid="{5B30C261-8370-499B-A42A-0863C125C4F3}" name="Custom Menu Item Text" dataDxfId="10" dataCellStyle="Normal"/>
    <tableColumn id="67" xr3:uid="{0E5AC5A6-2F58-47EE-8004-A92DB78F5826}" name="Custom Menu Item Action" dataDxfId="9" dataCellStyle="Normal"/>
  </tableColumns>
  <tableStyleInfo name="NodeXL Table"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Groups" displayName="Groups" ref="A2:X3" insertRow="1" totalsRowShown="0" headerRowDxfId="182">
  <autoFilter ref="A2:X3" xr:uid="{00000000-0009-0000-0100-000004000000}"/>
  <tableColumns count="24">
    <tableColumn id="1" xr3:uid="{00000000-0010-0000-0200-000001000000}" name="Group" dataDxfId="181" dataCellStyle="NodeXL Required"/>
    <tableColumn id="2" xr3:uid="{00000000-0010-0000-0200-000002000000}" name="Vertex Color" dataDxfId="180" dataCellStyle="NodeXL Visual Property"/>
    <tableColumn id="3" xr3:uid="{00000000-0010-0000-0200-000003000000}" name="Vertex Shape" dataDxfId="179" dataCellStyle="NodeXL Visual Property"/>
    <tableColumn id="22" xr3:uid="{00000000-0010-0000-0200-000016000000}" name="Visibility" dataDxfId="178" dataCellStyle="NodeXL Visual Property"/>
    <tableColumn id="4" xr3:uid="{00000000-0010-0000-0200-000004000000}" name="Collapsed?" dataCellStyle="NodeXL Visual Property"/>
    <tableColumn id="18" xr3:uid="{00000000-0010-0000-0200-000012000000}" name="Label" dataDxfId="177" dataCellStyle="NodeXL Label"/>
    <tableColumn id="20" xr3:uid="{00000000-0010-0000-0200-000014000000}" name="Collapsed X" dataCellStyle="NodeXL Layout"/>
    <tableColumn id="21" xr3:uid="{00000000-0010-0000-0200-000015000000}" name="Collapsed Y" dataCellStyle="NodeXL Layout"/>
    <tableColumn id="6" xr3:uid="{00000000-0010-0000-0200-000006000000}" name="ID" dataDxfId="176" dataCellStyle="NodeXL Do Not Edit"/>
    <tableColumn id="19" xr3:uid="{00000000-0010-0000-0200-000013000000}" name="Collapsed Properties" dataDxfId="175" dataCellStyle="NodeXL Do Not Edit"/>
    <tableColumn id="5" xr3:uid="{00000000-0010-0000-0200-000005000000}" name="Vertices" dataDxfId="174" dataCellStyle="NodeXL Graph Metric"/>
    <tableColumn id="7" xr3:uid="{00000000-0010-0000-0200-000007000000}" name="Unique Edges" dataDxfId="173" dataCellStyle="NodeXL Graph Metric"/>
    <tableColumn id="8" xr3:uid="{00000000-0010-0000-0200-000008000000}" name="Edges With Duplicates" dataDxfId="172" dataCellStyle="NodeXL Graph Metric"/>
    <tableColumn id="9" xr3:uid="{00000000-0010-0000-0200-000009000000}" name="Total Edges" dataDxfId="171" dataCellStyle="NodeXL Graph Metric"/>
    <tableColumn id="10" xr3:uid="{00000000-0010-0000-0200-00000A000000}" name="Self-Loops" dataDxfId="170" dataCellStyle="NodeXL Graph Metric"/>
    <tableColumn id="24" xr3:uid="{00000000-0010-0000-0200-000018000000}" name="Reciprocated Vertex Pair Ratio" dataDxfId="169" dataCellStyle="NodeXL Graph Metric"/>
    <tableColumn id="25" xr3:uid="{00000000-0010-0000-0200-000019000000}" name="Reciprocated Edge Ratio" dataDxfId="168" dataCellStyle="NodeXL Graph Metric"/>
    <tableColumn id="11" xr3:uid="{00000000-0010-0000-0200-00000B000000}" name="Connected Components" dataDxfId="167" dataCellStyle="NodeXL Graph Metric"/>
    <tableColumn id="12" xr3:uid="{00000000-0010-0000-0200-00000C000000}" name="Single-Vertex Connected Components" dataDxfId="166" dataCellStyle="NodeXL Graph Metric"/>
    <tableColumn id="13" xr3:uid="{00000000-0010-0000-0200-00000D000000}" name="Maximum Vertices in a Connected Component" dataDxfId="165" dataCellStyle="NodeXL Graph Metric"/>
    <tableColumn id="14" xr3:uid="{00000000-0010-0000-0200-00000E000000}" name="Maximum Edges in a Connected Component" dataDxfId="164" dataCellStyle="NodeXL Graph Metric"/>
    <tableColumn id="15" xr3:uid="{00000000-0010-0000-0200-00000F000000}" name="Maximum Geodesic Distance (Diameter)" dataDxfId="163" dataCellStyle="NodeXL Graph Metric"/>
    <tableColumn id="16" xr3:uid="{00000000-0010-0000-0200-000010000000}" name="Average Geodesic Distance" dataDxfId="162" dataCellStyle="NodeXL Graph Metric"/>
    <tableColumn id="17" xr3:uid="{00000000-0010-0000-0200-000011000000}" name="Graph Density" dataDxfId="161" dataCellStyle="NodeXL Graph Metric"/>
  </tableColumns>
  <tableStyleInfo name="NodeXL Tab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GroupVertices" displayName="GroupVertices" ref="A1:C2" totalsRowShown="0" headerRowDxfId="160" dataDxfId="159">
  <autoFilter ref="A1:C2" xr:uid="{00000000-0009-0000-0100-000005000000}"/>
  <tableColumns count="3">
    <tableColumn id="1" xr3:uid="{00000000-0010-0000-0300-000001000000}" name="Group" dataDxfId="158"/>
    <tableColumn id="2" xr3:uid="{00000000-0010-0000-0300-000002000000}" name="Vertex" dataDxfId="157"/>
    <tableColumn id="3" xr3:uid="{00000000-0010-0000-0300-000003000000}" name="Vertex ID" dataDxfId="156"/>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4000000}" name="OverallMetrics" displayName="OverallMetrics" ref="A1:B43" totalsRowShown="0" dataCellStyle="NodeXL Graph Metric">
  <autoFilter ref="A1:B43" xr:uid="{00000000-0009-0000-0100-000006000000}"/>
  <tableColumns count="2">
    <tableColumn id="1" xr3:uid="{00000000-0010-0000-0400-000001000000}" name="Graph Metric" dataDxfId="5" dataCellStyle="NodeXL Graph Metric"/>
    <tableColumn id="2" xr3:uid="{00000000-0010-0000-0400-000002000000}" name="Value" dataDxfId="4" dataCellStyle="NodeXL Graph Metric"/>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5000000}" name="HistogramBins" displayName="HistogramBins" ref="D1:U36" totalsRowShown="0">
  <autoFilter ref="D1:U36" xr:uid="{00000000-0009-0000-0100-000003000000}"/>
  <tableColumns count="18">
    <tableColumn id="1" xr3:uid="{00000000-0010-0000-0500-000001000000}" name="Degree Bin" dataDxfId="155"/>
    <tableColumn id="2" xr3:uid="{00000000-0010-0000-0500-000002000000}" name="Degree Frequency" dataDxfId="154">
      <calculatedColumnFormula>COUNTIF(Vertices[Degree], "&gt;= " &amp; D2) - COUNTIF(Vertices[Degree], "&gt;=" &amp; D3)</calculatedColumnFormula>
    </tableColumn>
    <tableColumn id="3" xr3:uid="{00000000-0010-0000-0500-000003000000}" name="In-Degree Bin" dataDxfId="153"/>
    <tableColumn id="4" xr3:uid="{00000000-0010-0000-0500-000004000000}" name="In-Degree Frequency" dataDxfId="152">
      <calculatedColumnFormula>COUNTIF(Vertices[In-Degree], "&gt;= " &amp; F2) - COUNTIF(Vertices[In-Degree], "&gt;=" &amp; F3)</calculatedColumnFormula>
    </tableColumn>
    <tableColumn id="5" xr3:uid="{00000000-0010-0000-0500-000005000000}" name="Out-Degree Bin" dataDxfId="151"/>
    <tableColumn id="6" xr3:uid="{00000000-0010-0000-0500-000006000000}" name="Out-Degree Frequency" dataDxfId="150">
      <calculatedColumnFormula>COUNTIF(Vertices[Out-Degree], "&gt;= " &amp; H2) - COUNTIF(Vertices[Out-Degree], "&gt;=" &amp; H3)</calculatedColumnFormula>
    </tableColumn>
    <tableColumn id="7" xr3:uid="{00000000-0010-0000-0500-000007000000}" name="Betweenness Centrality Bin" dataDxfId="149"/>
    <tableColumn id="8" xr3:uid="{00000000-0010-0000-0500-000008000000}" name="Betweenness Centrality Frequency" dataDxfId="148">
      <calculatedColumnFormula>COUNTIF(Vertices[Betweenness Centrality], "&gt;= " &amp; J2) - COUNTIF(Vertices[Betweenness Centrality], "&gt;=" &amp; J3)</calculatedColumnFormula>
    </tableColumn>
    <tableColumn id="9" xr3:uid="{00000000-0010-0000-0500-000009000000}" name="Closeness Centrality Bin" dataDxfId="147"/>
    <tableColumn id="10" xr3:uid="{00000000-0010-0000-0500-00000A000000}" name="Closeness Centrality Frequency" dataDxfId="146">
      <calculatedColumnFormula>COUNTIF(Vertices[Closeness Centrality], "&gt;= " &amp; L2) - COUNTIF(Vertices[Closeness Centrality], "&gt;=" &amp; L3)</calculatedColumnFormula>
    </tableColumn>
    <tableColumn id="11" xr3:uid="{00000000-0010-0000-0500-00000B000000}" name="Eigenvector Centrality Bin" dataDxfId="145"/>
    <tableColumn id="12" xr3:uid="{00000000-0010-0000-0500-00000C000000}" name="Eigenvector Centrality Frequency" dataDxfId="144">
      <calculatedColumnFormula>COUNTIF(Vertices[Eigenvector Centrality], "&gt;= " &amp; N2) - COUNTIF(Vertices[Eigenvector Centrality], "&gt;=" &amp; N3)</calculatedColumnFormula>
    </tableColumn>
    <tableColumn id="18" xr3:uid="{00000000-0010-0000-0500-000012000000}" name="PageRank Bin" dataDxfId="143"/>
    <tableColumn id="17" xr3:uid="{00000000-0010-0000-0500-000011000000}" name="PageRank Frequency" dataDxfId="142">
      <calculatedColumnFormula>COUNTIF(Vertices[Eigenvector Centrality], "&gt;= " &amp; P2) - COUNTIF(Vertices[Eigenvector Centrality], "&gt;=" &amp; P3)</calculatedColumnFormula>
    </tableColumn>
    <tableColumn id="13" xr3:uid="{00000000-0010-0000-0500-00000D000000}" name="Clustering Coefficient Bin" dataDxfId="141"/>
    <tableColumn id="14" xr3:uid="{00000000-0010-0000-0500-00000E000000}" name="Clustering Coefficient Frequency" dataDxfId="140">
      <calculatedColumnFormula>COUNTIF(Vertices[Clustering Coefficient], "&gt;= " &amp; R2) - COUNTIF(Vertices[Clustering Coefficient], "&gt;=" &amp; R3)</calculatedColumnFormula>
    </tableColumn>
    <tableColumn id="15" xr3:uid="{00000000-0010-0000-0500-00000F000000}" name="Dynamic Filter Bin" dataDxfId="139"/>
    <tableColumn id="16" xr3:uid="{00000000-0010-0000-0500-000010000000}" name="Dynamic Filter Frequency" dataDxfId="138">
      <calculatedColumnFormula>COUNTIF(Vertices[Clustering Coefficient], "&gt;= " &amp; T2) - COUNTIF(Vertices[Clustering Coefficient], "&gt;=" &amp; T3)</calculatedColumnFormula>
    </tableColumn>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6000000}" name="HistogramProperties" displayName="HistogramProperties" ref="W1:X4" totalsRowShown="0">
  <autoFilter ref="W1:X4" xr:uid="{00000000-0009-0000-0100-00000F000000}"/>
  <tableColumns count="2">
    <tableColumn id="1" xr3:uid="{00000000-0010-0000-0600-000001000000}" name="Histogram Property"/>
    <tableColumn id="2" xr3:uid="{00000000-0010-0000-0600-000002000000}" name="Value"/>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7000000}" name="OverallReadabilityMetrics" displayName="OverallReadabilityMetrics" ref="A60:B61" insertRow="1" totalsRowShown="0" dataCellStyle="NodeXL Graph Metric">
  <autoFilter ref="A60:B61" xr:uid="{00000000-0009-0000-0100-000009000000}"/>
  <tableColumns count="2">
    <tableColumn id="1" xr3:uid="{00000000-0010-0000-0700-000001000000}" name="Readability Metric" dataCellStyle="NodeXL Graph Metric"/>
    <tableColumn id="2" xr3:uid="{00000000-0010-0000-0700-000002000000}" name="Value" dataCellStyle="NodeXL Graph Metric"/>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8000000}" name="PerWorkbookSettings" displayName="PerWorkbookSettings" ref="J1:K8" totalsRowShown="0" headerRowDxfId="137">
  <autoFilter ref="J1:K8" xr:uid="{00000000-0009-0000-0100-000007000000}"/>
  <tableColumns count="2">
    <tableColumn id="1" xr3:uid="{00000000-0010-0000-0800-000001000000}" name="Per-Workbook Setting"/>
    <tableColumn id="2" xr3:uid="{00000000-0010-0000-0800-000002000000}" name="Value"/>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9000000}" name="DynamicFilterSettings" displayName="DynamicFilterSettings" ref="M1:P2" totalsRowShown="0" headerRowDxfId="136">
  <autoFilter ref="M1:P2" xr:uid="{00000000-0009-0000-0100-000008000000}"/>
  <tableColumns count="4">
    <tableColumn id="1" xr3:uid="{00000000-0010-0000-0900-000001000000}" name="Table Name"/>
    <tableColumn id="2" xr3:uid="{00000000-0010-0000-0900-000002000000}" name="Column Name"/>
    <tableColumn id="3" xr3:uid="{00000000-0010-0000-0900-000003000000}" name="Selected Minimum"/>
    <tableColumn id="4" xr3:uid="{00000000-0010-0000-0900-000004000000}" name="Selected Maximum"/>
  </tableColumns>
  <tableStyleInfo name="TableStyleMedium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FA37B64-2877-4A08-BA4E-5E522403B7F6}" name="ExportOptions" displayName="ExportOptions" ref="A1:B7" totalsRowShown="0" headerRowDxfId="3" dataDxfId="2" dataCellStyle="Normal">
  <autoFilter ref="A1:B7" xr:uid="{EFA37B64-2877-4A08-BA4E-5E522403B7F6}"/>
  <tableColumns count="2">
    <tableColumn id="1" xr3:uid="{287F3F00-204C-45D4-A850-255116EDA200}" name="Key" dataDxfId="1" dataCellStyle="Normal"/>
    <tableColumn id="2" xr3:uid="{05FC0372-F1E7-4CC7-9CC5-F7FDE0D5523E}" name="Value" dataDxfId="0" dataCellStyle="Normal"/>
  </tableColumns>
  <tableStyleInfo name="NodeXL Table"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br.indeed.com/m/viewjob?jk=1c287c5176393070&amp;advn=5206233891179969&amp;adid=415152775&amp;ad=-6NYlbfkN0BSEEFJ7xVyKwqdbs0hksJ6T95gHxrASH2LWYf73c3bNM7_uyBJSed03mzgUyYycpwXKPyhM-5JFmSUKxsEtHZLCHDMtd1ps3fj5Hhc6pcsVCiN0xG_nKMLDkTBSw2mIXncJdMMR8Ruh3bp8oKCuZaGitzkBRWUSxTVPmWOBq-Lr1hEACLCqLylrymQa1cFkUTXz8CkEz0CfGVMdFjXOQhIi_Bf_K0-7XOzoa1zC0aBecNeLD76b4wAQvfX8vEBiFY4-quq3H82YBlURe1mJZloh5O7KH4dYiu3xfEyUK_YfDI9LJzpVjhn8cjGUh_oUQgpGlWuHW747ZPk9hYWhM9A0tboLSRKumIC18XuqxQvAPfpnsJcWDgBwVpyTBLbKFBAJ9qCsYXFbtecv7JnastDLh1T2i8I5RJ3cxlyBVwnwnWug1sBJIHPrrpqUzqzKHbBrRZ_NyN1XQ%3D%3D&amp;from=serp&amp;dest=http%3A%2F%2Fbr.indeed.com%2Fjob%2Fvendedor-interno-1c287c5176393070&amp;desth=d698014396c83495f966e48e5f612409&amp;prevUrl=https%3A%2F%2Fbr.indeed.com%2Fm%2Fjobs%3Fq%3DSalvador%26l%3D%26from%3DsearchOnHP%26sameL%3D1&amp;tk=1h4tk6qi4kbl0806&amp;dupclk=1&amp;acatk=1h4tk7hjvh4eu800&amp;pub=6917c08ec3ecf6012dd26f3773156e870cace3277f6b99df&amp;xkcb=SoC1-_M3NdgUjoQGqR0LbzkdCdPP" TargetMode="External"/><Relationship Id="rId1" Type="http://schemas.openxmlformats.org/officeDocument/2006/relationships/hyperlink" Target="https://www.civil-mercantil.com/agencia-inmobiliaria-contrato-mediacion-corretaje-responsabilidad.html?web_origen=Social_Organico_Twitter_Civil_Caso_Practico_Contrato_Medicacion_Inmoviliaria&amp;utm_source=Social_Organico_Twitter_Civil&amp;utm_medium=social&amp;utm_campaign=Caso_Practico_Contrato_Medicacion_Inmoviliaria" TargetMode="External"/><Relationship Id="rId6" Type="http://schemas.openxmlformats.org/officeDocument/2006/relationships/comments" Target="../comments1.xml"/><Relationship Id="rId5" Type="http://schemas.openxmlformats.org/officeDocument/2006/relationships/table" Target="../tables/table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vmlDrawing" Target="../drawings/vmlDrawing5.vml"/><Relationship Id="rId7" Type="http://schemas.openxmlformats.org/officeDocument/2006/relationships/table" Target="../tables/table8.xml"/><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table" Target="../tables/table10.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I2141"/>
  <sheetViews>
    <sheetView workbookViewId="0">
      <pane xSplit="2" ySplit="2" topLeftCell="C3" activePane="bottomRight" state="frozen"/>
      <selection pane="topRight" activeCell="C1" sqref="C1"/>
      <selection pane="bottomLeft" activeCell="A3" sqref="A3"/>
      <selection pane="bottomRight" activeCell="A3" sqref="A3"/>
    </sheetView>
  </sheetViews>
  <sheetFormatPr defaultRowHeight="15" x14ac:dyDescent="0.25"/>
  <cols>
    <col min="1" max="2" width="10.42578125" style="1" customWidth="1"/>
    <col min="3" max="3" width="7.85546875" bestFit="1" customWidth="1"/>
    <col min="4" max="4" width="8.7109375" style="2" bestFit="1" customWidth="1"/>
    <col min="5" max="5" width="7.7109375" style="2" bestFit="1" customWidth="1"/>
    <col min="6" max="6" width="9.85546875" style="2" bestFit="1" customWidth="1"/>
    <col min="7" max="7" width="11" bestFit="1" customWidth="1"/>
    <col min="8" max="8" width="8" style="1" bestFit="1" customWidth="1"/>
    <col min="9" max="9" width="12.28515625" bestFit="1" customWidth="1"/>
    <col min="10" max="10" width="12.42578125" bestFit="1" customWidth="1"/>
    <col min="11" max="11" width="15.5703125" hidden="1" customWidth="1"/>
    <col min="12" max="12" width="11" hidden="1" customWidth="1"/>
    <col min="13" max="13" width="10.85546875" hidden="1" customWidth="1"/>
    <col min="14" max="14" width="16" bestFit="1" customWidth="1"/>
    <col min="15" max="15" width="12.7109375" bestFit="1" customWidth="1"/>
    <col min="16" max="16" width="14.42578125" bestFit="1" customWidth="1"/>
    <col min="17" max="17" width="8.85546875" bestFit="1" customWidth="1"/>
    <col min="18" max="18" width="10.85546875" bestFit="1" customWidth="1"/>
    <col min="19" max="19" width="10.5703125" bestFit="1" customWidth="1"/>
    <col min="20" max="20" width="8.5703125" bestFit="1" customWidth="1"/>
    <col min="21" max="21" width="8.85546875" bestFit="1" customWidth="1"/>
    <col min="22" max="22" width="13.140625" bestFit="1" customWidth="1"/>
    <col min="23" max="23" width="13.28515625" bestFit="1" customWidth="1"/>
    <col min="24" max="24" width="9.5703125" bestFit="1" customWidth="1"/>
    <col min="25" max="25" width="13.140625" bestFit="1" customWidth="1"/>
    <col min="26" max="26" width="13.85546875" bestFit="1" customWidth="1"/>
    <col min="27" max="27" width="11" bestFit="1" customWidth="1"/>
    <col min="28" max="28" width="8.85546875" bestFit="1" customWidth="1"/>
    <col min="29" max="29" width="9.28515625" bestFit="1" customWidth="1"/>
    <col min="30" max="30" width="11.5703125" bestFit="1" customWidth="1"/>
    <col min="31" max="31" width="14.42578125" bestFit="1" customWidth="1"/>
    <col min="32" max="32" width="13.42578125" bestFit="1" customWidth="1"/>
    <col min="33" max="33" width="7.42578125" bestFit="1" customWidth="1"/>
    <col min="34" max="34" width="7.7109375" bestFit="1" customWidth="1"/>
    <col min="35" max="35" width="11.42578125" bestFit="1" customWidth="1"/>
    <col min="36" max="36" width="17" bestFit="1" customWidth="1"/>
    <col min="37" max="37" width="10.28515625" bestFit="1" customWidth="1"/>
    <col min="38" max="38" width="15.5703125" bestFit="1" customWidth="1"/>
    <col min="39" max="39" width="11.7109375" bestFit="1" customWidth="1"/>
    <col min="40" max="40" width="10.28515625" bestFit="1" customWidth="1"/>
    <col min="41" max="41" width="8.5703125" bestFit="1" customWidth="1"/>
    <col min="42" max="42" width="8" bestFit="1" customWidth="1"/>
    <col min="43" max="43" width="8.85546875" bestFit="1" customWidth="1"/>
    <col min="44" max="44" width="17.140625" bestFit="1" customWidth="1"/>
    <col min="46" max="46" width="8.85546875" bestFit="1" customWidth="1"/>
    <col min="47" max="47" width="13.85546875" bestFit="1" customWidth="1"/>
    <col min="48" max="48" width="14.7109375" bestFit="1" customWidth="1"/>
    <col min="49" max="49" width="11.5703125" bestFit="1" customWidth="1"/>
    <col min="50" max="50" width="12.7109375" bestFit="1" customWidth="1"/>
    <col min="51" max="52" width="13" bestFit="1" customWidth="1"/>
    <col min="53" max="53" width="11" bestFit="1" customWidth="1"/>
    <col min="54" max="54" width="13.140625" bestFit="1" customWidth="1"/>
    <col min="55" max="55" width="12" bestFit="1" customWidth="1"/>
    <col min="56" max="56" width="11.7109375" bestFit="1" customWidth="1"/>
    <col min="57" max="57" width="9" bestFit="1" customWidth="1"/>
    <col min="58" max="58" width="10.28515625" bestFit="1" customWidth="1"/>
    <col min="59" max="59" width="11" bestFit="1" customWidth="1"/>
    <col min="60" max="60" width="10.42578125" bestFit="1" customWidth="1"/>
    <col min="61" max="61" width="13" bestFit="1" customWidth="1"/>
  </cols>
  <sheetData>
    <row r="1" spans="1:61" x14ac:dyDescent="0.25">
      <c r="C1" s="15" t="s">
        <v>39</v>
      </c>
      <c r="D1" s="16"/>
      <c r="E1" s="16"/>
      <c r="F1" s="16"/>
      <c r="G1" s="15"/>
      <c r="H1" s="13" t="s">
        <v>43</v>
      </c>
      <c r="I1" s="50"/>
      <c r="J1" s="50"/>
      <c r="K1" s="31" t="s">
        <v>42</v>
      </c>
      <c r="L1" s="17" t="s">
        <v>40</v>
      </c>
      <c r="M1" s="17"/>
      <c r="N1" s="14" t="s">
        <v>41</v>
      </c>
    </row>
    <row r="2" spans="1:61" ht="30" customHeight="1" x14ac:dyDescent="0.25">
      <c r="A2" s="10" t="s">
        <v>0</v>
      </c>
      <c r="B2" s="10" t="s">
        <v>1</v>
      </c>
      <c r="C2" s="7" t="s">
        <v>2</v>
      </c>
      <c r="D2" s="7" t="s">
        <v>3</v>
      </c>
      <c r="E2" s="7" t="s">
        <v>130</v>
      </c>
      <c r="F2" s="7" t="s">
        <v>4</v>
      </c>
      <c r="G2" s="7" t="s">
        <v>11</v>
      </c>
      <c r="H2" s="10" t="s">
        <v>46</v>
      </c>
      <c r="I2" s="7" t="s">
        <v>160</v>
      </c>
      <c r="J2" s="7" t="s">
        <v>161</v>
      </c>
      <c r="K2" s="7" t="s">
        <v>165</v>
      </c>
      <c r="L2" s="7" t="s">
        <v>12</v>
      </c>
      <c r="M2" s="7" t="s">
        <v>38</v>
      </c>
      <c r="N2" s="7" t="s">
        <v>26</v>
      </c>
      <c r="O2" s="7" t="s">
        <v>177</v>
      </c>
      <c r="P2" s="7" t="s">
        <v>178</v>
      </c>
      <c r="Q2" s="7" t="s">
        <v>179</v>
      </c>
      <c r="R2" s="7" t="s">
        <v>180</v>
      </c>
      <c r="S2" s="7" t="s">
        <v>181</v>
      </c>
      <c r="T2" s="7" t="s">
        <v>182</v>
      </c>
      <c r="U2" s="7" t="s">
        <v>183</v>
      </c>
      <c r="V2" s="7" t="s">
        <v>184</v>
      </c>
      <c r="W2" s="7" t="s">
        <v>185</v>
      </c>
      <c r="X2" s="7" t="s">
        <v>186</v>
      </c>
      <c r="Y2" s="7" t="s">
        <v>187</v>
      </c>
      <c r="Z2" s="7" t="s">
        <v>188</v>
      </c>
      <c r="AA2" s="7" t="s">
        <v>189</v>
      </c>
      <c r="AB2" s="7" t="s">
        <v>190</v>
      </c>
      <c r="AC2" s="7" t="s">
        <v>191</v>
      </c>
      <c r="AD2" s="7" t="s">
        <v>192</v>
      </c>
      <c r="AE2" s="7" t="s">
        <v>193</v>
      </c>
      <c r="AF2" s="7" t="s">
        <v>194</v>
      </c>
      <c r="AG2" s="7" t="s">
        <v>195</v>
      </c>
      <c r="AH2" s="7" t="s">
        <v>196</v>
      </c>
      <c r="AI2" s="7" t="s">
        <v>197</v>
      </c>
      <c r="AJ2" s="7" t="s">
        <v>198</v>
      </c>
      <c r="AK2" s="7" t="s">
        <v>199</v>
      </c>
      <c r="AL2" s="7" t="s">
        <v>200</v>
      </c>
      <c r="AM2" s="7" t="s">
        <v>201</v>
      </c>
      <c r="AN2" s="7" t="s">
        <v>202</v>
      </c>
      <c r="AO2" s="7" t="s">
        <v>203</v>
      </c>
      <c r="AP2" s="7" t="s">
        <v>204</v>
      </c>
      <c r="AQ2" s="7" t="s">
        <v>205</v>
      </c>
      <c r="AR2" s="7" t="s">
        <v>206</v>
      </c>
      <c r="AS2" s="7" t="s">
        <v>207</v>
      </c>
      <c r="AT2" s="7" t="s">
        <v>208</v>
      </c>
      <c r="AU2" s="7" t="s">
        <v>209</v>
      </c>
      <c r="AV2" s="7" t="s">
        <v>210</v>
      </c>
      <c r="AW2" s="7" t="s">
        <v>211</v>
      </c>
      <c r="AX2" s="7" t="s">
        <v>212</v>
      </c>
      <c r="AY2" s="7" t="s">
        <v>213</v>
      </c>
      <c r="AZ2" s="7" t="s">
        <v>214</v>
      </c>
      <c r="BA2" s="7" t="s">
        <v>215</v>
      </c>
      <c r="BB2" s="7" t="s">
        <v>216</v>
      </c>
      <c r="BC2" s="7" t="s">
        <v>217</v>
      </c>
      <c r="BD2" s="7" t="s">
        <v>218</v>
      </c>
      <c r="BE2" s="7" t="s">
        <v>219</v>
      </c>
      <c r="BF2" s="7" t="s">
        <v>220</v>
      </c>
      <c r="BG2" s="7" t="s">
        <v>221</v>
      </c>
      <c r="BH2" s="7" t="s">
        <v>222</v>
      </c>
      <c r="BI2" s="7" t="s">
        <v>223</v>
      </c>
    </row>
    <row r="3" spans="1:61" ht="15" customHeight="1" x14ac:dyDescent="0.25">
      <c r="A3" s="62" t="s">
        <v>224</v>
      </c>
      <c r="B3" s="62" t="s">
        <v>966</v>
      </c>
      <c r="C3" s="63"/>
      <c r="D3" s="64"/>
      <c r="E3" s="65"/>
      <c r="F3" s="66"/>
      <c r="G3" s="63"/>
      <c r="H3" s="67"/>
      <c r="I3" s="68"/>
      <c r="J3" s="68"/>
      <c r="K3" s="32"/>
      <c r="L3" s="69">
        <v>3</v>
      </c>
      <c r="M3" s="69"/>
      <c r="N3" s="70"/>
      <c r="O3" s="76" t="s">
        <v>967</v>
      </c>
      <c r="P3" s="78">
        <v>45028.794120370374</v>
      </c>
      <c r="Q3" s="76" t="s">
        <v>972</v>
      </c>
      <c r="R3" s="76">
        <v>0</v>
      </c>
      <c r="S3" s="76">
        <v>0</v>
      </c>
      <c r="T3" s="76">
        <v>0</v>
      </c>
      <c r="U3" s="76">
        <v>0</v>
      </c>
      <c r="V3" s="76">
        <v>106</v>
      </c>
      <c r="W3" s="80" t="s">
        <v>2916</v>
      </c>
      <c r="X3" s="82" t="str">
        <f>HYPERLINK("https://bit.ly/3Uvra2A")</f>
        <v>https://bit.ly/3Uvra2A</v>
      </c>
      <c r="Y3" s="76" t="s">
        <v>4213</v>
      </c>
      <c r="Z3" s="76" t="s">
        <v>4360</v>
      </c>
      <c r="AA3" s="76" t="s">
        <v>4389</v>
      </c>
      <c r="AB3" s="76" t="s">
        <v>5794</v>
      </c>
      <c r="AC3" s="80" t="s">
        <v>5801</v>
      </c>
      <c r="AD3" s="76" t="s">
        <v>5850</v>
      </c>
      <c r="AE3" s="82" t="str">
        <f>HYPERLINK("https://twitter.com/laplazadiario/status/1646227569409130498")</f>
        <v>https://twitter.com/laplazadiario/status/1646227569409130498</v>
      </c>
      <c r="AF3" s="78">
        <v>45028.794120370374</v>
      </c>
      <c r="AG3" s="84">
        <v>45028</v>
      </c>
      <c r="AH3" s="80" t="s">
        <v>5859</v>
      </c>
      <c r="AI3" s="76" t="b">
        <v>0</v>
      </c>
      <c r="AJ3" s="76"/>
      <c r="AK3" s="76"/>
      <c r="AL3" s="76"/>
      <c r="AM3" s="76"/>
      <c r="AN3" s="76"/>
      <c r="AO3" s="76"/>
      <c r="AP3" s="76"/>
      <c r="AQ3" s="76" t="s">
        <v>7892</v>
      </c>
      <c r="AR3" s="76"/>
      <c r="AS3" s="76"/>
      <c r="AT3" s="76"/>
      <c r="AU3" s="76"/>
      <c r="AV3" s="82" t="str">
        <f>HYPERLINK("https://pbs.twimg.com/media/FtiTP3SakAIPb82.jpg")</f>
        <v>https://pbs.twimg.com/media/FtiTP3SakAIPb82.jpg</v>
      </c>
      <c r="AW3" s="80" t="s">
        <v>9292</v>
      </c>
      <c r="AX3" s="80" t="s">
        <v>9292</v>
      </c>
      <c r="AY3" s="76"/>
      <c r="AZ3" s="80" t="s">
        <v>11359</v>
      </c>
      <c r="BA3" s="80" t="s">
        <v>11359</v>
      </c>
      <c r="BB3" s="80" t="s">
        <v>11359</v>
      </c>
      <c r="BC3" s="80" t="s">
        <v>9292</v>
      </c>
      <c r="BD3" s="76">
        <v>2890071926</v>
      </c>
      <c r="BE3" s="76"/>
      <c r="BF3" s="76"/>
      <c r="BG3" s="76"/>
      <c r="BH3" s="76"/>
      <c r="BI3" s="76"/>
    </row>
    <row r="4" spans="1:61" ht="15" customHeight="1" x14ac:dyDescent="0.25">
      <c r="A4" s="62" t="s">
        <v>224</v>
      </c>
      <c r="B4" s="62" t="s">
        <v>869</v>
      </c>
      <c r="C4" s="63"/>
      <c r="D4" s="64"/>
      <c r="E4" s="65"/>
      <c r="F4" s="66"/>
      <c r="G4" s="63"/>
      <c r="H4" s="67"/>
      <c r="I4" s="68"/>
      <c r="J4" s="68"/>
      <c r="K4" s="32"/>
      <c r="L4" s="75">
        <v>4</v>
      </c>
      <c r="M4" s="75"/>
      <c r="N4" s="70"/>
      <c r="O4" s="77" t="s">
        <v>967</v>
      </c>
      <c r="P4" s="79">
        <v>45028.794120370374</v>
      </c>
      <c r="Q4" s="77" t="s">
        <v>972</v>
      </c>
      <c r="R4" s="77">
        <v>0</v>
      </c>
      <c r="S4" s="77">
        <v>0</v>
      </c>
      <c r="T4" s="77">
        <v>0</v>
      </c>
      <c r="U4" s="77">
        <v>0</v>
      </c>
      <c r="V4" s="77">
        <v>106</v>
      </c>
      <c r="W4" s="81" t="s">
        <v>2916</v>
      </c>
      <c r="X4" s="83" t="str">
        <f>HYPERLINK("https://bit.ly/3Uvra2A")</f>
        <v>https://bit.ly/3Uvra2A</v>
      </c>
      <c r="Y4" s="77" t="s">
        <v>4213</v>
      </c>
      <c r="Z4" s="77" t="s">
        <v>4360</v>
      </c>
      <c r="AA4" s="77" t="s">
        <v>4389</v>
      </c>
      <c r="AB4" s="77" t="s">
        <v>5794</v>
      </c>
      <c r="AC4" s="81" t="s">
        <v>5801</v>
      </c>
      <c r="AD4" s="77" t="s">
        <v>5850</v>
      </c>
      <c r="AE4" s="83" t="str">
        <f>HYPERLINK("https://twitter.com/laplazadiario/status/1646227569409130498")</f>
        <v>https://twitter.com/laplazadiario/status/1646227569409130498</v>
      </c>
      <c r="AF4" s="79">
        <v>45028.794120370374</v>
      </c>
      <c r="AG4" s="85">
        <v>45028</v>
      </c>
      <c r="AH4" s="81" t="s">
        <v>5859</v>
      </c>
      <c r="AI4" s="77" t="b">
        <v>0</v>
      </c>
      <c r="AJ4" s="77"/>
      <c r="AK4" s="77"/>
      <c r="AL4" s="77"/>
      <c r="AM4" s="77"/>
      <c r="AN4" s="77"/>
      <c r="AO4" s="77"/>
      <c r="AP4" s="77"/>
      <c r="AQ4" s="77" t="s">
        <v>7892</v>
      </c>
      <c r="AR4" s="77"/>
      <c r="AS4" s="77"/>
      <c r="AT4" s="77"/>
      <c r="AU4" s="77"/>
      <c r="AV4" s="83" t="str">
        <f>HYPERLINK("https://pbs.twimg.com/media/FtiTP3SakAIPb82.jpg")</f>
        <v>https://pbs.twimg.com/media/FtiTP3SakAIPb82.jpg</v>
      </c>
      <c r="AW4" s="81" t="s">
        <v>9292</v>
      </c>
      <c r="AX4" s="81" t="s">
        <v>9292</v>
      </c>
      <c r="AY4" s="77"/>
      <c r="AZ4" s="81" t="s">
        <v>11359</v>
      </c>
      <c r="BA4" s="81" t="s">
        <v>11359</v>
      </c>
      <c r="BB4" s="81" t="s">
        <v>11359</v>
      </c>
      <c r="BC4" s="81" t="s">
        <v>9292</v>
      </c>
      <c r="BD4" s="77">
        <v>2890071926</v>
      </c>
      <c r="BE4" s="77"/>
      <c r="BF4" s="77"/>
      <c r="BG4" s="77"/>
      <c r="BH4" s="77"/>
      <c r="BI4" s="77"/>
    </row>
    <row r="5" spans="1:61" x14ac:dyDescent="0.25">
      <c r="A5" s="62" t="s">
        <v>224</v>
      </c>
      <c r="B5" s="62" t="s">
        <v>870</v>
      </c>
      <c r="C5" s="63"/>
      <c r="D5" s="64"/>
      <c r="E5" s="65"/>
      <c r="F5" s="66"/>
      <c r="G5" s="63"/>
      <c r="H5" s="67"/>
      <c r="I5" s="68"/>
      <c r="J5" s="68"/>
      <c r="K5" s="32"/>
      <c r="L5" s="75">
        <v>5</v>
      </c>
      <c r="M5" s="75"/>
      <c r="N5" s="70"/>
      <c r="O5" s="77" t="s">
        <v>967</v>
      </c>
      <c r="P5" s="79">
        <v>45028.794120370374</v>
      </c>
      <c r="Q5" s="77" t="s">
        <v>972</v>
      </c>
      <c r="R5" s="77">
        <v>0</v>
      </c>
      <c r="S5" s="77">
        <v>0</v>
      </c>
      <c r="T5" s="77">
        <v>0</v>
      </c>
      <c r="U5" s="77">
        <v>0</v>
      </c>
      <c r="V5" s="77">
        <v>106</v>
      </c>
      <c r="W5" s="81" t="s">
        <v>2916</v>
      </c>
      <c r="X5" s="83" t="str">
        <f>HYPERLINK("https://bit.ly/3Uvra2A")</f>
        <v>https://bit.ly/3Uvra2A</v>
      </c>
      <c r="Y5" s="77" t="s">
        <v>4213</v>
      </c>
      <c r="Z5" s="77" t="s">
        <v>4360</v>
      </c>
      <c r="AA5" s="77" t="s">
        <v>4389</v>
      </c>
      <c r="AB5" s="77" t="s">
        <v>5794</v>
      </c>
      <c r="AC5" s="81" t="s">
        <v>5801</v>
      </c>
      <c r="AD5" s="77" t="s">
        <v>5850</v>
      </c>
      <c r="AE5" s="83" t="str">
        <f>HYPERLINK("https://twitter.com/laplazadiario/status/1646227569409130498")</f>
        <v>https://twitter.com/laplazadiario/status/1646227569409130498</v>
      </c>
      <c r="AF5" s="79">
        <v>45028.794120370374</v>
      </c>
      <c r="AG5" s="85">
        <v>45028</v>
      </c>
      <c r="AH5" s="81" t="s">
        <v>5859</v>
      </c>
      <c r="AI5" s="77" t="b">
        <v>0</v>
      </c>
      <c r="AJ5" s="77"/>
      <c r="AK5" s="77"/>
      <c r="AL5" s="77"/>
      <c r="AM5" s="77"/>
      <c r="AN5" s="77"/>
      <c r="AO5" s="77"/>
      <c r="AP5" s="77"/>
      <c r="AQ5" s="77" t="s">
        <v>7892</v>
      </c>
      <c r="AR5" s="77"/>
      <c r="AS5" s="77"/>
      <c r="AT5" s="77"/>
      <c r="AU5" s="77"/>
      <c r="AV5" s="83" t="str">
        <f>HYPERLINK("https://pbs.twimg.com/media/FtiTP3SakAIPb82.jpg")</f>
        <v>https://pbs.twimg.com/media/FtiTP3SakAIPb82.jpg</v>
      </c>
      <c r="AW5" s="81" t="s">
        <v>9292</v>
      </c>
      <c r="AX5" s="81" t="s">
        <v>9292</v>
      </c>
      <c r="AY5" s="77"/>
      <c r="AZ5" s="81" t="s">
        <v>11359</v>
      </c>
      <c r="BA5" s="81" t="s">
        <v>11359</v>
      </c>
      <c r="BB5" s="81" t="s">
        <v>11359</v>
      </c>
      <c r="BC5" s="81" t="s">
        <v>9292</v>
      </c>
      <c r="BD5" s="77">
        <v>2890071926</v>
      </c>
      <c r="BE5" s="77"/>
      <c r="BF5" s="77"/>
      <c r="BG5" s="77"/>
      <c r="BH5" s="77"/>
      <c r="BI5" s="77"/>
    </row>
    <row r="6" spans="1:61" x14ac:dyDescent="0.25">
      <c r="A6" s="62" t="s">
        <v>224</v>
      </c>
      <c r="B6" s="62" t="s">
        <v>871</v>
      </c>
      <c r="C6" s="63"/>
      <c r="D6" s="64"/>
      <c r="E6" s="65"/>
      <c r="F6" s="66"/>
      <c r="G6" s="63"/>
      <c r="H6" s="67"/>
      <c r="I6" s="68"/>
      <c r="J6" s="68"/>
      <c r="K6" s="32"/>
      <c r="L6" s="75">
        <v>6</v>
      </c>
      <c r="M6" s="75"/>
      <c r="N6" s="70"/>
      <c r="O6" s="77" t="s">
        <v>967</v>
      </c>
      <c r="P6" s="79">
        <v>45028.794120370374</v>
      </c>
      <c r="Q6" s="77" t="s">
        <v>972</v>
      </c>
      <c r="R6" s="77">
        <v>0</v>
      </c>
      <c r="S6" s="77">
        <v>0</v>
      </c>
      <c r="T6" s="77">
        <v>0</v>
      </c>
      <c r="U6" s="77">
        <v>0</v>
      </c>
      <c r="V6" s="77">
        <v>106</v>
      </c>
      <c r="W6" s="81" t="s">
        <v>2916</v>
      </c>
      <c r="X6" s="83" t="str">
        <f>HYPERLINK("https://bit.ly/3Uvra2A")</f>
        <v>https://bit.ly/3Uvra2A</v>
      </c>
      <c r="Y6" s="77" t="s">
        <v>4213</v>
      </c>
      <c r="Z6" s="77" t="s">
        <v>4360</v>
      </c>
      <c r="AA6" s="77" t="s">
        <v>4389</v>
      </c>
      <c r="AB6" s="77" t="s">
        <v>5794</v>
      </c>
      <c r="AC6" s="81" t="s">
        <v>5801</v>
      </c>
      <c r="AD6" s="77" t="s">
        <v>5850</v>
      </c>
      <c r="AE6" s="83" t="str">
        <f>HYPERLINK("https://twitter.com/laplazadiario/status/1646227569409130498")</f>
        <v>https://twitter.com/laplazadiario/status/1646227569409130498</v>
      </c>
      <c r="AF6" s="79">
        <v>45028.794120370374</v>
      </c>
      <c r="AG6" s="85">
        <v>45028</v>
      </c>
      <c r="AH6" s="81" t="s">
        <v>5859</v>
      </c>
      <c r="AI6" s="77" t="b">
        <v>0</v>
      </c>
      <c r="AJ6" s="77"/>
      <c r="AK6" s="77"/>
      <c r="AL6" s="77"/>
      <c r="AM6" s="77"/>
      <c r="AN6" s="77"/>
      <c r="AO6" s="77"/>
      <c r="AP6" s="77"/>
      <c r="AQ6" s="77" t="s">
        <v>7892</v>
      </c>
      <c r="AR6" s="77"/>
      <c r="AS6" s="77"/>
      <c r="AT6" s="77"/>
      <c r="AU6" s="77"/>
      <c r="AV6" s="83" t="str">
        <f>HYPERLINK("https://pbs.twimg.com/media/FtiTP3SakAIPb82.jpg")</f>
        <v>https://pbs.twimg.com/media/FtiTP3SakAIPb82.jpg</v>
      </c>
      <c r="AW6" s="81" t="s">
        <v>9292</v>
      </c>
      <c r="AX6" s="81" t="s">
        <v>9292</v>
      </c>
      <c r="AY6" s="77"/>
      <c r="AZ6" s="81" t="s">
        <v>11359</v>
      </c>
      <c r="BA6" s="81" t="s">
        <v>11359</v>
      </c>
      <c r="BB6" s="81" t="s">
        <v>11359</v>
      </c>
      <c r="BC6" s="81" t="s">
        <v>9292</v>
      </c>
      <c r="BD6" s="77">
        <v>2890071926</v>
      </c>
      <c r="BE6" s="77"/>
      <c r="BF6" s="77"/>
      <c r="BG6" s="77"/>
      <c r="BH6" s="77"/>
      <c r="BI6" s="77"/>
    </row>
    <row r="7" spans="1:61" x14ac:dyDescent="0.25">
      <c r="A7" s="62" t="s">
        <v>224</v>
      </c>
      <c r="B7" s="62" t="s">
        <v>872</v>
      </c>
      <c r="C7" s="63"/>
      <c r="D7" s="64"/>
      <c r="E7" s="65"/>
      <c r="F7" s="66"/>
      <c r="G7" s="63"/>
      <c r="H7" s="67"/>
      <c r="I7" s="68"/>
      <c r="J7" s="68"/>
      <c r="K7" s="32"/>
      <c r="L7" s="75">
        <v>7</v>
      </c>
      <c r="M7" s="75"/>
      <c r="N7" s="70"/>
      <c r="O7" s="77" t="s">
        <v>967</v>
      </c>
      <c r="P7" s="79">
        <v>45028.794120370374</v>
      </c>
      <c r="Q7" s="77" t="s">
        <v>972</v>
      </c>
      <c r="R7" s="77">
        <v>0</v>
      </c>
      <c r="S7" s="77">
        <v>0</v>
      </c>
      <c r="T7" s="77">
        <v>0</v>
      </c>
      <c r="U7" s="77">
        <v>0</v>
      </c>
      <c r="V7" s="77">
        <v>106</v>
      </c>
      <c r="W7" s="81" t="s">
        <v>2916</v>
      </c>
      <c r="X7" s="83" t="str">
        <f>HYPERLINK("https://bit.ly/3Uvra2A")</f>
        <v>https://bit.ly/3Uvra2A</v>
      </c>
      <c r="Y7" s="77" t="s">
        <v>4213</v>
      </c>
      <c r="Z7" s="77" t="s">
        <v>4360</v>
      </c>
      <c r="AA7" s="77" t="s">
        <v>4389</v>
      </c>
      <c r="AB7" s="77" t="s">
        <v>5794</v>
      </c>
      <c r="AC7" s="81" t="s">
        <v>5801</v>
      </c>
      <c r="AD7" s="77" t="s">
        <v>5850</v>
      </c>
      <c r="AE7" s="83" t="str">
        <f>HYPERLINK("https://twitter.com/laplazadiario/status/1646227569409130498")</f>
        <v>https://twitter.com/laplazadiario/status/1646227569409130498</v>
      </c>
      <c r="AF7" s="79">
        <v>45028.794120370374</v>
      </c>
      <c r="AG7" s="85">
        <v>45028</v>
      </c>
      <c r="AH7" s="81" t="s">
        <v>5859</v>
      </c>
      <c r="AI7" s="77" t="b">
        <v>0</v>
      </c>
      <c r="AJ7" s="77"/>
      <c r="AK7" s="77"/>
      <c r="AL7" s="77"/>
      <c r="AM7" s="77"/>
      <c r="AN7" s="77"/>
      <c r="AO7" s="77"/>
      <c r="AP7" s="77"/>
      <c r="AQ7" s="77" t="s">
        <v>7892</v>
      </c>
      <c r="AR7" s="77"/>
      <c r="AS7" s="77"/>
      <c r="AT7" s="77"/>
      <c r="AU7" s="77"/>
      <c r="AV7" s="83" t="str">
        <f>HYPERLINK("https://pbs.twimg.com/media/FtiTP3SakAIPb82.jpg")</f>
        <v>https://pbs.twimg.com/media/FtiTP3SakAIPb82.jpg</v>
      </c>
      <c r="AW7" s="81" t="s">
        <v>9292</v>
      </c>
      <c r="AX7" s="81" t="s">
        <v>9292</v>
      </c>
      <c r="AY7" s="77"/>
      <c r="AZ7" s="81" t="s">
        <v>11359</v>
      </c>
      <c r="BA7" s="81" t="s">
        <v>11359</v>
      </c>
      <c r="BB7" s="81" t="s">
        <v>11359</v>
      </c>
      <c r="BC7" s="81" t="s">
        <v>9292</v>
      </c>
      <c r="BD7" s="77">
        <v>2890071926</v>
      </c>
      <c r="BE7" s="77"/>
      <c r="BF7" s="77"/>
      <c r="BG7" s="77"/>
      <c r="BH7" s="77"/>
      <c r="BI7" s="77"/>
    </row>
    <row r="8" spans="1:61" x14ac:dyDescent="0.25">
      <c r="A8" s="62" t="s">
        <v>224</v>
      </c>
      <c r="B8" s="62" t="s">
        <v>873</v>
      </c>
      <c r="C8" s="63"/>
      <c r="D8" s="64"/>
      <c r="E8" s="65"/>
      <c r="F8" s="66"/>
      <c r="G8" s="63"/>
      <c r="H8" s="67"/>
      <c r="I8" s="68"/>
      <c r="J8" s="68"/>
      <c r="K8" s="32"/>
      <c r="L8" s="75">
        <v>8</v>
      </c>
      <c r="M8" s="75"/>
      <c r="N8" s="70"/>
      <c r="O8" s="77" t="s">
        <v>967</v>
      </c>
      <c r="P8" s="79">
        <v>45028.794120370374</v>
      </c>
      <c r="Q8" s="77" t="s">
        <v>972</v>
      </c>
      <c r="R8" s="77">
        <v>0</v>
      </c>
      <c r="S8" s="77">
        <v>0</v>
      </c>
      <c r="T8" s="77">
        <v>0</v>
      </c>
      <c r="U8" s="77">
        <v>0</v>
      </c>
      <c r="V8" s="77">
        <v>106</v>
      </c>
      <c r="W8" s="81" t="s">
        <v>2916</v>
      </c>
      <c r="X8" s="83" t="str">
        <f>HYPERLINK("https://bit.ly/3Uvra2A")</f>
        <v>https://bit.ly/3Uvra2A</v>
      </c>
      <c r="Y8" s="77" t="s">
        <v>4213</v>
      </c>
      <c r="Z8" s="77" t="s">
        <v>4360</v>
      </c>
      <c r="AA8" s="77" t="s">
        <v>4389</v>
      </c>
      <c r="AB8" s="77" t="s">
        <v>5794</v>
      </c>
      <c r="AC8" s="81" t="s">
        <v>5801</v>
      </c>
      <c r="AD8" s="77" t="s">
        <v>5850</v>
      </c>
      <c r="AE8" s="83" t="str">
        <f>HYPERLINK("https://twitter.com/laplazadiario/status/1646227569409130498")</f>
        <v>https://twitter.com/laplazadiario/status/1646227569409130498</v>
      </c>
      <c r="AF8" s="79">
        <v>45028.794120370374</v>
      </c>
      <c r="AG8" s="85">
        <v>45028</v>
      </c>
      <c r="AH8" s="81" t="s">
        <v>5859</v>
      </c>
      <c r="AI8" s="77" t="b">
        <v>0</v>
      </c>
      <c r="AJ8" s="77"/>
      <c r="AK8" s="77"/>
      <c r="AL8" s="77"/>
      <c r="AM8" s="77"/>
      <c r="AN8" s="77"/>
      <c r="AO8" s="77"/>
      <c r="AP8" s="77"/>
      <c r="AQ8" s="77" t="s">
        <v>7892</v>
      </c>
      <c r="AR8" s="77"/>
      <c r="AS8" s="77"/>
      <c r="AT8" s="77"/>
      <c r="AU8" s="77"/>
      <c r="AV8" s="83" t="str">
        <f>HYPERLINK("https://pbs.twimg.com/media/FtiTP3SakAIPb82.jpg")</f>
        <v>https://pbs.twimg.com/media/FtiTP3SakAIPb82.jpg</v>
      </c>
      <c r="AW8" s="81" t="s">
        <v>9292</v>
      </c>
      <c r="AX8" s="81" t="s">
        <v>9292</v>
      </c>
      <c r="AY8" s="77"/>
      <c r="AZ8" s="81" t="s">
        <v>11359</v>
      </c>
      <c r="BA8" s="81" t="s">
        <v>11359</v>
      </c>
      <c r="BB8" s="81" t="s">
        <v>11359</v>
      </c>
      <c r="BC8" s="81" t="s">
        <v>9292</v>
      </c>
      <c r="BD8" s="77">
        <v>2890071926</v>
      </c>
      <c r="BE8" s="77"/>
      <c r="BF8" s="77"/>
      <c r="BG8" s="77"/>
      <c r="BH8" s="77"/>
      <c r="BI8" s="77"/>
    </row>
    <row r="9" spans="1:61" x14ac:dyDescent="0.25">
      <c r="A9" s="62" t="s">
        <v>224</v>
      </c>
      <c r="B9" s="62" t="s">
        <v>224</v>
      </c>
      <c r="C9" s="63"/>
      <c r="D9" s="64"/>
      <c r="E9" s="65"/>
      <c r="F9" s="66"/>
      <c r="G9" s="63"/>
      <c r="H9" s="67"/>
      <c r="I9" s="68"/>
      <c r="J9" s="68"/>
      <c r="K9" s="32"/>
      <c r="L9" s="75">
        <v>9</v>
      </c>
      <c r="M9" s="75"/>
      <c r="N9" s="70"/>
      <c r="O9" s="77" t="s">
        <v>967</v>
      </c>
      <c r="P9" s="79">
        <v>45028.794120370374</v>
      </c>
      <c r="Q9" s="77" t="s">
        <v>972</v>
      </c>
      <c r="R9" s="77">
        <v>0</v>
      </c>
      <c r="S9" s="77">
        <v>0</v>
      </c>
      <c r="T9" s="77">
        <v>0</v>
      </c>
      <c r="U9" s="77">
        <v>0</v>
      </c>
      <c r="V9" s="77">
        <v>106</v>
      </c>
      <c r="W9" s="81" t="s">
        <v>2916</v>
      </c>
      <c r="X9" s="83" t="str">
        <f>HYPERLINK("https://bit.ly/3Uvra2A")</f>
        <v>https://bit.ly/3Uvra2A</v>
      </c>
      <c r="Y9" s="77" t="s">
        <v>4213</v>
      </c>
      <c r="Z9" s="77" t="s">
        <v>4360</v>
      </c>
      <c r="AA9" s="77" t="s">
        <v>4389</v>
      </c>
      <c r="AB9" s="77" t="s">
        <v>5794</v>
      </c>
      <c r="AC9" s="81" t="s">
        <v>5801</v>
      </c>
      <c r="AD9" s="77" t="s">
        <v>5850</v>
      </c>
      <c r="AE9" s="83" t="str">
        <f>HYPERLINK("https://twitter.com/laplazadiario/status/1646227569409130498")</f>
        <v>https://twitter.com/laplazadiario/status/1646227569409130498</v>
      </c>
      <c r="AF9" s="79">
        <v>45028.794120370374</v>
      </c>
      <c r="AG9" s="85">
        <v>45028</v>
      </c>
      <c r="AH9" s="81" t="s">
        <v>5859</v>
      </c>
      <c r="AI9" s="77" t="b">
        <v>0</v>
      </c>
      <c r="AJ9" s="77"/>
      <c r="AK9" s="77"/>
      <c r="AL9" s="77"/>
      <c r="AM9" s="77"/>
      <c r="AN9" s="77"/>
      <c r="AO9" s="77"/>
      <c r="AP9" s="77"/>
      <c r="AQ9" s="77" t="s">
        <v>7892</v>
      </c>
      <c r="AR9" s="77"/>
      <c r="AS9" s="77"/>
      <c r="AT9" s="77"/>
      <c r="AU9" s="77"/>
      <c r="AV9" s="83" t="str">
        <f>HYPERLINK("https://pbs.twimg.com/media/FtiTP3SakAIPb82.jpg")</f>
        <v>https://pbs.twimg.com/media/FtiTP3SakAIPb82.jpg</v>
      </c>
      <c r="AW9" s="81" t="s">
        <v>9292</v>
      </c>
      <c r="AX9" s="81" t="s">
        <v>9292</v>
      </c>
      <c r="AY9" s="77"/>
      <c r="AZ9" s="81" t="s">
        <v>11359</v>
      </c>
      <c r="BA9" s="81" t="s">
        <v>11359</v>
      </c>
      <c r="BB9" s="81" t="s">
        <v>11359</v>
      </c>
      <c r="BC9" s="81" t="s">
        <v>9292</v>
      </c>
      <c r="BD9" s="77">
        <v>2890071926</v>
      </c>
      <c r="BE9" s="77"/>
      <c r="BF9" s="77"/>
      <c r="BG9" s="77"/>
      <c r="BH9" s="77"/>
      <c r="BI9" s="77"/>
    </row>
    <row r="10" spans="1:61" x14ac:dyDescent="0.25">
      <c r="A10" s="62" t="s">
        <v>225</v>
      </c>
      <c r="B10" s="62" t="s">
        <v>225</v>
      </c>
      <c r="C10" s="63"/>
      <c r="D10" s="64"/>
      <c r="E10" s="65"/>
      <c r="F10" s="66"/>
      <c r="G10" s="63"/>
      <c r="H10" s="67"/>
      <c r="I10" s="68"/>
      <c r="J10" s="68"/>
      <c r="K10" s="32"/>
      <c r="L10" s="75">
        <v>10</v>
      </c>
      <c r="M10" s="75"/>
      <c r="N10" s="70"/>
      <c r="O10" s="77" t="s">
        <v>179</v>
      </c>
      <c r="P10" s="79">
        <v>44937.535567129627</v>
      </c>
      <c r="Q10" s="77" t="s">
        <v>973</v>
      </c>
      <c r="R10" s="77">
        <v>0</v>
      </c>
      <c r="S10" s="77">
        <v>0</v>
      </c>
      <c r="T10" s="77">
        <v>0</v>
      </c>
      <c r="U10" s="77">
        <v>0</v>
      </c>
      <c r="V10" s="77">
        <v>8</v>
      </c>
      <c r="W10" s="81" t="s">
        <v>2917</v>
      </c>
      <c r="X10" s="83" t="str">
        <f>HYPERLINK("https://youtu.be/2Iuuq5BtJmk")</f>
        <v>https://youtu.be/2Iuuq5BtJmk</v>
      </c>
      <c r="Y10" s="77" t="s">
        <v>4214</v>
      </c>
      <c r="Z10" s="77"/>
      <c r="AA10" s="77"/>
      <c r="AB10" s="77"/>
      <c r="AC10" s="81" t="s">
        <v>5801</v>
      </c>
      <c r="AD10" s="77" t="s">
        <v>5850</v>
      </c>
      <c r="AE10" s="83" t="str">
        <f>HYPERLINK("https://twitter.com/coachvillacis/status/1613156575815901185")</f>
        <v>https://twitter.com/coachvillacis/status/1613156575815901185</v>
      </c>
      <c r="AF10" s="79">
        <v>44937.535567129627</v>
      </c>
      <c r="AG10" s="85">
        <v>44937</v>
      </c>
      <c r="AH10" s="81" t="s">
        <v>5860</v>
      </c>
      <c r="AI10" s="77" t="b">
        <v>0</v>
      </c>
      <c r="AJ10" s="77"/>
      <c r="AK10" s="77"/>
      <c r="AL10" s="77"/>
      <c r="AM10" s="77"/>
      <c r="AN10" s="77"/>
      <c r="AO10" s="77"/>
      <c r="AP10" s="77"/>
      <c r="AQ10" s="77"/>
      <c r="AR10" s="77"/>
      <c r="AS10" s="77"/>
      <c r="AT10" s="77"/>
      <c r="AU10" s="77"/>
      <c r="AV10" s="83" t="str">
        <f>HYPERLINK("https://pbs.twimg.com/profile_images/1203109585118269440/_Ebo40Dk_normal.jpg")</f>
        <v>https://pbs.twimg.com/profile_images/1203109585118269440/_Ebo40Dk_normal.jpg</v>
      </c>
      <c r="AW10" s="81" t="s">
        <v>9293</v>
      </c>
      <c r="AX10" s="81" t="s">
        <v>9293</v>
      </c>
      <c r="AY10" s="77"/>
      <c r="AZ10" s="81" t="s">
        <v>11359</v>
      </c>
      <c r="BA10" s="81" t="s">
        <v>11359</v>
      </c>
      <c r="BB10" s="81" t="s">
        <v>11359</v>
      </c>
      <c r="BC10" s="81" t="s">
        <v>9293</v>
      </c>
      <c r="BD10" s="77">
        <v>3011651160</v>
      </c>
      <c r="BE10" s="77"/>
      <c r="BF10" s="77"/>
      <c r="BG10" s="77"/>
      <c r="BH10" s="77"/>
      <c r="BI10" s="77"/>
    </row>
    <row r="11" spans="1:61" x14ac:dyDescent="0.25">
      <c r="A11" s="62" t="s">
        <v>225</v>
      </c>
      <c r="B11" s="62" t="s">
        <v>225</v>
      </c>
      <c r="C11" s="63"/>
      <c r="D11" s="64"/>
      <c r="E11" s="65"/>
      <c r="F11" s="66"/>
      <c r="G11" s="63"/>
      <c r="H11" s="67"/>
      <c r="I11" s="68"/>
      <c r="J11" s="68"/>
      <c r="K11" s="32"/>
      <c r="L11" s="75">
        <v>11</v>
      </c>
      <c r="M11" s="75"/>
      <c r="N11" s="70"/>
      <c r="O11" s="77" t="s">
        <v>179</v>
      </c>
      <c r="P11" s="79">
        <v>45001.483113425929</v>
      </c>
      <c r="Q11" s="77" t="s">
        <v>974</v>
      </c>
      <c r="R11" s="77">
        <v>1</v>
      </c>
      <c r="S11" s="77">
        <v>1</v>
      </c>
      <c r="T11" s="77">
        <v>0</v>
      </c>
      <c r="U11" s="77">
        <v>0</v>
      </c>
      <c r="V11" s="77">
        <v>61</v>
      </c>
      <c r="W11" s="81" t="s">
        <v>2918</v>
      </c>
      <c r="X11" s="77"/>
      <c r="Y11" s="77"/>
      <c r="Z11" s="77"/>
      <c r="AA11" s="77" t="s">
        <v>4390</v>
      </c>
      <c r="AB11" s="77" t="s">
        <v>5794</v>
      </c>
      <c r="AC11" s="81" t="s">
        <v>5801</v>
      </c>
      <c r="AD11" s="77" t="s">
        <v>5850</v>
      </c>
      <c r="AE11" s="83" t="str">
        <f>HYPERLINK("https://twitter.com/coachvillacis/status/1636330391656181760")</f>
        <v>https://twitter.com/coachvillacis/status/1636330391656181760</v>
      </c>
      <c r="AF11" s="79">
        <v>45001.483113425929</v>
      </c>
      <c r="AG11" s="85">
        <v>45001</v>
      </c>
      <c r="AH11" s="81" t="s">
        <v>5861</v>
      </c>
      <c r="AI11" s="77" t="b">
        <v>0</v>
      </c>
      <c r="AJ11" s="77"/>
      <c r="AK11" s="77"/>
      <c r="AL11" s="77"/>
      <c r="AM11" s="77"/>
      <c r="AN11" s="77"/>
      <c r="AO11" s="77"/>
      <c r="AP11" s="77"/>
      <c r="AQ11" s="77" t="s">
        <v>7893</v>
      </c>
      <c r="AR11" s="77"/>
      <c r="AS11" s="77"/>
      <c r="AT11" s="77"/>
      <c r="AU11" s="77"/>
      <c r="AV11" s="83" t="str">
        <f>HYPERLINK("https://pbs.twimg.com/media/FrVp0eSWYAEL-Bg.jpg")</f>
        <v>https://pbs.twimg.com/media/FrVp0eSWYAEL-Bg.jpg</v>
      </c>
      <c r="AW11" s="81" t="s">
        <v>9294</v>
      </c>
      <c r="AX11" s="81" t="s">
        <v>9294</v>
      </c>
      <c r="AY11" s="77"/>
      <c r="AZ11" s="81" t="s">
        <v>11359</v>
      </c>
      <c r="BA11" s="81" t="s">
        <v>11359</v>
      </c>
      <c r="BB11" s="81" t="s">
        <v>11359</v>
      </c>
      <c r="BC11" s="81" t="s">
        <v>9294</v>
      </c>
      <c r="BD11" s="77">
        <v>3011651160</v>
      </c>
      <c r="BE11" s="77"/>
      <c r="BF11" s="77"/>
      <c r="BG11" s="77"/>
      <c r="BH11" s="77"/>
      <c r="BI11" s="77"/>
    </row>
    <row r="12" spans="1:61" x14ac:dyDescent="0.25">
      <c r="A12" s="62" t="s">
        <v>226</v>
      </c>
      <c r="B12" s="62" t="s">
        <v>226</v>
      </c>
      <c r="C12" s="63"/>
      <c r="D12" s="64"/>
      <c r="E12" s="65"/>
      <c r="F12" s="66"/>
      <c r="G12" s="63"/>
      <c r="H12" s="67"/>
      <c r="I12" s="68"/>
      <c r="J12" s="68"/>
      <c r="K12" s="32"/>
      <c r="L12" s="75">
        <v>12</v>
      </c>
      <c r="M12" s="75"/>
      <c r="N12" s="70"/>
      <c r="O12" s="77" t="s">
        <v>179</v>
      </c>
      <c r="P12" s="79">
        <v>44984.784432870372</v>
      </c>
      <c r="Q12" s="77" t="s">
        <v>975</v>
      </c>
      <c r="R12" s="77">
        <v>0</v>
      </c>
      <c r="S12" s="77">
        <v>0</v>
      </c>
      <c r="T12" s="77">
        <v>0</v>
      </c>
      <c r="U12" s="77">
        <v>0</v>
      </c>
      <c r="V12" s="77">
        <v>20</v>
      </c>
      <c r="W12" s="81" t="s">
        <v>2919</v>
      </c>
      <c r="X12" s="77"/>
      <c r="Y12" s="77"/>
      <c r="Z12" s="77"/>
      <c r="AA12" s="77" t="s">
        <v>4391</v>
      </c>
      <c r="AB12" s="77" t="s">
        <v>5794</v>
      </c>
      <c r="AC12" s="81" t="s">
        <v>5802</v>
      </c>
      <c r="AD12" s="77" t="s">
        <v>5850</v>
      </c>
      <c r="AE12" s="83" t="str">
        <f>HYPERLINK("https://twitter.com/acsiresearch/status/1630278992312893442")</f>
        <v>https://twitter.com/acsiresearch/status/1630278992312893442</v>
      </c>
      <c r="AF12" s="79">
        <v>44984.784432870372</v>
      </c>
      <c r="AG12" s="85">
        <v>44984</v>
      </c>
      <c r="AH12" s="81" t="s">
        <v>5862</v>
      </c>
      <c r="AI12" s="77" t="b">
        <v>0</v>
      </c>
      <c r="AJ12" s="77"/>
      <c r="AK12" s="77"/>
      <c r="AL12" s="77"/>
      <c r="AM12" s="77"/>
      <c r="AN12" s="77"/>
      <c r="AO12" s="77"/>
      <c r="AP12" s="77"/>
      <c r="AQ12" s="77" t="s">
        <v>7894</v>
      </c>
      <c r="AR12" s="77"/>
      <c r="AS12" s="77"/>
      <c r="AT12" s="77"/>
      <c r="AU12" s="77"/>
      <c r="AV12" s="83" t="str">
        <f>HYPERLINK("https://pbs.twimg.com/media/Fp_qGsgWwAE6oNr.jpg")</f>
        <v>https://pbs.twimg.com/media/Fp_qGsgWwAE6oNr.jpg</v>
      </c>
      <c r="AW12" s="81" t="s">
        <v>9295</v>
      </c>
      <c r="AX12" s="81" t="s">
        <v>9295</v>
      </c>
      <c r="AY12" s="77"/>
      <c r="AZ12" s="81" t="s">
        <v>11359</v>
      </c>
      <c r="BA12" s="81" t="s">
        <v>11359</v>
      </c>
      <c r="BB12" s="81" t="s">
        <v>11359</v>
      </c>
      <c r="BC12" s="81" t="s">
        <v>9295</v>
      </c>
      <c r="BD12" s="77">
        <v>614439896</v>
      </c>
      <c r="BE12" s="77"/>
      <c r="BF12" s="77"/>
      <c r="BG12" s="77"/>
      <c r="BH12" s="77"/>
      <c r="BI12" s="77"/>
    </row>
    <row r="13" spans="1:61" x14ac:dyDescent="0.25">
      <c r="A13" s="62" t="s">
        <v>227</v>
      </c>
      <c r="B13" s="62" t="s">
        <v>227</v>
      </c>
      <c r="C13" s="63"/>
      <c r="D13" s="64"/>
      <c r="E13" s="65"/>
      <c r="F13" s="66"/>
      <c r="G13" s="63"/>
      <c r="H13" s="67"/>
      <c r="I13" s="68"/>
      <c r="J13" s="68"/>
      <c r="K13" s="32"/>
      <c r="L13" s="75">
        <v>13</v>
      </c>
      <c r="M13" s="75"/>
      <c r="N13" s="70"/>
      <c r="O13" s="77" t="s">
        <v>179</v>
      </c>
      <c r="P13" s="79">
        <v>45165.062581018516</v>
      </c>
      <c r="Q13" s="77" t="s">
        <v>976</v>
      </c>
      <c r="R13" s="77">
        <v>0</v>
      </c>
      <c r="S13" s="77">
        <v>1</v>
      </c>
      <c r="T13" s="77">
        <v>0</v>
      </c>
      <c r="U13" s="77">
        <v>0</v>
      </c>
      <c r="V13" s="77">
        <v>140</v>
      </c>
      <c r="W13" s="81" t="s">
        <v>2920</v>
      </c>
      <c r="X13" s="77"/>
      <c r="Y13" s="77"/>
      <c r="Z13" s="77"/>
      <c r="AA13" s="77" t="s">
        <v>4392</v>
      </c>
      <c r="AB13" s="77" t="s">
        <v>5795</v>
      </c>
      <c r="AC13" s="81" t="s">
        <v>5802</v>
      </c>
      <c r="AD13" s="77" t="s">
        <v>5850</v>
      </c>
      <c r="AE13" s="83" t="str">
        <f>HYPERLINK("https://twitter.com/carlosagami/status/1695609607509467433")</f>
        <v>https://twitter.com/carlosagami/status/1695609607509467433</v>
      </c>
      <c r="AF13" s="79">
        <v>45165.062581018516</v>
      </c>
      <c r="AG13" s="85">
        <v>45165</v>
      </c>
      <c r="AH13" s="81" t="s">
        <v>5863</v>
      </c>
      <c r="AI13" s="77" t="b">
        <v>0</v>
      </c>
      <c r="AJ13" s="77"/>
      <c r="AK13" s="77"/>
      <c r="AL13" s="77"/>
      <c r="AM13" s="77"/>
      <c r="AN13" s="77"/>
      <c r="AO13" s="77"/>
      <c r="AP13" s="77"/>
      <c r="AQ13" s="77" t="s">
        <v>7895</v>
      </c>
      <c r="AR13" s="77">
        <v>51500</v>
      </c>
      <c r="AS13" s="77"/>
      <c r="AT13" s="77"/>
      <c r="AU13" s="77"/>
      <c r="AV13" s="83" t="str">
        <f>HYPERLINK("https://pbs.twimg.com/ext_tw_video_thumb/1695608414821384192/pu/img/LaPCOcCX8wNLY8Dk.jpg")</f>
        <v>https://pbs.twimg.com/ext_tw_video_thumb/1695608414821384192/pu/img/LaPCOcCX8wNLY8Dk.jpg</v>
      </c>
      <c r="AW13" s="81" t="s">
        <v>9296</v>
      </c>
      <c r="AX13" s="81" t="s">
        <v>9296</v>
      </c>
      <c r="AY13" s="77"/>
      <c r="AZ13" s="81" t="s">
        <v>11359</v>
      </c>
      <c r="BA13" s="81" t="s">
        <v>11359</v>
      </c>
      <c r="BB13" s="81" t="s">
        <v>11359</v>
      </c>
      <c r="BC13" s="81" t="s">
        <v>9296</v>
      </c>
      <c r="BD13" s="77">
        <v>229755560</v>
      </c>
      <c r="BE13" s="77"/>
      <c r="BF13" s="77"/>
      <c r="BG13" s="77"/>
      <c r="BH13" s="77"/>
      <c r="BI13" s="77"/>
    </row>
    <row r="14" spans="1:61" x14ac:dyDescent="0.25">
      <c r="A14" s="62" t="s">
        <v>228</v>
      </c>
      <c r="B14" s="62" t="s">
        <v>228</v>
      </c>
      <c r="C14" s="63"/>
      <c r="D14" s="64"/>
      <c r="E14" s="65"/>
      <c r="F14" s="66"/>
      <c r="G14" s="63"/>
      <c r="H14" s="67"/>
      <c r="I14" s="68"/>
      <c r="J14" s="68"/>
      <c r="K14" s="32"/>
      <c r="L14" s="75">
        <v>14</v>
      </c>
      <c r="M14" s="75"/>
      <c r="N14" s="70"/>
      <c r="O14" s="77" t="s">
        <v>179</v>
      </c>
      <c r="P14" s="79">
        <v>44988.548090277778</v>
      </c>
      <c r="Q14" s="77" t="s">
        <v>977</v>
      </c>
      <c r="R14" s="77">
        <v>15</v>
      </c>
      <c r="S14" s="77">
        <v>9</v>
      </c>
      <c r="T14" s="77">
        <v>0</v>
      </c>
      <c r="U14" s="77">
        <v>1</v>
      </c>
      <c r="V14" s="77">
        <v>2097</v>
      </c>
      <c r="W14" s="81" t="s">
        <v>2921</v>
      </c>
      <c r="X14" s="77"/>
      <c r="Y14" s="77"/>
      <c r="Z14" s="77"/>
      <c r="AA14" s="77" t="s">
        <v>4393</v>
      </c>
      <c r="AB14" s="77" t="s">
        <v>5794</v>
      </c>
      <c r="AC14" s="81" t="s">
        <v>5803</v>
      </c>
      <c r="AD14" s="77" t="s">
        <v>5850</v>
      </c>
      <c r="AE14" s="83" t="str">
        <f>HYPERLINK("https://twitter.com/sagitariomaz/status/1631642895211024385")</f>
        <v>https://twitter.com/sagitariomaz/status/1631642895211024385</v>
      </c>
      <c r="AF14" s="79">
        <v>44988.548090277778</v>
      </c>
      <c r="AG14" s="85">
        <v>44988</v>
      </c>
      <c r="AH14" s="81" t="s">
        <v>5864</v>
      </c>
      <c r="AI14" s="77" t="b">
        <v>0</v>
      </c>
      <c r="AJ14" s="77"/>
      <c r="AK14" s="77"/>
      <c r="AL14" s="77"/>
      <c r="AM14" s="77"/>
      <c r="AN14" s="77"/>
      <c r="AO14" s="77"/>
      <c r="AP14" s="77"/>
      <c r="AQ14" s="77" t="s">
        <v>7896</v>
      </c>
      <c r="AR14" s="77"/>
      <c r="AS14" s="77"/>
      <c r="AT14" s="77"/>
      <c r="AU14" s="77"/>
      <c r="AV14" s="83" t="str">
        <f>HYPERLINK("https://pbs.twimg.com/media/FqTCjuzX0AIZ_LT.jpg")</f>
        <v>https://pbs.twimg.com/media/FqTCjuzX0AIZ_LT.jpg</v>
      </c>
      <c r="AW14" s="81" t="s">
        <v>9297</v>
      </c>
      <c r="AX14" s="81" t="s">
        <v>9297</v>
      </c>
      <c r="AY14" s="77"/>
      <c r="AZ14" s="81" t="s">
        <v>11359</v>
      </c>
      <c r="BA14" s="81" t="s">
        <v>11359</v>
      </c>
      <c r="BB14" s="81" t="s">
        <v>11359</v>
      </c>
      <c r="BC14" s="81" t="s">
        <v>9297</v>
      </c>
      <c r="BD14" s="77">
        <v>1403108989</v>
      </c>
      <c r="BE14" s="77"/>
      <c r="BF14" s="77"/>
      <c r="BG14" s="77"/>
      <c r="BH14" s="77"/>
      <c r="BI14" s="77"/>
    </row>
    <row r="15" spans="1:61" x14ac:dyDescent="0.25">
      <c r="A15" s="62" t="s">
        <v>229</v>
      </c>
      <c r="B15" s="62" t="s">
        <v>874</v>
      </c>
      <c r="C15" s="63"/>
      <c r="D15" s="64"/>
      <c r="E15" s="65"/>
      <c r="F15" s="66"/>
      <c r="G15" s="63"/>
      <c r="H15" s="67"/>
      <c r="I15" s="68"/>
      <c r="J15" s="68"/>
      <c r="K15" s="32"/>
      <c r="L15" s="75">
        <v>15</v>
      </c>
      <c r="M15" s="75"/>
      <c r="N15" s="70"/>
      <c r="O15" s="77" t="s">
        <v>967</v>
      </c>
      <c r="P15" s="79">
        <v>44934.772905092592</v>
      </c>
      <c r="Q15" s="77" t="s">
        <v>978</v>
      </c>
      <c r="R15" s="77">
        <v>0</v>
      </c>
      <c r="S15" s="77">
        <v>0</v>
      </c>
      <c r="T15" s="77">
        <v>0</v>
      </c>
      <c r="U15" s="77">
        <v>0</v>
      </c>
      <c r="V15" s="77">
        <v>50</v>
      </c>
      <c r="W15" s="81" t="s">
        <v>2922</v>
      </c>
      <c r="X15" s="83" t="str">
        <f>HYPERLINK("https://www.instagram.com/p/CnKhQ4Auvlu/?igshid=YTgzYjQ4ZTY=")</f>
        <v>https://www.instagram.com/p/CnKhQ4Auvlu/?igshid=YTgzYjQ4ZTY=</v>
      </c>
      <c r="Y15" s="77" t="s">
        <v>4215</v>
      </c>
      <c r="Z15" s="77" t="s">
        <v>874</v>
      </c>
      <c r="AA15" s="77"/>
      <c r="AB15" s="77"/>
      <c r="AC15" s="81" t="s">
        <v>5804</v>
      </c>
      <c r="AD15" s="77" t="s">
        <v>5851</v>
      </c>
      <c r="AE15" s="83" t="str">
        <f>HYPERLINK("https://twitter.com/m_malaquias/status/1612155419371216900")</f>
        <v>https://twitter.com/m_malaquias/status/1612155419371216900</v>
      </c>
      <c r="AF15" s="79">
        <v>44934.772905092592</v>
      </c>
      <c r="AG15" s="85">
        <v>44934</v>
      </c>
      <c r="AH15" s="81" t="s">
        <v>5865</v>
      </c>
      <c r="AI15" s="77" t="b">
        <v>0</v>
      </c>
      <c r="AJ15" s="77" t="s">
        <v>7727</v>
      </c>
      <c r="AK15" s="77" t="s">
        <v>7763</v>
      </c>
      <c r="AL15" s="77" t="s">
        <v>7772</v>
      </c>
      <c r="AM15" s="77" t="s">
        <v>7781</v>
      </c>
      <c r="AN15" s="77" t="s">
        <v>7817</v>
      </c>
      <c r="AO15" s="77" t="s">
        <v>7853</v>
      </c>
      <c r="AP15" s="77" t="s">
        <v>7889</v>
      </c>
      <c r="AQ15" s="77"/>
      <c r="AR15" s="77"/>
      <c r="AS15" s="77"/>
      <c r="AT15" s="77"/>
      <c r="AU15" s="77"/>
      <c r="AV15" s="83" t="str">
        <f>HYPERLINK("https://pbs.twimg.com/profile_images/1228914978364608512/KFAiAGP6_normal.jpg")</f>
        <v>https://pbs.twimg.com/profile_images/1228914978364608512/KFAiAGP6_normal.jpg</v>
      </c>
      <c r="AW15" s="81" t="s">
        <v>9298</v>
      </c>
      <c r="AX15" s="81" t="s">
        <v>9298</v>
      </c>
      <c r="AY15" s="77"/>
      <c r="AZ15" s="81" t="s">
        <v>11359</v>
      </c>
      <c r="BA15" s="81" t="s">
        <v>11359</v>
      </c>
      <c r="BB15" s="81" t="s">
        <v>11359</v>
      </c>
      <c r="BC15" s="81" t="s">
        <v>9298</v>
      </c>
      <c r="BD15" s="77">
        <v>90764542</v>
      </c>
      <c r="BE15" s="77"/>
      <c r="BF15" s="77"/>
      <c r="BG15" s="77"/>
      <c r="BH15" s="77"/>
      <c r="BI15" s="77"/>
    </row>
    <row r="16" spans="1:61" x14ac:dyDescent="0.25">
      <c r="A16" s="62" t="s">
        <v>229</v>
      </c>
      <c r="B16" s="62" t="s">
        <v>229</v>
      </c>
      <c r="C16" s="63"/>
      <c r="D16" s="64"/>
      <c r="E16" s="65"/>
      <c r="F16" s="66"/>
      <c r="G16" s="63"/>
      <c r="H16" s="67"/>
      <c r="I16" s="68"/>
      <c r="J16" s="68"/>
      <c r="K16" s="32"/>
      <c r="L16" s="75">
        <v>16</v>
      </c>
      <c r="M16" s="75"/>
      <c r="N16" s="70"/>
      <c r="O16" s="77" t="s">
        <v>179</v>
      </c>
      <c r="P16" s="79">
        <v>44939.444918981484</v>
      </c>
      <c r="Q16" s="77" t="s">
        <v>979</v>
      </c>
      <c r="R16" s="77">
        <v>0</v>
      </c>
      <c r="S16" s="77">
        <v>0</v>
      </c>
      <c r="T16" s="77">
        <v>0</v>
      </c>
      <c r="U16" s="77">
        <v>0</v>
      </c>
      <c r="V16" s="77">
        <v>55</v>
      </c>
      <c r="W16" s="81" t="s">
        <v>2923</v>
      </c>
      <c r="X16" s="83" t="str">
        <f>HYPERLINK("https://www.instagram.com/p/CnWjMGlOEUg/?igshid=YTgzYjQ4ZTY=")</f>
        <v>https://www.instagram.com/p/CnWjMGlOEUg/?igshid=YTgzYjQ4ZTY=</v>
      </c>
      <c r="Y16" s="77" t="s">
        <v>4215</v>
      </c>
      <c r="Z16" s="77"/>
      <c r="AA16" s="77"/>
      <c r="AB16" s="77"/>
      <c r="AC16" s="81" t="s">
        <v>5804</v>
      </c>
      <c r="AD16" s="77" t="s">
        <v>5851</v>
      </c>
      <c r="AE16" s="83" t="str">
        <f>HYPERLINK("https://twitter.com/m_malaquias/status/1613848500676227073")</f>
        <v>https://twitter.com/m_malaquias/status/1613848500676227073</v>
      </c>
      <c r="AF16" s="79">
        <v>44939.444918981484</v>
      </c>
      <c r="AG16" s="85">
        <v>44939</v>
      </c>
      <c r="AH16" s="81" t="s">
        <v>5866</v>
      </c>
      <c r="AI16" s="77" t="b">
        <v>0</v>
      </c>
      <c r="AJ16" s="77" t="s">
        <v>7728</v>
      </c>
      <c r="AK16" s="77" t="s">
        <v>7763</v>
      </c>
      <c r="AL16" s="77" t="s">
        <v>7772</v>
      </c>
      <c r="AM16" s="77" t="s">
        <v>7782</v>
      </c>
      <c r="AN16" s="86" t="s">
        <v>7818</v>
      </c>
      <c r="AO16" s="77" t="s">
        <v>7854</v>
      </c>
      <c r="AP16" s="77" t="s">
        <v>7889</v>
      </c>
      <c r="AQ16" s="77"/>
      <c r="AR16" s="77"/>
      <c r="AS16" s="77"/>
      <c r="AT16" s="77"/>
      <c r="AU16" s="77"/>
      <c r="AV16" s="83" t="str">
        <f>HYPERLINK("https://pbs.twimg.com/profile_images/1228914978364608512/KFAiAGP6_normal.jpg")</f>
        <v>https://pbs.twimg.com/profile_images/1228914978364608512/KFAiAGP6_normal.jpg</v>
      </c>
      <c r="AW16" s="81" t="s">
        <v>9299</v>
      </c>
      <c r="AX16" s="81" t="s">
        <v>9299</v>
      </c>
      <c r="AY16" s="77"/>
      <c r="AZ16" s="81" t="s">
        <v>11359</v>
      </c>
      <c r="BA16" s="81" t="s">
        <v>11359</v>
      </c>
      <c r="BB16" s="81" t="s">
        <v>11359</v>
      </c>
      <c r="BC16" s="81" t="s">
        <v>9299</v>
      </c>
      <c r="BD16" s="77">
        <v>90764542</v>
      </c>
      <c r="BE16" s="77"/>
      <c r="BF16" s="77"/>
      <c r="BG16" s="77"/>
      <c r="BH16" s="77"/>
      <c r="BI16" s="77"/>
    </row>
    <row r="17" spans="1:61" x14ac:dyDescent="0.25">
      <c r="A17" s="62" t="s">
        <v>229</v>
      </c>
      <c r="B17" s="62" t="s">
        <v>229</v>
      </c>
      <c r="C17" s="63"/>
      <c r="D17" s="64"/>
      <c r="E17" s="65"/>
      <c r="F17" s="66"/>
      <c r="G17" s="63"/>
      <c r="H17" s="67"/>
      <c r="I17" s="68"/>
      <c r="J17" s="68"/>
      <c r="K17" s="32"/>
      <c r="L17" s="75">
        <v>17</v>
      </c>
      <c r="M17" s="75"/>
      <c r="N17" s="70"/>
      <c r="O17" s="77" t="s">
        <v>179</v>
      </c>
      <c r="P17" s="79">
        <v>44949.421550925923</v>
      </c>
      <c r="Q17" s="77" t="s">
        <v>980</v>
      </c>
      <c r="R17" s="77">
        <v>0</v>
      </c>
      <c r="S17" s="77">
        <v>1</v>
      </c>
      <c r="T17" s="77">
        <v>1</v>
      </c>
      <c r="U17" s="77">
        <v>0</v>
      </c>
      <c r="V17" s="77">
        <v>182</v>
      </c>
      <c r="W17" s="81" t="s">
        <v>2924</v>
      </c>
      <c r="X17" s="83" t="str">
        <f>HYPERLINK("https://www.instagram.com/p/CnwPSbCubbQ/?igshid=YTgzYjQ4ZTY=")</f>
        <v>https://www.instagram.com/p/CnwPSbCubbQ/?igshid=YTgzYjQ4ZTY=</v>
      </c>
      <c r="Y17" s="77" t="s">
        <v>4215</v>
      </c>
      <c r="Z17" s="77"/>
      <c r="AA17" s="77"/>
      <c r="AB17" s="77"/>
      <c r="AC17" s="81" t="s">
        <v>5804</v>
      </c>
      <c r="AD17" s="77" t="s">
        <v>5851</v>
      </c>
      <c r="AE17" s="83" t="str">
        <f>HYPERLINK("https://twitter.com/m_malaquias/status/1617463914551279617")</f>
        <v>https://twitter.com/m_malaquias/status/1617463914551279617</v>
      </c>
      <c r="AF17" s="79">
        <v>44949.421550925923</v>
      </c>
      <c r="AG17" s="85">
        <v>44949</v>
      </c>
      <c r="AH17" s="81" t="s">
        <v>5867</v>
      </c>
      <c r="AI17" s="77" t="b">
        <v>0</v>
      </c>
      <c r="AJ17" s="77" t="s">
        <v>7727</v>
      </c>
      <c r="AK17" s="77" t="s">
        <v>7763</v>
      </c>
      <c r="AL17" s="77" t="s">
        <v>7772</v>
      </c>
      <c r="AM17" s="77" t="s">
        <v>7781</v>
      </c>
      <c r="AN17" s="77" t="s">
        <v>7817</v>
      </c>
      <c r="AO17" s="77" t="s">
        <v>7853</v>
      </c>
      <c r="AP17" s="77" t="s">
        <v>7889</v>
      </c>
      <c r="AQ17" s="77"/>
      <c r="AR17" s="77"/>
      <c r="AS17" s="77"/>
      <c r="AT17" s="77"/>
      <c r="AU17" s="77"/>
      <c r="AV17" s="83" t="str">
        <f>HYPERLINK("https://pbs.twimg.com/profile_images/1228914978364608512/KFAiAGP6_normal.jpg")</f>
        <v>https://pbs.twimg.com/profile_images/1228914978364608512/KFAiAGP6_normal.jpg</v>
      </c>
      <c r="AW17" s="81" t="s">
        <v>9300</v>
      </c>
      <c r="AX17" s="81" t="s">
        <v>9300</v>
      </c>
      <c r="AY17" s="77"/>
      <c r="AZ17" s="81" t="s">
        <v>11359</v>
      </c>
      <c r="BA17" s="81" t="s">
        <v>11359</v>
      </c>
      <c r="BB17" s="81" t="s">
        <v>11359</v>
      </c>
      <c r="BC17" s="81" t="s">
        <v>9300</v>
      </c>
      <c r="BD17" s="77">
        <v>90764542</v>
      </c>
      <c r="BE17" s="77"/>
      <c r="BF17" s="77"/>
      <c r="BG17" s="77"/>
      <c r="BH17" s="77"/>
      <c r="BI17" s="77"/>
    </row>
    <row r="18" spans="1:61" x14ac:dyDescent="0.25">
      <c r="A18" s="62" t="s">
        <v>229</v>
      </c>
      <c r="B18" s="62" t="s">
        <v>229</v>
      </c>
      <c r="C18" s="63"/>
      <c r="D18" s="64"/>
      <c r="E18" s="65"/>
      <c r="F18" s="66"/>
      <c r="G18" s="63"/>
      <c r="H18" s="67"/>
      <c r="I18" s="68"/>
      <c r="J18" s="68"/>
      <c r="K18" s="32"/>
      <c r="L18" s="75">
        <v>18</v>
      </c>
      <c r="M18" s="75"/>
      <c r="N18" s="70"/>
      <c r="O18" s="77" t="s">
        <v>179</v>
      </c>
      <c r="P18" s="79">
        <v>44954.9766087963</v>
      </c>
      <c r="Q18" s="77" t="s">
        <v>981</v>
      </c>
      <c r="R18" s="77">
        <v>0</v>
      </c>
      <c r="S18" s="77">
        <v>1</v>
      </c>
      <c r="T18" s="77">
        <v>0</v>
      </c>
      <c r="U18" s="77">
        <v>0</v>
      </c>
      <c r="V18" s="77">
        <v>41</v>
      </c>
      <c r="W18" s="81" t="s">
        <v>2925</v>
      </c>
      <c r="X18" s="83" t="str">
        <f>HYPERLINK("https://www.instagram.com/p/Cn-iu-3AwN1/?igshid=YTgzYjQ4ZTY=")</f>
        <v>https://www.instagram.com/p/Cn-iu-3AwN1/?igshid=YTgzYjQ4ZTY=</v>
      </c>
      <c r="Y18" s="77" t="s">
        <v>4215</v>
      </c>
      <c r="Z18" s="77"/>
      <c r="AA18" s="77"/>
      <c r="AB18" s="77"/>
      <c r="AC18" s="81" t="s">
        <v>5804</v>
      </c>
      <c r="AD18" s="77" t="s">
        <v>5852</v>
      </c>
      <c r="AE18" s="83" t="str">
        <f>HYPERLINK("https://twitter.com/m_malaquias/status/1619476999050772485")</f>
        <v>https://twitter.com/m_malaquias/status/1619476999050772485</v>
      </c>
      <c r="AF18" s="79">
        <v>44954.9766087963</v>
      </c>
      <c r="AG18" s="85">
        <v>44954</v>
      </c>
      <c r="AH18" s="81" t="s">
        <v>5868</v>
      </c>
      <c r="AI18" s="77" t="b">
        <v>0</v>
      </c>
      <c r="AJ18" s="77" t="s">
        <v>7728</v>
      </c>
      <c r="AK18" s="77" t="s">
        <v>7763</v>
      </c>
      <c r="AL18" s="77" t="s">
        <v>7772</v>
      </c>
      <c r="AM18" s="77" t="s">
        <v>7782</v>
      </c>
      <c r="AN18" s="86" t="s">
        <v>7818</v>
      </c>
      <c r="AO18" s="77" t="s">
        <v>7854</v>
      </c>
      <c r="AP18" s="77" t="s">
        <v>7889</v>
      </c>
      <c r="AQ18" s="77"/>
      <c r="AR18" s="77"/>
      <c r="AS18" s="77"/>
      <c r="AT18" s="77"/>
      <c r="AU18" s="77"/>
      <c r="AV18" s="83" t="str">
        <f>HYPERLINK("https://pbs.twimg.com/profile_images/1228914978364608512/KFAiAGP6_normal.jpg")</f>
        <v>https://pbs.twimg.com/profile_images/1228914978364608512/KFAiAGP6_normal.jpg</v>
      </c>
      <c r="AW18" s="81" t="s">
        <v>9301</v>
      </c>
      <c r="AX18" s="81" t="s">
        <v>9301</v>
      </c>
      <c r="AY18" s="77"/>
      <c r="AZ18" s="81" t="s">
        <v>11359</v>
      </c>
      <c r="BA18" s="81" t="s">
        <v>11359</v>
      </c>
      <c r="BB18" s="81" t="s">
        <v>11359</v>
      </c>
      <c r="BC18" s="81" t="s">
        <v>9301</v>
      </c>
      <c r="BD18" s="77">
        <v>90764542</v>
      </c>
      <c r="BE18" s="77"/>
      <c r="BF18" s="77"/>
      <c r="BG18" s="77"/>
      <c r="BH18" s="77"/>
      <c r="BI18" s="77"/>
    </row>
    <row r="19" spans="1:61" x14ac:dyDescent="0.25">
      <c r="A19" s="62" t="s">
        <v>229</v>
      </c>
      <c r="B19" s="62" t="s">
        <v>229</v>
      </c>
      <c r="C19" s="63"/>
      <c r="D19" s="64"/>
      <c r="E19" s="65"/>
      <c r="F19" s="66"/>
      <c r="G19" s="63"/>
      <c r="H19" s="67"/>
      <c r="I19" s="68"/>
      <c r="J19" s="68"/>
      <c r="K19" s="32"/>
      <c r="L19" s="75">
        <v>19</v>
      </c>
      <c r="M19" s="75"/>
      <c r="N19" s="70"/>
      <c r="O19" s="77" t="s">
        <v>179</v>
      </c>
      <c r="P19" s="79">
        <v>44932.638912037037</v>
      </c>
      <c r="Q19" s="77" t="s">
        <v>982</v>
      </c>
      <c r="R19" s="77">
        <v>0</v>
      </c>
      <c r="S19" s="77">
        <v>1</v>
      </c>
      <c r="T19" s="77">
        <v>0</v>
      </c>
      <c r="U19" s="77">
        <v>0</v>
      </c>
      <c r="V19" s="77">
        <v>42</v>
      </c>
      <c r="W19" s="81" t="s">
        <v>2926</v>
      </c>
      <c r="X19" s="83" t="str">
        <f>HYPERLINK("https://www.instagram.com/p/CnFBmAbudna/?igshid=YTgzYjQ4ZTY=")</f>
        <v>https://www.instagram.com/p/CnFBmAbudna/?igshid=YTgzYjQ4ZTY=</v>
      </c>
      <c r="Y19" s="77" t="s">
        <v>4215</v>
      </c>
      <c r="Z19" s="77"/>
      <c r="AA19" s="77"/>
      <c r="AB19" s="77"/>
      <c r="AC19" s="81" t="s">
        <v>5804</v>
      </c>
      <c r="AD19" s="77" t="s">
        <v>5851</v>
      </c>
      <c r="AE19" s="83" t="str">
        <f>HYPERLINK("https://twitter.com/m_malaquias/status/1611382088653053954")</f>
        <v>https://twitter.com/m_malaquias/status/1611382088653053954</v>
      </c>
      <c r="AF19" s="79">
        <v>44932.638912037037</v>
      </c>
      <c r="AG19" s="85">
        <v>44932</v>
      </c>
      <c r="AH19" s="81" t="s">
        <v>5869</v>
      </c>
      <c r="AI19" s="77" t="b">
        <v>0</v>
      </c>
      <c r="AJ19" s="77" t="s">
        <v>7727</v>
      </c>
      <c r="AK19" s="77" t="s">
        <v>7763</v>
      </c>
      <c r="AL19" s="77" t="s">
        <v>7772</v>
      </c>
      <c r="AM19" s="77" t="s">
        <v>7781</v>
      </c>
      <c r="AN19" s="77" t="s">
        <v>7817</v>
      </c>
      <c r="AO19" s="77" t="s">
        <v>7853</v>
      </c>
      <c r="AP19" s="77" t="s">
        <v>7889</v>
      </c>
      <c r="AQ19" s="77"/>
      <c r="AR19" s="77"/>
      <c r="AS19" s="77"/>
      <c r="AT19" s="77"/>
      <c r="AU19" s="77"/>
      <c r="AV19" s="83" t="str">
        <f>HYPERLINK("https://pbs.twimg.com/profile_images/1228914978364608512/KFAiAGP6_normal.jpg")</f>
        <v>https://pbs.twimg.com/profile_images/1228914978364608512/KFAiAGP6_normal.jpg</v>
      </c>
      <c r="AW19" s="81" t="s">
        <v>9302</v>
      </c>
      <c r="AX19" s="81" t="s">
        <v>9302</v>
      </c>
      <c r="AY19" s="77"/>
      <c r="AZ19" s="81" t="s">
        <v>11359</v>
      </c>
      <c r="BA19" s="81" t="s">
        <v>11359</v>
      </c>
      <c r="BB19" s="81" t="s">
        <v>11359</v>
      </c>
      <c r="BC19" s="81" t="s">
        <v>9302</v>
      </c>
      <c r="BD19" s="77">
        <v>90764542</v>
      </c>
      <c r="BE19" s="77"/>
      <c r="BF19" s="77"/>
      <c r="BG19" s="77"/>
      <c r="BH19" s="77"/>
      <c r="BI19" s="77"/>
    </row>
    <row r="20" spans="1:61" x14ac:dyDescent="0.25">
      <c r="A20" s="62" t="s">
        <v>229</v>
      </c>
      <c r="B20" s="62" t="s">
        <v>229</v>
      </c>
      <c r="C20" s="63"/>
      <c r="D20" s="64"/>
      <c r="E20" s="65"/>
      <c r="F20" s="66"/>
      <c r="G20" s="63"/>
      <c r="H20" s="67"/>
      <c r="I20" s="68"/>
      <c r="J20" s="68"/>
      <c r="K20" s="32"/>
      <c r="L20" s="75">
        <v>20</v>
      </c>
      <c r="M20" s="75"/>
      <c r="N20" s="70"/>
      <c r="O20" s="77" t="s">
        <v>179</v>
      </c>
      <c r="P20" s="79">
        <v>44929.638692129629</v>
      </c>
      <c r="Q20" s="77" t="s">
        <v>983</v>
      </c>
      <c r="R20" s="77">
        <v>0</v>
      </c>
      <c r="S20" s="77">
        <v>1</v>
      </c>
      <c r="T20" s="77">
        <v>0</v>
      </c>
      <c r="U20" s="77">
        <v>0</v>
      </c>
      <c r="V20" s="77">
        <v>76</v>
      </c>
      <c r="W20" s="81" t="s">
        <v>2926</v>
      </c>
      <c r="X20" s="83" t="str">
        <f>HYPERLINK("https://www.instagram.com/p/Cm9TLGDOXUi/?igshid=YTgzYjQ4ZTY=")</f>
        <v>https://www.instagram.com/p/Cm9TLGDOXUi/?igshid=YTgzYjQ4ZTY=</v>
      </c>
      <c r="Y20" s="77" t="s">
        <v>4215</v>
      </c>
      <c r="Z20" s="77"/>
      <c r="AA20" s="77"/>
      <c r="AB20" s="77"/>
      <c r="AC20" s="81" t="s">
        <v>5804</v>
      </c>
      <c r="AD20" s="77" t="s">
        <v>5851</v>
      </c>
      <c r="AE20" s="83" t="str">
        <f>HYPERLINK("https://twitter.com/m_malaquias/status/1610294845125320704")</f>
        <v>https://twitter.com/m_malaquias/status/1610294845125320704</v>
      </c>
      <c r="AF20" s="79">
        <v>44929.638692129629</v>
      </c>
      <c r="AG20" s="85">
        <v>44929</v>
      </c>
      <c r="AH20" s="81" t="s">
        <v>5870</v>
      </c>
      <c r="AI20" s="77" t="b">
        <v>0</v>
      </c>
      <c r="AJ20" s="77" t="s">
        <v>7727</v>
      </c>
      <c r="AK20" s="77" t="s">
        <v>7763</v>
      </c>
      <c r="AL20" s="77" t="s">
        <v>7772</v>
      </c>
      <c r="AM20" s="77" t="s">
        <v>7781</v>
      </c>
      <c r="AN20" s="77" t="s">
        <v>7817</v>
      </c>
      <c r="AO20" s="77" t="s">
        <v>7853</v>
      </c>
      <c r="AP20" s="77" t="s">
        <v>7889</v>
      </c>
      <c r="AQ20" s="77"/>
      <c r="AR20" s="77"/>
      <c r="AS20" s="77"/>
      <c r="AT20" s="77"/>
      <c r="AU20" s="77"/>
      <c r="AV20" s="83" t="str">
        <f>HYPERLINK("https://pbs.twimg.com/profile_images/1228914978364608512/KFAiAGP6_normal.jpg")</f>
        <v>https://pbs.twimg.com/profile_images/1228914978364608512/KFAiAGP6_normal.jpg</v>
      </c>
      <c r="AW20" s="81" t="s">
        <v>9303</v>
      </c>
      <c r="AX20" s="81" t="s">
        <v>9303</v>
      </c>
      <c r="AY20" s="77"/>
      <c r="AZ20" s="81" t="s">
        <v>11359</v>
      </c>
      <c r="BA20" s="81" t="s">
        <v>11359</v>
      </c>
      <c r="BB20" s="81" t="s">
        <v>11359</v>
      </c>
      <c r="BC20" s="81" t="s">
        <v>9303</v>
      </c>
      <c r="BD20" s="77">
        <v>90764542</v>
      </c>
      <c r="BE20" s="77"/>
      <c r="BF20" s="77"/>
      <c r="BG20" s="77"/>
      <c r="BH20" s="77"/>
      <c r="BI20" s="77"/>
    </row>
    <row r="21" spans="1:61" x14ac:dyDescent="0.25">
      <c r="A21" s="62" t="s">
        <v>229</v>
      </c>
      <c r="B21" s="62" t="s">
        <v>229</v>
      </c>
      <c r="C21" s="63"/>
      <c r="D21" s="64"/>
      <c r="E21" s="65"/>
      <c r="F21" s="66"/>
      <c r="G21" s="63"/>
      <c r="H21" s="67"/>
      <c r="I21" s="68"/>
      <c r="J21" s="68"/>
      <c r="K21" s="32"/>
      <c r="L21" s="75">
        <v>21</v>
      </c>
      <c r="M21" s="75"/>
      <c r="N21" s="70"/>
      <c r="O21" s="77" t="s">
        <v>179</v>
      </c>
      <c r="P21" s="79">
        <v>44958.945370370369</v>
      </c>
      <c r="Q21" s="77" t="s">
        <v>984</v>
      </c>
      <c r="R21" s="77">
        <v>0</v>
      </c>
      <c r="S21" s="77">
        <v>1</v>
      </c>
      <c r="T21" s="77">
        <v>0</v>
      </c>
      <c r="U21" s="77">
        <v>0</v>
      </c>
      <c r="V21" s="77">
        <v>73</v>
      </c>
      <c r="W21" s="81" t="s">
        <v>2927</v>
      </c>
      <c r="X21" s="83" t="str">
        <f>HYPERLINK("https://www.instagram.com/p/CoIwwuQOb8U/?igshid=YTgzYjQ4ZTY=")</f>
        <v>https://www.instagram.com/p/CoIwwuQOb8U/?igshid=YTgzYjQ4ZTY=</v>
      </c>
      <c r="Y21" s="77" t="s">
        <v>4215</v>
      </c>
      <c r="Z21" s="77"/>
      <c r="AA21" s="77"/>
      <c r="AB21" s="77"/>
      <c r="AC21" s="81" t="s">
        <v>5804</v>
      </c>
      <c r="AD21" s="77" t="s">
        <v>5851</v>
      </c>
      <c r="AE21" s="83" t="str">
        <f>HYPERLINK("https://twitter.com/m_malaquias/status/1620915228421787648")</f>
        <v>https://twitter.com/m_malaquias/status/1620915228421787648</v>
      </c>
      <c r="AF21" s="79">
        <v>44958.945370370369</v>
      </c>
      <c r="AG21" s="85">
        <v>44958</v>
      </c>
      <c r="AH21" s="81" t="s">
        <v>5871</v>
      </c>
      <c r="AI21" s="77" t="b">
        <v>0</v>
      </c>
      <c r="AJ21" s="77" t="s">
        <v>7728</v>
      </c>
      <c r="AK21" s="77" t="s">
        <v>7763</v>
      </c>
      <c r="AL21" s="77" t="s">
        <v>7772</v>
      </c>
      <c r="AM21" s="77" t="s">
        <v>7782</v>
      </c>
      <c r="AN21" s="86" t="s">
        <v>7818</v>
      </c>
      <c r="AO21" s="77" t="s">
        <v>7854</v>
      </c>
      <c r="AP21" s="77" t="s">
        <v>7889</v>
      </c>
      <c r="AQ21" s="77"/>
      <c r="AR21" s="77"/>
      <c r="AS21" s="77"/>
      <c r="AT21" s="77"/>
      <c r="AU21" s="77"/>
      <c r="AV21" s="83" t="str">
        <f>HYPERLINK("https://pbs.twimg.com/profile_images/1228914978364608512/KFAiAGP6_normal.jpg")</f>
        <v>https://pbs.twimg.com/profile_images/1228914978364608512/KFAiAGP6_normal.jpg</v>
      </c>
      <c r="AW21" s="81" t="s">
        <v>9304</v>
      </c>
      <c r="AX21" s="81" t="s">
        <v>9304</v>
      </c>
      <c r="AY21" s="77"/>
      <c r="AZ21" s="81" t="s">
        <v>11359</v>
      </c>
      <c r="BA21" s="81" t="s">
        <v>11359</v>
      </c>
      <c r="BB21" s="81" t="s">
        <v>11359</v>
      </c>
      <c r="BC21" s="81" t="s">
        <v>9304</v>
      </c>
      <c r="BD21" s="77">
        <v>90764542</v>
      </c>
      <c r="BE21" s="77"/>
      <c r="BF21" s="77"/>
      <c r="BG21" s="77"/>
      <c r="BH21" s="77"/>
      <c r="BI21" s="77"/>
    </row>
    <row r="22" spans="1:61" x14ac:dyDescent="0.25">
      <c r="A22" s="62" t="s">
        <v>230</v>
      </c>
      <c r="B22" s="62" t="s">
        <v>230</v>
      </c>
      <c r="C22" s="63"/>
      <c r="D22" s="64"/>
      <c r="E22" s="65"/>
      <c r="F22" s="66"/>
      <c r="G22" s="63"/>
      <c r="H22" s="67"/>
      <c r="I22" s="68"/>
      <c r="J22" s="68"/>
      <c r="K22" s="32"/>
      <c r="L22" s="75">
        <v>22</v>
      </c>
      <c r="M22" s="75"/>
      <c r="N22" s="70"/>
      <c r="O22" s="77" t="s">
        <v>179</v>
      </c>
      <c r="P22" s="79">
        <v>45041.927777777775</v>
      </c>
      <c r="Q22" s="77" t="s">
        <v>985</v>
      </c>
      <c r="R22" s="77">
        <v>0</v>
      </c>
      <c r="S22" s="77">
        <v>0</v>
      </c>
      <c r="T22" s="77">
        <v>0</v>
      </c>
      <c r="U22" s="77">
        <v>0</v>
      </c>
      <c r="V22" s="77">
        <v>69</v>
      </c>
      <c r="W22" s="81" t="s">
        <v>2928</v>
      </c>
      <c r="X22" s="83" t="str">
        <f>HYPERLINK("https://lecheriatv.blogspot.com/2023/01/la-personalidad-de-un-vendedor-10.html?spref=tw")</f>
        <v>https://lecheriatv.blogspot.com/2023/01/la-personalidad-de-un-vendedor-10.html?spref=tw</v>
      </c>
      <c r="Y22" s="77" t="s">
        <v>4216</v>
      </c>
      <c r="Z22" s="77"/>
      <c r="AA22" s="77"/>
      <c r="AB22" s="77"/>
      <c r="AC22" s="81" t="s">
        <v>5805</v>
      </c>
      <c r="AD22" s="77" t="s">
        <v>5850</v>
      </c>
      <c r="AE22" s="83" t="str">
        <f>HYPERLINK("https://twitter.com/lecheriateve/status/1650987045748379650")</f>
        <v>https://twitter.com/lecheriateve/status/1650987045748379650</v>
      </c>
      <c r="AF22" s="79">
        <v>45041.927777777775</v>
      </c>
      <c r="AG22" s="85">
        <v>45041</v>
      </c>
      <c r="AH22" s="81" t="s">
        <v>5872</v>
      </c>
      <c r="AI22" s="77" t="b">
        <v>0</v>
      </c>
      <c r="AJ22" s="77"/>
      <c r="AK22" s="77"/>
      <c r="AL22" s="77"/>
      <c r="AM22" s="77"/>
      <c r="AN22" s="77"/>
      <c r="AO22" s="77"/>
      <c r="AP22" s="77"/>
      <c r="AQ22" s="77"/>
      <c r="AR22" s="77"/>
      <c r="AS22" s="77"/>
      <c r="AT22" s="77"/>
      <c r="AU22" s="77"/>
      <c r="AV22" s="83" t="str">
        <f>HYPERLINK("https://pbs.twimg.com/profile_images/1366741072957886477/aLbz7Ekh_normal.png")</f>
        <v>https://pbs.twimg.com/profile_images/1366741072957886477/aLbz7Ekh_normal.png</v>
      </c>
      <c r="AW22" s="81" t="s">
        <v>9305</v>
      </c>
      <c r="AX22" s="81" t="s">
        <v>9305</v>
      </c>
      <c r="AY22" s="77"/>
      <c r="AZ22" s="81" t="s">
        <v>11359</v>
      </c>
      <c r="BA22" s="81" t="s">
        <v>11359</v>
      </c>
      <c r="BB22" s="81" t="s">
        <v>11359</v>
      </c>
      <c r="BC22" s="81" t="s">
        <v>9305</v>
      </c>
      <c r="BD22" s="77">
        <v>66762139</v>
      </c>
      <c r="BE22" s="77"/>
      <c r="BF22" s="77"/>
      <c r="BG22" s="77"/>
      <c r="BH22" s="77"/>
      <c r="BI22" s="77"/>
    </row>
    <row r="23" spans="1:61" x14ac:dyDescent="0.25">
      <c r="A23" s="62" t="s">
        <v>230</v>
      </c>
      <c r="B23" s="62" t="s">
        <v>230</v>
      </c>
      <c r="C23" s="63"/>
      <c r="D23" s="64"/>
      <c r="E23" s="65"/>
      <c r="F23" s="66"/>
      <c r="G23" s="63"/>
      <c r="H23" s="67"/>
      <c r="I23" s="68"/>
      <c r="J23" s="68"/>
      <c r="K23" s="32"/>
      <c r="L23" s="75">
        <v>23</v>
      </c>
      <c r="M23" s="75"/>
      <c r="N23" s="70"/>
      <c r="O23" s="77" t="s">
        <v>179</v>
      </c>
      <c r="P23" s="79">
        <v>45041.427083333336</v>
      </c>
      <c r="Q23" s="77" t="s">
        <v>985</v>
      </c>
      <c r="R23" s="77">
        <v>0</v>
      </c>
      <c r="S23" s="77">
        <v>0</v>
      </c>
      <c r="T23" s="77">
        <v>0</v>
      </c>
      <c r="U23" s="77">
        <v>0</v>
      </c>
      <c r="V23" s="77">
        <v>39</v>
      </c>
      <c r="W23" s="81" t="s">
        <v>2928</v>
      </c>
      <c r="X23" s="83" t="str">
        <f>HYPERLINK("https://lecheriatv.blogspot.com/2023/01/la-personalidad-de-un-vendedor-10.html?spref=tw")</f>
        <v>https://lecheriatv.blogspot.com/2023/01/la-personalidad-de-un-vendedor-10.html?spref=tw</v>
      </c>
      <c r="Y23" s="77" t="s">
        <v>4216</v>
      </c>
      <c r="Z23" s="77"/>
      <c r="AA23" s="77"/>
      <c r="AB23" s="77"/>
      <c r="AC23" s="81" t="s">
        <v>5805</v>
      </c>
      <c r="AD23" s="77" t="s">
        <v>5850</v>
      </c>
      <c r="AE23" s="83" t="str">
        <f>HYPERLINK("https://twitter.com/lecheriateve/status/1650805600341852160")</f>
        <v>https://twitter.com/lecheriateve/status/1650805600341852160</v>
      </c>
      <c r="AF23" s="79">
        <v>45041.427083333336</v>
      </c>
      <c r="AG23" s="85">
        <v>45041</v>
      </c>
      <c r="AH23" s="81" t="s">
        <v>5873</v>
      </c>
      <c r="AI23" s="77" t="b">
        <v>0</v>
      </c>
      <c r="AJ23" s="77"/>
      <c r="AK23" s="77"/>
      <c r="AL23" s="77"/>
      <c r="AM23" s="77"/>
      <c r="AN23" s="77"/>
      <c r="AO23" s="77"/>
      <c r="AP23" s="77"/>
      <c r="AQ23" s="77"/>
      <c r="AR23" s="77"/>
      <c r="AS23" s="77"/>
      <c r="AT23" s="77"/>
      <c r="AU23" s="77"/>
      <c r="AV23" s="83" t="str">
        <f>HYPERLINK("https://pbs.twimg.com/profile_images/1366741072957886477/aLbz7Ekh_normal.png")</f>
        <v>https://pbs.twimg.com/profile_images/1366741072957886477/aLbz7Ekh_normal.png</v>
      </c>
      <c r="AW23" s="81" t="s">
        <v>9306</v>
      </c>
      <c r="AX23" s="81" t="s">
        <v>9306</v>
      </c>
      <c r="AY23" s="77"/>
      <c r="AZ23" s="81" t="s">
        <v>11359</v>
      </c>
      <c r="BA23" s="81" t="s">
        <v>11359</v>
      </c>
      <c r="BB23" s="81" t="s">
        <v>11359</v>
      </c>
      <c r="BC23" s="81" t="s">
        <v>9306</v>
      </c>
      <c r="BD23" s="77">
        <v>66762139</v>
      </c>
      <c r="BE23" s="77"/>
      <c r="BF23" s="77"/>
      <c r="BG23" s="77"/>
      <c r="BH23" s="77"/>
      <c r="BI23" s="77"/>
    </row>
    <row r="24" spans="1:61" x14ac:dyDescent="0.25">
      <c r="A24" s="62" t="s">
        <v>231</v>
      </c>
      <c r="B24" s="62" t="s">
        <v>875</v>
      </c>
      <c r="C24" s="63"/>
      <c r="D24" s="64"/>
      <c r="E24" s="65"/>
      <c r="F24" s="66"/>
      <c r="G24" s="63"/>
      <c r="H24" s="67"/>
      <c r="I24" s="68"/>
      <c r="J24" s="68"/>
      <c r="K24" s="32"/>
      <c r="L24" s="75">
        <v>24</v>
      </c>
      <c r="M24" s="75"/>
      <c r="N24" s="70"/>
      <c r="O24" s="77" t="s">
        <v>967</v>
      </c>
      <c r="P24" s="79">
        <v>45099.541967592595</v>
      </c>
      <c r="Q24" s="77" t="s">
        <v>986</v>
      </c>
      <c r="R24" s="77">
        <v>0</v>
      </c>
      <c r="S24" s="77">
        <v>0</v>
      </c>
      <c r="T24" s="77">
        <v>0</v>
      </c>
      <c r="U24" s="77">
        <v>0</v>
      </c>
      <c r="V24" s="77">
        <v>54</v>
      </c>
      <c r="W24" s="81" t="s">
        <v>2929</v>
      </c>
      <c r="X24" s="77"/>
      <c r="Y24" s="77"/>
      <c r="Z24" s="77" t="s">
        <v>875</v>
      </c>
      <c r="AA24" s="77" t="s">
        <v>4394</v>
      </c>
      <c r="AB24" s="77" t="s">
        <v>5794</v>
      </c>
      <c r="AC24" s="81" t="s">
        <v>5806</v>
      </c>
      <c r="AD24" s="77" t="s">
        <v>5851</v>
      </c>
      <c r="AE24" s="83" t="str">
        <f>HYPERLINK("https://twitter.com/innetsolucoes/status/1671865732244594691")</f>
        <v>https://twitter.com/innetsolucoes/status/1671865732244594691</v>
      </c>
      <c r="AF24" s="79">
        <v>45099.541967592595</v>
      </c>
      <c r="AG24" s="85">
        <v>45099</v>
      </c>
      <c r="AH24" s="81" t="s">
        <v>5874</v>
      </c>
      <c r="AI24" s="77" t="b">
        <v>0</v>
      </c>
      <c r="AJ24" s="77"/>
      <c r="AK24" s="77"/>
      <c r="AL24" s="77"/>
      <c r="AM24" s="77"/>
      <c r="AN24" s="77"/>
      <c r="AO24" s="77"/>
      <c r="AP24" s="77"/>
      <c r="AQ24" s="77" t="s">
        <v>7897</v>
      </c>
      <c r="AR24" s="77"/>
      <c r="AS24" s="77"/>
      <c r="AT24" s="77"/>
      <c r="AU24" s="77"/>
      <c r="AV24" s="83" t="str">
        <f>HYPERLINK("https://pbs.twimg.com/media/FzOpBgEWAAE1Ii6.jpg")</f>
        <v>https://pbs.twimg.com/media/FzOpBgEWAAE1Ii6.jpg</v>
      </c>
      <c r="AW24" s="81" t="s">
        <v>9307</v>
      </c>
      <c r="AX24" s="81" t="s">
        <v>9307</v>
      </c>
      <c r="AY24" s="77"/>
      <c r="AZ24" s="81" t="s">
        <v>11359</v>
      </c>
      <c r="BA24" s="81" t="s">
        <v>11359</v>
      </c>
      <c r="BB24" s="81" t="s">
        <v>11359</v>
      </c>
      <c r="BC24" s="81" t="s">
        <v>9307</v>
      </c>
      <c r="BD24" s="77">
        <v>2586456380</v>
      </c>
      <c r="BE24" s="77"/>
      <c r="BF24" s="77"/>
      <c r="BG24" s="77"/>
      <c r="BH24" s="77"/>
      <c r="BI24" s="77"/>
    </row>
    <row r="25" spans="1:61" x14ac:dyDescent="0.25">
      <c r="A25" s="62" t="s">
        <v>231</v>
      </c>
      <c r="B25" s="62" t="s">
        <v>231</v>
      </c>
      <c r="C25" s="63"/>
      <c r="D25" s="64"/>
      <c r="E25" s="65"/>
      <c r="F25" s="66"/>
      <c r="G25" s="63"/>
      <c r="H25" s="67"/>
      <c r="I25" s="68"/>
      <c r="J25" s="68"/>
      <c r="K25" s="32"/>
      <c r="L25" s="75">
        <v>25</v>
      </c>
      <c r="M25" s="75"/>
      <c r="N25" s="70"/>
      <c r="O25" s="77" t="s">
        <v>179</v>
      </c>
      <c r="P25" s="79">
        <v>44969.626122685186</v>
      </c>
      <c r="Q25" s="77" t="s">
        <v>987</v>
      </c>
      <c r="R25" s="77">
        <v>0</v>
      </c>
      <c r="S25" s="77">
        <v>0</v>
      </c>
      <c r="T25" s="77">
        <v>0</v>
      </c>
      <c r="U25" s="77">
        <v>0</v>
      </c>
      <c r="V25" s="77">
        <v>26</v>
      </c>
      <c r="W25" s="81" t="s">
        <v>2930</v>
      </c>
      <c r="X25" s="77"/>
      <c r="Y25" s="77"/>
      <c r="Z25" s="77"/>
      <c r="AA25" s="77" t="s">
        <v>4395</v>
      </c>
      <c r="AB25" s="77" t="s">
        <v>5795</v>
      </c>
      <c r="AC25" s="81" t="s">
        <v>5806</v>
      </c>
      <c r="AD25" s="77" t="s">
        <v>5851</v>
      </c>
      <c r="AE25" s="83" t="str">
        <f>HYPERLINK("https://twitter.com/innetsolucoes/status/1624785805733502976")</f>
        <v>https://twitter.com/innetsolucoes/status/1624785805733502976</v>
      </c>
      <c r="AF25" s="79">
        <v>44969.626122685186</v>
      </c>
      <c r="AG25" s="85">
        <v>44969</v>
      </c>
      <c r="AH25" s="81" t="s">
        <v>5875</v>
      </c>
      <c r="AI25" s="77" t="b">
        <v>0</v>
      </c>
      <c r="AJ25" s="77"/>
      <c r="AK25" s="77"/>
      <c r="AL25" s="77"/>
      <c r="AM25" s="77"/>
      <c r="AN25" s="77"/>
      <c r="AO25" s="77"/>
      <c r="AP25" s="77"/>
      <c r="AQ25" s="77" t="s">
        <v>7898</v>
      </c>
      <c r="AR25" s="77">
        <v>56666</v>
      </c>
      <c r="AS25" s="77"/>
      <c r="AT25" s="77"/>
      <c r="AU25" s="77"/>
      <c r="AV25" s="83" t="str">
        <f>HYPERLINK("https://pbs.twimg.com/ext_tw_video_thumb/1624785758954438658/pu/img/NyP0LR45eoKMTMDB.jpg")</f>
        <v>https://pbs.twimg.com/ext_tw_video_thumb/1624785758954438658/pu/img/NyP0LR45eoKMTMDB.jpg</v>
      </c>
      <c r="AW25" s="81" t="s">
        <v>9308</v>
      </c>
      <c r="AX25" s="81" t="s">
        <v>9308</v>
      </c>
      <c r="AY25" s="77"/>
      <c r="AZ25" s="81" t="s">
        <v>11359</v>
      </c>
      <c r="BA25" s="81" t="s">
        <v>11359</v>
      </c>
      <c r="BB25" s="81" t="s">
        <v>11359</v>
      </c>
      <c r="BC25" s="81" t="s">
        <v>9308</v>
      </c>
      <c r="BD25" s="77">
        <v>2586456380</v>
      </c>
      <c r="BE25" s="77"/>
      <c r="BF25" s="77"/>
      <c r="BG25" s="77"/>
      <c r="BH25" s="77"/>
      <c r="BI25" s="77"/>
    </row>
    <row r="26" spans="1:61" x14ac:dyDescent="0.25">
      <c r="A26" s="62" t="s">
        <v>231</v>
      </c>
      <c r="B26" s="62" t="s">
        <v>231</v>
      </c>
      <c r="C26" s="63"/>
      <c r="D26" s="64"/>
      <c r="E26" s="65"/>
      <c r="F26" s="66"/>
      <c r="G26" s="63"/>
      <c r="H26" s="67"/>
      <c r="I26" s="68"/>
      <c r="J26" s="68"/>
      <c r="K26" s="32"/>
      <c r="L26" s="75">
        <v>26</v>
      </c>
      <c r="M26" s="75"/>
      <c r="N26" s="70"/>
      <c r="O26" s="77" t="s">
        <v>179</v>
      </c>
      <c r="P26" s="79">
        <v>44992.626006944447</v>
      </c>
      <c r="Q26" s="77" t="s">
        <v>988</v>
      </c>
      <c r="R26" s="77">
        <v>0</v>
      </c>
      <c r="S26" s="77">
        <v>0</v>
      </c>
      <c r="T26" s="77">
        <v>0</v>
      </c>
      <c r="U26" s="77">
        <v>0</v>
      </c>
      <c r="V26" s="77">
        <v>15</v>
      </c>
      <c r="W26" s="81" t="s">
        <v>2931</v>
      </c>
      <c r="X26" s="77"/>
      <c r="Y26" s="77"/>
      <c r="Z26" s="77"/>
      <c r="AA26" s="77" t="s">
        <v>4396</v>
      </c>
      <c r="AB26" s="77" t="s">
        <v>5794</v>
      </c>
      <c r="AC26" s="81" t="s">
        <v>5806</v>
      </c>
      <c r="AD26" s="77" t="s">
        <v>5851</v>
      </c>
      <c r="AE26" s="83" t="str">
        <f>HYPERLINK("https://twitter.com/innetsolucoes/status/1633120683537362944")</f>
        <v>https://twitter.com/innetsolucoes/status/1633120683537362944</v>
      </c>
      <c r="AF26" s="79">
        <v>44992.626006944447</v>
      </c>
      <c r="AG26" s="85">
        <v>44992</v>
      </c>
      <c r="AH26" s="81" t="s">
        <v>5876</v>
      </c>
      <c r="AI26" s="77" t="b">
        <v>0</v>
      </c>
      <c r="AJ26" s="77"/>
      <c r="AK26" s="77"/>
      <c r="AL26" s="77"/>
      <c r="AM26" s="77"/>
      <c r="AN26" s="77"/>
      <c r="AO26" s="77"/>
      <c r="AP26" s="77"/>
      <c r="AQ26" s="77" t="s">
        <v>7899</v>
      </c>
      <c r="AR26" s="77"/>
      <c r="AS26" s="77"/>
      <c r="AT26" s="77"/>
      <c r="AU26" s="77"/>
      <c r="AV26" s="83" t="str">
        <f>HYPERLINK("https://pbs.twimg.com/media/FqoCm3PWYAEk86h.jpg")</f>
        <v>https://pbs.twimg.com/media/FqoCm3PWYAEk86h.jpg</v>
      </c>
      <c r="AW26" s="81" t="s">
        <v>9309</v>
      </c>
      <c r="AX26" s="81" t="s">
        <v>9309</v>
      </c>
      <c r="AY26" s="77"/>
      <c r="AZ26" s="81" t="s">
        <v>11359</v>
      </c>
      <c r="BA26" s="81" t="s">
        <v>11359</v>
      </c>
      <c r="BB26" s="81" t="s">
        <v>11359</v>
      </c>
      <c r="BC26" s="81" t="s">
        <v>9309</v>
      </c>
      <c r="BD26" s="77">
        <v>2586456380</v>
      </c>
      <c r="BE26" s="77"/>
      <c r="BF26" s="77"/>
      <c r="BG26" s="77"/>
      <c r="BH26" s="77"/>
      <c r="BI26" s="77"/>
    </row>
    <row r="27" spans="1:61" x14ac:dyDescent="0.25">
      <c r="A27" s="62" t="s">
        <v>231</v>
      </c>
      <c r="B27" s="62" t="s">
        <v>231</v>
      </c>
      <c r="C27" s="63"/>
      <c r="D27" s="64"/>
      <c r="E27" s="65"/>
      <c r="F27" s="66"/>
      <c r="G27" s="63"/>
      <c r="H27" s="67"/>
      <c r="I27" s="68"/>
      <c r="J27" s="68"/>
      <c r="K27" s="32"/>
      <c r="L27" s="75">
        <v>27</v>
      </c>
      <c r="M27" s="75"/>
      <c r="N27" s="70"/>
      <c r="O27" s="77" t="s">
        <v>179</v>
      </c>
      <c r="P27" s="79">
        <v>45083.542013888888</v>
      </c>
      <c r="Q27" s="77" t="s">
        <v>989</v>
      </c>
      <c r="R27" s="77">
        <v>0</v>
      </c>
      <c r="S27" s="77">
        <v>0</v>
      </c>
      <c r="T27" s="77">
        <v>0</v>
      </c>
      <c r="U27" s="77">
        <v>0</v>
      </c>
      <c r="V27" s="77">
        <v>42</v>
      </c>
      <c r="W27" s="81" t="s">
        <v>2932</v>
      </c>
      <c r="X27" s="77"/>
      <c r="Y27" s="77"/>
      <c r="Z27" s="77"/>
      <c r="AA27" s="77" t="s">
        <v>4397</v>
      </c>
      <c r="AB27" s="77" t="s">
        <v>5794</v>
      </c>
      <c r="AC27" s="81" t="s">
        <v>5806</v>
      </c>
      <c r="AD27" s="77" t="s">
        <v>5851</v>
      </c>
      <c r="AE27" s="83" t="str">
        <f>HYPERLINK("https://twitter.com/innetsolucoes/status/1666067543113490433")</f>
        <v>https://twitter.com/innetsolucoes/status/1666067543113490433</v>
      </c>
      <c r="AF27" s="79">
        <v>45083.542013888888</v>
      </c>
      <c r="AG27" s="85">
        <v>45083</v>
      </c>
      <c r="AH27" s="81" t="s">
        <v>5877</v>
      </c>
      <c r="AI27" s="77" t="b">
        <v>0</v>
      </c>
      <c r="AJ27" s="77"/>
      <c r="AK27" s="77"/>
      <c r="AL27" s="77"/>
      <c r="AM27" s="77"/>
      <c r="AN27" s="77"/>
      <c r="AO27" s="77"/>
      <c r="AP27" s="77"/>
      <c r="AQ27" s="77" t="s">
        <v>7900</v>
      </c>
      <c r="AR27" s="77"/>
      <c r="AS27" s="77"/>
      <c r="AT27" s="77"/>
      <c r="AU27" s="77"/>
      <c r="AV27" s="83" t="str">
        <f>HYPERLINK("https://pbs.twimg.com/media/Fx8PmgtWAAAKfka.jpg")</f>
        <v>https://pbs.twimg.com/media/Fx8PmgtWAAAKfka.jpg</v>
      </c>
      <c r="AW27" s="81" t="s">
        <v>9310</v>
      </c>
      <c r="AX27" s="81" t="s">
        <v>9310</v>
      </c>
      <c r="AY27" s="77"/>
      <c r="AZ27" s="81" t="s">
        <v>11359</v>
      </c>
      <c r="BA27" s="81" t="s">
        <v>11359</v>
      </c>
      <c r="BB27" s="81" t="s">
        <v>11359</v>
      </c>
      <c r="BC27" s="81" t="s">
        <v>9310</v>
      </c>
      <c r="BD27" s="77">
        <v>2586456380</v>
      </c>
      <c r="BE27" s="77"/>
      <c r="BF27" s="77"/>
      <c r="BG27" s="77"/>
      <c r="BH27" s="77"/>
      <c r="BI27" s="77"/>
    </row>
    <row r="28" spans="1:61" x14ac:dyDescent="0.25">
      <c r="A28" s="62" t="s">
        <v>231</v>
      </c>
      <c r="B28" s="62" t="s">
        <v>231</v>
      </c>
      <c r="C28" s="63"/>
      <c r="D28" s="64"/>
      <c r="E28" s="65"/>
      <c r="F28" s="66"/>
      <c r="G28" s="63"/>
      <c r="H28" s="67"/>
      <c r="I28" s="68"/>
      <c r="J28" s="68"/>
      <c r="K28" s="32"/>
      <c r="L28" s="75">
        <v>28</v>
      </c>
      <c r="M28" s="75"/>
      <c r="N28" s="70"/>
      <c r="O28" s="77" t="s">
        <v>179</v>
      </c>
      <c r="P28" s="79">
        <v>44982.625960648147</v>
      </c>
      <c r="Q28" s="77" t="s">
        <v>990</v>
      </c>
      <c r="R28" s="77">
        <v>0</v>
      </c>
      <c r="S28" s="77">
        <v>0</v>
      </c>
      <c r="T28" s="77">
        <v>0</v>
      </c>
      <c r="U28" s="77">
        <v>0</v>
      </c>
      <c r="V28" s="77">
        <v>109</v>
      </c>
      <c r="W28" s="81" t="s">
        <v>2933</v>
      </c>
      <c r="X28" s="77"/>
      <c r="Y28" s="77"/>
      <c r="Z28" s="77"/>
      <c r="AA28" s="77" t="s">
        <v>4398</v>
      </c>
      <c r="AB28" s="77" t="s">
        <v>5795</v>
      </c>
      <c r="AC28" s="81" t="s">
        <v>5806</v>
      </c>
      <c r="AD28" s="77" t="s">
        <v>5851</v>
      </c>
      <c r="AE28" s="83" t="str">
        <f>HYPERLINK("https://twitter.com/innetsolucoes/status/1629496787714072577")</f>
        <v>https://twitter.com/innetsolucoes/status/1629496787714072577</v>
      </c>
      <c r="AF28" s="79">
        <v>44982.625960648147</v>
      </c>
      <c r="AG28" s="85">
        <v>44982</v>
      </c>
      <c r="AH28" s="81" t="s">
        <v>5878</v>
      </c>
      <c r="AI28" s="77" t="b">
        <v>0</v>
      </c>
      <c r="AJ28" s="77"/>
      <c r="AK28" s="77"/>
      <c r="AL28" s="77"/>
      <c r="AM28" s="77"/>
      <c r="AN28" s="77"/>
      <c r="AO28" s="77"/>
      <c r="AP28" s="77"/>
      <c r="AQ28" s="77" t="s">
        <v>7901</v>
      </c>
      <c r="AR28" s="77">
        <v>15533</v>
      </c>
      <c r="AS28" s="77"/>
      <c r="AT28" s="77"/>
      <c r="AU28" s="77"/>
      <c r="AV28" s="83" t="str">
        <f>HYPERLINK("https://pbs.twimg.com/ext_tw_video_thumb/1629496741778055171/pu/img/NeBRBojPATT0nTKi.jpg")</f>
        <v>https://pbs.twimg.com/ext_tw_video_thumb/1629496741778055171/pu/img/NeBRBojPATT0nTKi.jpg</v>
      </c>
      <c r="AW28" s="81" t="s">
        <v>9311</v>
      </c>
      <c r="AX28" s="81" t="s">
        <v>9311</v>
      </c>
      <c r="AY28" s="77"/>
      <c r="AZ28" s="81" t="s">
        <v>11359</v>
      </c>
      <c r="BA28" s="81" t="s">
        <v>11359</v>
      </c>
      <c r="BB28" s="81" t="s">
        <v>11359</v>
      </c>
      <c r="BC28" s="81" t="s">
        <v>9311</v>
      </c>
      <c r="BD28" s="77">
        <v>2586456380</v>
      </c>
      <c r="BE28" s="77"/>
      <c r="BF28" s="77"/>
      <c r="BG28" s="77"/>
      <c r="BH28" s="77"/>
      <c r="BI28" s="77"/>
    </row>
    <row r="29" spans="1:61" x14ac:dyDescent="0.25">
      <c r="A29" s="62" t="s">
        <v>231</v>
      </c>
      <c r="B29" s="62" t="s">
        <v>231</v>
      </c>
      <c r="C29" s="63"/>
      <c r="D29" s="64"/>
      <c r="E29" s="65"/>
      <c r="F29" s="66"/>
      <c r="G29" s="63"/>
      <c r="H29" s="67"/>
      <c r="I29" s="68"/>
      <c r="J29" s="68"/>
      <c r="K29" s="32"/>
      <c r="L29" s="75">
        <v>29</v>
      </c>
      <c r="M29" s="75"/>
      <c r="N29" s="70"/>
      <c r="O29" s="77" t="s">
        <v>179</v>
      </c>
      <c r="P29" s="79">
        <v>44962.615752314814</v>
      </c>
      <c r="Q29" s="77" t="s">
        <v>991</v>
      </c>
      <c r="R29" s="77">
        <v>0</v>
      </c>
      <c r="S29" s="77">
        <v>0</v>
      </c>
      <c r="T29" s="77">
        <v>0</v>
      </c>
      <c r="U29" s="77">
        <v>0</v>
      </c>
      <c r="V29" s="77">
        <v>54</v>
      </c>
      <c r="W29" s="81" t="s">
        <v>2930</v>
      </c>
      <c r="X29" s="77"/>
      <c r="Y29" s="77"/>
      <c r="Z29" s="77"/>
      <c r="AA29" s="77" t="s">
        <v>4399</v>
      </c>
      <c r="AB29" s="77" t="s">
        <v>5795</v>
      </c>
      <c r="AC29" s="81" t="s">
        <v>5806</v>
      </c>
      <c r="AD29" s="77" t="s">
        <v>5851</v>
      </c>
      <c r="AE29" s="83" t="str">
        <f>HYPERLINK("https://twitter.com/innetsolucoes/status/1622245329453080578")</f>
        <v>https://twitter.com/innetsolucoes/status/1622245329453080578</v>
      </c>
      <c r="AF29" s="79">
        <v>44962.615752314814</v>
      </c>
      <c r="AG29" s="85">
        <v>44962</v>
      </c>
      <c r="AH29" s="81" t="s">
        <v>5879</v>
      </c>
      <c r="AI29" s="77" t="b">
        <v>0</v>
      </c>
      <c r="AJ29" s="77"/>
      <c r="AK29" s="77"/>
      <c r="AL29" s="77"/>
      <c r="AM29" s="77"/>
      <c r="AN29" s="77"/>
      <c r="AO29" s="77"/>
      <c r="AP29" s="77"/>
      <c r="AQ29" s="77" t="s">
        <v>7902</v>
      </c>
      <c r="AR29" s="77">
        <v>53366</v>
      </c>
      <c r="AS29" s="77"/>
      <c r="AT29" s="77"/>
      <c r="AU29" s="77"/>
      <c r="AV29" s="83" t="str">
        <f>HYPERLINK("https://pbs.twimg.com/ext_tw_video_thumb/1622245277137518593/pu/img/F6RZEZQJ6VuXSeVb.jpg")</f>
        <v>https://pbs.twimg.com/ext_tw_video_thumb/1622245277137518593/pu/img/F6RZEZQJ6VuXSeVb.jpg</v>
      </c>
      <c r="AW29" s="81" t="s">
        <v>9312</v>
      </c>
      <c r="AX29" s="81" t="s">
        <v>9312</v>
      </c>
      <c r="AY29" s="77"/>
      <c r="AZ29" s="81" t="s">
        <v>11359</v>
      </c>
      <c r="BA29" s="81" t="s">
        <v>11359</v>
      </c>
      <c r="BB29" s="81" t="s">
        <v>11359</v>
      </c>
      <c r="BC29" s="81" t="s">
        <v>9312</v>
      </c>
      <c r="BD29" s="77">
        <v>2586456380</v>
      </c>
      <c r="BE29" s="77"/>
      <c r="BF29" s="77"/>
      <c r="BG29" s="77"/>
      <c r="BH29" s="77"/>
      <c r="BI29" s="77"/>
    </row>
    <row r="30" spans="1:61" x14ac:dyDescent="0.25">
      <c r="A30" s="62" t="s">
        <v>231</v>
      </c>
      <c r="B30" s="62" t="s">
        <v>231</v>
      </c>
      <c r="C30" s="63"/>
      <c r="D30" s="64"/>
      <c r="E30" s="65"/>
      <c r="F30" s="66"/>
      <c r="G30" s="63"/>
      <c r="H30" s="67"/>
      <c r="I30" s="68"/>
      <c r="J30" s="68"/>
      <c r="K30" s="32"/>
      <c r="L30" s="75">
        <v>30</v>
      </c>
      <c r="M30" s="75"/>
      <c r="N30" s="70"/>
      <c r="O30" s="77" t="s">
        <v>179</v>
      </c>
      <c r="P30" s="79">
        <v>44958.607511574075</v>
      </c>
      <c r="Q30" s="77" t="s">
        <v>992</v>
      </c>
      <c r="R30" s="77">
        <v>0</v>
      </c>
      <c r="S30" s="77">
        <v>0</v>
      </c>
      <c r="T30" s="77">
        <v>0</v>
      </c>
      <c r="U30" s="77">
        <v>0</v>
      </c>
      <c r="V30" s="77">
        <v>29</v>
      </c>
      <c r="W30" s="81" t="s">
        <v>2934</v>
      </c>
      <c r="X30" s="77"/>
      <c r="Y30" s="77"/>
      <c r="Z30" s="77"/>
      <c r="AA30" s="77" t="s">
        <v>4400</v>
      </c>
      <c r="AB30" s="77" t="s">
        <v>5794</v>
      </c>
      <c r="AC30" s="81" t="s">
        <v>5806</v>
      </c>
      <c r="AD30" s="77" t="s">
        <v>5851</v>
      </c>
      <c r="AE30" s="83" t="str">
        <f>HYPERLINK("https://twitter.com/innetsolucoes/status/1620792792812343302")</f>
        <v>https://twitter.com/innetsolucoes/status/1620792792812343302</v>
      </c>
      <c r="AF30" s="79">
        <v>44958.607511574075</v>
      </c>
      <c r="AG30" s="85">
        <v>44958</v>
      </c>
      <c r="AH30" s="81" t="s">
        <v>5880</v>
      </c>
      <c r="AI30" s="77" t="b">
        <v>0</v>
      </c>
      <c r="AJ30" s="77"/>
      <c r="AK30" s="77"/>
      <c r="AL30" s="77"/>
      <c r="AM30" s="77"/>
      <c r="AN30" s="77"/>
      <c r="AO30" s="77"/>
      <c r="AP30" s="77"/>
      <c r="AQ30" s="77" t="s">
        <v>7903</v>
      </c>
      <c r="AR30" s="77"/>
      <c r="AS30" s="77"/>
      <c r="AT30" s="77"/>
      <c r="AU30" s="77"/>
      <c r="AV30" s="83" t="str">
        <f>HYPERLINK("https://pbs.twimg.com/media/Fn42dJ7XEAQcxpD.jpg")</f>
        <v>https://pbs.twimg.com/media/Fn42dJ7XEAQcxpD.jpg</v>
      </c>
      <c r="AW30" s="81" t="s">
        <v>9313</v>
      </c>
      <c r="AX30" s="81" t="s">
        <v>9313</v>
      </c>
      <c r="AY30" s="77"/>
      <c r="AZ30" s="81" t="s">
        <v>11359</v>
      </c>
      <c r="BA30" s="81" t="s">
        <v>11359</v>
      </c>
      <c r="BB30" s="81" t="s">
        <v>11359</v>
      </c>
      <c r="BC30" s="81" t="s">
        <v>9313</v>
      </c>
      <c r="BD30" s="77">
        <v>2586456380</v>
      </c>
      <c r="BE30" s="77"/>
      <c r="BF30" s="77"/>
      <c r="BG30" s="77"/>
      <c r="BH30" s="77"/>
      <c r="BI30" s="77"/>
    </row>
    <row r="31" spans="1:61" x14ac:dyDescent="0.25">
      <c r="A31" s="62" t="s">
        <v>231</v>
      </c>
      <c r="B31" s="62" t="s">
        <v>231</v>
      </c>
      <c r="C31" s="63"/>
      <c r="D31" s="64"/>
      <c r="E31" s="65"/>
      <c r="F31" s="66"/>
      <c r="G31" s="63"/>
      <c r="H31" s="67"/>
      <c r="I31" s="68"/>
      <c r="J31" s="68"/>
      <c r="K31" s="32"/>
      <c r="L31" s="75">
        <v>31</v>
      </c>
      <c r="M31" s="75"/>
      <c r="N31" s="70"/>
      <c r="O31" s="77" t="s">
        <v>179</v>
      </c>
      <c r="P31" s="79">
        <v>45080.542546296296</v>
      </c>
      <c r="Q31" s="77" t="s">
        <v>993</v>
      </c>
      <c r="R31" s="77">
        <v>0</v>
      </c>
      <c r="S31" s="77">
        <v>0</v>
      </c>
      <c r="T31" s="77">
        <v>0</v>
      </c>
      <c r="U31" s="77">
        <v>0</v>
      </c>
      <c r="V31" s="77">
        <v>114</v>
      </c>
      <c r="W31" s="81" t="s">
        <v>2935</v>
      </c>
      <c r="X31" s="77"/>
      <c r="Y31" s="77"/>
      <c r="Z31" s="77"/>
      <c r="AA31" s="77" t="s">
        <v>4401</v>
      </c>
      <c r="AB31" s="77" t="s">
        <v>5795</v>
      </c>
      <c r="AC31" s="81" t="s">
        <v>5806</v>
      </c>
      <c r="AD31" s="77" t="s">
        <v>5853</v>
      </c>
      <c r="AE31" s="83" t="str">
        <f>HYPERLINK("https://twitter.com/innetsolucoes/status/1664980571963924481")</f>
        <v>https://twitter.com/innetsolucoes/status/1664980571963924481</v>
      </c>
      <c r="AF31" s="79">
        <v>45080.542546296296</v>
      </c>
      <c r="AG31" s="85">
        <v>45080</v>
      </c>
      <c r="AH31" s="81" t="s">
        <v>5881</v>
      </c>
      <c r="AI31" s="77" t="b">
        <v>0</v>
      </c>
      <c r="AJ31" s="77"/>
      <c r="AK31" s="77"/>
      <c r="AL31" s="77"/>
      <c r="AM31" s="77"/>
      <c r="AN31" s="77"/>
      <c r="AO31" s="77"/>
      <c r="AP31" s="77"/>
      <c r="AQ31" s="77" t="s">
        <v>7904</v>
      </c>
      <c r="AR31" s="77">
        <v>14233</v>
      </c>
      <c r="AS31" s="77"/>
      <c r="AT31" s="77"/>
      <c r="AU31" s="77"/>
      <c r="AV31" s="83" t="str">
        <f>HYPERLINK("https://pbs.twimg.com/ext_tw_video_thumb/1664980527298772992/pu/img/csQtkYonPKRtr720.jpg")</f>
        <v>https://pbs.twimg.com/ext_tw_video_thumb/1664980527298772992/pu/img/csQtkYonPKRtr720.jpg</v>
      </c>
      <c r="AW31" s="81" t="s">
        <v>9314</v>
      </c>
      <c r="AX31" s="81" t="s">
        <v>9314</v>
      </c>
      <c r="AY31" s="77"/>
      <c r="AZ31" s="81" t="s">
        <v>11359</v>
      </c>
      <c r="BA31" s="81" t="s">
        <v>11359</v>
      </c>
      <c r="BB31" s="81" t="s">
        <v>11359</v>
      </c>
      <c r="BC31" s="81" t="s">
        <v>9314</v>
      </c>
      <c r="BD31" s="77">
        <v>2586456380</v>
      </c>
      <c r="BE31" s="77"/>
      <c r="BF31" s="77"/>
      <c r="BG31" s="77"/>
      <c r="BH31" s="77"/>
      <c r="BI31" s="77"/>
    </row>
    <row r="32" spans="1:61" x14ac:dyDescent="0.25">
      <c r="A32" s="62" t="s">
        <v>231</v>
      </c>
      <c r="B32" s="62" t="s">
        <v>231</v>
      </c>
      <c r="C32" s="63"/>
      <c r="D32" s="64"/>
      <c r="E32" s="65"/>
      <c r="F32" s="66"/>
      <c r="G32" s="63"/>
      <c r="H32" s="67"/>
      <c r="I32" s="68"/>
      <c r="J32" s="68"/>
      <c r="K32" s="32"/>
      <c r="L32" s="75">
        <v>32</v>
      </c>
      <c r="M32" s="75"/>
      <c r="N32" s="70"/>
      <c r="O32" s="77" t="s">
        <v>179</v>
      </c>
      <c r="P32" s="79">
        <v>45052.62537037037</v>
      </c>
      <c r="Q32" s="77" t="s">
        <v>994</v>
      </c>
      <c r="R32" s="77">
        <v>0</v>
      </c>
      <c r="S32" s="77">
        <v>0</v>
      </c>
      <c r="T32" s="77">
        <v>0</v>
      </c>
      <c r="U32" s="77">
        <v>0</v>
      </c>
      <c r="V32" s="77">
        <v>74</v>
      </c>
      <c r="W32" s="81" t="s">
        <v>2936</v>
      </c>
      <c r="X32" s="77"/>
      <c r="Y32" s="77"/>
      <c r="Z32" s="77"/>
      <c r="AA32" s="77" t="s">
        <v>4402</v>
      </c>
      <c r="AB32" s="77" t="s">
        <v>5794</v>
      </c>
      <c r="AC32" s="81" t="s">
        <v>5806</v>
      </c>
      <c r="AD32" s="77" t="s">
        <v>5851</v>
      </c>
      <c r="AE32" s="83" t="str">
        <f>HYPERLINK("https://twitter.com/innetsolucoes/status/1654863723104722945")</f>
        <v>https://twitter.com/innetsolucoes/status/1654863723104722945</v>
      </c>
      <c r="AF32" s="79">
        <v>45052.62537037037</v>
      </c>
      <c r="AG32" s="85">
        <v>45052</v>
      </c>
      <c r="AH32" s="81" t="s">
        <v>5882</v>
      </c>
      <c r="AI32" s="77" t="b">
        <v>0</v>
      </c>
      <c r="AJ32" s="77"/>
      <c r="AK32" s="77"/>
      <c r="AL32" s="77"/>
      <c r="AM32" s="77"/>
      <c r="AN32" s="77"/>
      <c r="AO32" s="77"/>
      <c r="AP32" s="77"/>
      <c r="AQ32" s="77" t="s">
        <v>7905</v>
      </c>
      <c r="AR32" s="77"/>
      <c r="AS32" s="77"/>
      <c r="AT32" s="77"/>
      <c r="AU32" s="77"/>
      <c r="AV32" s="83" t="str">
        <f>HYPERLINK("https://pbs.twimg.com/media/FvdByUxX0AI3QFE.jpg")</f>
        <v>https://pbs.twimg.com/media/FvdByUxX0AI3QFE.jpg</v>
      </c>
      <c r="AW32" s="81" t="s">
        <v>9315</v>
      </c>
      <c r="AX32" s="81" t="s">
        <v>9315</v>
      </c>
      <c r="AY32" s="77"/>
      <c r="AZ32" s="81" t="s">
        <v>11359</v>
      </c>
      <c r="BA32" s="81" t="s">
        <v>11359</v>
      </c>
      <c r="BB32" s="81" t="s">
        <v>11359</v>
      </c>
      <c r="BC32" s="81" t="s">
        <v>9315</v>
      </c>
      <c r="BD32" s="77">
        <v>2586456380</v>
      </c>
      <c r="BE32" s="77"/>
      <c r="BF32" s="77"/>
      <c r="BG32" s="77"/>
      <c r="BH32" s="77"/>
      <c r="BI32" s="77"/>
    </row>
    <row r="33" spans="1:61" x14ac:dyDescent="0.25">
      <c r="A33" s="62" t="s">
        <v>231</v>
      </c>
      <c r="B33" s="62" t="s">
        <v>231</v>
      </c>
      <c r="C33" s="63"/>
      <c r="D33" s="64"/>
      <c r="E33" s="65"/>
      <c r="F33" s="66"/>
      <c r="G33" s="63"/>
      <c r="H33" s="67"/>
      <c r="I33" s="68"/>
      <c r="J33" s="68"/>
      <c r="K33" s="32"/>
      <c r="L33" s="75">
        <v>33</v>
      </c>
      <c r="M33" s="75"/>
      <c r="N33" s="70"/>
      <c r="O33" s="77" t="s">
        <v>179</v>
      </c>
      <c r="P33" s="79">
        <v>45007.646087962959</v>
      </c>
      <c r="Q33" s="77" t="s">
        <v>995</v>
      </c>
      <c r="R33" s="77">
        <v>0</v>
      </c>
      <c r="S33" s="77">
        <v>0</v>
      </c>
      <c r="T33" s="77">
        <v>0</v>
      </c>
      <c r="U33" s="77">
        <v>0</v>
      </c>
      <c r="V33" s="77">
        <v>53</v>
      </c>
      <c r="W33" s="81" t="s">
        <v>2930</v>
      </c>
      <c r="X33" s="77"/>
      <c r="Y33" s="77"/>
      <c r="Z33" s="77"/>
      <c r="AA33" s="77" t="s">
        <v>4403</v>
      </c>
      <c r="AB33" s="77" t="s">
        <v>5794</v>
      </c>
      <c r="AC33" s="81" t="s">
        <v>5806</v>
      </c>
      <c r="AD33" s="77" t="s">
        <v>5851</v>
      </c>
      <c r="AE33" s="83" t="str">
        <f>HYPERLINK("https://twitter.com/innetsolucoes/status/1638563776822640649")</f>
        <v>https://twitter.com/innetsolucoes/status/1638563776822640649</v>
      </c>
      <c r="AF33" s="79">
        <v>45007.646087962959</v>
      </c>
      <c r="AG33" s="85">
        <v>45007</v>
      </c>
      <c r="AH33" s="81" t="s">
        <v>5883</v>
      </c>
      <c r="AI33" s="77" t="b">
        <v>0</v>
      </c>
      <c r="AJ33" s="77"/>
      <c r="AK33" s="77"/>
      <c r="AL33" s="77"/>
      <c r="AM33" s="77"/>
      <c r="AN33" s="77"/>
      <c r="AO33" s="77"/>
      <c r="AP33" s="77"/>
      <c r="AQ33" s="77" t="s">
        <v>7906</v>
      </c>
      <c r="AR33" s="77"/>
      <c r="AS33" s="77"/>
      <c r="AT33" s="77"/>
      <c r="AU33" s="77"/>
      <c r="AV33" s="83" t="str">
        <f>HYPERLINK("https://pbs.twimg.com/media/Fr1ZEliWcAU6nhe.jpg")</f>
        <v>https://pbs.twimg.com/media/Fr1ZEliWcAU6nhe.jpg</v>
      </c>
      <c r="AW33" s="81" t="s">
        <v>9316</v>
      </c>
      <c r="AX33" s="81" t="s">
        <v>9316</v>
      </c>
      <c r="AY33" s="77"/>
      <c r="AZ33" s="81" t="s">
        <v>11359</v>
      </c>
      <c r="BA33" s="81" t="s">
        <v>11359</v>
      </c>
      <c r="BB33" s="81" t="s">
        <v>11359</v>
      </c>
      <c r="BC33" s="81" t="s">
        <v>9316</v>
      </c>
      <c r="BD33" s="77">
        <v>2586456380</v>
      </c>
      <c r="BE33" s="77"/>
      <c r="BF33" s="77"/>
      <c r="BG33" s="77"/>
      <c r="BH33" s="77"/>
      <c r="BI33" s="77"/>
    </row>
    <row r="34" spans="1:61" x14ac:dyDescent="0.25">
      <c r="A34" s="62" t="s">
        <v>231</v>
      </c>
      <c r="B34" s="62" t="s">
        <v>231</v>
      </c>
      <c r="C34" s="63"/>
      <c r="D34" s="64"/>
      <c r="E34" s="65"/>
      <c r="F34" s="66"/>
      <c r="G34" s="63"/>
      <c r="H34" s="67"/>
      <c r="I34" s="68"/>
      <c r="J34" s="68"/>
      <c r="K34" s="32"/>
      <c r="L34" s="75">
        <v>34</v>
      </c>
      <c r="M34" s="75"/>
      <c r="N34" s="70"/>
      <c r="O34" s="77" t="s">
        <v>179</v>
      </c>
      <c r="P34" s="79">
        <v>44975.626423611109</v>
      </c>
      <c r="Q34" s="77" t="s">
        <v>996</v>
      </c>
      <c r="R34" s="77">
        <v>0</v>
      </c>
      <c r="S34" s="77">
        <v>0</v>
      </c>
      <c r="T34" s="77">
        <v>0</v>
      </c>
      <c r="U34" s="77">
        <v>0</v>
      </c>
      <c r="V34" s="77">
        <v>41</v>
      </c>
      <c r="W34" s="81" t="s">
        <v>2937</v>
      </c>
      <c r="X34" s="77"/>
      <c r="Y34" s="77"/>
      <c r="Z34" s="77"/>
      <c r="AA34" s="77" t="s">
        <v>4404</v>
      </c>
      <c r="AB34" s="77" t="s">
        <v>5795</v>
      </c>
      <c r="AC34" s="81" t="s">
        <v>5806</v>
      </c>
      <c r="AD34" s="77" t="s">
        <v>5851</v>
      </c>
      <c r="AE34" s="83" t="str">
        <f>HYPERLINK("https://twitter.com/innetsolucoes/status/1626960241890934784")</f>
        <v>https://twitter.com/innetsolucoes/status/1626960241890934784</v>
      </c>
      <c r="AF34" s="79">
        <v>44975.626423611109</v>
      </c>
      <c r="AG34" s="85">
        <v>44975</v>
      </c>
      <c r="AH34" s="81" t="s">
        <v>5884</v>
      </c>
      <c r="AI34" s="77" t="b">
        <v>0</v>
      </c>
      <c r="AJ34" s="77"/>
      <c r="AK34" s="77"/>
      <c r="AL34" s="77"/>
      <c r="AM34" s="77"/>
      <c r="AN34" s="77"/>
      <c r="AO34" s="77"/>
      <c r="AP34" s="77"/>
      <c r="AQ34" s="77" t="s">
        <v>7907</v>
      </c>
      <c r="AR34" s="77">
        <v>10433</v>
      </c>
      <c r="AS34" s="77"/>
      <c r="AT34" s="77"/>
      <c r="AU34" s="77"/>
      <c r="AV34" s="83" t="str">
        <f>HYPERLINK("https://pbs.twimg.com/ext_tw_video_thumb/1626960196881858565/pu/img/PlaSZvh-gGpMJV5D.jpg")</f>
        <v>https://pbs.twimg.com/ext_tw_video_thumb/1626960196881858565/pu/img/PlaSZvh-gGpMJV5D.jpg</v>
      </c>
      <c r="AW34" s="81" t="s">
        <v>9317</v>
      </c>
      <c r="AX34" s="81" t="s">
        <v>9317</v>
      </c>
      <c r="AY34" s="77"/>
      <c r="AZ34" s="81" t="s">
        <v>11359</v>
      </c>
      <c r="BA34" s="81" t="s">
        <v>11359</v>
      </c>
      <c r="BB34" s="81" t="s">
        <v>11359</v>
      </c>
      <c r="BC34" s="81" t="s">
        <v>9317</v>
      </c>
      <c r="BD34" s="77">
        <v>2586456380</v>
      </c>
      <c r="BE34" s="77"/>
      <c r="BF34" s="77"/>
      <c r="BG34" s="77"/>
      <c r="BH34" s="77"/>
      <c r="BI34" s="77"/>
    </row>
    <row r="35" spans="1:61" x14ac:dyDescent="0.25">
      <c r="A35" s="62" t="s">
        <v>231</v>
      </c>
      <c r="B35" s="62" t="s">
        <v>231</v>
      </c>
      <c r="C35" s="63"/>
      <c r="D35" s="64"/>
      <c r="E35" s="65"/>
      <c r="F35" s="66"/>
      <c r="G35" s="63"/>
      <c r="H35" s="67"/>
      <c r="I35" s="68"/>
      <c r="J35" s="68"/>
      <c r="K35" s="32"/>
      <c r="L35" s="75">
        <v>35</v>
      </c>
      <c r="M35" s="75"/>
      <c r="N35" s="70"/>
      <c r="O35" s="77" t="s">
        <v>179</v>
      </c>
      <c r="P35" s="79">
        <v>45031.521608796298</v>
      </c>
      <c r="Q35" s="77" t="s">
        <v>997</v>
      </c>
      <c r="R35" s="77">
        <v>0</v>
      </c>
      <c r="S35" s="77">
        <v>0</v>
      </c>
      <c r="T35" s="77">
        <v>0</v>
      </c>
      <c r="U35" s="77">
        <v>0</v>
      </c>
      <c r="V35" s="77">
        <v>33</v>
      </c>
      <c r="W35" s="81" t="s">
        <v>2938</v>
      </c>
      <c r="X35" s="77"/>
      <c r="Y35" s="77"/>
      <c r="Z35" s="77"/>
      <c r="AA35" s="77" t="s">
        <v>4405</v>
      </c>
      <c r="AB35" s="77" t="s">
        <v>5795</v>
      </c>
      <c r="AC35" s="81" t="s">
        <v>5806</v>
      </c>
      <c r="AD35" s="77" t="s">
        <v>5853</v>
      </c>
      <c r="AE35" s="83" t="str">
        <f>HYPERLINK("https://twitter.com/innetsolucoes/status/1647215979334598659")</f>
        <v>https://twitter.com/innetsolucoes/status/1647215979334598659</v>
      </c>
      <c r="AF35" s="79">
        <v>45031.521608796298</v>
      </c>
      <c r="AG35" s="85">
        <v>45031</v>
      </c>
      <c r="AH35" s="81" t="s">
        <v>5885</v>
      </c>
      <c r="AI35" s="77" t="b">
        <v>0</v>
      </c>
      <c r="AJ35" s="77"/>
      <c r="AK35" s="77"/>
      <c r="AL35" s="77"/>
      <c r="AM35" s="77"/>
      <c r="AN35" s="77"/>
      <c r="AO35" s="77"/>
      <c r="AP35" s="77"/>
      <c r="AQ35" s="77" t="s">
        <v>7908</v>
      </c>
      <c r="AR35" s="77">
        <v>10500</v>
      </c>
      <c r="AS35" s="77"/>
      <c r="AT35" s="77"/>
      <c r="AU35" s="77"/>
      <c r="AV35" s="83" t="str">
        <f>HYPERLINK("https://pbs.twimg.com/ext_tw_video_thumb/1647215935219007488/pu/img/mOCV-oyfefZurket.jpg")</f>
        <v>https://pbs.twimg.com/ext_tw_video_thumb/1647215935219007488/pu/img/mOCV-oyfefZurket.jpg</v>
      </c>
      <c r="AW35" s="81" t="s">
        <v>9318</v>
      </c>
      <c r="AX35" s="81" t="s">
        <v>9318</v>
      </c>
      <c r="AY35" s="77"/>
      <c r="AZ35" s="81" t="s">
        <v>11359</v>
      </c>
      <c r="BA35" s="81" t="s">
        <v>11359</v>
      </c>
      <c r="BB35" s="81" t="s">
        <v>11359</v>
      </c>
      <c r="BC35" s="81" t="s">
        <v>9318</v>
      </c>
      <c r="BD35" s="77">
        <v>2586456380</v>
      </c>
      <c r="BE35" s="77"/>
      <c r="BF35" s="77"/>
      <c r="BG35" s="77"/>
      <c r="BH35" s="77"/>
      <c r="BI35" s="77"/>
    </row>
    <row r="36" spans="1:61" x14ac:dyDescent="0.25">
      <c r="A36" s="62" t="s">
        <v>231</v>
      </c>
      <c r="B36" s="62" t="s">
        <v>231</v>
      </c>
      <c r="C36" s="63"/>
      <c r="D36" s="64"/>
      <c r="E36" s="65"/>
      <c r="F36" s="66"/>
      <c r="G36" s="63"/>
      <c r="H36" s="67"/>
      <c r="I36" s="68"/>
      <c r="J36" s="68"/>
      <c r="K36" s="32"/>
      <c r="L36" s="75">
        <v>36</v>
      </c>
      <c r="M36" s="75"/>
      <c r="N36" s="70"/>
      <c r="O36" s="77" t="s">
        <v>179</v>
      </c>
      <c r="P36" s="79">
        <v>45003.625902777778</v>
      </c>
      <c r="Q36" s="77" t="s">
        <v>998</v>
      </c>
      <c r="R36" s="77">
        <v>0</v>
      </c>
      <c r="S36" s="77">
        <v>1</v>
      </c>
      <c r="T36" s="77">
        <v>0</v>
      </c>
      <c r="U36" s="77">
        <v>0</v>
      </c>
      <c r="V36" s="77">
        <v>106</v>
      </c>
      <c r="W36" s="81" t="s">
        <v>2939</v>
      </c>
      <c r="X36" s="77"/>
      <c r="Y36" s="77"/>
      <c r="Z36" s="77"/>
      <c r="AA36" s="77" t="s">
        <v>4406</v>
      </c>
      <c r="AB36" s="77" t="s">
        <v>5795</v>
      </c>
      <c r="AC36" s="81" t="s">
        <v>5806</v>
      </c>
      <c r="AD36" s="77" t="s">
        <v>5851</v>
      </c>
      <c r="AE36" s="83" t="str">
        <f>HYPERLINK("https://twitter.com/innetsolucoes/status/1637106912553467905")</f>
        <v>https://twitter.com/innetsolucoes/status/1637106912553467905</v>
      </c>
      <c r="AF36" s="79">
        <v>45003.625902777778</v>
      </c>
      <c r="AG36" s="85">
        <v>45003</v>
      </c>
      <c r="AH36" s="81" t="s">
        <v>5886</v>
      </c>
      <c r="AI36" s="77" t="b">
        <v>0</v>
      </c>
      <c r="AJ36" s="77"/>
      <c r="AK36" s="77"/>
      <c r="AL36" s="77"/>
      <c r="AM36" s="77"/>
      <c r="AN36" s="77"/>
      <c r="AO36" s="77"/>
      <c r="AP36" s="77"/>
      <c r="AQ36" s="77" t="s">
        <v>7909</v>
      </c>
      <c r="AR36" s="77">
        <v>31966</v>
      </c>
      <c r="AS36" s="77"/>
      <c r="AT36" s="77"/>
      <c r="AU36" s="77"/>
      <c r="AV36" s="83" t="str">
        <f>HYPERLINK("https://pbs.twimg.com/ext_tw_video_thumb/1637106856551227394/pu/img/CntpPhY-_FBExs9H.jpg")</f>
        <v>https://pbs.twimg.com/ext_tw_video_thumb/1637106856551227394/pu/img/CntpPhY-_FBExs9H.jpg</v>
      </c>
      <c r="AW36" s="81" t="s">
        <v>9319</v>
      </c>
      <c r="AX36" s="81" t="s">
        <v>9319</v>
      </c>
      <c r="AY36" s="77"/>
      <c r="AZ36" s="81" t="s">
        <v>11359</v>
      </c>
      <c r="BA36" s="81" t="s">
        <v>11359</v>
      </c>
      <c r="BB36" s="81" t="s">
        <v>11359</v>
      </c>
      <c r="BC36" s="81" t="s">
        <v>9319</v>
      </c>
      <c r="BD36" s="77">
        <v>2586456380</v>
      </c>
      <c r="BE36" s="77"/>
      <c r="BF36" s="77"/>
      <c r="BG36" s="77"/>
      <c r="BH36" s="77"/>
      <c r="BI36" s="77"/>
    </row>
    <row r="37" spans="1:61" x14ac:dyDescent="0.25">
      <c r="A37" s="62" t="s">
        <v>231</v>
      </c>
      <c r="B37" s="62" t="s">
        <v>231</v>
      </c>
      <c r="C37" s="63"/>
      <c r="D37" s="64"/>
      <c r="E37" s="65"/>
      <c r="F37" s="66"/>
      <c r="G37" s="63"/>
      <c r="H37" s="67"/>
      <c r="I37" s="68"/>
      <c r="J37" s="68"/>
      <c r="K37" s="32"/>
      <c r="L37" s="75">
        <v>37</v>
      </c>
      <c r="M37" s="75"/>
      <c r="N37" s="70"/>
      <c r="O37" s="77" t="s">
        <v>179</v>
      </c>
      <c r="P37" s="79">
        <v>44971.626631944448</v>
      </c>
      <c r="Q37" s="77" t="s">
        <v>999</v>
      </c>
      <c r="R37" s="77">
        <v>0</v>
      </c>
      <c r="S37" s="77">
        <v>0</v>
      </c>
      <c r="T37" s="77">
        <v>0</v>
      </c>
      <c r="U37" s="77">
        <v>0</v>
      </c>
      <c r="V37" s="77">
        <v>58</v>
      </c>
      <c r="W37" s="81" t="s">
        <v>2940</v>
      </c>
      <c r="X37" s="77"/>
      <c r="Y37" s="77"/>
      <c r="Z37" s="77"/>
      <c r="AA37" s="77" t="s">
        <v>4407</v>
      </c>
      <c r="AB37" s="77" t="s">
        <v>5794</v>
      </c>
      <c r="AC37" s="81" t="s">
        <v>5806</v>
      </c>
      <c r="AD37" s="77" t="s">
        <v>5851</v>
      </c>
      <c r="AE37" s="83" t="str">
        <f>HYPERLINK("https://twitter.com/innetsolucoes/status/1625510765162528768")</f>
        <v>https://twitter.com/innetsolucoes/status/1625510765162528768</v>
      </c>
      <c r="AF37" s="79">
        <v>44971.626631944448</v>
      </c>
      <c r="AG37" s="85">
        <v>44971</v>
      </c>
      <c r="AH37" s="81" t="s">
        <v>5887</v>
      </c>
      <c r="AI37" s="77" t="b">
        <v>0</v>
      </c>
      <c r="AJ37" s="77"/>
      <c r="AK37" s="77"/>
      <c r="AL37" s="77"/>
      <c r="AM37" s="77"/>
      <c r="AN37" s="77"/>
      <c r="AO37" s="77"/>
      <c r="AP37" s="77"/>
      <c r="AQ37" s="77" t="s">
        <v>7910</v>
      </c>
      <c r="AR37" s="77"/>
      <c r="AS37" s="77"/>
      <c r="AT37" s="77"/>
      <c r="AU37" s="77"/>
      <c r="AV37" s="83" t="str">
        <f>HYPERLINK("https://pbs.twimg.com/media/Fo75bTiXoAEhCBC.jpg")</f>
        <v>https://pbs.twimg.com/media/Fo75bTiXoAEhCBC.jpg</v>
      </c>
      <c r="AW37" s="81" t="s">
        <v>9320</v>
      </c>
      <c r="AX37" s="81" t="s">
        <v>9320</v>
      </c>
      <c r="AY37" s="77"/>
      <c r="AZ37" s="81" t="s">
        <v>11359</v>
      </c>
      <c r="BA37" s="81" t="s">
        <v>11359</v>
      </c>
      <c r="BB37" s="81" t="s">
        <v>11359</v>
      </c>
      <c r="BC37" s="81" t="s">
        <v>9320</v>
      </c>
      <c r="BD37" s="77">
        <v>2586456380</v>
      </c>
      <c r="BE37" s="77"/>
      <c r="BF37" s="77"/>
      <c r="BG37" s="77"/>
      <c r="BH37" s="77"/>
      <c r="BI37" s="77"/>
    </row>
    <row r="38" spans="1:61" x14ac:dyDescent="0.25">
      <c r="A38" s="62" t="s">
        <v>231</v>
      </c>
      <c r="B38" s="62" t="s">
        <v>231</v>
      </c>
      <c r="C38" s="63"/>
      <c r="D38" s="64"/>
      <c r="E38" s="65"/>
      <c r="F38" s="66"/>
      <c r="G38" s="63"/>
      <c r="H38" s="67"/>
      <c r="I38" s="68"/>
      <c r="J38" s="68"/>
      <c r="K38" s="32"/>
      <c r="L38" s="75">
        <v>38</v>
      </c>
      <c r="M38" s="75"/>
      <c r="N38" s="70"/>
      <c r="O38" s="77" t="s">
        <v>179</v>
      </c>
      <c r="P38" s="79">
        <v>44971.459988425922</v>
      </c>
      <c r="Q38" s="77" t="s">
        <v>1000</v>
      </c>
      <c r="R38" s="77">
        <v>0</v>
      </c>
      <c r="S38" s="77">
        <v>0</v>
      </c>
      <c r="T38" s="77">
        <v>0</v>
      </c>
      <c r="U38" s="77">
        <v>0</v>
      </c>
      <c r="V38" s="77">
        <v>39</v>
      </c>
      <c r="W38" s="81" t="s">
        <v>2930</v>
      </c>
      <c r="X38" s="77"/>
      <c r="Y38" s="77"/>
      <c r="Z38" s="77"/>
      <c r="AA38" s="77" t="s">
        <v>4408</v>
      </c>
      <c r="AB38" s="77" t="s">
        <v>5795</v>
      </c>
      <c r="AC38" s="81" t="s">
        <v>5806</v>
      </c>
      <c r="AD38" s="77" t="s">
        <v>5851</v>
      </c>
      <c r="AE38" s="83" t="str">
        <f>HYPERLINK("https://twitter.com/innetsolucoes/status/1625450376487919617")</f>
        <v>https://twitter.com/innetsolucoes/status/1625450376487919617</v>
      </c>
      <c r="AF38" s="79">
        <v>44971.459988425922</v>
      </c>
      <c r="AG38" s="85">
        <v>44971</v>
      </c>
      <c r="AH38" s="81" t="s">
        <v>5888</v>
      </c>
      <c r="AI38" s="77" t="b">
        <v>0</v>
      </c>
      <c r="AJ38" s="77"/>
      <c r="AK38" s="77"/>
      <c r="AL38" s="77"/>
      <c r="AM38" s="77"/>
      <c r="AN38" s="77"/>
      <c r="AO38" s="77"/>
      <c r="AP38" s="77"/>
      <c r="AQ38" s="77" t="s">
        <v>7911</v>
      </c>
      <c r="AR38" s="77">
        <v>56666</v>
      </c>
      <c r="AS38" s="77"/>
      <c r="AT38" s="77"/>
      <c r="AU38" s="77"/>
      <c r="AV38" s="83" t="str">
        <f>HYPERLINK("https://pbs.twimg.com/ext_tw_video_thumb/1625450321190215683/pu/img/Lfp-cPvnsw8asSHI.jpg")</f>
        <v>https://pbs.twimg.com/ext_tw_video_thumb/1625450321190215683/pu/img/Lfp-cPvnsw8asSHI.jpg</v>
      </c>
      <c r="AW38" s="81" t="s">
        <v>9321</v>
      </c>
      <c r="AX38" s="81" t="s">
        <v>9321</v>
      </c>
      <c r="AY38" s="77"/>
      <c r="AZ38" s="81" t="s">
        <v>11359</v>
      </c>
      <c r="BA38" s="81" t="s">
        <v>11359</v>
      </c>
      <c r="BB38" s="81" t="s">
        <v>11359</v>
      </c>
      <c r="BC38" s="81" t="s">
        <v>9321</v>
      </c>
      <c r="BD38" s="77">
        <v>2586456380</v>
      </c>
      <c r="BE38" s="77"/>
      <c r="BF38" s="77"/>
      <c r="BG38" s="77"/>
      <c r="BH38" s="77"/>
      <c r="BI38" s="77"/>
    </row>
    <row r="39" spans="1:61" x14ac:dyDescent="0.25">
      <c r="A39" s="62" t="s">
        <v>231</v>
      </c>
      <c r="B39" s="62" t="s">
        <v>231</v>
      </c>
      <c r="C39" s="63"/>
      <c r="D39" s="64"/>
      <c r="E39" s="65"/>
      <c r="F39" s="66"/>
      <c r="G39" s="63"/>
      <c r="H39" s="67"/>
      <c r="I39" s="68"/>
      <c r="J39" s="68"/>
      <c r="K39" s="32"/>
      <c r="L39" s="75">
        <v>39</v>
      </c>
      <c r="M39" s="75"/>
      <c r="N39" s="70"/>
      <c r="O39" s="77" t="s">
        <v>179</v>
      </c>
      <c r="P39" s="79">
        <v>45119.730590277781</v>
      </c>
      <c r="Q39" s="77" t="s">
        <v>1001</v>
      </c>
      <c r="R39" s="77">
        <v>0</v>
      </c>
      <c r="S39" s="77">
        <v>0</v>
      </c>
      <c r="T39" s="77">
        <v>0</v>
      </c>
      <c r="U39" s="77">
        <v>0</v>
      </c>
      <c r="V39" s="77">
        <v>34</v>
      </c>
      <c r="W39" s="81" t="s">
        <v>2930</v>
      </c>
      <c r="X39" s="77"/>
      <c r="Y39" s="77"/>
      <c r="Z39" s="77"/>
      <c r="AA39" s="77" t="s">
        <v>4409</v>
      </c>
      <c r="AB39" s="77" t="s">
        <v>5795</v>
      </c>
      <c r="AC39" s="81" t="s">
        <v>5806</v>
      </c>
      <c r="AD39" s="77" t="s">
        <v>5853</v>
      </c>
      <c r="AE39" s="83" t="str">
        <f>HYPERLINK("https://twitter.com/innetsolucoes/status/1679181843843923968")</f>
        <v>https://twitter.com/innetsolucoes/status/1679181843843923968</v>
      </c>
      <c r="AF39" s="79">
        <v>45119.730590277781</v>
      </c>
      <c r="AG39" s="85">
        <v>45119</v>
      </c>
      <c r="AH39" s="81" t="s">
        <v>5889</v>
      </c>
      <c r="AI39" s="77" t="b">
        <v>0</v>
      </c>
      <c r="AJ39" s="77"/>
      <c r="AK39" s="77"/>
      <c r="AL39" s="77"/>
      <c r="AM39" s="77"/>
      <c r="AN39" s="77"/>
      <c r="AO39" s="77"/>
      <c r="AP39" s="77"/>
      <c r="AQ39" s="77" t="s">
        <v>7912</v>
      </c>
      <c r="AR39" s="77">
        <v>14800</v>
      </c>
      <c r="AS39" s="77"/>
      <c r="AT39" s="77"/>
      <c r="AU39" s="77"/>
      <c r="AV39" s="83" t="str">
        <f>HYPERLINK("https://pbs.twimg.com/ext_tw_video_thumb/1679181797651775498/pu/img/flSurz94rQza8T8f.jpg")</f>
        <v>https://pbs.twimg.com/ext_tw_video_thumb/1679181797651775498/pu/img/flSurz94rQza8T8f.jpg</v>
      </c>
      <c r="AW39" s="81" t="s">
        <v>9322</v>
      </c>
      <c r="AX39" s="81" t="s">
        <v>9322</v>
      </c>
      <c r="AY39" s="77"/>
      <c r="AZ39" s="81" t="s">
        <v>11359</v>
      </c>
      <c r="BA39" s="81" t="s">
        <v>11359</v>
      </c>
      <c r="BB39" s="81" t="s">
        <v>11359</v>
      </c>
      <c r="BC39" s="81" t="s">
        <v>9322</v>
      </c>
      <c r="BD39" s="77">
        <v>2586456380</v>
      </c>
      <c r="BE39" s="77"/>
      <c r="BF39" s="77"/>
      <c r="BG39" s="77"/>
      <c r="BH39" s="77"/>
      <c r="BI39" s="77"/>
    </row>
    <row r="40" spans="1:61" x14ac:dyDescent="0.25">
      <c r="A40" s="62" t="s">
        <v>231</v>
      </c>
      <c r="B40" s="62" t="s">
        <v>231</v>
      </c>
      <c r="C40" s="63"/>
      <c r="D40" s="64"/>
      <c r="E40" s="65"/>
      <c r="F40" s="66"/>
      <c r="G40" s="63"/>
      <c r="H40" s="67"/>
      <c r="I40" s="68"/>
      <c r="J40" s="68"/>
      <c r="K40" s="32"/>
      <c r="L40" s="75">
        <v>40</v>
      </c>
      <c r="M40" s="75"/>
      <c r="N40" s="70"/>
      <c r="O40" s="77" t="s">
        <v>179</v>
      </c>
      <c r="P40" s="79">
        <v>45119.615266203706</v>
      </c>
      <c r="Q40" s="77" t="s">
        <v>1002</v>
      </c>
      <c r="R40" s="77">
        <v>0</v>
      </c>
      <c r="S40" s="77">
        <v>0</v>
      </c>
      <c r="T40" s="77">
        <v>0</v>
      </c>
      <c r="U40" s="77">
        <v>0</v>
      </c>
      <c r="V40" s="77">
        <v>70</v>
      </c>
      <c r="W40" s="81" t="s">
        <v>2941</v>
      </c>
      <c r="X40" s="77"/>
      <c r="Y40" s="77"/>
      <c r="Z40" s="77"/>
      <c r="AA40" s="77" t="s">
        <v>4410</v>
      </c>
      <c r="AB40" s="77" t="s">
        <v>5795</v>
      </c>
      <c r="AC40" s="81" t="s">
        <v>5806</v>
      </c>
      <c r="AD40" s="77" t="s">
        <v>5851</v>
      </c>
      <c r="AE40" s="83" t="str">
        <f>HYPERLINK("https://twitter.com/innetsolucoes/status/1679140050724872192")</f>
        <v>https://twitter.com/innetsolucoes/status/1679140050724872192</v>
      </c>
      <c r="AF40" s="79">
        <v>45119.615266203706</v>
      </c>
      <c r="AG40" s="85">
        <v>45119</v>
      </c>
      <c r="AH40" s="81" t="s">
        <v>5890</v>
      </c>
      <c r="AI40" s="77" t="b">
        <v>0</v>
      </c>
      <c r="AJ40" s="77"/>
      <c r="AK40" s="77"/>
      <c r="AL40" s="77"/>
      <c r="AM40" s="77"/>
      <c r="AN40" s="77"/>
      <c r="AO40" s="77"/>
      <c r="AP40" s="77"/>
      <c r="AQ40" s="77" t="s">
        <v>7913</v>
      </c>
      <c r="AR40" s="77">
        <v>92133</v>
      </c>
      <c r="AS40" s="77"/>
      <c r="AT40" s="77"/>
      <c r="AU40" s="77"/>
      <c r="AV40" s="83" t="str">
        <f>HYPERLINK("https://pbs.twimg.com/ext_tw_video_thumb/1679140001072726018/pu/img/cbXmB7YOKNpIdK-M.jpg")</f>
        <v>https://pbs.twimg.com/ext_tw_video_thumb/1679140001072726018/pu/img/cbXmB7YOKNpIdK-M.jpg</v>
      </c>
      <c r="AW40" s="81" t="s">
        <v>9323</v>
      </c>
      <c r="AX40" s="81" t="s">
        <v>9323</v>
      </c>
      <c r="AY40" s="77"/>
      <c r="AZ40" s="81" t="s">
        <v>11359</v>
      </c>
      <c r="BA40" s="81" t="s">
        <v>11359</v>
      </c>
      <c r="BB40" s="81" t="s">
        <v>11359</v>
      </c>
      <c r="BC40" s="81" t="s">
        <v>9323</v>
      </c>
      <c r="BD40" s="77">
        <v>2586456380</v>
      </c>
      <c r="BE40" s="77"/>
      <c r="BF40" s="77"/>
      <c r="BG40" s="77"/>
      <c r="BH40" s="77"/>
      <c r="BI40" s="77"/>
    </row>
    <row r="41" spans="1:61" x14ac:dyDescent="0.25">
      <c r="A41" s="62" t="s">
        <v>231</v>
      </c>
      <c r="B41" s="62" t="s">
        <v>231</v>
      </c>
      <c r="C41" s="63"/>
      <c r="D41" s="64"/>
      <c r="E41" s="65"/>
      <c r="F41" s="66"/>
      <c r="G41" s="63"/>
      <c r="H41" s="67"/>
      <c r="I41" s="68"/>
      <c r="J41" s="68"/>
      <c r="K41" s="32"/>
      <c r="L41" s="75">
        <v>41</v>
      </c>
      <c r="M41" s="75"/>
      <c r="N41" s="70"/>
      <c r="O41" s="77" t="s">
        <v>179</v>
      </c>
      <c r="P41" s="79">
        <v>45064.583680555559</v>
      </c>
      <c r="Q41" s="77" t="s">
        <v>1003</v>
      </c>
      <c r="R41" s="77">
        <v>0</v>
      </c>
      <c r="S41" s="77">
        <v>0</v>
      </c>
      <c r="T41" s="77">
        <v>0</v>
      </c>
      <c r="U41" s="77">
        <v>0</v>
      </c>
      <c r="V41" s="77">
        <v>39</v>
      </c>
      <c r="W41" s="81" t="s">
        <v>2942</v>
      </c>
      <c r="X41" s="77"/>
      <c r="Y41" s="77"/>
      <c r="Z41" s="77"/>
      <c r="AA41" s="77" t="s">
        <v>4411</v>
      </c>
      <c r="AB41" s="77" t="s">
        <v>5794</v>
      </c>
      <c r="AC41" s="81" t="s">
        <v>5806</v>
      </c>
      <c r="AD41" s="77" t="s">
        <v>5851</v>
      </c>
      <c r="AE41" s="83" t="str">
        <f>HYPERLINK("https://twitter.com/innetsolucoes/status/1659197270208937985")</f>
        <v>https://twitter.com/innetsolucoes/status/1659197270208937985</v>
      </c>
      <c r="AF41" s="79">
        <v>45064.583680555559</v>
      </c>
      <c r="AG41" s="85">
        <v>45064</v>
      </c>
      <c r="AH41" s="81" t="s">
        <v>5891</v>
      </c>
      <c r="AI41" s="77" t="b">
        <v>0</v>
      </c>
      <c r="AJ41" s="77"/>
      <c r="AK41" s="77"/>
      <c r="AL41" s="77"/>
      <c r="AM41" s="77"/>
      <c r="AN41" s="77"/>
      <c r="AO41" s="77"/>
      <c r="AP41" s="77"/>
      <c r="AQ41" s="77" t="s">
        <v>7914</v>
      </c>
      <c r="AR41" s="77"/>
      <c r="AS41" s="77"/>
      <c r="AT41" s="77"/>
      <c r="AU41" s="77"/>
      <c r="AV41" s="83" t="str">
        <f>HYPERLINK("https://pbs.twimg.com/media/FwanH7YaIAMZzni.jpg")</f>
        <v>https://pbs.twimg.com/media/FwanH7YaIAMZzni.jpg</v>
      </c>
      <c r="AW41" s="81" t="s">
        <v>9324</v>
      </c>
      <c r="AX41" s="81" t="s">
        <v>9324</v>
      </c>
      <c r="AY41" s="77"/>
      <c r="AZ41" s="81" t="s">
        <v>11359</v>
      </c>
      <c r="BA41" s="81" t="s">
        <v>11359</v>
      </c>
      <c r="BB41" s="81" t="s">
        <v>11359</v>
      </c>
      <c r="BC41" s="81" t="s">
        <v>9324</v>
      </c>
      <c r="BD41" s="77">
        <v>2586456380</v>
      </c>
      <c r="BE41" s="77"/>
      <c r="BF41" s="77"/>
      <c r="BG41" s="77"/>
      <c r="BH41" s="77"/>
      <c r="BI41" s="77"/>
    </row>
    <row r="42" spans="1:61" x14ac:dyDescent="0.25">
      <c r="A42" s="62" t="s">
        <v>231</v>
      </c>
      <c r="B42" s="62" t="s">
        <v>231</v>
      </c>
      <c r="C42" s="63"/>
      <c r="D42" s="64"/>
      <c r="E42" s="65"/>
      <c r="F42" s="66"/>
      <c r="G42" s="63"/>
      <c r="H42" s="67"/>
      <c r="I42" s="68"/>
      <c r="J42" s="68"/>
      <c r="K42" s="32"/>
      <c r="L42" s="75">
        <v>42</v>
      </c>
      <c r="M42" s="75"/>
      <c r="N42" s="70"/>
      <c r="O42" s="77" t="s">
        <v>179</v>
      </c>
      <c r="P42" s="79">
        <v>45017.625879629632</v>
      </c>
      <c r="Q42" s="77" t="s">
        <v>1004</v>
      </c>
      <c r="R42" s="77">
        <v>0</v>
      </c>
      <c r="S42" s="77">
        <v>0</v>
      </c>
      <c r="T42" s="77">
        <v>0</v>
      </c>
      <c r="U42" s="77">
        <v>0</v>
      </c>
      <c r="V42" s="77">
        <v>44</v>
      </c>
      <c r="W42" s="81" t="s">
        <v>2943</v>
      </c>
      <c r="X42" s="77"/>
      <c r="Y42" s="77"/>
      <c r="Z42" s="77"/>
      <c r="AA42" s="77" t="s">
        <v>4412</v>
      </c>
      <c r="AB42" s="77" t="s">
        <v>5794</v>
      </c>
      <c r="AC42" s="81" t="s">
        <v>5806</v>
      </c>
      <c r="AD42" s="77" t="s">
        <v>5851</v>
      </c>
      <c r="AE42" s="83" t="str">
        <f>HYPERLINK("https://twitter.com/innetsolucoes/status/1642180334023327748")</f>
        <v>https://twitter.com/innetsolucoes/status/1642180334023327748</v>
      </c>
      <c r="AF42" s="79">
        <v>45017.625879629632</v>
      </c>
      <c r="AG42" s="85">
        <v>45017</v>
      </c>
      <c r="AH42" s="81" t="s">
        <v>5892</v>
      </c>
      <c r="AI42" s="77" t="b">
        <v>0</v>
      </c>
      <c r="AJ42" s="77"/>
      <c r="AK42" s="77"/>
      <c r="AL42" s="77"/>
      <c r="AM42" s="77"/>
      <c r="AN42" s="77"/>
      <c r="AO42" s="77"/>
      <c r="AP42" s="77"/>
      <c r="AQ42" s="77" t="s">
        <v>7915</v>
      </c>
      <c r="AR42" s="77"/>
      <c r="AS42" s="77"/>
      <c r="AT42" s="77"/>
      <c r="AU42" s="77"/>
      <c r="AV42" s="83" t="str">
        <f>HYPERLINK("https://pbs.twimg.com/media/FsoyT17X0AQXMs0.jpg")</f>
        <v>https://pbs.twimg.com/media/FsoyT17X0AQXMs0.jpg</v>
      </c>
      <c r="AW42" s="81" t="s">
        <v>9325</v>
      </c>
      <c r="AX42" s="81" t="s">
        <v>9325</v>
      </c>
      <c r="AY42" s="77"/>
      <c r="AZ42" s="81" t="s">
        <v>11359</v>
      </c>
      <c r="BA42" s="81" t="s">
        <v>11359</v>
      </c>
      <c r="BB42" s="81" t="s">
        <v>11359</v>
      </c>
      <c r="BC42" s="81" t="s">
        <v>9325</v>
      </c>
      <c r="BD42" s="77">
        <v>2586456380</v>
      </c>
      <c r="BE42" s="77"/>
      <c r="BF42" s="77"/>
      <c r="BG42" s="77"/>
      <c r="BH42" s="77"/>
      <c r="BI42" s="77"/>
    </row>
    <row r="43" spans="1:61" x14ac:dyDescent="0.25">
      <c r="A43" s="62" t="s">
        <v>231</v>
      </c>
      <c r="B43" s="62" t="s">
        <v>231</v>
      </c>
      <c r="C43" s="63"/>
      <c r="D43" s="64"/>
      <c r="E43" s="65"/>
      <c r="F43" s="66"/>
      <c r="G43" s="63"/>
      <c r="H43" s="67"/>
      <c r="I43" s="68"/>
      <c r="J43" s="68"/>
      <c r="K43" s="32"/>
      <c r="L43" s="75">
        <v>43</v>
      </c>
      <c r="M43" s="75"/>
      <c r="N43" s="70"/>
      <c r="O43" s="77" t="s">
        <v>179</v>
      </c>
      <c r="P43" s="79">
        <v>45153.771064814813</v>
      </c>
      <c r="Q43" s="77" t="s">
        <v>1005</v>
      </c>
      <c r="R43" s="77">
        <v>0</v>
      </c>
      <c r="S43" s="77">
        <v>0</v>
      </c>
      <c r="T43" s="77">
        <v>0</v>
      </c>
      <c r="U43" s="77">
        <v>0</v>
      </c>
      <c r="V43" s="77">
        <v>26</v>
      </c>
      <c r="W43" s="81" t="s">
        <v>2930</v>
      </c>
      <c r="X43" s="77"/>
      <c r="Y43" s="77"/>
      <c r="Z43" s="77"/>
      <c r="AA43" s="77" t="s">
        <v>4413</v>
      </c>
      <c r="AB43" s="77" t="s">
        <v>5794</v>
      </c>
      <c r="AC43" s="81" t="s">
        <v>5806</v>
      </c>
      <c r="AD43" s="77" t="s">
        <v>5851</v>
      </c>
      <c r="AE43" s="83" t="str">
        <f>HYPERLINK("https://twitter.com/innetsolucoes/status/1691517696058204160")</f>
        <v>https://twitter.com/innetsolucoes/status/1691517696058204160</v>
      </c>
      <c r="AF43" s="79">
        <v>45153.771064814813</v>
      </c>
      <c r="AG43" s="85">
        <v>45153</v>
      </c>
      <c r="AH43" s="81" t="s">
        <v>5893</v>
      </c>
      <c r="AI43" s="77" t="b">
        <v>0</v>
      </c>
      <c r="AJ43" s="77"/>
      <c r="AK43" s="77"/>
      <c r="AL43" s="77"/>
      <c r="AM43" s="77"/>
      <c r="AN43" s="77"/>
      <c r="AO43" s="77"/>
      <c r="AP43" s="77"/>
      <c r="AQ43" s="77" t="s">
        <v>7916</v>
      </c>
      <c r="AR43" s="77"/>
      <c r="AS43" s="77"/>
      <c r="AT43" s="77"/>
      <c r="AU43" s="77"/>
      <c r="AV43" s="83" t="str">
        <f>HYPERLINK("https://pbs.twimg.com/media/F3l6YYjXcAAS6GT.jpg")</f>
        <v>https://pbs.twimg.com/media/F3l6YYjXcAAS6GT.jpg</v>
      </c>
      <c r="AW43" s="81" t="s">
        <v>9326</v>
      </c>
      <c r="AX43" s="81" t="s">
        <v>9326</v>
      </c>
      <c r="AY43" s="77"/>
      <c r="AZ43" s="81" t="s">
        <v>11359</v>
      </c>
      <c r="BA43" s="81" t="s">
        <v>11359</v>
      </c>
      <c r="BB43" s="81" t="s">
        <v>11359</v>
      </c>
      <c r="BC43" s="81" t="s">
        <v>9326</v>
      </c>
      <c r="BD43" s="77">
        <v>2586456380</v>
      </c>
      <c r="BE43" s="77"/>
      <c r="BF43" s="77"/>
      <c r="BG43" s="77"/>
      <c r="BH43" s="77"/>
      <c r="BI43" s="77"/>
    </row>
    <row r="44" spans="1:61" x14ac:dyDescent="0.25">
      <c r="A44" s="62" t="s">
        <v>231</v>
      </c>
      <c r="B44" s="62" t="s">
        <v>231</v>
      </c>
      <c r="C44" s="63"/>
      <c r="D44" s="64"/>
      <c r="E44" s="65"/>
      <c r="F44" s="66"/>
      <c r="G44" s="63"/>
      <c r="H44" s="67"/>
      <c r="I44" s="68"/>
      <c r="J44" s="68"/>
      <c r="K44" s="32"/>
      <c r="L44" s="75">
        <v>44</v>
      </c>
      <c r="M44" s="75"/>
      <c r="N44" s="70"/>
      <c r="O44" s="77" t="s">
        <v>179</v>
      </c>
      <c r="P44" s="79">
        <v>45022.626828703702</v>
      </c>
      <c r="Q44" s="77" t="s">
        <v>1006</v>
      </c>
      <c r="R44" s="77">
        <v>0</v>
      </c>
      <c r="S44" s="77">
        <v>0</v>
      </c>
      <c r="T44" s="77">
        <v>0</v>
      </c>
      <c r="U44" s="77">
        <v>0</v>
      </c>
      <c r="V44" s="77">
        <v>27</v>
      </c>
      <c r="W44" s="81" t="s">
        <v>2944</v>
      </c>
      <c r="X44" s="77"/>
      <c r="Y44" s="77"/>
      <c r="Z44" s="77"/>
      <c r="AA44" s="77" t="s">
        <v>4414</v>
      </c>
      <c r="AB44" s="77" t="s">
        <v>5794</v>
      </c>
      <c r="AC44" s="81" t="s">
        <v>5806</v>
      </c>
      <c r="AD44" s="77" t="s">
        <v>5851</v>
      </c>
      <c r="AE44" s="83" t="str">
        <f>HYPERLINK("https://twitter.com/innetsolucoes/status/1643992616873373697")</f>
        <v>https://twitter.com/innetsolucoes/status/1643992616873373697</v>
      </c>
      <c r="AF44" s="79">
        <v>45022.626828703702</v>
      </c>
      <c r="AG44" s="85">
        <v>45022</v>
      </c>
      <c r="AH44" s="81" t="s">
        <v>5894</v>
      </c>
      <c r="AI44" s="77" t="b">
        <v>0</v>
      </c>
      <c r="AJ44" s="77"/>
      <c r="AK44" s="77"/>
      <c r="AL44" s="77"/>
      <c r="AM44" s="77"/>
      <c r="AN44" s="77"/>
      <c r="AO44" s="77"/>
      <c r="AP44" s="77"/>
      <c r="AQ44" s="77" t="s">
        <v>7917</v>
      </c>
      <c r="AR44" s="77"/>
      <c r="AS44" s="77"/>
      <c r="AT44" s="77"/>
      <c r="AU44" s="77"/>
      <c r="AV44" s="83" t="str">
        <f>HYPERLINK("https://pbs.twimg.com/media/FtCiknkaEAIJqHI.jpg")</f>
        <v>https://pbs.twimg.com/media/FtCiknkaEAIJqHI.jpg</v>
      </c>
      <c r="AW44" s="81" t="s">
        <v>9327</v>
      </c>
      <c r="AX44" s="81" t="s">
        <v>9327</v>
      </c>
      <c r="AY44" s="77"/>
      <c r="AZ44" s="81" t="s">
        <v>11359</v>
      </c>
      <c r="BA44" s="81" t="s">
        <v>11359</v>
      </c>
      <c r="BB44" s="81" t="s">
        <v>11359</v>
      </c>
      <c r="BC44" s="81" t="s">
        <v>9327</v>
      </c>
      <c r="BD44" s="77">
        <v>2586456380</v>
      </c>
      <c r="BE44" s="77"/>
      <c r="BF44" s="77"/>
      <c r="BG44" s="77"/>
      <c r="BH44" s="77"/>
      <c r="BI44" s="77"/>
    </row>
    <row r="45" spans="1:61" x14ac:dyDescent="0.25">
      <c r="A45" s="62" t="s">
        <v>231</v>
      </c>
      <c r="B45" s="62" t="s">
        <v>231</v>
      </c>
      <c r="C45" s="63"/>
      <c r="D45" s="64"/>
      <c r="E45" s="65"/>
      <c r="F45" s="66"/>
      <c r="G45" s="63"/>
      <c r="H45" s="67"/>
      <c r="I45" s="68"/>
      <c r="J45" s="68"/>
      <c r="K45" s="32"/>
      <c r="L45" s="75">
        <v>45</v>
      </c>
      <c r="M45" s="75"/>
      <c r="N45" s="70"/>
      <c r="O45" s="77" t="s">
        <v>179</v>
      </c>
      <c r="P45" s="79">
        <v>45182.740891203706</v>
      </c>
      <c r="Q45" s="77" t="s">
        <v>1007</v>
      </c>
      <c r="R45" s="77">
        <v>0</v>
      </c>
      <c r="S45" s="77">
        <v>0</v>
      </c>
      <c r="T45" s="77">
        <v>0</v>
      </c>
      <c r="U45" s="77">
        <v>0</v>
      </c>
      <c r="V45" s="77">
        <v>41</v>
      </c>
      <c r="W45" s="81" t="s">
        <v>2930</v>
      </c>
      <c r="X45" s="77"/>
      <c r="Y45" s="77"/>
      <c r="Z45" s="77"/>
      <c r="AA45" s="77" t="s">
        <v>4415</v>
      </c>
      <c r="AB45" s="77" t="s">
        <v>5795</v>
      </c>
      <c r="AC45" s="81" t="s">
        <v>5806</v>
      </c>
      <c r="AD45" s="77" t="s">
        <v>5851</v>
      </c>
      <c r="AE45" s="83" t="str">
        <f>HYPERLINK("https://twitter.com/innetsolucoes/status/1702016008628719925")</f>
        <v>https://twitter.com/innetsolucoes/status/1702016008628719925</v>
      </c>
      <c r="AF45" s="79">
        <v>45182.740891203706</v>
      </c>
      <c r="AG45" s="85">
        <v>45182</v>
      </c>
      <c r="AH45" s="81" t="s">
        <v>5895</v>
      </c>
      <c r="AI45" s="77" t="b">
        <v>0</v>
      </c>
      <c r="AJ45" s="77"/>
      <c r="AK45" s="77"/>
      <c r="AL45" s="77"/>
      <c r="AM45" s="77"/>
      <c r="AN45" s="77"/>
      <c r="AO45" s="77"/>
      <c r="AP45" s="77"/>
      <c r="AQ45" s="77" t="s">
        <v>7918</v>
      </c>
      <c r="AR45" s="77">
        <v>53366</v>
      </c>
      <c r="AS45" s="77"/>
      <c r="AT45" s="77"/>
      <c r="AU45" s="77"/>
      <c r="AV45" s="83" t="str">
        <f>HYPERLINK("https://pbs.twimg.com/ext_tw_video_thumb/1702015955566465024/pu/img/-UQtmxNN1VZdL9TT.jpg")</f>
        <v>https://pbs.twimg.com/ext_tw_video_thumb/1702015955566465024/pu/img/-UQtmxNN1VZdL9TT.jpg</v>
      </c>
      <c r="AW45" s="81" t="s">
        <v>9328</v>
      </c>
      <c r="AX45" s="81" t="s">
        <v>9328</v>
      </c>
      <c r="AY45" s="77"/>
      <c r="AZ45" s="81" t="s">
        <v>11359</v>
      </c>
      <c r="BA45" s="81" t="s">
        <v>11359</v>
      </c>
      <c r="BB45" s="81" t="s">
        <v>11359</v>
      </c>
      <c r="BC45" s="81" t="s">
        <v>9328</v>
      </c>
      <c r="BD45" s="77">
        <v>2586456380</v>
      </c>
      <c r="BE45" s="77"/>
      <c r="BF45" s="77"/>
      <c r="BG45" s="77"/>
      <c r="BH45" s="77"/>
      <c r="BI45" s="77"/>
    </row>
    <row r="46" spans="1:61" x14ac:dyDescent="0.25">
      <c r="A46" s="62" t="s">
        <v>231</v>
      </c>
      <c r="B46" s="62" t="s">
        <v>231</v>
      </c>
      <c r="C46" s="63"/>
      <c r="D46" s="64"/>
      <c r="E46" s="65"/>
      <c r="F46" s="66"/>
      <c r="G46" s="63"/>
      <c r="H46" s="67"/>
      <c r="I46" s="68"/>
      <c r="J46" s="68"/>
      <c r="K46" s="32"/>
      <c r="L46" s="75">
        <v>46</v>
      </c>
      <c r="M46" s="75"/>
      <c r="N46" s="70"/>
      <c r="O46" s="77" t="s">
        <v>179</v>
      </c>
      <c r="P46" s="79">
        <v>44966.62972222222</v>
      </c>
      <c r="Q46" s="77" t="s">
        <v>1008</v>
      </c>
      <c r="R46" s="77">
        <v>0</v>
      </c>
      <c r="S46" s="77">
        <v>0</v>
      </c>
      <c r="T46" s="77">
        <v>0</v>
      </c>
      <c r="U46" s="77">
        <v>0</v>
      </c>
      <c r="V46" s="77">
        <v>20</v>
      </c>
      <c r="W46" s="81" t="s">
        <v>2945</v>
      </c>
      <c r="X46" s="77"/>
      <c r="Y46" s="77"/>
      <c r="Z46" s="77"/>
      <c r="AA46" s="77" t="s">
        <v>4416</v>
      </c>
      <c r="AB46" s="77" t="s">
        <v>5794</v>
      </c>
      <c r="AC46" s="81" t="s">
        <v>5806</v>
      </c>
      <c r="AD46" s="77" t="s">
        <v>5851</v>
      </c>
      <c r="AE46" s="83" t="str">
        <f>HYPERLINK("https://twitter.com/innetsolucoes/status/1623699943431995393")</f>
        <v>https://twitter.com/innetsolucoes/status/1623699943431995393</v>
      </c>
      <c r="AF46" s="79">
        <v>44966.62972222222</v>
      </c>
      <c r="AG46" s="85">
        <v>44966</v>
      </c>
      <c r="AH46" s="81" t="s">
        <v>5896</v>
      </c>
      <c r="AI46" s="77" t="b">
        <v>0</v>
      </c>
      <c r="AJ46" s="77"/>
      <c r="AK46" s="77"/>
      <c r="AL46" s="77"/>
      <c r="AM46" s="77"/>
      <c r="AN46" s="77"/>
      <c r="AO46" s="77"/>
      <c r="AP46" s="77"/>
      <c r="AQ46" s="77" t="s">
        <v>7919</v>
      </c>
      <c r="AR46" s="77"/>
      <c r="AS46" s="77"/>
      <c r="AT46" s="77"/>
      <c r="AU46" s="77"/>
      <c r="AV46" s="83" t="str">
        <f>HYPERLINK("https://pbs.twimg.com/media/FoiKfiZXoAEHlnt.jpg")</f>
        <v>https://pbs.twimg.com/media/FoiKfiZXoAEHlnt.jpg</v>
      </c>
      <c r="AW46" s="81" t="s">
        <v>9329</v>
      </c>
      <c r="AX46" s="81" t="s">
        <v>9329</v>
      </c>
      <c r="AY46" s="77"/>
      <c r="AZ46" s="81" t="s">
        <v>11359</v>
      </c>
      <c r="BA46" s="81" t="s">
        <v>11359</v>
      </c>
      <c r="BB46" s="81" t="s">
        <v>11359</v>
      </c>
      <c r="BC46" s="81" t="s">
        <v>9329</v>
      </c>
      <c r="BD46" s="77">
        <v>2586456380</v>
      </c>
      <c r="BE46" s="77"/>
      <c r="BF46" s="77"/>
      <c r="BG46" s="77"/>
      <c r="BH46" s="77"/>
      <c r="BI46" s="77"/>
    </row>
    <row r="47" spans="1:61" x14ac:dyDescent="0.25">
      <c r="A47" s="62" t="s">
        <v>232</v>
      </c>
      <c r="B47" s="62" t="s">
        <v>232</v>
      </c>
      <c r="C47" s="63"/>
      <c r="D47" s="64"/>
      <c r="E47" s="65"/>
      <c r="F47" s="66"/>
      <c r="G47" s="63"/>
      <c r="H47" s="67"/>
      <c r="I47" s="68"/>
      <c r="J47" s="68"/>
      <c r="K47" s="32"/>
      <c r="L47" s="75">
        <v>47</v>
      </c>
      <c r="M47" s="75"/>
      <c r="N47" s="70"/>
      <c r="O47" s="77" t="s">
        <v>179</v>
      </c>
      <c r="P47" s="79">
        <v>45173.704201388886</v>
      </c>
      <c r="Q47" s="77" t="s">
        <v>1009</v>
      </c>
      <c r="R47" s="77">
        <v>0</v>
      </c>
      <c r="S47" s="77">
        <v>0</v>
      </c>
      <c r="T47" s="77">
        <v>0</v>
      </c>
      <c r="U47" s="77">
        <v>0</v>
      </c>
      <c r="V47" s="77">
        <v>17</v>
      </c>
      <c r="W47" s="81" t="s">
        <v>2946</v>
      </c>
      <c r="X47" s="77"/>
      <c r="Y47" s="77"/>
      <c r="Z47" s="77"/>
      <c r="AA47" s="77" t="s">
        <v>4417</v>
      </c>
      <c r="AB47" s="77" t="s">
        <v>5794</v>
      </c>
      <c r="AC47" s="81" t="s">
        <v>5805</v>
      </c>
      <c r="AD47" s="77" t="s">
        <v>5850</v>
      </c>
      <c r="AE47" s="83" t="str">
        <f>HYPERLINK("https://twitter.com/redclinicapsi/status/1698741225757589806")</f>
        <v>https://twitter.com/redclinicapsi/status/1698741225757589806</v>
      </c>
      <c r="AF47" s="79">
        <v>45173.704201388886</v>
      </c>
      <c r="AG47" s="85">
        <v>45173</v>
      </c>
      <c r="AH47" s="81" t="s">
        <v>5897</v>
      </c>
      <c r="AI47" s="77" t="b">
        <v>0</v>
      </c>
      <c r="AJ47" s="77"/>
      <c r="AK47" s="77"/>
      <c r="AL47" s="77"/>
      <c r="AM47" s="77"/>
      <c r="AN47" s="77"/>
      <c r="AO47" s="77"/>
      <c r="AP47" s="77"/>
      <c r="AQ47" s="77" t="s">
        <v>7920</v>
      </c>
      <c r="AR47" s="77"/>
      <c r="AS47" s="77"/>
      <c r="AT47" s="77"/>
      <c r="AU47" s="77"/>
      <c r="AV47" s="83" t="str">
        <f>HYPERLINK("https://pbs.twimg.com/media/F5MiyfCXEAAfCig.jpg")</f>
        <v>https://pbs.twimg.com/media/F5MiyfCXEAAfCig.jpg</v>
      </c>
      <c r="AW47" s="81" t="s">
        <v>9330</v>
      </c>
      <c r="AX47" s="81" t="s">
        <v>9330</v>
      </c>
      <c r="AY47" s="77"/>
      <c r="AZ47" s="81" t="s">
        <v>11359</v>
      </c>
      <c r="BA47" s="81" t="s">
        <v>11359</v>
      </c>
      <c r="BB47" s="81" t="s">
        <v>11359</v>
      </c>
      <c r="BC47" s="81" t="s">
        <v>9330</v>
      </c>
      <c r="BD47" s="81" t="s">
        <v>11400</v>
      </c>
      <c r="BE47" s="77"/>
      <c r="BF47" s="77"/>
      <c r="BG47" s="77"/>
      <c r="BH47" s="77"/>
      <c r="BI47" s="77"/>
    </row>
    <row r="48" spans="1:61" x14ac:dyDescent="0.25">
      <c r="A48" s="62" t="s">
        <v>233</v>
      </c>
      <c r="B48" s="62" t="s">
        <v>233</v>
      </c>
      <c r="C48" s="63"/>
      <c r="D48" s="64"/>
      <c r="E48" s="65"/>
      <c r="F48" s="66"/>
      <c r="G48" s="63"/>
      <c r="H48" s="67"/>
      <c r="I48" s="68"/>
      <c r="J48" s="68"/>
      <c r="K48" s="32"/>
      <c r="L48" s="75">
        <v>48</v>
      </c>
      <c r="M48" s="75"/>
      <c r="N48" s="70"/>
      <c r="O48" s="77" t="s">
        <v>179</v>
      </c>
      <c r="P48" s="79">
        <v>45043.805578703701</v>
      </c>
      <c r="Q48" s="77" t="s">
        <v>1010</v>
      </c>
      <c r="R48" s="77">
        <v>0</v>
      </c>
      <c r="S48" s="77">
        <v>0</v>
      </c>
      <c r="T48" s="77">
        <v>0</v>
      </c>
      <c r="U48" s="77">
        <v>0</v>
      </c>
      <c r="V48" s="77">
        <v>28</v>
      </c>
      <c r="W48" s="81" t="s">
        <v>2947</v>
      </c>
      <c r="X48" s="77"/>
      <c r="Y48" s="77"/>
      <c r="Z48" s="77"/>
      <c r="AA48" s="77" t="s">
        <v>4418</v>
      </c>
      <c r="AB48" s="77" t="s">
        <v>5794</v>
      </c>
      <c r="AC48" s="81" t="s">
        <v>5807</v>
      </c>
      <c r="AD48" s="77" t="s">
        <v>5850</v>
      </c>
      <c r="AE48" s="83" t="str">
        <f>HYPERLINK("https://twitter.com/jobsbayton/status/1651667540517572613")</f>
        <v>https://twitter.com/jobsbayton/status/1651667540517572613</v>
      </c>
      <c r="AF48" s="79">
        <v>45043.805578703701</v>
      </c>
      <c r="AG48" s="85">
        <v>45043</v>
      </c>
      <c r="AH48" s="81" t="s">
        <v>5898</v>
      </c>
      <c r="AI48" s="77" t="b">
        <v>0</v>
      </c>
      <c r="AJ48" s="77"/>
      <c r="AK48" s="77"/>
      <c r="AL48" s="77"/>
      <c r="AM48" s="77"/>
      <c r="AN48" s="77"/>
      <c r="AO48" s="77"/>
      <c r="AP48" s="77"/>
      <c r="AQ48" s="77" t="s">
        <v>7921</v>
      </c>
      <c r="AR48" s="77"/>
      <c r="AS48" s="77"/>
      <c r="AT48" s="77"/>
      <c r="AU48" s="77"/>
      <c r="AV48" s="83" t="str">
        <f>HYPERLINK("https://pbs.twimg.com/media/Fuvm39MWcAA_hWX.jpg")</f>
        <v>https://pbs.twimg.com/media/Fuvm39MWcAA_hWX.jpg</v>
      </c>
      <c r="AW48" s="81" t="s">
        <v>9331</v>
      </c>
      <c r="AX48" s="81" t="s">
        <v>9331</v>
      </c>
      <c r="AY48" s="77"/>
      <c r="AZ48" s="81" t="s">
        <v>11359</v>
      </c>
      <c r="BA48" s="81" t="s">
        <v>11359</v>
      </c>
      <c r="BB48" s="81" t="s">
        <v>11359</v>
      </c>
      <c r="BC48" s="81" t="s">
        <v>9331</v>
      </c>
      <c r="BD48" s="81" t="s">
        <v>11401</v>
      </c>
      <c r="BE48" s="77"/>
      <c r="BF48" s="77"/>
      <c r="BG48" s="77"/>
      <c r="BH48" s="77"/>
      <c r="BI48" s="77"/>
    </row>
    <row r="49" spans="1:61" x14ac:dyDescent="0.25">
      <c r="A49" s="62" t="s">
        <v>233</v>
      </c>
      <c r="B49" s="62" t="s">
        <v>233</v>
      </c>
      <c r="C49" s="63"/>
      <c r="D49" s="64"/>
      <c r="E49" s="65"/>
      <c r="F49" s="66"/>
      <c r="G49" s="63"/>
      <c r="H49" s="67"/>
      <c r="I49" s="68"/>
      <c r="J49" s="68"/>
      <c r="K49" s="32"/>
      <c r="L49" s="75">
        <v>49</v>
      </c>
      <c r="M49" s="75"/>
      <c r="N49" s="70"/>
      <c r="O49" s="77" t="s">
        <v>179</v>
      </c>
      <c r="P49" s="79">
        <v>45114.874108796299</v>
      </c>
      <c r="Q49" s="77" t="s">
        <v>1011</v>
      </c>
      <c r="R49" s="77">
        <v>0</v>
      </c>
      <c r="S49" s="77">
        <v>0</v>
      </c>
      <c r="T49" s="77">
        <v>0</v>
      </c>
      <c r="U49" s="77">
        <v>0</v>
      </c>
      <c r="V49" s="77">
        <v>13</v>
      </c>
      <c r="W49" s="81" t="s">
        <v>2948</v>
      </c>
      <c r="X49" s="77"/>
      <c r="Y49" s="77"/>
      <c r="Z49" s="77"/>
      <c r="AA49" s="77" t="s">
        <v>4419</v>
      </c>
      <c r="AB49" s="77" t="s">
        <v>5794</v>
      </c>
      <c r="AC49" s="81" t="s">
        <v>5807</v>
      </c>
      <c r="AD49" s="77" t="s">
        <v>5850</v>
      </c>
      <c r="AE49" s="83" t="str">
        <f>HYPERLINK("https://twitter.com/jobsbayton/status/1677421910303358976")</f>
        <v>https://twitter.com/jobsbayton/status/1677421910303358976</v>
      </c>
      <c r="AF49" s="79">
        <v>45114.874108796299</v>
      </c>
      <c r="AG49" s="85">
        <v>45114</v>
      </c>
      <c r="AH49" s="81" t="s">
        <v>5899</v>
      </c>
      <c r="AI49" s="77" t="b">
        <v>0</v>
      </c>
      <c r="AJ49" s="77"/>
      <c r="AK49" s="77"/>
      <c r="AL49" s="77"/>
      <c r="AM49" s="77"/>
      <c r="AN49" s="77"/>
      <c r="AO49" s="77"/>
      <c r="AP49" s="77"/>
      <c r="AQ49" s="77" t="s">
        <v>7922</v>
      </c>
      <c r="AR49" s="77"/>
      <c r="AS49" s="77"/>
      <c r="AT49" s="77"/>
      <c r="AU49" s="77"/>
      <c r="AV49" s="83" t="str">
        <f>HYPERLINK("https://pbs.twimg.com/media/F0dmVoLXsAAWZQq.jpg")</f>
        <v>https://pbs.twimg.com/media/F0dmVoLXsAAWZQq.jpg</v>
      </c>
      <c r="AW49" s="81" t="s">
        <v>9332</v>
      </c>
      <c r="AX49" s="81" t="s">
        <v>9332</v>
      </c>
      <c r="AY49" s="77"/>
      <c r="AZ49" s="81" t="s">
        <v>11359</v>
      </c>
      <c r="BA49" s="81" t="s">
        <v>11359</v>
      </c>
      <c r="BB49" s="81" t="s">
        <v>11359</v>
      </c>
      <c r="BC49" s="81" t="s">
        <v>9332</v>
      </c>
      <c r="BD49" s="81" t="s">
        <v>11401</v>
      </c>
      <c r="BE49" s="77"/>
      <c r="BF49" s="77"/>
      <c r="BG49" s="77"/>
      <c r="BH49" s="77"/>
      <c r="BI49" s="77"/>
    </row>
    <row r="50" spans="1:61" x14ac:dyDescent="0.25">
      <c r="A50" s="62" t="s">
        <v>233</v>
      </c>
      <c r="B50" s="62" t="s">
        <v>233</v>
      </c>
      <c r="C50" s="63"/>
      <c r="D50" s="64"/>
      <c r="E50" s="65"/>
      <c r="F50" s="66"/>
      <c r="G50" s="63"/>
      <c r="H50" s="67"/>
      <c r="I50" s="68"/>
      <c r="J50" s="68"/>
      <c r="K50" s="32"/>
      <c r="L50" s="75">
        <v>50</v>
      </c>
      <c r="M50" s="75"/>
      <c r="N50" s="70"/>
      <c r="O50" s="77" t="s">
        <v>179</v>
      </c>
      <c r="P50" s="79">
        <v>45125.595567129632</v>
      </c>
      <c r="Q50" s="77" t="s">
        <v>1012</v>
      </c>
      <c r="R50" s="77">
        <v>0</v>
      </c>
      <c r="S50" s="77">
        <v>0</v>
      </c>
      <c r="T50" s="77">
        <v>0</v>
      </c>
      <c r="U50" s="77">
        <v>0</v>
      </c>
      <c r="V50" s="77">
        <v>28</v>
      </c>
      <c r="W50" s="81" t="s">
        <v>2949</v>
      </c>
      <c r="X50" s="77"/>
      <c r="Y50" s="77"/>
      <c r="Z50" s="77"/>
      <c r="AA50" s="77" t="s">
        <v>4420</v>
      </c>
      <c r="AB50" s="77" t="s">
        <v>5794</v>
      </c>
      <c r="AC50" s="81" t="s">
        <v>5807</v>
      </c>
      <c r="AD50" s="77" t="s">
        <v>5850</v>
      </c>
      <c r="AE50" s="83" t="str">
        <f>HYPERLINK("https://twitter.com/jobsbayton/status/1681307239301414912")</f>
        <v>https://twitter.com/jobsbayton/status/1681307239301414912</v>
      </c>
      <c r="AF50" s="79">
        <v>45125.595567129632</v>
      </c>
      <c r="AG50" s="85">
        <v>45125</v>
      </c>
      <c r="AH50" s="81" t="s">
        <v>5900</v>
      </c>
      <c r="AI50" s="77" t="b">
        <v>0</v>
      </c>
      <c r="AJ50" s="77"/>
      <c r="AK50" s="77"/>
      <c r="AL50" s="77"/>
      <c r="AM50" s="77"/>
      <c r="AN50" s="77"/>
      <c r="AO50" s="77"/>
      <c r="AP50" s="77"/>
      <c r="AQ50" s="77" t="s">
        <v>7923</v>
      </c>
      <c r="AR50" s="77"/>
      <c r="AS50" s="77"/>
      <c r="AT50" s="77"/>
      <c r="AU50" s="77"/>
      <c r="AV50" s="83" t="str">
        <f>HYPERLINK("https://pbs.twimg.com/media/F1U0BdGaMAotKEI.jpg")</f>
        <v>https://pbs.twimg.com/media/F1U0BdGaMAotKEI.jpg</v>
      </c>
      <c r="AW50" s="81" t="s">
        <v>9333</v>
      </c>
      <c r="AX50" s="81" t="s">
        <v>9333</v>
      </c>
      <c r="AY50" s="77"/>
      <c r="AZ50" s="81" t="s">
        <v>11359</v>
      </c>
      <c r="BA50" s="81" t="s">
        <v>11359</v>
      </c>
      <c r="BB50" s="81" t="s">
        <v>11359</v>
      </c>
      <c r="BC50" s="81" t="s">
        <v>9333</v>
      </c>
      <c r="BD50" s="81" t="s">
        <v>11401</v>
      </c>
      <c r="BE50" s="77"/>
      <c r="BF50" s="77"/>
      <c r="BG50" s="77"/>
      <c r="BH50" s="77"/>
      <c r="BI50" s="77"/>
    </row>
    <row r="51" spans="1:61" x14ac:dyDescent="0.25">
      <c r="A51" s="62" t="s">
        <v>233</v>
      </c>
      <c r="B51" s="62" t="s">
        <v>233</v>
      </c>
      <c r="C51" s="63"/>
      <c r="D51" s="64"/>
      <c r="E51" s="65"/>
      <c r="F51" s="66"/>
      <c r="G51" s="63"/>
      <c r="H51" s="67"/>
      <c r="I51" s="68"/>
      <c r="J51" s="68"/>
      <c r="K51" s="32"/>
      <c r="L51" s="75">
        <v>51</v>
      </c>
      <c r="M51" s="75"/>
      <c r="N51" s="70"/>
      <c r="O51" s="77" t="s">
        <v>179</v>
      </c>
      <c r="P51" s="79">
        <v>45120.828472222223</v>
      </c>
      <c r="Q51" s="77" t="s">
        <v>1013</v>
      </c>
      <c r="R51" s="77">
        <v>0</v>
      </c>
      <c r="S51" s="77">
        <v>0</v>
      </c>
      <c r="T51" s="77">
        <v>0</v>
      </c>
      <c r="U51" s="77">
        <v>0</v>
      </c>
      <c r="V51" s="77">
        <v>52</v>
      </c>
      <c r="W51" s="81" t="s">
        <v>2950</v>
      </c>
      <c r="X51" s="77"/>
      <c r="Y51" s="77"/>
      <c r="Z51" s="77"/>
      <c r="AA51" s="77" t="s">
        <v>4421</v>
      </c>
      <c r="AB51" s="77" t="s">
        <v>5794</v>
      </c>
      <c r="AC51" s="81" t="s">
        <v>5807</v>
      </c>
      <c r="AD51" s="77" t="s">
        <v>5850</v>
      </c>
      <c r="AE51" s="83" t="str">
        <f>HYPERLINK("https://twitter.com/jobsbayton/status/1679579702028107776")</f>
        <v>https://twitter.com/jobsbayton/status/1679579702028107776</v>
      </c>
      <c r="AF51" s="79">
        <v>45120.828472222223</v>
      </c>
      <c r="AG51" s="85">
        <v>45120</v>
      </c>
      <c r="AH51" s="81" t="s">
        <v>5901</v>
      </c>
      <c r="AI51" s="77" t="b">
        <v>0</v>
      </c>
      <c r="AJ51" s="77"/>
      <c r="AK51" s="77"/>
      <c r="AL51" s="77"/>
      <c r="AM51" s="77"/>
      <c r="AN51" s="77"/>
      <c r="AO51" s="77"/>
      <c r="AP51" s="77"/>
      <c r="AQ51" s="77" t="s">
        <v>7924</v>
      </c>
      <c r="AR51" s="77"/>
      <c r="AS51" s="77"/>
      <c r="AT51" s="77"/>
      <c r="AU51" s="77"/>
      <c r="AV51" s="83" t="str">
        <f>HYPERLINK("https://pbs.twimg.com/media/F08Q1mAWIAEzuON.jpg")</f>
        <v>https://pbs.twimg.com/media/F08Q1mAWIAEzuON.jpg</v>
      </c>
      <c r="AW51" s="81" t="s">
        <v>9334</v>
      </c>
      <c r="AX51" s="81" t="s">
        <v>9334</v>
      </c>
      <c r="AY51" s="77"/>
      <c r="AZ51" s="81" t="s">
        <v>11359</v>
      </c>
      <c r="BA51" s="81" t="s">
        <v>11359</v>
      </c>
      <c r="BB51" s="81" t="s">
        <v>11359</v>
      </c>
      <c r="BC51" s="81" t="s">
        <v>9334</v>
      </c>
      <c r="BD51" s="81" t="s">
        <v>11401</v>
      </c>
      <c r="BE51" s="77"/>
      <c r="BF51" s="77"/>
      <c r="BG51" s="77"/>
      <c r="BH51" s="77"/>
      <c r="BI51" s="77"/>
    </row>
    <row r="52" spans="1:61" x14ac:dyDescent="0.25">
      <c r="A52" s="62" t="s">
        <v>234</v>
      </c>
      <c r="B52" s="62" t="s">
        <v>876</v>
      </c>
      <c r="C52" s="63"/>
      <c r="D52" s="64"/>
      <c r="E52" s="65"/>
      <c r="F52" s="66"/>
      <c r="G52" s="63"/>
      <c r="H52" s="67"/>
      <c r="I52" s="68"/>
      <c r="J52" s="68"/>
      <c r="K52" s="32"/>
      <c r="L52" s="75">
        <v>52</v>
      </c>
      <c r="M52" s="75"/>
      <c r="N52" s="70"/>
      <c r="O52" s="77" t="s">
        <v>967</v>
      </c>
      <c r="P52" s="79">
        <v>44998.875416666669</v>
      </c>
      <c r="Q52" s="77" t="s">
        <v>1014</v>
      </c>
      <c r="R52" s="77">
        <v>0</v>
      </c>
      <c r="S52" s="77">
        <v>0</v>
      </c>
      <c r="T52" s="77">
        <v>1</v>
      </c>
      <c r="U52" s="77">
        <v>0</v>
      </c>
      <c r="V52" s="77">
        <v>40</v>
      </c>
      <c r="W52" s="81" t="s">
        <v>2951</v>
      </c>
      <c r="X52" s="77"/>
      <c r="Y52" s="77"/>
      <c r="Z52" s="77" t="s">
        <v>4361</v>
      </c>
      <c r="AA52" s="77"/>
      <c r="AB52" s="77"/>
      <c r="AC52" s="81" t="s">
        <v>5803</v>
      </c>
      <c r="AD52" s="77" t="s">
        <v>5850</v>
      </c>
      <c r="AE52" s="83" t="str">
        <f>HYPERLINK("https://twitter.com/jpsotohelo/status/1635385394232717312")</f>
        <v>https://twitter.com/jpsotohelo/status/1635385394232717312</v>
      </c>
      <c r="AF52" s="79">
        <v>44998.875416666669</v>
      </c>
      <c r="AG52" s="85">
        <v>44998</v>
      </c>
      <c r="AH52" s="81" t="s">
        <v>5902</v>
      </c>
      <c r="AI52" s="77"/>
      <c r="AJ52" s="77"/>
      <c r="AK52" s="77"/>
      <c r="AL52" s="77"/>
      <c r="AM52" s="77"/>
      <c r="AN52" s="77"/>
      <c r="AO52" s="77"/>
      <c r="AP52" s="77"/>
      <c r="AQ52" s="77"/>
      <c r="AR52" s="77"/>
      <c r="AS52" s="77"/>
      <c r="AT52" s="77"/>
      <c r="AU52" s="77"/>
      <c r="AV52" s="83" t="str">
        <f>HYPERLINK("https://pbs.twimg.com/profile_images/1635537841345134593/LMiL8rG0_normal.jpg")</f>
        <v>https://pbs.twimg.com/profile_images/1635537841345134593/LMiL8rG0_normal.jpg</v>
      </c>
      <c r="AW52" s="81" t="s">
        <v>9335</v>
      </c>
      <c r="AX52" s="81" t="s">
        <v>9335</v>
      </c>
      <c r="AY52" s="77"/>
      <c r="AZ52" s="81" t="s">
        <v>11359</v>
      </c>
      <c r="BA52" s="81" t="s">
        <v>11359</v>
      </c>
      <c r="BB52" s="81" t="s">
        <v>11359</v>
      </c>
      <c r="BC52" s="81" t="s">
        <v>9335</v>
      </c>
      <c r="BD52" s="81" t="s">
        <v>11402</v>
      </c>
      <c r="BE52" s="77"/>
      <c r="BF52" s="77"/>
      <c r="BG52" s="77"/>
      <c r="BH52" s="77"/>
      <c r="BI52" s="77"/>
    </row>
    <row r="53" spans="1:61" x14ac:dyDescent="0.25">
      <c r="A53" s="62" t="s">
        <v>234</v>
      </c>
      <c r="B53" s="62" t="s">
        <v>877</v>
      </c>
      <c r="C53" s="63"/>
      <c r="D53" s="64"/>
      <c r="E53" s="65"/>
      <c r="F53" s="66"/>
      <c r="G53" s="63"/>
      <c r="H53" s="67"/>
      <c r="I53" s="68"/>
      <c r="J53" s="68"/>
      <c r="K53" s="32"/>
      <c r="L53" s="75">
        <v>53</v>
      </c>
      <c r="M53" s="75"/>
      <c r="N53" s="70"/>
      <c r="O53" s="77" t="s">
        <v>967</v>
      </c>
      <c r="P53" s="79">
        <v>44998.875416666669</v>
      </c>
      <c r="Q53" s="77" t="s">
        <v>1014</v>
      </c>
      <c r="R53" s="77">
        <v>0</v>
      </c>
      <c r="S53" s="77">
        <v>0</v>
      </c>
      <c r="T53" s="77">
        <v>1</v>
      </c>
      <c r="U53" s="77">
        <v>0</v>
      </c>
      <c r="V53" s="77">
        <v>40</v>
      </c>
      <c r="W53" s="81" t="s">
        <v>2951</v>
      </c>
      <c r="X53" s="77"/>
      <c r="Y53" s="77"/>
      <c r="Z53" s="77" t="s">
        <v>4361</v>
      </c>
      <c r="AA53" s="77"/>
      <c r="AB53" s="77"/>
      <c r="AC53" s="81" t="s">
        <v>5803</v>
      </c>
      <c r="AD53" s="77" t="s">
        <v>5850</v>
      </c>
      <c r="AE53" s="83" t="str">
        <f>HYPERLINK("https://twitter.com/jpsotohelo/status/1635385394232717312")</f>
        <v>https://twitter.com/jpsotohelo/status/1635385394232717312</v>
      </c>
      <c r="AF53" s="79">
        <v>44998.875416666669</v>
      </c>
      <c r="AG53" s="85">
        <v>44998</v>
      </c>
      <c r="AH53" s="81" t="s">
        <v>5902</v>
      </c>
      <c r="AI53" s="77"/>
      <c r="AJ53" s="77"/>
      <c r="AK53" s="77"/>
      <c r="AL53" s="77"/>
      <c r="AM53" s="77"/>
      <c r="AN53" s="77"/>
      <c r="AO53" s="77"/>
      <c r="AP53" s="77"/>
      <c r="AQ53" s="77"/>
      <c r="AR53" s="77"/>
      <c r="AS53" s="77"/>
      <c r="AT53" s="77"/>
      <c r="AU53" s="77"/>
      <c r="AV53" s="83" t="str">
        <f>HYPERLINK("https://pbs.twimg.com/profile_images/1635537841345134593/LMiL8rG0_normal.jpg")</f>
        <v>https://pbs.twimg.com/profile_images/1635537841345134593/LMiL8rG0_normal.jpg</v>
      </c>
      <c r="AW53" s="81" t="s">
        <v>9335</v>
      </c>
      <c r="AX53" s="81" t="s">
        <v>9335</v>
      </c>
      <c r="AY53" s="77"/>
      <c r="AZ53" s="81" t="s">
        <v>11359</v>
      </c>
      <c r="BA53" s="81" t="s">
        <v>11359</v>
      </c>
      <c r="BB53" s="81" t="s">
        <v>11359</v>
      </c>
      <c r="BC53" s="81" t="s">
        <v>9335</v>
      </c>
      <c r="BD53" s="81" t="s">
        <v>11402</v>
      </c>
      <c r="BE53" s="77"/>
      <c r="BF53" s="77"/>
      <c r="BG53" s="77"/>
      <c r="BH53" s="77"/>
      <c r="BI53" s="77"/>
    </row>
    <row r="54" spans="1:61" x14ac:dyDescent="0.25">
      <c r="A54" s="62" t="s">
        <v>235</v>
      </c>
      <c r="B54" s="62" t="s">
        <v>235</v>
      </c>
      <c r="C54" s="63"/>
      <c r="D54" s="64"/>
      <c r="E54" s="65"/>
      <c r="F54" s="66"/>
      <c r="G54" s="63"/>
      <c r="H54" s="67"/>
      <c r="I54" s="68"/>
      <c r="J54" s="68"/>
      <c r="K54" s="32"/>
      <c r="L54" s="75">
        <v>54</v>
      </c>
      <c r="M54" s="75"/>
      <c r="N54" s="70"/>
      <c r="O54" s="77" t="s">
        <v>179</v>
      </c>
      <c r="P54" s="79">
        <v>44940.818773148145</v>
      </c>
      <c r="Q54" s="77" t="s">
        <v>1015</v>
      </c>
      <c r="R54" s="77">
        <v>0</v>
      </c>
      <c r="S54" s="77">
        <v>0</v>
      </c>
      <c r="T54" s="77">
        <v>0</v>
      </c>
      <c r="U54" s="77">
        <v>0</v>
      </c>
      <c r="V54" s="77">
        <v>30</v>
      </c>
      <c r="W54" s="81" t="s">
        <v>2952</v>
      </c>
      <c r="X54" s="83" t="str">
        <f>HYPERLINK("https://nativenewscarajas.blogspot.com/2023/01/vendedor-de-biblias-e-preso-por.html?spref=tw")</f>
        <v>https://nativenewscarajas.blogspot.com/2023/01/vendedor-de-biblias-e-preso-por.html?spref=tw</v>
      </c>
      <c r="Y54" s="77" t="s">
        <v>4216</v>
      </c>
      <c r="Z54" s="77"/>
      <c r="AA54" s="77"/>
      <c r="AB54" s="77"/>
      <c r="AC54" s="81" t="s">
        <v>5805</v>
      </c>
      <c r="AD54" s="77" t="s">
        <v>5851</v>
      </c>
      <c r="AE54" s="83" t="str">
        <f>HYPERLINK("https://twitter.com/tina_pimenteld/status/1614346370420248578")</f>
        <v>https://twitter.com/tina_pimenteld/status/1614346370420248578</v>
      </c>
      <c r="AF54" s="79">
        <v>44940.818773148145</v>
      </c>
      <c r="AG54" s="85">
        <v>44940</v>
      </c>
      <c r="AH54" s="81" t="s">
        <v>5903</v>
      </c>
      <c r="AI54" s="77" t="b">
        <v>0</v>
      </c>
      <c r="AJ54" s="77"/>
      <c r="AK54" s="77"/>
      <c r="AL54" s="77"/>
      <c r="AM54" s="77"/>
      <c r="AN54" s="77"/>
      <c r="AO54" s="77"/>
      <c r="AP54" s="77"/>
      <c r="AQ54" s="77"/>
      <c r="AR54" s="77"/>
      <c r="AS54" s="77"/>
      <c r="AT54" s="77"/>
      <c r="AU54" s="77"/>
      <c r="AV54" s="83" t="str">
        <f>HYPERLINK("https://pbs.twimg.com/profile_images/1487984438793457665/7bpqxtcY_normal.jpg")</f>
        <v>https://pbs.twimg.com/profile_images/1487984438793457665/7bpqxtcY_normal.jpg</v>
      </c>
      <c r="AW54" s="81" t="s">
        <v>9336</v>
      </c>
      <c r="AX54" s="81" t="s">
        <v>9336</v>
      </c>
      <c r="AY54" s="77"/>
      <c r="AZ54" s="81" t="s">
        <v>11359</v>
      </c>
      <c r="BA54" s="81" t="s">
        <v>11359</v>
      </c>
      <c r="BB54" s="81" t="s">
        <v>11359</v>
      </c>
      <c r="BC54" s="81" t="s">
        <v>9336</v>
      </c>
      <c r="BD54" s="77">
        <v>67714638</v>
      </c>
      <c r="BE54" s="77"/>
      <c r="BF54" s="77"/>
      <c r="BG54" s="77"/>
      <c r="BH54" s="77"/>
      <c r="BI54" s="77"/>
    </row>
    <row r="55" spans="1:61" x14ac:dyDescent="0.25">
      <c r="A55" s="62" t="s">
        <v>236</v>
      </c>
      <c r="B55" s="62" t="s">
        <v>236</v>
      </c>
      <c r="C55" s="63"/>
      <c r="D55" s="64"/>
      <c r="E55" s="65"/>
      <c r="F55" s="66"/>
      <c r="G55" s="63"/>
      <c r="H55" s="67"/>
      <c r="I55" s="68"/>
      <c r="J55" s="68"/>
      <c r="K55" s="32"/>
      <c r="L55" s="75">
        <v>55</v>
      </c>
      <c r="M55" s="75"/>
      <c r="N55" s="70"/>
      <c r="O55" s="77" t="s">
        <v>179</v>
      </c>
      <c r="P55" s="79">
        <v>45089.830057870371</v>
      </c>
      <c r="Q55" s="77" t="s">
        <v>1016</v>
      </c>
      <c r="R55" s="77">
        <v>1</v>
      </c>
      <c r="S55" s="77">
        <v>1</v>
      </c>
      <c r="T55" s="77">
        <v>0</v>
      </c>
      <c r="U55" s="77">
        <v>0</v>
      </c>
      <c r="V55" s="77">
        <v>12</v>
      </c>
      <c r="W55" s="81" t="s">
        <v>2953</v>
      </c>
      <c r="X55" s="77"/>
      <c r="Y55" s="77"/>
      <c r="Z55" s="77"/>
      <c r="AA55" s="77" t="s">
        <v>4422</v>
      </c>
      <c r="AB55" s="77" t="s">
        <v>5794</v>
      </c>
      <c r="AC55" s="81" t="s">
        <v>5805</v>
      </c>
      <c r="AD55" s="77" t="s">
        <v>5850</v>
      </c>
      <c r="AE55" s="83" t="str">
        <f>HYPERLINK("https://twitter.com/daphinefmera/status/1668346252520747008")</f>
        <v>https://twitter.com/daphinefmera/status/1668346252520747008</v>
      </c>
      <c r="AF55" s="79">
        <v>45089.830057870371</v>
      </c>
      <c r="AG55" s="85">
        <v>45089</v>
      </c>
      <c r="AH55" s="81" t="s">
        <v>5904</v>
      </c>
      <c r="AI55" s="77" t="b">
        <v>0</v>
      </c>
      <c r="AJ55" s="77"/>
      <c r="AK55" s="77"/>
      <c r="AL55" s="77"/>
      <c r="AM55" s="77"/>
      <c r="AN55" s="77"/>
      <c r="AO55" s="77"/>
      <c r="AP55" s="77"/>
      <c r="AQ55" s="77" t="s">
        <v>7925</v>
      </c>
      <c r="AR55" s="77"/>
      <c r="AS55" s="77"/>
      <c r="AT55" s="77"/>
      <c r="AU55" s="77"/>
      <c r="AV55" s="83" t="str">
        <f>HYPERLINK("https://pbs.twimg.com/media/Fycn-2kWYBApZz5.jpg")</f>
        <v>https://pbs.twimg.com/media/Fycn-2kWYBApZz5.jpg</v>
      </c>
      <c r="AW55" s="81" t="s">
        <v>9337</v>
      </c>
      <c r="AX55" s="81" t="s">
        <v>9337</v>
      </c>
      <c r="AY55" s="77"/>
      <c r="AZ55" s="81" t="s">
        <v>11359</v>
      </c>
      <c r="BA55" s="81" t="s">
        <v>11359</v>
      </c>
      <c r="BB55" s="81" t="s">
        <v>11359</v>
      </c>
      <c r="BC55" s="81" t="s">
        <v>9337</v>
      </c>
      <c r="BD55" s="81" t="s">
        <v>11403</v>
      </c>
      <c r="BE55" s="77"/>
      <c r="BF55" s="77"/>
      <c r="BG55" s="77"/>
      <c r="BH55" s="77"/>
      <c r="BI55" s="77"/>
    </row>
    <row r="56" spans="1:61" x14ac:dyDescent="0.25">
      <c r="A56" s="62" t="s">
        <v>237</v>
      </c>
      <c r="B56" s="62" t="s">
        <v>593</v>
      </c>
      <c r="C56" s="63"/>
      <c r="D56" s="64"/>
      <c r="E56" s="65"/>
      <c r="F56" s="66"/>
      <c r="G56" s="63"/>
      <c r="H56" s="67"/>
      <c r="I56" s="68"/>
      <c r="J56" s="68"/>
      <c r="K56" s="32"/>
      <c r="L56" s="75">
        <v>56</v>
      </c>
      <c r="M56" s="75"/>
      <c r="N56" s="70"/>
      <c r="O56" s="77" t="s">
        <v>968</v>
      </c>
      <c r="P56" s="79">
        <v>45195.444166666668</v>
      </c>
      <c r="Q56" s="77" t="s">
        <v>1017</v>
      </c>
      <c r="R56" s="77">
        <v>2</v>
      </c>
      <c r="S56" s="77">
        <v>0</v>
      </c>
      <c r="T56" s="77">
        <v>0</v>
      </c>
      <c r="U56" s="77">
        <v>0</v>
      </c>
      <c r="V56" s="77"/>
      <c r="W56" s="81" t="s">
        <v>2954</v>
      </c>
      <c r="X56" s="77"/>
      <c r="Y56" s="77"/>
      <c r="Z56" s="77" t="s">
        <v>593</v>
      </c>
      <c r="AA56" s="77"/>
      <c r="AB56" s="77"/>
      <c r="AC56" s="81" t="s">
        <v>5805</v>
      </c>
      <c r="AD56" s="77" t="s">
        <v>5850</v>
      </c>
      <c r="AE56" s="83" t="str">
        <f>HYPERLINK("https://twitter.com/psyteco_/status/1706619523590205947")</f>
        <v>https://twitter.com/psyteco_/status/1706619523590205947</v>
      </c>
      <c r="AF56" s="79">
        <v>45195.444166666668</v>
      </c>
      <c r="AG56" s="85">
        <v>45195</v>
      </c>
      <c r="AH56" s="81" t="s">
        <v>5905</v>
      </c>
      <c r="AI56" s="77"/>
      <c r="AJ56" s="77"/>
      <c r="AK56" s="77"/>
      <c r="AL56" s="77"/>
      <c r="AM56" s="77"/>
      <c r="AN56" s="77"/>
      <c r="AO56" s="77"/>
      <c r="AP56" s="77"/>
      <c r="AQ56" s="77"/>
      <c r="AR56" s="77"/>
      <c r="AS56" s="77"/>
      <c r="AT56" s="77"/>
      <c r="AU56" s="77"/>
      <c r="AV56" s="83" t="str">
        <f>HYPERLINK("https://pbs.twimg.com/profile_images/540838854236725249/gfA7suC7_normal.png")</f>
        <v>https://pbs.twimg.com/profile_images/540838854236725249/gfA7suC7_normal.png</v>
      </c>
      <c r="AW56" s="81" t="s">
        <v>9338</v>
      </c>
      <c r="AX56" s="81" t="s">
        <v>9338</v>
      </c>
      <c r="AY56" s="77"/>
      <c r="AZ56" s="81" t="s">
        <v>11359</v>
      </c>
      <c r="BA56" s="81" t="s">
        <v>11359</v>
      </c>
      <c r="BB56" s="81" t="s">
        <v>10686</v>
      </c>
      <c r="BC56" s="81" t="s">
        <v>10686</v>
      </c>
      <c r="BD56" s="77">
        <v>2906124993</v>
      </c>
      <c r="BE56" s="77"/>
      <c r="BF56" s="77"/>
      <c r="BG56" s="77"/>
      <c r="BH56" s="77"/>
      <c r="BI56" s="77"/>
    </row>
    <row r="57" spans="1:61" x14ac:dyDescent="0.25">
      <c r="A57" s="62" t="s">
        <v>238</v>
      </c>
      <c r="B57" s="62" t="s">
        <v>238</v>
      </c>
      <c r="C57" s="63"/>
      <c r="D57" s="64"/>
      <c r="E57" s="65"/>
      <c r="F57" s="66"/>
      <c r="G57" s="63"/>
      <c r="H57" s="67"/>
      <c r="I57" s="68"/>
      <c r="J57" s="68"/>
      <c r="K57" s="32"/>
      <c r="L57" s="75">
        <v>57</v>
      </c>
      <c r="M57" s="75"/>
      <c r="N57" s="70"/>
      <c r="O57" s="77" t="s">
        <v>179</v>
      </c>
      <c r="P57" s="79">
        <v>45041.050462962965</v>
      </c>
      <c r="Q57" s="77" t="s">
        <v>1018</v>
      </c>
      <c r="R57" s="77">
        <v>0</v>
      </c>
      <c r="S57" s="77">
        <v>0</v>
      </c>
      <c r="T57" s="77">
        <v>0</v>
      </c>
      <c r="U57" s="77">
        <v>0</v>
      </c>
      <c r="V57" s="77">
        <v>9</v>
      </c>
      <c r="W57" s="81" t="s">
        <v>2955</v>
      </c>
      <c r="X57" s="83" t="str">
        <f>HYPERLINK("https://dznprojectmedia.com")</f>
        <v>https://dznprojectmedia.com</v>
      </c>
      <c r="Y57" s="77" t="s">
        <v>4217</v>
      </c>
      <c r="Z57" s="77"/>
      <c r="AA57" s="77" t="s">
        <v>4423</v>
      </c>
      <c r="AB57" s="77" t="s">
        <v>5795</v>
      </c>
      <c r="AC57" s="81" t="s">
        <v>5805</v>
      </c>
      <c r="AD57" s="77" t="s">
        <v>5851</v>
      </c>
      <c r="AE57" s="83" t="str">
        <f>HYPERLINK("https://twitter.com/dznprojectmedia/status/1650669118314496000")</f>
        <v>https://twitter.com/dznprojectmedia/status/1650669118314496000</v>
      </c>
      <c r="AF57" s="79">
        <v>45041.050462962965</v>
      </c>
      <c r="AG57" s="85">
        <v>45041</v>
      </c>
      <c r="AH57" s="81" t="s">
        <v>5906</v>
      </c>
      <c r="AI57" s="77" t="b">
        <v>0</v>
      </c>
      <c r="AJ57" s="77"/>
      <c r="AK57" s="77"/>
      <c r="AL57" s="77"/>
      <c r="AM57" s="77"/>
      <c r="AN57" s="77"/>
      <c r="AO57" s="77"/>
      <c r="AP57" s="77"/>
      <c r="AQ57" s="77" t="s">
        <v>7926</v>
      </c>
      <c r="AR57" s="77">
        <v>24241</v>
      </c>
      <c r="AS57" s="77"/>
      <c r="AT57" s="77"/>
      <c r="AU57" s="77"/>
      <c r="AV57" s="83" t="str">
        <f>HYPERLINK("https://pbs.twimg.com/ext_tw_video_thumb/1650668907462574086/pu/img/TG88rtHTRg6G85BD.jpg")</f>
        <v>https://pbs.twimg.com/ext_tw_video_thumb/1650668907462574086/pu/img/TG88rtHTRg6G85BD.jpg</v>
      </c>
      <c r="AW57" s="81" t="s">
        <v>9339</v>
      </c>
      <c r="AX57" s="81" t="s">
        <v>9339</v>
      </c>
      <c r="AY57" s="77"/>
      <c r="AZ57" s="81" t="s">
        <v>11359</v>
      </c>
      <c r="BA57" s="81" t="s">
        <v>11359</v>
      </c>
      <c r="BB57" s="81" t="s">
        <v>11359</v>
      </c>
      <c r="BC57" s="81" t="s">
        <v>9339</v>
      </c>
      <c r="BD57" s="81" t="s">
        <v>11404</v>
      </c>
      <c r="BE57" s="77"/>
      <c r="BF57" s="77"/>
      <c r="BG57" s="77"/>
      <c r="BH57" s="77"/>
      <c r="BI57" s="77"/>
    </row>
    <row r="58" spans="1:61" x14ac:dyDescent="0.25">
      <c r="A58" s="62" t="s">
        <v>239</v>
      </c>
      <c r="B58" s="62" t="s">
        <v>239</v>
      </c>
      <c r="C58" s="63"/>
      <c r="D58" s="64"/>
      <c r="E58" s="65"/>
      <c r="F58" s="66"/>
      <c r="G58" s="63"/>
      <c r="H58" s="67"/>
      <c r="I58" s="68"/>
      <c r="J58" s="68"/>
      <c r="K58" s="32"/>
      <c r="L58" s="75">
        <v>58</v>
      </c>
      <c r="M58" s="75"/>
      <c r="N58" s="70"/>
      <c r="O58" s="77" t="s">
        <v>179</v>
      </c>
      <c r="P58" s="79">
        <v>45164.583356481482</v>
      </c>
      <c r="Q58" s="77" t="s">
        <v>1019</v>
      </c>
      <c r="R58" s="77">
        <v>0</v>
      </c>
      <c r="S58" s="77">
        <v>0</v>
      </c>
      <c r="T58" s="77">
        <v>0</v>
      </c>
      <c r="U58" s="77">
        <v>0</v>
      </c>
      <c r="V58" s="77">
        <v>10</v>
      </c>
      <c r="W58" s="81" t="s">
        <v>2956</v>
      </c>
      <c r="X58" s="77"/>
      <c r="Y58" s="77"/>
      <c r="Z58" s="77"/>
      <c r="AA58" s="77" t="s">
        <v>4424</v>
      </c>
      <c r="AB58" s="77" t="s">
        <v>5794</v>
      </c>
      <c r="AC58" s="81" t="s">
        <v>5805</v>
      </c>
      <c r="AD58" s="77" t="s">
        <v>5853</v>
      </c>
      <c r="AE58" s="83" t="str">
        <f>HYPERLINK("https://twitter.com/digitaltic1/status/1695435938535465329")</f>
        <v>https://twitter.com/digitaltic1/status/1695435938535465329</v>
      </c>
      <c r="AF58" s="79">
        <v>45164.583356481482</v>
      </c>
      <c r="AG58" s="85">
        <v>45164</v>
      </c>
      <c r="AH58" s="81" t="s">
        <v>5907</v>
      </c>
      <c r="AI58" s="77" t="b">
        <v>0</v>
      </c>
      <c r="AJ58" s="77"/>
      <c r="AK58" s="77"/>
      <c r="AL58" s="77"/>
      <c r="AM58" s="77"/>
      <c r="AN58" s="77"/>
      <c r="AO58" s="77"/>
      <c r="AP58" s="77"/>
      <c r="AQ58" s="77" t="s">
        <v>7927</v>
      </c>
      <c r="AR58" s="77"/>
      <c r="AS58" s="77"/>
      <c r="AT58" s="77"/>
      <c r="AU58" s="77"/>
      <c r="AV58" s="83" t="str">
        <f>HYPERLINK("https://pbs.twimg.com/media/F3vdLF1XQAA9WYm.jpg")</f>
        <v>https://pbs.twimg.com/media/F3vdLF1XQAA9WYm.jpg</v>
      </c>
      <c r="AW58" s="81" t="s">
        <v>9340</v>
      </c>
      <c r="AX58" s="81" t="s">
        <v>9340</v>
      </c>
      <c r="AY58" s="77"/>
      <c r="AZ58" s="81" t="s">
        <v>11359</v>
      </c>
      <c r="BA58" s="81" t="s">
        <v>11359</v>
      </c>
      <c r="BB58" s="81" t="s">
        <v>11359</v>
      </c>
      <c r="BC58" s="81" t="s">
        <v>9340</v>
      </c>
      <c r="BD58" s="81" t="s">
        <v>11405</v>
      </c>
      <c r="BE58" s="77"/>
      <c r="BF58" s="77"/>
      <c r="BG58" s="77"/>
      <c r="BH58" s="77"/>
      <c r="BI58" s="77"/>
    </row>
    <row r="59" spans="1:61" x14ac:dyDescent="0.25">
      <c r="A59" s="62" t="s">
        <v>240</v>
      </c>
      <c r="B59" s="62" t="s">
        <v>240</v>
      </c>
      <c r="C59" s="63"/>
      <c r="D59" s="64"/>
      <c r="E59" s="65"/>
      <c r="F59" s="66"/>
      <c r="G59" s="63"/>
      <c r="H59" s="67"/>
      <c r="I59" s="68"/>
      <c r="J59" s="68"/>
      <c r="K59" s="32"/>
      <c r="L59" s="75">
        <v>59</v>
      </c>
      <c r="M59" s="75"/>
      <c r="N59" s="70"/>
      <c r="O59" s="77" t="s">
        <v>179</v>
      </c>
      <c r="P59" s="79">
        <v>45166.597708333335</v>
      </c>
      <c r="Q59" s="77" t="s">
        <v>1020</v>
      </c>
      <c r="R59" s="77">
        <v>0</v>
      </c>
      <c r="S59" s="77">
        <v>0</v>
      </c>
      <c r="T59" s="77">
        <v>0</v>
      </c>
      <c r="U59" s="77">
        <v>0</v>
      </c>
      <c r="V59" s="77">
        <v>12</v>
      </c>
      <c r="W59" s="81" t="s">
        <v>2957</v>
      </c>
      <c r="X59" s="77"/>
      <c r="Y59" s="77"/>
      <c r="Z59" s="77"/>
      <c r="AA59" s="77" t="s">
        <v>4425</v>
      </c>
      <c r="AB59" s="77" t="s">
        <v>5796</v>
      </c>
      <c r="AC59" s="81" t="s">
        <v>5801</v>
      </c>
      <c r="AD59" s="77" t="s">
        <v>5850</v>
      </c>
      <c r="AE59" s="83" t="str">
        <f>HYPERLINK("https://twitter.com/diarioenlaruta/status/1696165916659101943")</f>
        <v>https://twitter.com/diarioenlaruta/status/1696165916659101943</v>
      </c>
      <c r="AF59" s="79">
        <v>45166.597708333335</v>
      </c>
      <c r="AG59" s="85">
        <v>45166</v>
      </c>
      <c r="AH59" s="81" t="s">
        <v>5908</v>
      </c>
      <c r="AI59" s="77" t="b">
        <v>0</v>
      </c>
      <c r="AJ59" s="77"/>
      <c r="AK59" s="77"/>
      <c r="AL59" s="77"/>
      <c r="AM59" s="77"/>
      <c r="AN59" s="77"/>
      <c r="AO59" s="77"/>
      <c r="AP59" s="77"/>
      <c r="AQ59" s="77" t="s">
        <v>7928</v>
      </c>
      <c r="AR59" s="77"/>
      <c r="AS59" s="77"/>
      <c r="AT59" s="77"/>
      <c r="AU59" s="77"/>
      <c r="AV59" s="83" t="str">
        <f>HYPERLINK("https://pbs.twimg.com/tweet_video_thumb/F4n96CrWsAExuD3.jpg")</f>
        <v>https://pbs.twimg.com/tweet_video_thumb/F4n96CrWsAExuD3.jpg</v>
      </c>
      <c r="AW59" s="81" t="s">
        <v>9341</v>
      </c>
      <c r="AX59" s="81" t="s">
        <v>9341</v>
      </c>
      <c r="AY59" s="77"/>
      <c r="AZ59" s="81" t="s">
        <v>11359</v>
      </c>
      <c r="BA59" s="81" t="s">
        <v>11359</v>
      </c>
      <c r="BB59" s="81" t="s">
        <v>11359</v>
      </c>
      <c r="BC59" s="81" t="s">
        <v>9341</v>
      </c>
      <c r="BD59" s="81" t="s">
        <v>11406</v>
      </c>
      <c r="BE59" s="77"/>
      <c r="BF59" s="77"/>
      <c r="BG59" s="77"/>
      <c r="BH59" s="77"/>
      <c r="BI59" s="77"/>
    </row>
    <row r="60" spans="1:61" x14ac:dyDescent="0.25">
      <c r="A60" s="62" t="s">
        <v>241</v>
      </c>
      <c r="B60" s="62" t="s">
        <v>241</v>
      </c>
      <c r="C60" s="63"/>
      <c r="D60" s="64"/>
      <c r="E60" s="65"/>
      <c r="F60" s="66"/>
      <c r="G60" s="63"/>
      <c r="H60" s="67"/>
      <c r="I60" s="68"/>
      <c r="J60" s="68"/>
      <c r="K60" s="32"/>
      <c r="L60" s="75">
        <v>60</v>
      </c>
      <c r="M60" s="75"/>
      <c r="N60" s="70"/>
      <c r="O60" s="77" t="s">
        <v>179</v>
      </c>
      <c r="P60" s="79">
        <v>45179.88077546296</v>
      </c>
      <c r="Q60" s="77" t="s">
        <v>1021</v>
      </c>
      <c r="R60" s="77">
        <v>0</v>
      </c>
      <c r="S60" s="77">
        <v>0</v>
      </c>
      <c r="T60" s="77">
        <v>0</v>
      </c>
      <c r="U60" s="77">
        <v>0</v>
      </c>
      <c r="V60" s="77">
        <v>15</v>
      </c>
      <c r="W60" s="81" t="s">
        <v>2958</v>
      </c>
      <c r="X60" s="77"/>
      <c r="Y60" s="77"/>
      <c r="Z60" s="77"/>
      <c r="AA60" s="77" t="s">
        <v>4426</v>
      </c>
      <c r="AB60" s="77" t="s">
        <v>5794</v>
      </c>
      <c r="AC60" s="81" t="s">
        <v>5805</v>
      </c>
      <c r="AD60" s="77" t="s">
        <v>5850</v>
      </c>
      <c r="AE60" s="83" t="str">
        <f>HYPERLINK("https://twitter.com/visocym/status/1700979540619932077")</f>
        <v>https://twitter.com/visocym/status/1700979540619932077</v>
      </c>
      <c r="AF60" s="79">
        <v>45179.88077546296</v>
      </c>
      <c r="AG60" s="85">
        <v>45179</v>
      </c>
      <c r="AH60" s="81" t="s">
        <v>5909</v>
      </c>
      <c r="AI60" s="77" t="b">
        <v>0</v>
      </c>
      <c r="AJ60" s="77"/>
      <c r="AK60" s="77"/>
      <c r="AL60" s="77"/>
      <c r="AM60" s="77"/>
      <c r="AN60" s="77"/>
      <c r="AO60" s="77"/>
      <c r="AP60" s="77"/>
      <c r="AQ60" s="77" t="s">
        <v>7929</v>
      </c>
      <c r="AR60" s="77"/>
      <c r="AS60" s="77"/>
      <c r="AT60" s="77"/>
      <c r="AU60" s="77"/>
      <c r="AV60" s="83" t="str">
        <f>HYPERLINK("https://pbs.twimg.com/media/F5sX3YNa4AAeZPY.jpg")</f>
        <v>https://pbs.twimg.com/media/F5sX3YNa4AAeZPY.jpg</v>
      </c>
      <c r="AW60" s="81" t="s">
        <v>9342</v>
      </c>
      <c r="AX60" s="81" t="s">
        <v>9342</v>
      </c>
      <c r="AY60" s="77"/>
      <c r="AZ60" s="81" t="s">
        <v>11359</v>
      </c>
      <c r="BA60" s="81" t="s">
        <v>11359</v>
      </c>
      <c r="BB60" s="81" t="s">
        <v>11359</v>
      </c>
      <c r="BC60" s="81" t="s">
        <v>9342</v>
      </c>
      <c r="BD60" s="77">
        <v>573931223</v>
      </c>
      <c r="BE60" s="77"/>
      <c r="BF60" s="77"/>
      <c r="BG60" s="77"/>
      <c r="BH60" s="77"/>
      <c r="BI60" s="77"/>
    </row>
    <row r="61" spans="1:61" x14ac:dyDescent="0.25">
      <c r="A61" s="62" t="s">
        <v>242</v>
      </c>
      <c r="B61" s="62" t="s">
        <v>242</v>
      </c>
      <c r="C61" s="63"/>
      <c r="D61" s="64"/>
      <c r="E61" s="65"/>
      <c r="F61" s="66"/>
      <c r="G61" s="63"/>
      <c r="H61" s="67"/>
      <c r="I61" s="68"/>
      <c r="J61" s="68"/>
      <c r="K61" s="32"/>
      <c r="L61" s="75">
        <v>61</v>
      </c>
      <c r="M61" s="75"/>
      <c r="N61" s="70"/>
      <c r="O61" s="77" t="s">
        <v>179</v>
      </c>
      <c r="P61" s="79">
        <v>45087.147499999999</v>
      </c>
      <c r="Q61" s="77" t="s">
        <v>1022</v>
      </c>
      <c r="R61" s="77">
        <v>0</v>
      </c>
      <c r="S61" s="77">
        <v>0</v>
      </c>
      <c r="T61" s="77">
        <v>0</v>
      </c>
      <c r="U61" s="77">
        <v>0</v>
      </c>
      <c r="V61" s="77">
        <v>244</v>
      </c>
      <c r="W61" s="81" t="s">
        <v>2959</v>
      </c>
      <c r="X61" s="77"/>
      <c r="Y61" s="77"/>
      <c r="Z61" s="77"/>
      <c r="AA61" s="77" t="s">
        <v>4427</v>
      </c>
      <c r="AB61" s="77" t="s">
        <v>5794</v>
      </c>
      <c r="AC61" s="81" t="s">
        <v>5805</v>
      </c>
      <c r="AD61" s="77" t="s">
        <v>5850</v>
      </c>
      <c r="AE61" s="83" t="str">
        <f>HYPERLINK("https://twitter.com/alicam_mx/status/1667374123725766658")</f>
        <v>https://twitter.com/alicam_mx/status/1667374123725766658</v>
      </c>
      <c r="AF61" s="79">
        <v>45087.147499999999</v>
      </c>
      <c r="AG61" s="85">
        <v>45087</v>
      </c>
      <c r="AH61" s="81" t="s">
        <v>5910</v>
      </c>
      <c r="AI61" s="77" t="b">
        <v>0</v>
      </c>
      <c r="AJ61" s="77"/>
      <c r="AK61" s="77"/>
      <c r="AL61" s="77"/>
      <c r="AM61" s="77"/>
      <c r="AN61" s="77"/>
      <c r="AO61" s="77"/>
      <c r="AP61" s="77"/>
      <c r="AQ61" s="77" t="s">
        <v>7930</v>
      </c>
      <c r="AR61" s="77"/>
      <c r="AS61" s="77"/>
      <c r="AT61" s="77"/>
      <c r="AU61" s="77"/>
      <c r="AV61" s="83" t="str">
        <f>HYPERLINK("https://pbs.twimg.com/media/FyOz4OhaAAE2_YB.jpg")</f>
        <v>https://pbs.twimg.com/media/FyOz4OhaAAE2_YB.jpg</v>
      </c>
      <c r="AW61" s="81" t="s">
        <v>9343</v>
      </c>
      <c r="AX61" s="81" t="s">
        <v>9343</v>
      </c>
      <c r="AY61" s="77"/>
      <c r="AZ61" s="81" t="s">
        <v>11359</v>
      </c>
      <c r="BA61" s="81" t="s">
        <v>11359</v>
      </c>
      <c r="BB61" s="81" t="s">
        <v>11359</v>
      </c>
      <c r="BC61" s="81" t="s">
        <v>9343</v>
      </c>
      <c r="BD61" s="81" t="s">
        <v>11407</v>
      </c>
      <c r="BE61" s="77"/>
      <c r="BF61" s="77"/>
      <c r="BG61" s="77"/>
      <c r="BH61" s="77"/>
      <c r="BI61" s="77"/>
    </row>
    <row r="62" spans="1:61" x14ac:dyDescent="0.25">
      <c r="A62" s="62" t="s">
        <v>243</v>
      </c>
      <c r="B62" s="62" t="s">
        <v>243</v>
      </c>
      <c r="C62" s="63"/>
      <c r="D62" s="64"/>
      <c r="E62" s="65"/>
      <c r="F62" s="66"/>
      <c r="G62" s="63"/>
      <c r="H62" s="67"/>
      <c r="I62" s="68"/>
      <c r="J62" s="68"/>
      <c r="K62" s="32"/>
      <c r="L62" s="75">
        <v>62</v>
      </c>
      <c r="M62" s="75"/>
      <c r="N62" s="70"/>
      <c r="O62" s="77" t="s">
        <v>179</v>
      </c>
      <c r="P62" s="79">
        <v>44931.88721064815</v>
      </c>
      <c r="Q62" s="77" t="s">
        <v>1023</v>
      </c>
      <c r="R62" s="77">
        <v>0</v>
      </c>
      <c r="S62" s="77">
        <v>0</v>
      </c>
      <c r="T62" s="77">
        <v>0</v>
      </c>
      <c r="U62" s="77">
        <v>0</v>
      </c>
      <c r="V62" s="77">
        <v>54</v>
      </c>
      <c r="W62" s="81" t="s">
        <v>2960</v>
      </c>
      <c r="X62" s="77"/>
      <c r="Y62" s="77"/>
      <c r="Z62" s="77"/>
      <c r="AA62" s="77" t="s">
        <v>4428</v>
      </c>
      <c r="AB62" s="77" t="s">
        <v>5797</v>
      </c>
      <c r="AC62" s="81" t="s">
        <v>5805</v>
      </c>
      <c r="AD62" s="77" t="s">
        <v>5851</v>
      </c>
      <c r="AE62" s="83" t="str">
        <f>HYPERLINK("https://twitter.com/gfsaadv/status/1611109679001739264")</f>
        <v>https://twitter.com/gfsaadv/status/1611109679001739264</v>
      </c>
      <c r="AF62" s="79">
        <v>44931.88721064815</v>
      </c>
      <c r="AG62" s="85">
        <v>44931</v>
      </c>
      <c r="AH62" s="81" t="s">
        <v>5911</v>
      </c>
      <c r="AI62" s="77" t="b">
        <v>0</v>
      </c>
      <c r="AJ62" s="77"/>
      <c r="AK62" s="77"/>
      <c r="AL62" s="77"/>
      <c r="AM62" s="77"/>
      <c r="AN62" s="77"/>
      <c r="AO62" s="77"/>
      <c r="AP62" s="77"/>
      <c r="AQ62" s="77" t="s">
        <v>7931</v>
      </c>
      <c r="AR62" s="77"/>
      <c r="AS62" s="77"/>
      <c r="AT62" s="77"/>
      <c r="AU62" s="77"/>
      <c r="AV62" s="83" t="str">
        <f>HYPERLINK("https://pbs.twimg.com/media/FlvPp0gXEAE5C9T.jpg")</f>
        <v>https://pbs.twimg.com/media/FlvPp0gXEAE5C9T.jpg</v>
      </c>
      <c r="AW62" s="81" t="s">
        <v>9344</v>
      </c>
      <c r="AX62" s="81" t="s">
        <v>9344</v>
      </c>
      <c r="AY62" s="77"/>
      <c r="AZ62" s="81" t="s">
        <v>11359</v>
      </c>
      <c r="BA62" s="81" t="s">
        <v>11359</v>
      </c>
      <c r="BB62" s="81" t="s">
        <v>11359</v>
      </c>
      <c r="BC62" s="81" t="s">
        <v>9344</v>
      </c>
      <c r="BD62" s="77">
        <v>373377774</v>
      </c>
      <c r="BE62" s="77"/>
      <c r="BF62" s="77"/>
      <c r="BG62" s="77"/>
      <c r="BH62" s="77"/>
      <c r="BI62" s="77"/>
    </row>
    <row r="63" spans="1:61" x14ac:dyDescent="0.25">
      <c r="A63" s="62" t="s">
        <v>244</v>
      </c>
      <c r="B63" s="62" t="s">
        <v>244</v>
      </c>
      <c r="C63" s="63"/>
      <c r="D63" s="64"/>
      <c r="E63" s="65"/>
      <c r="F63" s="66"/>
      <c r="G63" s="63"/>
      <c r="H63" s="67"/>
      <c r="I63" s="68"/>
      <c r="J63" s="68"/>
      <c r="K63" s="32"/>
      <c r="L63" s="75">
        <v>63</v>
      </c>
      <c r="M63" s="75"/>
      <c r="N63" s="70"/>
      <c r="O63" s="77" t="s">
        <v>179</v>
      </c>
      <c r="P63" s="79">
        <v>44969.564189814817</v>
      </c>
      <c r="Q63" s="77" t="s">
        <v>1024</v>
      </c>
      <c r="R63" s="77">
        <v>0</v>
      </c>
      <c r="S63" s="77">
        <v>0</v>
      </c>
      <c r="T63" s="77">
        <v>0</v>
      </c>
      <c r="U63" s="77">
        <v>0</v>
      </c>
      <c r="V63" s="77">
        <v>3</v>
      </c>
      <c r="W63" s="81" t="s">
        <v>2961</v>
      </c>
      <c r="X63" s="83" t="str">
        <f>HYPERLINK("https://www.instagram.com/p/CokGsN5OC9I/?igshid=YTgzYjQ4ZTY=")</f>
        <v>https://www.instagram.com/p/CokGsN5OC9I/?igshid=YTgzYjQ4ZTY=</v>
      </c>
      <c r="Y63" s="77" t="s">
        <v>4215</v>
      </c>
      <c r="Z63" s="77"/>
      <c r="AA63" s="77"/>
      <c r="AB63" s="77"/>
      <c r="AC63" s="81" t="s">
        <v>5804</v>
      </c>
      <c r="AD63" s="77" t="s">
        <v>5851</v>
      </c>
      <c r="AE63" s="83" t="str">
        <f>HYPERLINK("https://twitter.com/se_personalize/status/1624763361052221440")</f>
        <v>https://twitter.com/se_personalize/status/1624763361052221440</v>
      </c>
      <c r="AF63" s="79">
        <v>44969.564189814817</v>
      </c>
      <c r="AG63" s="85">
        <v>44969</v>
      </c>
      <c r="AH63" s="81" t="s">
        <v>5912</v>
      </c>
      <c r="AI63" s="77" t="b">
        <v>0</v>
      </c>
      <c r="AJ63" s="77"/>
      <c r="AK63" s="77"/>
      <c r="AL63" s="77"/>
      <c r="AM63" s="77"/>
      <c r="AN63" s="77"/>
      <c r="AO63" s="77"/>
      <c r="AP63" s="77"/>
      <c r="AQ63" s="77"/>
      <c r="AR63" s="77"/>
      <c r="AS63" s="77"/>
      <c r="AT63" s="77"/>
      <c r="AU63" s="77"/>
      <c r="AV63" s="83" t="str">
        <f>HYPERLINK("https://pbs.twimg.com/profile_images/1618632841004306432/R69fXT-p_normal.jpg")</f>
        <v>https://pbs.twimg.com/profile_images/1618632841004306432/R69fXT-p_normal.jpg</v>
      </c>
      <c r="AW63" s="81" t="s">
        <v>9345</v>
      </c>
      <c r="AX63" s="81" t="s">
        <v>9345</v>
      </c>
      <c r="AY63" s="77"/>
      <c r="AZ63" s="81" t="s">
        <v>11359</v>
      </c>
      <c r="BA63" s="81" t="s">
        <v>11359</v>
      </c>
      <c r="BB63" s="81" t="s">
        <v>11359</v>
      </c>
      <c r="BC63" s="81" t="s">
        <v>9345</v>
      </c>
      <c r="BD63" s="81" t="s">
        <v>11408</v>
      </c>
      <c r="BE63" s="77"/>
      <c r="BF63" s="77"/>
      <c r="BG63" s="77"/>
      <c r="BH63" s="77"/>
      <c r="BI63" s="77"/>
    </row>
    <row r="64" spans="1:61" x14ac:dyDescent="0.25">
      <c r="A64" s="62" t="s">
        <v>245</v>
      </c>
      <c r="B64" s="62" t="s">
        <v>245</v>
      </c>
      <c r="C64" s="63"/>
      <c r="D64" s="64"/>
      <c r="E64" s="65"/>
      <c r="F64" s="66"/>
      <c r="G64" s="63"/>
      <c r="H64" s="67"/>
      <c r="I64" s="68"/>
      <c r="J64" s="68"/>
      <c r="K64" s="32"/>
      <c r="L64" s="75">
        <v>64</v>
      </c>
      <c r="M64" s="75"/>
      <c r="N64" s="70"/>
      <c r="O64" s="77" t="s">
        <v>179</v>
      </c>
      <c r="P64" s="79">
        <v>44964.626944444448</v>
      </c>
      <c r="Q64" s="77" t="s">
        <v>1025</v>
      </c>
      <c r="R64" s="77">
        <v>0</v>
      </c>
      <c r="S64" s="77">
        <v>0</v>
      </c>
      <c r="T64" s="77">
        <v>0</v>
      </c>
      <c r="U64" s="77">
        <v>0</v>
      </c>
      <c r="V64" s="77">
        <v>21</v>
      </c>
      <c r="W64" s="81" t="s">
        <v>2962</v>
      </c>
      <c r="X64" s="83" t="str">
        <f>HYPERLINK("https://www.linkedin.com/posts/activity-7028736852983463936-_hyL?utm_source=post_nba&amp;utm_medium=member_desktop&amp;utm_campaign=twitter")</f>
        <v>https://www.linkedin.com/posts/activity-7028736852983463936-_hyL?utm_source=post_nba&amp;utm_medium=member_desktop&amp;utm_campaign=twitter</v>
      </c>
      <c r="Y64" s="77" t="s">
        <v>4218</v>
      </c>
      <c r="Z64" s="77"/>
      <c r="AA64" s="77"/>
      <c r="AB64" s="77"/>
      <c r="AC64" s="81" t="s">
        <v>5805</v>
      </c>
      <c r="AD64" s="77" t="s">
        <v>5850</v>
      </c>
      <c r="AE64" s="83" t="str">
        <f>HYPERLINK("https://twitter.com/guidocurletto/status/1622974163437727745")</f>
        <v>https://twitter.com/guidocurletto/status/1622974163437727745</v>
      </c>
      <c r="AF64" s="79">
        <v>44964.626944444448</v>
      </c>
      <c r="AG64" s="85">
        <v>44964</v>
      </c>
      <c r="AH64" s="81" t="s">
        <v>5913</v>
      </c>
      <c r="AI64" s="77" t="b">
        <v>0</v>
      </c>
      <c r="AJ64" s="77"/>
      <c r="AK64" s="77"/>
      <c r="AL64" s="77"/>
      <c r="AM64" s="77"/>
      <c r="AN64" s="77"/>
      <c r="AO64" s="77"/>
      <c r="AP64" s="77"/>
      <c r="AQ64" s="77"/>
      <c r="AR64" s="77"/>
      <c r="AS64" s="77"/>
      <c r="AT64" s="77"/>
      <c r="AU64" s="77"/>
      <c r="AV64" s="83" t="str">
        <f>HYPERLINK("https://pbs.twimg.com/profile_images/763794897598025728/R5DjnKcx_normal.jpg")</f>
        <v>https://pbs.twimg.com/profile_images/763794897598025728/R5DjnKcx_normal.jpg</v>
      </c>
      <c r="AW64" s="81" t="s">
        <v>9346</v>
      </c>
      <c r="AX64" s="81" t="s">
        <v>9346</v>
      </c>
      <c r="AY64" s="77"/>
      <c r="AZ64" s="81" t="s">
        <v>11359</v>
      </c>
      <c r="BA64" s="81" t="s">
        <v>11359</v>
      </c>
      <c r="BB64" s="81" t="s">
        <v>11359</v>
      </c>
      <c r="BC64" s="81" t="s">
        <v>9346</v>
      </c>
      <c r="BD64" s="81" t="s">
        <v>11409</v>
      </c>
      <c r="BE64" s="77"/>
      <c r="BF64" s="77"/>
      <c r="BG64" s="77"/>
      <c r="BH64" s="77"/>
      <c r="BI64" s="77"/>
    </row>
    <row r="65" spans="1:61" x14ac:dyDescent="0.25">
      <c r="A65" s="62" t="s">
        <v>246</v>
      </c>
      <c r="B65" s="62" t="s">
        <v>878</v>
      </c>
      <c r="C65" s="63"/>
      <c r="D65" s="64"/>
      <c r="E65" s="65"/>
      <c r="F65" s="66"/>
      <c r="G65" s="63"/>
      <c r="H65" s="67"/>
      <c r="I65" s="68"/>
      <c r="J65" s="68"/>
      <c r="K65" s="32"/>
      <c r="L65" s="75">
        <v>65</v>
      </c>
      <c r="M65" s="75"/>
      <c r="N65" s="70"/>
      <c r="O65" s="77" t="s">
        <v>967</v>
      </c>
      <c r="P65" s="79">
        <v>45063.375567129631</v>
      </c>
      <c r="Q65" s="77" t="s">
        <v>1026</v>
      </c>
      <c r="R65" s="77">
        <v>0</v>
      </c>
      <c r="S65" s="77">
        <v>0</v>
      </c>
      <c r="T65" s="77">
        <v>0</v>
      </c>
      <c r="U65" s="77">
        <v>0</v>
      </c>
      <c r="V65" s="77">
        <v>19</v>
      </c>
      <c r="W65" s="81" t="s">
        <v>2963</v>
      </c>
      <c r="X65" s="77"/>
      <c r="Y65" s="77"/>
      <c r="Z65" s="77" t="s">
        <v>878</v>
      </c>
      <c r="AA65" s="77" t="s">
        <v>4429</v>
      </c>
      <c r="AB65" s="77" t="s">
        <v>5795</v>
      </c>
      <c r="AC65" s="81" t="s">
        <v>5808</v>
      </c>
      <c r="AD65" s="77" t="s">
        <v>5851</v>
      </c>
      <c r="AE65" s="83" t="str">
        <f>HYPERLINK("https://twitter.com/joaonetoupcont/status/1658759465594679302")</f>
        <v>https://twitter.com/joaonetoupcont/status/1658759465594679302</v>
      </c>
      <c r="AF65" s="79">
        <v>45063.375567129631</v>
      </c>
      <c r="AG65" s="85">
        <v>45063</v>
      </c>
      <c r="AH65" s="81" t="s">
        <v>5914</v>
      </c>
      <c r="AI65" s="77" t="b">
        <v>0</v>
      </c>
      <c r="AJ65" s="77"/>
      <c r="AK65" s="77"/>
      <c r="AL65" s="77"/>
      <c r="AM65" s="77"/>
      <c r="AN65" s="77"/>
      <c r="AO65" s="77"/>
      <c r="AP65" s="77"/>
      <c r="AQ65" s="77" t="s">
        <v>7932</v>
      </c>
      <c r="AR65" s="77">
        <v>57706</v>
      </c>
      <c r="AS65" s="77"/>
      <c r="AT65" s="77"/>
      <c r="AU65" s="77"/>
      <c r="AV65" s="83" t="str">
        <f>HYPERLINK("https://pbs.twimg.com/ext_tw_video_thumb/1658759396749373442/pu/img/abk_ads_KXuvnpZ1.jpg")</f>
        <v>https://pbs.twimg.com/ext_tw_video_thumb/1658759396749373442/pu/img/abk_ads_KXuvnpZ1.jpg</v>
      </c>
      <c r="AW65" s="81" t="s">
        <v>9347</v>
      </c>
      <c r="AX65" s="81" t="s">
        <v>9347</v>
      </c>
      <c r="AY65" s="77"/>
      <c r="AZ65" s="81" t="s">
        <v>11359</v>
      </c>
      <c r="BA65" s="81" t="s">
        <v>11359</v>
      </c>
      <c r="BB65" s="81" t="s">
        <v>11359</v>
      </c>
      <c r="BC65" s="81" t="s">
        <v>9347</v>
      </c>
      <c r="BD65" s="81" t="s">
        <v>11410</v>
      </c>
      <c r="BE65" s="77"/>
      <c r="BF65" s="77"/>
      <c r="BG65" s="77"/>
      <c r="BH65" s="77"/>
      <c r="BI65" s="77"/>
    </row>
    <row r="66" spans="1:61" x14ac:dyDescent="0.25">
      <c r="A66" s="62" t="s">
        <v>247</v>
      </c>
      <c r="B66" s="62" t="s">
        <v>247</v>
      </c>
      <c r="C66" s="63"/>
      <c r="D66" s="64"/>
      <c r="E66" s="65"/>
      <c r="F66" s="66"/>
      <c r="G66" s="63"/>
      <c r="H66" s="67"/>
      <c r="I66" s="68"/>
      <c r="J66" s="68"/>
      <c r="K66" s="32"/>
      <c r="L66" s="75">
        <v>66</v>
      </c>
      <c r="M66" s="75"/>
      <c r="N66" s="70"/>
      <c r="O66" s="77" t="s">
        <v>179</v>
      </c>
      <c r="P66" s="79">
        <v>45138.836099537039</v>
      </c>
      <c r="Q66" s="77" t="s">
        <v>1027</v>
      </c>
      <c r="R66" s="77">
        <v>0</v>
      </c>
      <c r="S66" s="77">
        <v>0</v>
      </c>
      <c r="T66" s="77">
        <v>0</v>
      </c>
      <c r="U66" s="77">
        <v>0</v>
      </c>
      <c r="V66" s="77">
        <v>12</v>
      </c>
      <c r="W66" s="81" t="s">
        <v>2964</v>
      </c>
      <c r="X66" s="77"/>
      <c r="Y66" s="77"/>
      <c r="Z66" s="77"/>
      <c r="AA66" s="77" t="s">
        <v>4430</v>
      </c>
      <c r="AB66" s="77" t="s">
        <v>5794</v>
      </c>
      <c r="AC66" s="81" t="s">
        <v>5805</v>
      </c>
      <c r="AD66" s="77" t="s">
        <v>5850</v>
      </c>
      <c r="AE66" s="83" t="str">
        <f>HYPERLINK("https://twitter.com/tradeviewes/status/1686105447298744320")</f>
        <v>https://twitter.com/tradeviewes/status/1686105447298744320</v>
      </c>
      <c r="AF66" s="79">
        <v>45138.836099537039</v>
      </c>
      <c r="AG66" s="85">
        <v>45138</v>
      </c>
      <c r="AH66" s="81" t="s">
        <v>5915</v>
      </c>
      <c r="AI66" s="77" t="b">
        <v>0</v>
      </c>
      <c r="AJ66" s="77"/>
      <c r="AK66" s="77"/>
      <c r="AL66" s="77"/>
      <c r="AM66" s="77"/>
      <c r="AN66" s="77"/>
      <c r="AO66" s="77"/>
      <c r="AP66" s="77"/>
      <c r="AQ66" s="77" t="s">
        <v>7933</v>
      </c>
      <c r="AR66" s="77"/>
      <c r="AS66" s="77"/>
      <c r="AT66" s="77"/>
      <c r="AU66" s="77"/>
      <c r="AV66" s="83" t="str">
        <f>HYPERLINK("https://pbs.twimg.com/media/F2Y_tuxXEAAl-_d.jpg")</f>
        <v>https://pbs.twimg.com/media/F2Y_tuxXEAAl-_d.jpg</v>
      </c>
      <c r="AW66" s="81" t="s">
        <v>9348</v>
      </c>
      <c r="AX66" s="81" t="s">
        <v>9348</v>
      </c>
      <c r="AY66" s="77"/>
      <c r="AZ66" s="81" t="s">
        <v>11359</v>
      </c>
      <c r="BA66" s="81" t="s">
        <v>11359</v>
      </c>
      <c r="BB66" s="81" t="s">
        <v>11359</v>
      </c>
      <c r="BC66" s="81" t="s">
        <v>9348</v>
      </c>
      <c r="BD66" s="77">
        <v>2438691806</v>
      </c>
      <c r="BE66" s="77"/>
      <c r="BF66" s="77"/>
      <c r="BG66" s="77"/>
      <c r="BH66" s="77"/>
      <c r="BI66" s="77"/>
    </row>
    <row r="67" spans="1:61" x14ac:dyDescent="0.25">
      <c r="A67" s="62" t="s">
        <v>248</v>
      </c>
      <c r="B67" s="62" t="s">
        <v>248</v>
      </c>
      <c r="C67" s="63"/>
      <c r="D67" s="64"/>
      <c r="E67" s="65"/>
      <c r="F67" s="66"/>
      <c r="G67" s="63"/>
      <c r="H67" s="67"/>
      <c r="I67" s="68"/>
      <c r="J67" s="68"/>
      <c r="K67" s="32"/>
      <c r="L67" s="75">
        <v>67</v>
      </c>
      <c r="M67" s="75"/>
      <c r="N67" s="70"/>
      <c r="O67" s="77" t="s">
        <v>179</v>
      </c>
      <c r="P67" s="79">
        <v>44943.606412037036</v>
      </c>
      <c r="Q67" s="77" t="s">
        <v>1028</v>
      </c>
      <c r="R67" s="77">
        <v>0</v>
      </c>
      <c r="S67" s="77">
        <v>0</v>
      </c>
      <c r="T67" s="77">
        <v>0</v>
      </c>
      <c r="U67" s="77">
        <v>0</v>
      </c>
      <c r="V67" s="77">
        <v>30</v>
      </c>
      <c r="W67" s="81" t="s">
        <v>2965</v>
      </c>
      <c r="X67" s="83" t="str">
        <f>HYPERLINK("https://tramicar.es/blog/haz-notificacion-de-venta-de-tu-coche")</f>
        <v>https://tramicar.es/blog/haz-notificacion-de-venta-de-tu-coche</v>
      </c>
      <c r="Y67" s="77" t="s">
        <v>4219</v>
      </c>
      <c r="Z67" s="77"/>
      <c r="AA67" s="77"/>
      <c r="AB67" s="77"/>
      <c r="AC67" s="81" t="s">
        <v>5805</v>
      </c>
      <c r="AD67" s="77" t="s">
        <v>5850</v>
      </c>
      <c r="AE67" s="83" t="str">
        <f>HYPERLINK("https://twitter.com/tramicares/status/1615356576725860353")</f>
        <v>https://twitter.com/tramicares/status/1615356576725860353</v>
      </c>
      <c r="AF67" s="79">
        <v>44943.606412037036</v>
      </c>
      <c r="AG67" s="85">
        <v>44943</v>
      </c>
      <c r="AH67" s="81" t="s">
        <v>5916</v>
      </c>
      <c r="AI67" s="77" t="b">
        <v>0</v>
      </c>
      <c r="AJ67" s="77"/>
      <c r="AK67" s="77"/>
      <c r="AL67" s="77"/>
      <c r="AM67" s="77"/>
      <c r="AN67" s="77"/>
      <c r="AO67" s="77"/>
      <c r="AP67" s="77"/>
      <c r="AQ67" s="77"/>
      <c r="AR67" s="77"/>
      <c r="AS67" s="77"/>
      <c r="AT67" s="77"/>
      <c r="AU67" s="77"/>
      <c r="AV67" s="83" t="str">
        <f>HYPERLINK("https://pbs.twimg.com/profile_images/1411905018328977408/msTz2et7_normal.jpg")</f>
        <v>https://pbs.twimg.com/profile_images/1411905018328977408/msTz2et7_normal.jpg</v>
      </c>
      <c r="AW67" s="81" t="s">
        <v>9349</v>
      </c>
      <c r="AX67" s="81" t="s">
        <v>9349</v>
      </c>
      <c r="AY67" s="77"/>
      <c r="AZ67" s="81" t="s">
        <v>11359</v>
      </c>
      <c r="BA67" s="81" t="s">
        <v>11359</v>
      </c>
      <c r="BB67" s="81" t="s">
        <v>11359</v>
      </c>
      <c r="BC67" s="81" t="s">
        <v>9349</v>
      </c>
      <c r="BD67" s="81" t="s">
        <v>11411</v>
      </c>
      <c r="BE67" s="77"/>
      <c r="BF67" s="77"/>
      <c r="BG67" s="77"/>
      <c r="BH67" s="77"/>
      <c r="BI67" s="77"/>
    </row>
    <row r="68" spans="1:61" x14ac:dyDescent="0.25">
      <c r="A68" s="62" t="s">
        <v>249</v>
      </c>
      <c r="B68" s="62" t="s">
        <v>249</v>
      </c>
      <c r="C68" s="63"/>
      <c r="D68" s="64"/>
      <c r="E68" s="65"/>
      <c r="F68" s="66"/>
      <c r="G68" s="63"/>
      <c r="H68" s="67"/>
      <c r="I68" s="68"/>
      <c r="J68" s="68"/>
      <c r="K68" s="32"/>
      <c r="L68" s="75">
        <v>68</v>
      </c>
      <c r="M68" s="75"/>
      <c r="N68" s="70"/>
      <c r="O68" s="77" t="s">
        <v>179</v>
      </c>
      <c r="P68" s="79">
        <v>45107.088310185187</v>
      </c>
      <c r="Q68" s="77" t="s">
        <v>1029</v>
      </c>
      <c r="R68" s="77">
        <v>0</v>
      </c>
      <c r="S68" s="77">
        <v>0</v>
      </c>
      <c r="T68" s="77">
        <v>0</v>
      </c>
      <c r="U68" s="77">
        <v>0</v>
      </c>
      <c r="V68" s="77">
        <v>38</v>
      </c>
      <c r="W68" s="81" t="s">
        <v>2966</v>
      </c>
      <c r="X68" s="77"/>
      <c r="Y68" s="77"/>
      <c r="Z68" s="77"/>
      <c r="AA68" s="77" t="s">
        <v>4431</v>
      </c>
      <c r="AB68" s="77" t="s">
        <v>5794</v>
      </c>
      <c r="AC68" s="81" t="s">
        <v>5801</v>
      </c>
      <c r="AD68" s="77" t="s">
        <v>5851</v>
      </c>
      <c r="AE68" s="83" t="str">
        <f>HYPERLINK("https://twitter.com/wandergomes33/status/1674600434252513281")</f>
        <v>https://twitter.com/wandergomes33/status/1674600434252513281</v>
      </c>
      <c r="AF68" s="79">
        <v>45107.088310185187</v>
      </c>
      <c r="AG68" s="85">
        <v>45107</v>
      </c>
      <c r="AH68" s="81" t="s">
        <v>5917</v>
      </c>
      <c r="AI68" s="77" t="b">
        <v>0</v>
      </c>
      <c r="AJ68" s="77"/>
      <c r="AK68" s="77"/>
      <c r="AL68" s="77"/>
      <c r="AM68" s="77"/>
      <c r="AN68" s="77"/>
      <c r="AO68" s="77"/>
      <c r="AP68" s="77"/>
      <c r="AQ68" s="77" t="s">
        <v>7934</v>
      </c>
      <c r="AR68" s="77"/>
      <c r="AS68" s="77"/>
      <c r="AT68" s="77"/>
      <c r="AU68" s="77"/>
      <c r="AV68" s="83" t="str">
        <f>HYPERLINK("https://pbs.twimg.com/media/Fz1gN8AXwAErauG.jpg")</f>
        <v>https://pbs.twimg.com/media/Fz1gN8AXwAErauG.jpg</v>
      </c>
      <c r="AW68" s="81" t="s">
        <v>9350</v>
      </c>
      <c r="AX68" s="81" t="s">
        <v>9350</v>
      </c>
      <c r="AY68" s="77"/>
      <c r="AZ68" s="81" t="s">
        <v>11359</v>
      </c>
      <c r="BA68" s="81" t="s">
        <v>11359</v>
      </c>
      <c r="BB68" s="81" t="s">
        <v>11359</v>
      </c>
      <c r="BC68" s="81" t="s">
        <v>9350</v>
      </c>
      <c r="BD68" s="81" t="s">
        <v>11412</v>
      </c>
      <c r="BE68" s="77"/>
      <c r="BF68" s="77"/>
      <c r="BG68" s="77"/>
      <c r="BH68" s="77"/>
      <c r="BI68" s="77"/>
    </row>
    <row r="69" spans="1:61" x14ac:dyDescent="0.25">
      <c r="A69" s="62" t="s">
        <v>250</v>
      </c>
      <c r="B69" s="62" t="s">
        <v>250</v>
      </c>
      <c r="C69" s="63"/>
      <c r="D69" s="64"/>
      <c r="E69" s="65"/>
      <c r="F69" s="66"/>
      <c r="G69" s="63"/>
      <c r="H69" s="67"/>
      <c r="I69" s="68"/>
      <c r="J69" s="68"/>
      <c r="K69" s="32"/>
      <c r="L69" s="75">
        <v>69</v>
      </c>
      <c r="M69" s="75"/>
      <c r="N69" s="70"/>
      <c r="O69" s="77" t="s">
        <v>179</v>
      </c>
      <c r="P69" s="79">
        <v>45026.93681712963</v>
      </c>
      <c r="Q69" s="77" t="s">
        <v>1030</v>
      </c>
      <c r="R69" s="77">
        <v>0</v>
      </c>
      <c r="S69" s="77">
        <v>0</v>
      </c>
      <c r="T69" s="77">
        <v>0</v>
      </c>
      <c r="U69" s="77">
        <v>0</v>
      </c>
      <c r="V69" s="77">
        <v>223</v>
      </c>
      <c r="W69" s="81" t="s">
        <v>2967</v>
      </c>
      <c r="X69" s="83" t="str">
        <f>HYPERLINK("https://modosobreviviente.net/products/a4-1-introduccion-a-las-ventas")</f>
        <v>https://modosobreviviente.net/products/a4-1-introduccion-a-las-ventas</v>
      </c>
      <c r="Y69" s="77" t="s">
        <v>4220</v>
      </c>
      <c r="Z69" s="77"/>
      <c r="AA69" s="77" t="s">
        <v>4432</v>
      </c>
      <c r="AB69" s="77" t="s">
        <v>5794</v>
      </c>
      <c r="AC69" s="81" t="s">
        <v>5805</v>
      </c>
      <c r="AD69" s="77" t="s">
        <v>5850</v>
      </c>
      <c r="AE69" s="83" t="str">
        <f>HYPERLINK("https://twitter.com/gilbester/status/1645554506162397184")</f>
        <v>https://twitter.com/gilbester/status/1645554506162397184</v>
      </c>
      <c r="AF69" s="79">
        <v>45026.93681712963</v>
      </c>
      <c r="AG69" s="85">
        <v>45026</v>
      </c>
      <c r="AH69" s="81" t="s">
        <v>5918</v>
      </c>
      <c r="AI69" s="77" t="b">
        <v>0</v>
      </c>
      <c r="AJ69" s="77"/>
      <c r="AK69" s="77"/>
      <c r="AL69" s="77"/>
      <c r="AM69" s="77"/>
      <c r="AN69" s="77"/>
      <c r="AO69" s="77"/>
      <c r="AP69" s="77"/>
      <c r="AQ69" s="77" t="s">
        <v>7935</v>
      </c>
      <c r="AR69" s="77"/>
      <c r="AS69" s="77"/>
      <c r="AT69" s="77"/>
      <c r="AU69" s="77"/>
      <c r="AV69" s="83" t="str">
        <f>HYPERLINK("https://pbs.twimg.com/media/FtYu4HjXgAAas62.jpg")</f>
        <v>https://pbs.twimg.com/media/FtYu4HjXgAAas62.jpg</v>
      </c>
      <c r="AW69" s="81" t="s">
        <v>9351</v>
      </c>
      <c r="AX69" s="81" t="s">
        <v>9351</v>
      </c>
      <c r="AY69" s="77"/>
      <c r="AZ69" s="81" t="s">
        <v>11359</v>
      </c>
      <c r="BA69" s="81" t="s">
        <v>11359</v>
      </c>
      <c r="BB69" s="81" t="s">
        <v>11359</v>
      </c>
      <c r="BC69" s="81" t="s">
        <v>9351</v>
      </c>
      <c r="BD69" s="77">
        <v>89245396</v>
      </c>
      <c r="BE69" s="77"/>
      <c r="BF69" s="77"/>
      <c r="BG69" s="77"/>
      <c r="BH69" s="77"/>
      <c r="BI69" s="77"/>
    </row>
    <row r="70" spans="1:61" x14ac:dyDescent="0.25">
      <c r="A70" s="62" t="s">
        <v>250</v>
      </c>
      <c r="B70" s="62" t="s">
        <v>250</v>
      </c>
      <c r="C70" s="63"/>
      <c r="D70" s="64"/>
      <c r="E70" s="65"/>
      <c r="F70" s="66"/>
      <c r="G70" s="63"/>
      <c r="H70" s="67"/>
      <c r="I70" s="68"/>
      <c r="J70" s="68"/>
      <c r="K70" s="32"/>
      <c r="L70" s="75">
        <v>70</v>
      </c>
      <c r="M70" s="75"/>
      <c r="N70" s="70"/>
      <c r="O70" s="77" t="s">
        <v>179</v>
      </c>
      <c r="P70" s="79">
        <v>45003.731631944444</v>
      </c>
      <c r="Q70" s="77" t="s">
        <v>1031</v>
      </c>
      <c r="R70" s="77">
        <v>0</v>
      </c>
      <c r="S70" s="77">
        <v>1</v>
      </c>
      <c r="T70" s="77">
        <v>0</v>
      </c>
      <c r="U70" s="77">
        <v>0</v>
      </c>
      <c r="V70" s="77">
        <v>19</v>
      </c>
      <c r="W70" s="81" t="s">
        <v>2968</v>
      </c>
      <c r="X70" s="83" t="str">
        <f>HYPERLINK("https://modosobreviviente.net/products/a4-1-introduccion-a-las-ventas")</f>
        <v>https://modosobreviviente.net/products/a4-1-introduccion-a-las-ventas</v>
      </c>
      <c r="Y70" s="77" t="s">
        <v>4220</v>
      </c>
      <c r="Z70" s="77"/>
      <c r="AA70" s="77" t="s">
        <v>4433</v>
      </c>
      <c r="AB70" s="77" t="s">
        <v>5794</v>
      </c>
      <c r="AC70" s="81" t="s">
        <v>5805</v>
      </c>
      <c r="AD70" s="77" t="s">
        <v>5850</v>
      </c>
      <c r="AE70" s="83" t="str">
        <f>HYPERLINK("https://twitter.com/gilbester/status/1637145228388777985")</f>
        <v>https://twitter.com/gilbester/status/1637145228388777985</v>
      </c>
      <c r="AF70" s="79">
        <v>45003.731631944444</v>
      </c>
      <c r="AG70" s="85">
        <v>45003</v>
      </c>
      <c r="AH70" s="81" t="s">
        <v>5919</v>
      </c>
      <c r="AI70" s="77" t="b">
        <v>0</v>
      </c>
      <c r="AJ70" s="77"/>
      <c r="AK70" s="77"/>
      <c r="AL70" s="77"/>
      <c r="AM70" s="77"/>
      <c r="AN70" s="77"/>
      <c r="AO70" s="77"/>
      <c r="AP70" s="77"/>
      <c r="AQ70" s="77" t="s">
        <v>7936</v>
      </c>
      <c r="AR70" s="77"/>
      <c r="AS70" s="77"/>
      <c r="AT70" s="77"/>
      <c r="AU70" s="77"/>
      <c r="AV70" s="83" t="str">
        <f>HYPERLINK("https://pbs.twimg.com/media/FrhO4aQWYAIcWfK.jpg")</f>
        <v>https://pbs.twimg.com/media/FrhO4aQWYAIcWfK.jpg</v>
      </c>
      <c r="AW70" s="81" t="s">
        <v>9352</v>
      </c>
      <c r="AX70" s="81" t="s">
        <v>9352</v>
      </c>
      <c r="AY70" s="77"/>
      <c r="AZ70" s="81" t="s">
        <v>11359</v>
      </c>
      <c r="BA70" s="81" t="s">
        <v>11359</v>
      </c>
      <c r="BB70" s="81" t="s">
        <v>11359</v>
      </c>
      <c r="BC70" s="81" t="s">
        <v>9352</v>
      </c>
      <c r="BD70" s="77">
        <v>89245396</v>
      </c>
      <c r="BE70" s="77"/>
      <c r="BF70" s="77"/>
      <c r="BG70" s="77"/>
      <c r="BH70" s="77"/>
      <c r="BI70" s="77"/>
    </row>
    <row r="71" spans="1:61" x14ac:dyDescent="0.25">
      <c r="A71" s="62" t="s">
        <v>250</v>
      </c>
      <c r="B71" s="62" t="s">
        <v>250</v>
      </c>
      <c r="C71" s="63"/>
      <c r="D71" s="64"/>
      <c r="E71" s="65"/>
      <c r="F71" s="66"/>
      <c r="G71" s="63"/>
      <c r="H71" s="67"/>
      <c r="I71" s="68"/>
      <c r="J71" s="68"/>
      <c r="K71" s="32"/>
      <c r="L71" s="75">
        <v>71</v>
      </c>
      <c r="M71" s="75"/>
      <c r="N71" s="70"/>
      <c r="O71" s="77" t="s">
        <v>179</v>
      </c>
      <c r="P71" s="79">
        <v>45108.215636574074</v>
      </c>
      <c r="Q71" s="77" t="s">
        <v>1032</v>
      </c>
      <c r="R71" s="77">
        <v>0</v>
      </c>
      <c r="S71" s="77">
        <v>0</v>
      </c>
      <c r="T71" s="77">
        <v>0</v>
      </c>
      <c r="U71" s="77">
        <v>0</v>
      </c>
      <c r="V71" s="77">
        <v>49</v>
      </c>
      <c r="W71" s="81" t="s">
        <v>2969</v>
      </c>
      <c r="X71" s="83" t="str">
        <f>HYPERLINK("https://modosobreviviente.net/blogs/news/la-vida-es-ciclica-la-importancia-de-los-ciclos-en-la-naturaleza-y-en-nuestras-vidas")</f>
        <v>https://modosobreviviente.net/blogs/news/la-vida-es-ciclica-la-importancia-de-los-ciclos-en-la-naturaleza-y-en-nuestras-vidas</v>
      </c>
      <c r="Y71" s="77" t="s">
        <v>4220</v>
      </c>
      <c r="Z71" s="77"/>
      <c r="AA71" s="77"/>
      <c r="AB71" s="77"/>
      <c r="AC71" s="81" t="s">
        <v>5803</v>
      </c>
      <c r="AD71" s="77" t="s">
        <v>5850</v>
      </c>
      <c r="AE71" s="83" t="str">
        <f>HYPERLINK("https://twitter.com/gilbester/status/1675008961605402625")</f>
        <v>https://twitter.com/gilbester/status/1675008961605402625</v>
      </c>
      <c r="AF71" s="79">
        <v>45108.215636574074</v>
      </c>
      <c r="AG71" s="85">
        <v>45108</v>
      </c>
      <c r="AH71" s="81" t="s">
        <v>5920</v>
      </c>
      <c r="AI71" s="77" t="b">
        <v>0</v>
      </c>
      <c r="AJ71" s="77"/>
      <c r="AK71" s="77"/>
      <c r="AL71" s="77"/>
      <c r="AM71" s="77"/>
      <c r="AN71" s="77"/>
      <c r="AO71" s="77"/>
      <c r="AP71" s="77"/>
      <c r="AQ71" s="77"/>
      <c r="AR71" s="77"/>
      <c r="AS71" s="77"/>
      <c r="AT71" s="77"/>
      <c r="AU71" s="77"/>
      <c r="AV71" s="83" t="str">
        <f>HYPERLINK("https://pbs.twimg.com/profile_images/1524782295533641728/cBKLO9cT_normal.jpg")</f>
        <v>https://pbs.twimg.com/profile_images/1524782295533641728/cBKLO9cT_normal.jpg</v>
      </c>
      <c r="AW71" s="81" t="s">
        <v>9353</v>
      </c>
      <c r="AX71" s="81" t="s">
        <v>9353</v>
      </c>
      <c r="AY71" s="77"/>
      <c r="AZ71" s="81" t="s">
        <v>11359</v>
      </c>
      <c r="BA71" s="81" t="s">
        <v>11359</v>
      </c>
      <c r="BB71" s="81" t="s">
        <v>11359</v>
      </c>
      <c r="BC71" s="81" t="s">
        <v>9353</v>
      </c>
      <c r="BD71" s="77">
        <v>89245396</v>
      </c>
      <c r="BE71" s="77"/>
      <c r="BF71" s="77"/>
      <c r="BG71" s="77"/>
      <c r="BH71" s="77"/>
      <c r="BI71" s="77"/>
    </row>
    <row r="72" spans="1:61" x14ac:dyDescent="0.25">
      <c r="A72" s="62" t="s">
        <v>251</v>
      </c>
      <c r="B72" s="62" t="s">
        <v>251</v>
      </c>
      <c r="C72" s="63"/>
      <c r="D72" s="64"/>
      <c r="E72" s="65"/>
      <c r="F72" s="66"/>
      <c r="G72" s="63"/>
      <c r="H72" s="67"/>
      <c r="I72" s="68"/>
      <c r="J72" s="68"/>
      <c r="K72" s="32"/>
      <c r="L72" s="75">
        <v>72</v>
      </c>
      <c r="M72" s="75"/>
      <c r="N72" s="70"/>
      <c r="O72" s="77" t="s">
        <v>179</v>
      </c>
      <c r="P72" s="79">
        <v>45006.817731481482</v>
      </c>
      <c r="Q72" s="77" t="s">
        <v>1033</v>
      </c>
      <c r="R72" s="77">
        <v>0</v>
      </c>
      <c r="S72" s="77">
        <v>0</v>
      </c>
      <c r="T72" s="77">
        <v>0</v>
      </c>
      <c r="U72" s="77">
        <v>0</v>
      </c>
      <c r="V72" s="77">
        <v>1238</v>
      </c>
      <c r="W72" s="81" t="s">
        <v>2970</v>
      </c>
      <c r="X72" s="83" t="str">
        <f>HYPERLINK("https://bit.ly/4064TKQ")</f>
        <v>https://bit.ly/4064TKQ</v>
      </c>
      <c r="Y72" s="77" t="s">
        <v>4213</v>
      </c>
      <c r="Z72" s="77"/>
      <c r="AA72" s="77"/>
      <c r="AB72" s="77"/>
      <c r="AC72" s="81" t="s">
        <v>5809</v>
      </c>
      <c r="AD72" s="77" t="s">
        <v>5850</v>
      </c>
      <c r="AE72" s="83" t="str">
        <f>HYPERLINK("https://twitter.com/telenoticiasrd/status/1638263593845104642")</f>
        <v>https://twitter.com/telenoticiasrd/status/1638263593845104642</v>
      </c>
      <c r="AF72" s="79">
        <v>45006.817731481482</v>
      </c>
      <c r="AG72" s="85">
        <v>45006</v>
      </c>
      <c r="AH72" s="81" t="s">
        <v>5921</v>
      </c>
      <c r="AI72" s="77" t="b">
        <v>0</v>
      </c>
      <c r="AJ72" s="77"/>
      <c r="AK72" s="77"/>
      <c r="AL72" s="77"/>
      <c r="AM72" s="77"/>
      <c r="AN72" s="77"/>
      <c r="AO72" s="77"/>
      <c r="AP72" s="77"/>
      <c r="AQ72" s="77"/>
      <c r="AR72" s="77"/>
      <c r="AS72" s="77"/>
      <c r="AT72" s="77"/>
      <c r="AU72" s="77"/>
      <c r="AV72" s="83" t="str">
        <f>HYPERLINK("https://pbs.twimg.com/profile_images/1633919342814412807/35sdQJcV_normal.jpg")</f>
        <v>https://pbs.twimg.com/profile_images/1633919342814412807/35sdQJcV_normal.jpg</v>
      </c>
      <c r="AW72" s="81" t="s">
        <v>9354</v>
      </c>
      <c r="AX72" s="81" t="s">
        <v>9354</v>
      </c>
      <c r="AY72" s="77"/>
      <c r="AZ72" s="81" t="s">
        <v>11359</v>
      </c>
      <c r="BA72" s="81" t="s">
        <v>11359</v>
      </c>
      <c r="BB72" s="81" t="s">
        <v>11359</v>
      </c>
      <c r="BC72" s="81" t="s">
        <v>9354</v>
      </c>
      <c r="BD72" s="77">
        <v>54045693</v>
      </c>
      <c r="BE72" s="77"/>
      <c r="BF72" s="77"/>
      <c r="BG72" s="77"/>
      <c r="BH72" s="77"/>
      <c r="BI72" s="77"/>
    </row>
    <row r="73" spans="1:61" x14ac:dyDescent="0.25">
      <c r="A73" s="62" t="s">
        <v>251</v>
      </c>
      <c r="B73" s="62" t="s">
        <v>251</v>
      </c>
      <c r="C73" s="63"/>
      <c r="D73" s="64"/>
      <c r="E73" s="65"/>
      <c r="F73" s="66"/>
      <c r="G73" s="63"/>
      <c r="H73" s="67"/>
      <c r="I73" s="68"/>
      <c r="J73" s="68"/>
      <c r="K73" s="32"/>
      <c r="L73" s="75">
        <v>73</v>
      </c>
      <c r="M73" s="75"/>
      <c r="N73" s="70"/>
      <c r="O73" s="77" t="s">
        <v>179</v>
      </c>
      <c r="P73" s="79">
        <v>45116.750358796293</v>
      </c>
      <c r="Q73" s="77" t="s">
        <v>1034</v>
      </c>
      <c r="R73" s="77">
        <v>0</v>
      </c>
      <c r="S73" s="77">
        <v>0</v>
      </c>
      <c r="T73" s="77">
        <v>0</v>
      </c>
      <c r="U73" s="77">
        <v>0</v>
      </c>
      <c r="V73" s="77">
        <v>1567</v>
      </c>
      <c r="W73" s="81" t="s">
        <v>2971</v>
      </c>
      <c r="X73" s="83" t="str">
        <f>HYPERLINK("https://bit.ly/3rpppJH")</f>
        <v>https://bit.ly/3rpppJH</v>
      </c>
      <c r="Y73" s="77" t="s">
        <v>4213</v>
      </c>
      <c r="Z73" s="77"/>
      <c r="AA73" s="77"/>
      <c r="AB73" s="77"/>
      <c r="AC73" s="81" t="s">
        <v>5809</v>
      </c>
      <c r="AD73" s="77" t="s">
        <v>5850</v>
      </c>
      <c r="AE73" s="83" t="str">
        <f>HYPERLINK("https://twitter.com/telenoticiasrd/status/1678101840385257472")</f>
        <v>https://twitter.com/telenoticiasrd/status/1678101840385257472</v>
      </c>
      <c r="AF73" s="79">
        <v>45116.750358796293</v>
      </c>
      <c r="AG73" s="85">
        <v>45116</v>
      </c>
      <c r="AH73" s="81" t="s">
        <v>5922</v>
      </c>
      <c r="AI73" s="77" t="b">
        <v>0</v>
      </c>
      <c r="AJ73" s="77"/>
      <c r="AK73" s="77"/>
      <c r="AL73" s="77"/>
      <c r="AM73" s="77"/>
      <c r="AN73" s="77"/>
      <c r="AO73" s="77"/>
      <c r="AP73" s="77"/>
      <c r="AQ73" s="77"/>
      <c r="AR73" s="77"/>
      <c r="AS73" s="77"/>
      <c r="AT73" s="77"/>
      <c r="AU73" s="77"/>
      <c r="AV73" s="83" t="str">
        <f>HYPERLINK("https://pbs.twimg.com/profile_images/1633919342814412807/35sdQJcV_normal.jpg")</f>
        <v>https://pbs.twimg.com/profile_images/1633919342814412807/35sdQJcV_normal.jpg</v>
      </c>
      <c r="AW73" s="81" t="s">
        <v>9355</v>
      </c>
      <c r="AX73" s="81" t="s">
        <v>9355</v>
      </c>
      <c r="AY73" s="77"/>
      <c r="AZ73" s="81" t="s">
        <v>11359</v>
      </c>
      <c r="BA73" s="81" t="s">
        <v>11359</v>
      </c>
      <c r="BB73" s="81" t="s">
        <v>11359</v>
      </c>
      <c r="BC73" s="81" t="s">
        <v>9355</v>
      </c>
      <c r="BD73" s="77">
        <v>54045693</v>
      </c>
      <c r="BE73" s="77"/>
      <c r="BF73" s="77"/>
      <c r="BG73" s="77"/>
      <c r="BH73" s="77"/>
      <c r="BI73" s="77"/>
    </row>
    <row r="74" spans="1:61" x14ac:dyDescent="0.25">
      <c r="A74" s="62" t="s">
        <v>251</v>
      </c>
      <c r="B74" s="62" t="s">
        <v>251</v>
      </c>
      <c r="C74" s="63"/>
      <c r="D74" s="64"/>
      <c r="E74" s="65"/>
      <c r="F74" s="66"/>
      <c r="G74" s="63"/>
      <c r="H74" s="67"/>
      <c r="I74" s="68"/>
      <c r="J74" s="68"/>
      <c r="K74" s="32"/>
      <c r="L74" s="75">
        <v>74</v>
      </c>
      <c r="M74" s="75"/>
      <c r="N74" s="70"/>
      <c r="O74" s="77" t="s">
        <v>179</v>
      </c>
      <c r="P74" s="79">
        <v>45159.615069444444</v>
      </c>
      <c r="Q74" s="77" t="s">
        <v>1035</v>
      </c>
      <c r="R74" s="77">
        <v>1</v>
      </c>
      <c r="S74" s="77">
        <v>1</v>
      </c>
      <c r="T74" s="77">
        <v>0</v>
      </c>
      <c r="U74" s="77">
        <v>1</v>
      </c>
      <c r="V74" s="77">
        <v>1433</v>
      </c>
      <c r="W74" s="81" t="s">
        <v>2972</v>
      </c>
      <c r="X74" s="83" t="str">
        <f>HYPERLINK("https://bit.ly/3QUSk30")</f>
        <v>https://bit.ly/3QUSk30</v>
      </c>
      <c r="Y74" s="77" t="s">
        <v>4213</v>
      </c>
      <c r="Z74" s="77"/>
      <c r="AA74" s="77"/>
      <c r="AB74" s="77"/>
      <c r="AC74" s="81" t="s">
        <v>5809</v>
      </c>
      <c r="AD74" s="77" t="s">
        <v>5850</v>
      </c>
      <c r="AE74" s="83" t="str">
        <f>HYPERLINK("https://twitter.com/telenoticiasrd/status/1693635491365634205")</f>
        <v>https://twitter.com/telenoticiasrd/status/1693635491365634205</v>
      </c>
      <c r="AF74" s="79">
        <v>45159.615069444444</v>
      </c>
      <c r="AG74" s="85">
        <v>45159</v>
      </c>
      <c r="AH74" s="81" t="s">
        <v>5923</v>
      </c>
      <c r="AI74" s="77" t="b">
        <v>0</v>
      </c>
      <c r="AJ74" s="77"/>
      <c r="AK74" s="77"/>
      <c r="AL74" s="77"/>
      <c r="AM74" s="77"/>
      <c r="AN74" s="77"/>
      <c r="AO74" s="77"/>
      <c r="AP74" s="77"/>
      <c r="AQ74" s="77"/>
      <c r="AR74" s="77"/>
      <c r="AS74" s="77"/>
      <c r="AT74" s="77"/>
      <c r="AU74" s="77"/>
      <c r="AV74" s="83" t="str">
        <f>HYPERLINK("https://pbs.twimg.com/profile_images/1633919342814412807/35sdQJcV_normal.jpg")</f>
        <v>https://pbs.twimg.com/profile_images/1633919342814412807/35sdQJcV_normal.jpg</v>
      </c>
      <c r="AW74" s="81" t="s">
        <v>9356</v>
      </c>
      <c r="AX74" s="81" t="s">
        <v>9356</v>
      </c>
      <c r="AY74" s="77"/>
      <c r="AZ74" s="81" t="s">
        <v>11359</v>
      </c>
      <c r="BA74" s="81" t="s">
        <v>11359</v>
      </c>
      <c r="BB74" s="81" t="s">
        <v>11359</v>
      </c>
      <c r="BC74" s="81" t="s">
        <v>9356</v>
      </c>
      <c r="BD74" s="77">
        <v>54045693</v>
      </c>
      <c r="BE74" s="77"/>
      <c r="BF74" s="77"/>
      <c r="BG74" s="77"/>
      <c r="BH74" s="77"/>
      <c r="BI74" s="77"/>
    </row>
    <row r="75" spans="1:61" x14ac:dyDescent="0.25">
      <c r="A75" s="62" t="s">
        <v>252</v>
      </c>
      <c r="B75" s="62" t="s">
        <v>252</v>
      </c>
      <c r="C75" s="63"/>
      <c r="D75" s="64"/>
      <c r="E75" s="65"/>
      <c r="F75" s="66"/>
      <c r="G75" s="63"/>
      <c r="H75" s="67"/>
      <c r="I75" s="68"/>
      <c r="J75" s="68"/>
      <c r="K75" s="32"/>
      <c r="L75" s="75">
        <v>75</v>
      </c>
      <c r="M75" s="75"/>
      <c r="N75" s="70"/>
      <c r="O75" s="77" t="s">
        <v>179</v>
      </c>
      <c r="P75" s="79">
        <v>45117.680173611108</v>
      </c>
      <c r="Q75" s="77" t="s">
        <v>1036</v>
      </c>
      <c r="R75" s="77">
        <v>0</v>
      </c>
      <c r="S75" s="77">
        <v>0</v>
      </c>
      <c r="T75" s="77">
        <v>0</v>
      </c>
      <c r="U75" s="77">
        <v>0</v>
      </c>
      <c r="V75" s="77">
        <v>5</v>
      </c>
      <c r="W75" s="81" t="s">
        <v>2973</v>
      </c>
      <c r="X75" s="83" t="str">
        <f>HYPERLINK("https://youtu.be/enBxRYHzivA")</f>
        <v>https://youtu.be/enBxRYHzivA</v>
      </c>
      <c r="Y75" s="77" t="s">
        <v>4214</v>
      </c>
      <c r="Z75" s="77"/>
      <c r="AA75" s="77"/>
      <c r="AB75" s="77"/>
      <c r="AC75" s="81" t="s">
        <v>5805</v>
      </c>
      <c r="AD75" s="77" t="s">
        <v>5850</v>
      </c>
      <c r="AE75" s="83" t="str">
        <f>HYPERLINK("https://twitter.com/armandopdiaz/status/1678438794930839552")</f>
        <v>https://twitter.com/armandopdiaz/status/1678438794930839552</v>
      </c>
      <c r="AF75" s="79">
        <v>45117.680173611108</v>
      </c>
      <c r="AG75" s="85">
        <v>45117</v>
      </c>
      <c r="AH75" s="81" t="s">
        <v>5924</v>
      </c>
      <c r="AI75" s="77" t="b">
        <v>0</v>
      </c>
      <c r="AJ75" s="77"/>
      <c r="AK75" s="77"/>
      <c r="AL75" s="77"/>
      <c r="AM75" s="77"/>
      <c r="AN75" s="77"/>
      <c r="AO75" s="77"/>
      <c r="AP75" s="77"/>
      <c r="AQ75" s="77"/>
      <c r="AR75" s="77"/>
      <c r="AS75" s="77"/>
      <c r="AT75" s="77"/>
      <c r="AU75" s="77"/>
      <c r="AV75" s="83" t="str">
        <f>HYPERLINK("https://pbs.twimg.com/profile_images/3779235378/454934f562eb5ca7785557336e31a2b6_normal.png")</f>
        <v>https://pbs.twimg.com/profile_images/3779235378/454934f562eb5ca7785557336e31a2b6_normal.png</v>
      </c>
      <c r="AW75" s="81" t="s">
        <v>9357</v>
      </c>
      <c r="AX75" s="81" t="s">
        <v>9357</v>
      </c>
      <c r="AY75" s="77"/>
      <c r="AZ75" s="81" t="s">
        <v>11359</v>
      </c>
      <c r="BA75" s="81" t="s">
        <v>11359</v>
      </c>
      <c r="BB75" s="81" t="s">
        <v>11359</v>
      </c>
      <c r="BC75" s="81" t="s">
        <v>9357</v>
      </c>
      <c r="BD75" s="77">
        <v>14774492</v>
      </c>
      <c r="BE75" s="77"/>
      <c r="BF75" s="77"/>
      <c r="BG75" s="77"/>
      <c r="BH75" s="77"/>
      <c r="BI75" s="77"/>
    </row>
    <row r="76" spans="1:61" x14ac:dyDescent="0.25">
      <c r="A76" s="62" t="s">
        <v>253</v>
      </c>
      <c r="B76" s="62" t="s">
        <v>253</v>
      </c>
      <c r="C76" s="63"/>
      <c r="D76" s="64"/>
      <c r="E76" s="65"/>
      <c r="F76" s="66"/>
      <c r="G76" s="63"/>
      <c r="H76" s="67"/>
      <c r="I76" s="68"/>
      <c r="J76" s="68"/>
      <c r="K76" s="32"/>
      <c r="L76" s="75">
        <v>76</v>
      </c>
      <c r="M76" s="75"/>
      <c r="N76" s="70"/>
      <c r="O76" s="77" t="s">
        <v>969</v>
      </c>
      <c r="P76" s="79">
        <v>45163.583460648151</v>
      </c>
      <c r="Q76" s="77" t="s">
        <v>1037</v>
      </c>
      <c r="R76" s="77">
        <v>0</v>
      </c>
      <c r="S76" s="77">
        <v>0</v>
      </c>
      <c r="T76" s="77">
        <v>0</v>
      </c>
      <c r="U76" s="77">
        <v>0</v>
      </c>
      <c r="V76" s="77">
        <v>405</v>
      </c>
      <c r="W76" s="81" t="s">
        <v>2974</v>
      </c>
      <c r="X76" s="77"/>
      <c r="Y76" s="77"/>
      <c r="Z76" s="77"/>
      <c r="AA76" s="77"/>
      <c r="AB76" s="77"/>
      <c r="AC76" s="81" t="s">
        <v>5805</v>
      </c>
      <c r="AD76" s="77" t="s">
        <v>5854</v>
      </c>
      <c r="AE76" s="83" t="str">
        <f>HYPERLINK("https://twitter.com/pfdoarmario/status/1695073589471457777")</f>
        <v>https://twitter.com/pfdoarmario/status/1695073589471457777</v>
      </c>
      <c r="AF76" s="79">
        <v>45163.583460648151</v>
      </c>
      <c r="AG76" s="85">
        <v>45163</v>
      </c>
      <c r="AH76" s="81" t="s">
        <v>5925</v>
      </c>
      <c r="AI76" s="77"/>
      <c r="AJ76" s="77"/>
      <c r="AK76" s="77"/>
      <c r="AL76" s="77"/>
      <c r="AM76" s="77"/>
      <c r="AN76" s="77"/>
      <c r="AO76" s="77"/>
      <c r="AP76" s="77"/>
      <c r="AQ76" s="77"/>
      <c r="AR76" s="77"/>
      <c r="AS76" s="77"/>
      <c r="AT76" s="77"/>
      <c r="AU76" s="77"/>
      <c r="AV76" s="83" t="str">
        <f>HYPERLINK("https://pbs.twimg.com/profile_images/1628031069189537792/T6tu554C_normal.jpg")</f>
        <v>https://pbs.twimg.com/profile_images/1628031069189537792/T6tu554C_normal.jpg</v>
      </c>
      <c r="AW76" s="81" t="s">
        <v>9358</v>
      </c>
      <c r="AX76" s="81" t="s">
        <v>11248</v>
      </c>
      <c r="AY76" s="81" t="s">
        <v>11318</v>
      </c>
      <c r="AZ76" s="81" t="s">
        <v>11248</v>
      </c>
      <c r="BA76" s="81" t="s">
        <v>11359</v>
      </c>
      <c r="BB76" s="81" t="s">
        <v>11359</v>
      </c>
      <c r="BC76" s="81" t="s">
        <v>11248</v>
      </c>
      <c r="BD76" s="81" t="s">
        <v>11318</v>
      </c>
      <c r="BE76" s="77"/>
      <c r="BF76" s="77"/>
      <c r="BG76" s="77"/>
      <c r="BH76" s="77"/>
      <c r="BI76" s="77"/>
    </row>
    <row r="77" spans="1:61" x14ac:dyDescent="0.25">
      <c r="A77" s="62" t="s">
        <v>254</v>
      </c>
      <c r="B77" s="62" t="s">
        <v>254</v>
      </c>
      <c r="C77" s="63"/>
      <c r="D77" s="64"/>
      <c r="E77" s="65"/>
      <c r="F77" s="66"/>
      <c r="G77" s="63"/>
      <c r="H77" s="67"/>
      <c r="I77" s="68"/>
      <c r="J77" s="68"/>
      <c r="K77" s="32"/>
      <c r="L77" s="75">
        <v>77</v>
      </c>
      <c r="M77" s="75"/>
      <c r="N77" s="70"/>
      <c r="O77" s="77" t="s">
        <v>179</v>
      </c>
      <c r="P77" s="79">
        <v>45020.560810185183</v>
      </c>
      <c r="Q77" s="77" t="s">
        <v>1038</v>
      </c>
      <c r="R77" s="77">
        <v>2</v>
      </c>
      <c r="S77" s="77">
        <v>2</v>
      </c>
      <c r="T77" s="77">
        <v>0</v>
      </c>
      <c r="U77" s="77">
        <v>0</v>
      </c>
      <c r="V77" s="77">
        <v>87</v>
      </c>
      <c r="W77" s="81" t="s">
        <v>2975</v>
      </c>
      <c r="X77" s="83" t="str">
        <f>HYPERLINK("https://lnkd.in/e-sZpVYX")</f>
        <v>https://lnkd.in/e-sZpVYX</v>
      </c>
      <c r="Y77" s="77" t="s">
        <v>4221</v>
      </c>
      <c r="Z77" s="77"/>
      <c r="AA77" s="77" t="s">
        <v>4434</v>
      </c>
      <c r="AB77" s="77" t="s">
        <v>5794</v>
      </c>
      <c r="AC77" s="81" t="s">
        <v>5802</v>
      </c>
      <c r="AD77" s="77" t="s">
        <v>5850</v>
      </c>
      <c r="AE77" s="83" t="str">
        <f>HYPERLINK("https://twitter.com/ticjobco/status/1643243917540831234")</f>
        <v>https://twitter.com/ticjobco/status/1643243917540831234</v>
      </c>
      <c r="AF77" s="79">
        <v>45020.560810185183</v>
      </c>
      <c r="AG77" s="85">
        <v>45020</v>
      </c>
      <c r="AH77" s="81" t="s">
        <v>5926</v>
      </c>
      <c r="AI77" s="77" t="b">
        <v>0</v>
      </c>
      <c r="AJ77" s="77"/>
      <c r="AK77" s="77"/>
      <c r="AL77" s="77"/>
      <c r="AM77" s="77"/>
      <c r="AN77" s="77"/>
      <c r="AO77" s="77"/>
      <c r="AP77" s="77"/>
      <c r="AQ77" s="77" t="s">
        <v>7937</v>
      </c>
      <c r="AR77" s="77"/>
      <c r="AS77" s="77"/>
      <c r="AT77" s="77"/>
      <c r="AU77" s="77"/>
      <c r="AV77" s="83" t="str">
        <f>HYPERLINK("https://pbs.twimg.com/media/Fs35orBXgAEA3N7.jpg")</f>
        <v>https://pbs.twimg.com/media/Fs35orBXgAEA3N7.jpg</v>
      </c>
      <c r="AW77" s="81" t="s">
        <v>9359</v>
      </c>
      <c r="AX77" s="81" t="s">
        <v>9359</v>
      </c>
      <c r="AY77" s="77"/>
      <c r="AZ77" s="81" t="s">
        <v>11359</v>
      </c>
      <c r="BA77" s="81" t="s">
        <v>11359</v>
      </c>
      <c r="BB77" s="81" t="s">
        <v>11359</v>
      </c>
      <c r="BC77" s="81" t="s">
        <v>9359</v>
      </c>
      <c r="BD77" s="81" t="s">
        <v>11413</v>
      </c>
      <c r="BE77" s="77"/>
      <c r="BF77" s="77"/>
      <c r="BG77" s="77"/>
      <c r="BH77" s="77"/>
      <c r="BI77" s="77"/>
    </row>
    <row r="78" spans="1:61" x14ac:dyDescent="0.25">
      <c r="A78" s="62" t="s">
        <v>254</v>
      </c>
      <c r="B78" s="62" t="s">
        <v>254</v>
      </c>
      <c r="C78" s="63"/>
      <c r="D78" s="64"/>
      <c r="E78" s="65"/>
      <c r="F78" s="66"/>
      <c r="G78" s="63"/>
      <c r="H78" s="67"/>
      <c r="I78" s="68"/>
      <c r="J78" s="68"/>
      <c r="K78" s="32"/>
      <c r="L78" s="75">
        <v>78</v>
      </c>
      <c r="M78" s="75"/>
      <c r="N78" s="70"/>
      <c r="O78" s="77" t="s">
        <v>179</v>
      </c>
      <c r="P78" s="79">
        <v>45033.880810185183</v>
      </c>
      <c r="Q78" s="77" t="s">
        <v>1039</v>
      </c>
      <c r="R78" s="77">
        <v>2</v>
      </c>
      <c r="S78" s="77">
        <v>3</v>
      </c>
      <c r="T78" s="77">
        <v>0</v>
      </c>
      <c r="U78" s="77">
        <v>0</v>
      </c>
      <c r="V78" s="77">
        <v>104</v>
      </c>
      <c r="W78" s="81" t="s">
        <v>2976</v>
      </c>
      <c r="X78" s="83" t="str">
        <f>HYPERLINK("https://lnkd.in/e-sZpVYX")</f>
        <v>https://lnkd.in/e-sZpVYX</v>
      </c>
      <c r="Y78" s="77" t="s">
        <v>4221</v>
      </c>
      <c r="Z78" s="77"/>
      <c r="AA78" s="77" t="s">
        <v>4435</v>
      </c>
      <c r="AB78" s="77" t="s">
        <v>5794</v>
      </c>
      <c r="AC78" s="81" t="s">
        <v>5802</v>
      </c>
      <c r="AD78" s="77" t="s">
        <v>5850</v>
      </c>
      <c r="AE78" s="83" t="str">
        <f>HYPERLINK("https://twitter.com/ticjobco/status/1648070921536536576")</f>
        <v>https://twitter.com/ticjobco/status/1648070921536536576</v>
      </c>
      <c r="AF78" s="79">
        <v>45033.880810185183</v>
      </c>
      <c r="AG78" s="85">
        <v>45033</v>
      </c>
      <c r="AH78" s="81" t="s">
        <v>5927</v>
      </c>
      <c r="AI78" s="77" t="b">
        <v>0</v>
      </c>
      <c r="AJ78" s="77"/>
      <c r="AK78" s="77"/>
      <c r="AL78" s="77"/>
      <c r="AM78" s="77"/>
      <c r="AN78" s="77"/>
      <c r="AO78" s="77"/>
      <c r="AP78" s="77"/>
      <c r="AQ78" s="77" t="s">
        <v>7938</v>
      </c>
      <c r="AR78" s="77"/>
      <c r="AS78" s="77"/>
      <c r="AT78" s="77"/>
      <c r="AU78" s="77"/>
      <c r="AV78" s="83" t="str">
        <f>HYPERLINK("https://pbs.twimg.com/media/Ft8fxPNXgAAvrIz.jpg")</f>
        <v>https://pbs.twimg.com/media/Ft8fxPNXgAAvrIz.jpg</v>
      </c>
      <c r="AW78" s="81" t="s">
        <v>9360</v>
      </c>
      <c r="AX78" s="81" t="s">
        <v>9360</v>
      </c>
      <c r="AY78" s="77"/>
      <c r="AZ78" s="81" t="s">
        <v>11359</v>
      </c>
      <c r="BA78" s="81" t="s">
        <v>11359</v>
      </c>
      <c r="BB78" s="81" t="s">
        <v>11359</v>
      </c>
      <c r="BC78" s="81" t="s">
        <v>9360</v>
      </c>
      <c r="BD78" s="81" t="s">
        <v>11413</v>
      </c>
      <c r="BE78" s="77"/>
      <c r="BF78" s="77"/>
      <c r="BG78" s="77"/>
      <c r="BH78" s="77"/>
      <c r="BI78" s="77"/>
    </row>
    <row r="79" spans="1:61" x14ac:dyDescent="0.25">
      <c r="A79" s="62" t="s">
        <v>254</v>
      </c>
      <c r="B79" s="62" t="s">
        <v>254</v>
      </c>
      <c r="C79" s="63"/>
      <c r="D79" s="64"/>
      <c r="E79" s="65"/>
      <c r="F79" s="66"/>
      <c r="G79" s="63"/>
      <c r="H79" s="67"/>
      <c r="I79" s="68"/>
      <c r="J79" s="68"/>
      <c r="K79" s="32"/>
      <c r="L79" s="75">
        <v>79</v>
      </c>
      <c r="M79" s="75"/>
      <c r="N79" s="70"/>
      <c r="O79" s="77" t="s">
        <v>179</v>
      </c>
      <c r="P79" s="79">
        <v>45043.658483796295</v>
      </c>
      <c r="Q79" s="77" t="s">
        <v>1040</v>
      </c>
      <c r="R79" s="77">
        <v>2</v>
      </c>
      <c r="S79" s="77">
        <v>3</v>
      </c>
      <c r="T79" s="77">
        <v>0</v>
      </c>
      <c r="U79" s="77">
        <v>0</v>
      </c>
      <c r="V79" s="77">
        <v>73</v>
      </c>
      <c r="W79" s="81" t="s">
        <v>2977</v>
      </c>
      <c r="X79" s="83" t="str">
        <f>HYPERLINK("https://lnkd.in/e-sZpVYX")</f>
        <v>https://lnkd.in/e-sZpVYX</v>
      </c>
      <c r="Y79" s="77" t="s">
        <v>4221</v>
      </c>
      <c r="Z79" s="77"/>
      <c r="AA79" s="77" t="s">
        <v>4436</v>
      </c>
      <c r="AB79" s="77" t="s">
        <v>5794</v>
      </c>
      <c r="AC79" s="81" t="s">
        <v>5802</v>
      </c>
      <c r="AD79" s="77" t="s">
        <v>5850</v>
      </c>
      <c r="AE79" s="83" t="str">
        <f>HYPERLINK("https://twitter.com/ticjobco/status/1651614232348172288")</f>
        <v>https://twitter.com/ticjobco/status/1651614232348172288</v>
      </c>
      <c r="AF79" s="79">
        <v>45043.658483796295</v>
      </c>
      <c r="AG79" s="85">
        <v>45043</v>
      </c>
      <c r="AH79" s="81" t="s">
        <v>5928</v>
      </c>
      <c r="AI79" s="77" t="b">
        <v>0</v>
      </c>
      <c r="AJ79" s="77"/>
      <c r="AK79" s="77"/>
      <c r="AL79" s="77"/>
      <c r="AM79" s="77"/>
      <c r="AN79" s="77"/>
      <c r="AO79" s="77"/>
      <c r="AP79" s="77"/>
      <c r="AQ79" s="77" t="s">
        <v>7939</v>
      </c>
      <c r="AR79" s="77"/>
      <c r="AS79" s="77"/>
      <c r="AT79" s="77"/>
      <c r="AU79" s="77"/>
      <c r="AV79" s="83" t="str">
        <f>HYPERLINK("https://pbs.twimg.com/media/Fuu2ZEpWcAEwQYO.jpg")</f>
        <v>https://pbs.twimg.com/media/Fuu2ZEpWcAEwQYO.jpg</v>
      </c>
      <c r="AW79" s="81" t="s">
        <v>9361</v>
      </c>
      <c r="AX79" s="81" t="s">
        <v>9361</v>
      </c>
      <c r="AY79" s="77"/>
      <c r="AZ79" s="81" t="s">
        <v>11359</v>
      </c>
      <c r="BA79" s="81" t="s">
        <v>11359</v>
      </c>
      <c r="BB79" s="81" t="s">
        <v>11359</v>
      </c>
      <c r="BC79" s="81" t="s">
        <v>9361</v>
      </c>
      <c r="BD79" s="81" t="s">
        <v>11413</v>
      </c>
      <c r="BE79" s="77"/>
      <c r="BF79" s="77"/>
      <c r="BG79" s="77"/>
      <c r="BH79" s="77"/>
      <c r="BI79" s="77"/>
    </row>
    <row r="80" spans="1:61" x14ac:dyDescent="0.25">
      <c r="A80" s="62" t="s">
        <v>255</v>
      </c>
      <c r="B80" s="62" t="s">
        <v>255</v>
      </c>
      <c r="C80" s="63"/>
      <c r="D80" s="64"/>
      <c r="E80" s="65"/>
      <c r="F80" s="66"/>
      <c r="G80" s="63"/>
      <c r="H80" s="67"/>
      <c r="I80" s="68"/>
      <c r="J80" s="68"/>
      <c r="K80" s="32"/>
      <c r="L80" s="75">
        <v>80</v>
      </c>
      <c r="M80" s="75"/>
      <c r="N80" s="70"/>
      <c r="O80" s="77" t="s">
        <v>967</v>
      </c>
      <c r="P80" s="79">
        <v>45131.810567129629</v>
      </c>
      <c r="Q80" s="77" t="s">
        <v>1041</v>
      </c>
      <c r="R80" s="77">
        <v>0</v>
      </c>
      <c r="S80" s="77">
        <v>0</v>
      </c>
      <c r="T80" s="77">
        <v>0</v>
      </c>
      <c r="U80" s="77">
        <v>0</v>
      </c>
      <c r="V80" s="77">
        <v>4</v>
      </c>
      <c r="W80" s="81" t="s">
        <v>2978</v>
      </c>
      <c r="X80" s="83" t="str">
        <f>HYPERLINK("http://Cotizamos.com.mx")</f>
        <v>http://Cotizamos.com.mx</v>
      </c>
      <c r="Y80" s="77" t="s">
        <v>4222</v>
      </c>
      <c r="Z80" s="77" t="s">
        <v>255</v>
      </c>
      <c r="AA80" s="77" t="s">
        <v>4437</v>
      </c>
      <c r="AB80" s="77" t="s">
        <v>5795</v>
      </c>
      <c r="AC80" s="81" t="s">
        <v>5805</v>
      </c>
      <c r="AD80" s="77" t="s">
        <v>5850</v>
      </c>
      <c r="AE80" s="83" t="str">
        <f>HYPERLINK("https://twitter.com/grupoperseo/status/1683559478786924544")</f>
        <v>https://twitter.com/grupoperseo/status/1683559478786924544</v>
      </c>
      <c r="AF80" s="79">
        <v>45131.810567129629</v>
      </c>
      <c r="AG80" s="85">
        <v>45131</v>
      </c>
      <c r="AH80" s="81" t="s">
        <v>5929</v>
      </c>
      <c r="AI80" s="77" t="b">
        <v>0</v>
      </c>
      <c r="AJ80" s="77"/>
      <c r="AK80" s="77"/>
      <c r="AL80" s="77"/>
      <c r="AM80" s="77"/>
      <c r="AN80" s="77"/>
      <c r="AO80" s="77"/>
      <c r="AP80" s="77"/>
      <c r="AQ80" s="77" t="s">
        <v>7940</v>
      </c>
      <c r="AR80" s="77">
        <v>53521</v>
      </c>
      <c r="AS80" s="77"/>
      <c r="AT80" s="77"/>
      <c r="AU80" s="77"/>
      <c r="AV80" s="83" t="str">
        <f>HYPERLINK("https://pbs.twimg.com/ext_tw_video_thumb/1683559424160309254/pu/img/kkFDPyMjAUvaK5Id.jpg")</f>
        <v>https://pbs.twimg.com/ext_tw_video_thumb/1683559424160309254/pu/img/kkFDPyMjAUvaK5Id.jpg</v>
      </c>
      <c r="AW80" s="81" t="s">
        <v>9362</v>
      </c>
      <c r="AX80" s="81" t="s">
        <v>9362</v>
      </c>
      <c r="AY80" s="77"/>
      <c r="AZ80" s="81" t="s">
        <v>11359</v>
      </c>
      <c r="BA80" s="81" t="s">
        <v>11359</v>
      </c>
      <c r="BB80" s="81" t="s">
        <v>11359</v>
      </c>
      <c r="BC80" s="81" t="s">
        <v>9362</v>
      </c>
      <c r="BD80" s="81" t="s">
        <v>11414</v>
      </c>
      <c r="BE80" s="77"/>
      <c r="BF80" s="77"/>
      <c r="BG80" s="77"/>
      <c r="BH80" s="77"/>
      <c r="BI80" s="77"/>
    </row>
    <row r="81" spans="1:61" x14ac:dyDescent="0.25">
      <c r="A81" s="62" t="s">
        <v>256</v>
      </c>
      <c r="B81" s="62" t="s">
        <v>256</v>
      </c>
      <c r="C81" s="63"/>
      <c r="D81" s="64"/>
      <c r="E81" s="65"/>
      <c r="F81" s="66"/>
      <c r="G81" s="63"/>
      <c r="H81" s="67"/>
      <c r="I81" s="68"/>
      <c r="J81" s="68"/>
      <c r="K81" s="32"/>
      <c r="L81" s="75">
        <v>81</v>
      </c>
      <c r="M81" s="75"/>
      <c r="N81" s="70"/>
      <c r="O81" s="77" t="s">
        <v>179</v>
      </c>
      <c r="P81" s="79">
        <v>44990.800196759257</v>
      </c>
      <c r="Q81" s="77" t="s">
        <v>1042</v>
      </c>
      <c r="R81" s="77">
        <v>0</v>
      </c>
      <c r="S81" s="77">
        <v>0</v>
      </c>
      <c r="T81" s="77">
        <v>0</v>
      </c>
      <c r="U81" s="77">
        <v>0</v>
      </c>
      <c r="V81" s="77">
        <v>29</v>
      </c>
      <c r="W81" s="81" t="s">
        <v>2947</v>
      </c>
      <c r="X81" s="77"/>
      <c r="Y81" s="77"/>
      <c r="Z81" s="77"/>
      <c r="AA81" s="77" t="s">
        <v>4438</v>
      </c>
      <c r="AB81" s="77" t="s">
        <v>5794</v>
      </c>
      <c r="AC81" s="81" t="s">
        <v>5803</v>
      </c>
      <c r="AD81" s="77" t="s">
        <v>5855</v>
      </c>
      <c r="AE81" s="83" t="str">
        <f>HYPERLINK("https://twitter.com/thesassypants70/status/1632459030835654661")</f>
        <v>https://twitter.com/thesassypants70/status/1632459030835654661</v>
      </c>
      <c r="AF81" s="79">
        <v>44990.800196759257</v>
      </c>
      <c r="AG81" s="85">
        <v>44990</v>
      </c>
      <c r="AH81" s="81" t="s">
        <v>5930</v>
      </c>
      <c r="AI81" s="77" t="b">
        <v>0</v>
      </c>
      <c r="AJ81" s="77"/>
      <c r="AK81" s="77"/>
      <c r="AL81" s="77"/>
      <c r="AM81" s="77"/>
      <c r="AN81" s="77"/>
      <c r="AO81" s="77"/>
      <c r="AP81" s="77"/>
      <c r="AQ81" s="77" t="s">
        <v>7941</v>
      </c>
      <c r="AR81" s="77"/>
      <c r="AS81" s="77"/>
      <c r="AT81" s="77"/>
      <c r="AU81" s="77"/>
      <c r="AV81" s="83" t="str">
        <f>HYPERLINK("https://pbs.twimg.com/media/Fqeox8NakAA-jSm.jpg")</f>
        <v>https://pbs.twimg.com/media/Fqeox8NakAA-jSm.jpg</v>
      </c>
      <c r="AW81" s="81" t="s">
        <v>9363</v>
      </c>
      <c r="AX81" s="81" t="s">
        <v>9363</v>
      </c>
      <c r="AY81" s="77"/>
      <c r="AZ81" s="81" t="s">
        <v>11359</v>
      </c>
      <c r="BA81" s="81" t="s">
        <v>11359</v>
      </c>
      <c r="BB81" s="81" t="s">
        <v>11359</v>
      </c>
      <c r="BC81" s="81" t="s">
        <v>9363</v>
      </c>
      <c r="BD81" s="81" t="s">
        <v>11415</v>
      </c>
      <c r="BE81" s="77"/>
      <c r="BF81" s="77"/>
      <c r="BG81" s="77"/>
      <c r="BH81" s="77"/>
      <c r="BI81" s="77"/>
    </row>
    <row r="82" spans="1:61" x14ac:dyDescent="0.25">
      <c r="A82" s="62" t="s">
        <v>257</v>
      </c>
      <c r="B82" s="62" t="s">
        <v>257</v>
      </c>
      <c r="C82" s="63"/>
      <c r="D82" s="64"/>
      <c r="E82" s="65"/>
      <c r="F82" s="66"/>
      <c r="G82" s="63"/>
      <c r="H82" s="67"/>
      <c r="I82" s="68"/>
      <c r="J82" s="68"/>
      <c r="K82" s="32"/>
      <c r="L82" s="75">
        <v>82</v>
      </c>
      <c r="M82" s="75"/>
      <c r="N82" s="70"/>
      <c r="O82" s="77" t="s">
        <v>179</v>
      </c>
      <c r="P82" s="79">
        <v>45035.877997685187</v>
      </c>
      <c r="Q82" s="77" t="s">
        <v>1043</v>
      </c>
      <c r="R82" s="77">
        <v>0</v>
      </c>
      <c r="S82" s="77">
        <v>0</v>
      </c>
      <c r="T82" s="77">
        <v>0</v>
      </c>
      <c r="U82" s="77">
        <v>0</v>
      </c>
      <c r="V82" s="77">
        <v>17</v>
      </c>
      <c r="W82" s="81" t="s">
        <v>2979</v>
      </c>
      <c r="X82" s="83" t="str">
        <f>HYPERLINK("https://lnkd.in/em7k8iTn")</f>
        <v>https://lnkd.in/em7k8iTn</v>
      </c>
      <c r="Y82" s="77" t="s">
        <v>4221</v>
      </c>
      <c r="Z82" s="77"/>
      <c r="AA82" s="77"/>
      <c r="AB82" s="77"/>
      <c r="AC82" s="81" t="s">
        <v>5810</v>
      </c>
      <c r="AD82" s="77" t="s">
        <v>5850</v>
      </c>
      <c r="AE82" s="83" t="str">
        <f>HYPERLINK("https://twitter.com/vacantesaps/status/1648794679981252608")</f>
        <v>https://twitter.com/vacantesaps/status/1648794679981252608</v>
      </c>
      <c r="AF82" s="79">
        <v>45035.877997685187</v>
      </c>
      <c r="AG82" s="85">
        <v>45035</v>
      </c>
      <c r="AH82" s="81" t="s">
        <v>5931</v>
      </c>
      <c r="AI82" s="77" t="b">
        <v>0</v>
      </c>
      <c r="AJ82" s="77"/>
      <c r="AK82" s="77"/>
      <c r="AL82" s="77"/>
      <c r="AM82" s="77"/>
      <c r="AN82" s="77"/>
      <c r="AO82" s="77"/>
      <c r="AP82" s="77"/>
      <c r="AQ82" s="77"/>
      <c r="AR82" s="77"/>
      <c r="AS82" s="77"/>
      <c r="AT82" s="77"/>
      <c r="AU82" s="77"/>
      <c r="AV82" s="83" t="str">
        <f>HYPERLINK("https://pbs.twimg.com/profile_images/523199421358432256/DNk6jZEf_normal.jpeg")</f>
        <v>https://pbs.twimg.com/profile_images/523199421358432256/DNk6jZEf_normal.jpeg</v>
      </c>
      <c r="AW82" s="81" t="s">
        <v>9364</v>
      </c>
      <c r="AX82" s="81" t="s">
        <v>9364</v>
      </c>
      <c r="AY82" s="77"/>
      <c r="AZ82" s="81" t="s">
        <v>11359</v>
      </c>
      <c r="BA82" s="81" t="s">
        <v>11359</v>
      </c>
      <c r="BB82" s="81" t="s">
        <v>11359</v>
      </c>
      <c r="BC82" s="81" t="s">
        <v>9364</v>
      </c>
      <c r="BD82" s="77">
        <v>104849154</v>
      </c>
      <c r="BE82" s="77"/>
      <c r="BF82" s="77"/>
      <c r="BG82" s="77"/>
      <c r="BH82" s="77"/>
      <c r="BI82" s="77"/>
    </row>
    <row r="83" spans="1:61" x14ac:dyDescent="0.25">
      <c r="A83" s="62" t="s">
        <v>258</v>
      </c>
      <c r="B83" s="62" t="s">
        <v>258</v>
      </c>
      <c r="C83" s="63"/>
      <c r="D83" s="64"/>
      <c r="E83" s="65"/>
      <c r="F83" s="66"/>
      <c r="G83" s="63"/>
      <c r="H83" s="67"/>
      <c r="I83" s="68"/>
      <c r="J83" s="68"/>
      <c r="K83" s="32"/>
      <c r="L83" s="75">
        <v>83</v>
      </c>
      <c r="M83" s="75"/>
      <c r="N83" s="70"/>
      <c r="O83" s="77" t="s">
        <v>179</v>
      </c>
      <c r="P83" s="79">
        <v>44975.12290509259</v>
      </c>
      <c r="Q83" s="77" t="s">
        <v>1044</v>
      </c>
      <c r="R83" s="77">
        <v>0</v>
      </c>
      <c r="S83" s="77">
        <v>0</v>
      </c>
      <c r="T83" s="77">
        <v>0</v>
      </c>
      <c r="U83" s="77">
        <v>0</v>
      </c>
      <c r="V83" s="77">
        <v>40</v>
      </c>
      <c r="W83" s="81" t="s">
        <v>2980</v>
      </c>
      <c r="X83" s="77"/>
      <c r="Y83" s="77"/>
      <c r="Z83" s="77"/>
      <c r="AA83" s="77" t="s">
        <v>4439</v>
      </c>
      <c r="AB83" s="77" t="s">
        <v>5795</v>
      </c>
      <c r="AC83" s="81" t="s">
        <v>5803</v>
      </c>
      <c r="AD83" s="77" t="s">
        <v>5851</v>
      </c>
      <c r="AE83" s="83" t="str">
        <f>HYPERLINK("https://twitter.com/lojaelenicosta/status/1626777771950190592")</f>
        <v>https://twitter.com/lojaelenicosta/status/1626777771950190592</v>
      </c>
      <c r="AF83" s="79">
        <v>44975.12290509259</v>
      </c>
      <c r="AG83" s="85">
        <v>44975</v>
      </c>
      <c r="AH83" s="81" t="s">
        <v>5932</v>
      </c>
      <c r="AI83" s="77" t="b">
        <v>0</v>
      </c>
      <c r="AJ83" s="77"/>
      <c r="AK83" s="77"/>
      <c r="AL83" s="77"/>
      <c r="AM83" s="77"/>
      <c r="AN83" s="77"/>
      <c r="AO83" s="77"/>
      <c r="AP83" s="77"/>
      <c r="AQ83" s="77" t="s">
        <v>7942</v>
      </c>
      <c r="AR83" s="77">
        <v>11266</v>
      </c>
      <c r="AS83" s="77"/>
      <c r="AT83" s="77"/>
      <c r="AU83" s="77"/>
      <c r="AV83" s="83" t="str">
        <f>HYPERLINK("https://pbs.twimg.com/ext_tw_video_thumb/1626777729822560259/pu/img/0o_F3ohshN7cI1cT.jpg")</f>
        <v>https://pbs.twimg.com/ext_tw_video_thumb/1626777729822560259/pu/img/0o_F3ohshN7cI1cT.jpg</v>
      </c>
      <c r="AW83" s="81" t="s">
        <v>9365</v>
      </c>
      <c r="AX83" s="81" t="s">
        <v>9365</v>
      </c>
      <c r="AY83" s="77"/>
      <c r="AZ83" s="81" t="s">
        <v>11359</v>
      </c>
      <c r="BA83" s="81" t="s">
        <v>11359</v>
      </c>
      <c r="BB83" s="81" t="s">
        <v>11359</v>
      </c>
      <c r="BC83" s="81" t="s">
        <v>9365</v>
      </c>
      <c r="BD83" s="81" t="s">
        <v>11416</v>
      </c>
      <c r="BE83" s="77"/>
      <c r="BF83" s="77"/>
      <c r="BG83" s="77"/>
      <c r="BH83" s="77"/>
      <c r="BI83" s="77"/>
    </row>
    <row r="84" spans="1:61" x14ac:dyDescent="0.25">
      <c r="A84" s="62" t="s">
        <v>259</v>
      </c>
      <c r="B84" s="62" t="s">
        <v>259</v>
      </c>
      <c r="C84" s="63"/>
      <c r="D84" s="64"/>
      <c r="E84" s="65"/>
      <c r="F84" s="66"/>
      <c r="G84" s="63"/>
      <c r="H84" s="67"/>
      <c r="I84" s="68"/>
      <c r="J84" s="68"/>
      <c r="K84" s="32"/>
      <c r="L84" s="75">
        <v>84</v>
      </c>
      <c r="M84" s="75"/>
      <c r="N84" s="70"/>
      <c r="O84" s="77" t="s">
        <v>179</v>
      </c>
      <c r="P84" s="79">
        <v>45069.623923611114</v>
      </c>
      <c r="Q84" s="77" t="s">
        <v>1045</v>
      </c>
      <c r="R84" s="77">
        <v>0</v>
      </c>
      <c r="S84" s="77">
        <v>0</v>
      </c>
      <c r="T84" s="77">
        <v>0</v>
      </c>
      <c r="U84" s="77">
        <v>0</v>
      </c>
      <c r="V84" s="77">
        <v>48</v>
      </c>
      <c r="W84" s="81" t="s">
        <v>2981</v>
      </c>
      <c r="X84" s="77"/>
      <c r="Y84" s="77"/>
      <c r="Z84" s="77"/>
      <c r="AA84" s="77" t="s">
        <v>4440</v>
      </c>
      <c r="AB84" s="77" t="s">
        <v>5795</v>
      </c>
      <c r="AC84" s="81" t="s">
        <v>5803</v>
      </c>
      <c r="AD84" s="77" t="s">
        <v>5851</v>
      </c>
      <c r="AE84" s="83" t="str">
        <f>HYPERLINK("https://twitter.com/nakahashiadv/status/1661023793496858624")</f>
        <v>https://twitter.com/nakahashiadv/status/1661023793496858624</v>
      </c>
      <c r="AF84" s="79">
        <v>45069.623923611114</v>
      </c>
      <c r="AG84" s="85">
        <v>45069</v>
      </c>
      <c r="AH84" s="81" t="s">
        <v>5933</v>
      </c>
      <c r="AI84" s="77" t="b">
        <v>0</v>
      </c>
      <c r="AJ84" s="77"/>
      <c r="AK84" s="77"/>
      <c r="AL84" s="77"/>
      <c r="AM84" s="77"/>
      <c r="AN84" s="77"/>
      <c r="AO84" s="77"/>
      <c r="AP84" s="77"/>
      <c r="AQ84" s="77" t="s">
        <v>7943</v>
      </c>
      <c r="AR84" s="77">
        <v>59975</v>
      </c>
      <c r="AS84" s="77"/>
      <c r="AT84" s="77"/>
      <c r="AU84" s="77"/>
      <c r="AV84" s="83" t="str">
        <f>HYPERLINK("https://pbs.twimg.com/ext_tw_video_thumb/1661023744230584321/pu/img/eEdS_6_q-3aSWPVz.jpg")</f>
        <v>https://pbs.twimg.com/ext_tw_video_thumb/1661023744230584321/pu/img/eEdS_6_q-3aSWPVz.jpg</v>
      </c>
      <c r="AW84" s="81" t="s">
        <v>9366</v>
      </c>
      <c r="AX84" s="81" t="s">
        <v>9366</v>
      </c>
      <c r="AY84" s="77"/>
      <c r="AZ84" s="81" t="s">
        <v>11359</v>
      </c>
      <c r="BA84" s="81" t="s">
        <v>11359</v>
      </c>
      <c r="BB84" s="81" t="s">
        <v>11359</v>
      </c>
      <c r="BC84" s="81" t="s">
        <v>9366</v>
      </c>
      <c r="BD84" s="81" t="s">
        <v>11417</v>
      </c>
      <c r="BE84" s="77"/>
      <c r="BF84" s="77"/>
      <c r="BG84" s="77"/>
      <c r="BH84" s="77"/>
      <c r="BI84" s="77"/>
    </row>
    <row r="85" spans="1:61" x14ac:dyDescent="0.25">
      <c r="A85" s="62" t="s">
        <v>259</v>
      </c>
      <c r="B85" s="62" t="s">
        <v>259</v>
      </c>
      <c r="C85" s="63"/>
      <c r="D85" s="64"/>
      <c r="E85" s="65"/>
      <c r="F85" s="66"/>
      <c r="G85" s="63"/>
      <c r="H85" s="67"/>
      <c r="I85" s="68"/>
      <c r="J85" s="68"/>
      <c r="K85" s="32"/>
      <c r="L85" s="75">
        <v>85</v>
      </c>
      <c r="M85" s="75"/>
      <c r="N85" s="70"/>
      <c r="O85" s="77" t="s">
        <v>179</v>
      </c>
      <c r="P85" s="79">
        <v>45050.491759259261</v>
      </c>
      <c r="Q85" s="77" t="s">
        <v>1046</v>
      </c>
      <c r="R85" s="77">
        <v>0</v>
      </c>
      <c r="S85" s="77">
        <v>0</v>
      </c>
      <c r="T85" s="77">
        <v>0</v>
      </c>
      <c r="U85" s="77">
        <v>0</v>
      </c>
      <c r="V85" s="77">
        <v>45</v>
      </c>
      <c r="W85" s="81" t="s">
        <v>2982</v>
      </c>
      <c r="X85" s="77"/>
      <c r="Y85" s="77"/>
      <c r="Z85" s="77"/>
      <c r="AA85" s="77" t="s">
        <v>4441</v>
      </c>
      <c r="AB85" s="77" t="s">
        <v>5795</v>
      </c>
      <c r="AC85" s="81" t="s">
        <v>5803</v>
      </c>
      <c r="AD85" s="77" t="s">
        <v>5851</v>
      </c>
      <c r="AE85" s="83" t="str">
        <f>HYPERLINK("https://twitter.com/nakahashiadv/status/1654090530689523713")</f>
        <v>https://twitter.com/nakahashiadv/status/1654090530689523713</v>
      </c>
      <c r="AF85" s="79">
        <v>45050.491759259261</v>
      </c>
      <c r="AG85" s="85">
        <v>45050</v>
      </c>
      <c r="AH85" s="81" t="s">
        <v>5934</v>
      </c>
      <c r="AI85" s="77" t="b">
        <v>0</v>
      </c>
      <c r="AJ85" s="77"/>
      <c r="AK85" s="77"/>
      <c r="AL85" s="77"/>
      <c r="AM85" s="77"/>
      <c r="AN85" s="77"/>
      <c r="AO85" s="77"/>
      <c r="AP85" s="77"/>
      <c r="AQ85" s="77" t="s">
        <v>7944</v>
      </c>
      <c r="AR85" s="77">
        <v>26840</v>
      </c>
      <c r="AS85" s="77"/>
      <c r="AT85" s="77"/>
      <c r="AU85" s="77"/>
      <c r="AV85" s="83" t="str">
        <f>HYPERLINK("https://pbs.twimg.com/ext_tw_video_thumb/1654090492852809728/pu/img/Qes8KHvpR6PbMSod.jpg")</f>
        <v>https://pbs.twimg.com/ext_tw_video_thumb/1654090492852809728/pu/img/Qes8KHvpR6PbMSod.jpg</v>
      </c>
      <c r="AW85" s="81" t="s">
        <v>9367</v>
      </c>
      <c r="AX85" s="81" t="s">
        <v>9367</v>
      </c>
      <c r="AY85" s="77"/>
      <c r="AZ85" s="81" t="s">
        <v>11359</v>
      </c>
      <c r="BA85" s="81" t="s">
        <v>11359</v>
      </c>
      <c r="BB85" s="81" t="s">
        <v>11359</v>
      </c>
      <c r="BC85" s="81" t="s">
        <v>9367</v>
      </c>
      <c r="BD85" s="81" t="s">
        <v>11417</v>
      </c>
      <c r="BE85" s="77"/>
      <c r="BF85" s="77"/>
      <c r="BG85" s="77"/>
      <c r="BH85" s="77"/>
      <c r="BI85" s="77"/>
    </row>
    <row r="86" spans="1:61" x14ac:dyDescent="0.25">
      <c r="A86" s="62" t="s">
        <v>259</v>
      </c>
      <c r="B86" s="62" t="s">
        <v>259</v>
      </c>
      <c r="C86" s="63"/>
      <c r="D86" s="64"/>
      <c r="E86" s="65"/>
      <c r="F86" s="66"/>
      <c r="G86" s="63"/>
      <c r="H86" s="67"/>
      <c r="I86" s="68"/>
      <c r="J86" s="68"/>
      <c r="K86" s="32"/>
      <c r="L86" s="75">
        <v>86</v>
      </c>
      <c r="M86" s="75"/>
      <c r="N86" s="70"/>
      <c r="O86" s="77" t="s">
        <v>179</v>
      </c>
      <c r="P86" s="79">
        <v>45169.494317129633</v>
      </c>
      <c r="Q86" s="77" t="s">
        <v>1047</v>
      </c>
      <c r="R86" s="77">
        <v>0</v>
      </c>
      <c r="S86" s="77">
        <v>0</v>
      </c>
      <c r="T86" s="77">
        <v>0</v>
      </c>
      <c r="U86" s="77">
        <v>0</v>
      </c>
      <c r="V86" s="77">
        <v>128</v>
      </c>
      <c r="W86" s="81" t="s">
        <v>2983</v>
      </c>
      <c r="X86" s="77"/>
      <c r="Y86" s="77"/>
      <c r="Z86" s="77"/>
      <c r="AA86" s="77" t="s">
        <v>4442</v>
      </c>
      <c r="AB86" s="77" t="s">
        <v>5795</v>
      </c>
      <c r="AC86" s="81" t="s">
        <v>5803</v>
      </c>
      <c r="AD86" s="77" t="s">
        <v>5851</v>
      </c>
      <c r="AE86" s="83" t="str">
        <f>HYPERLINK("https://twitter.com/nakahashiadv/status/1697215614572437911")</f>
        <v>https://twitter.com/nakahashiadv/status/1697215614572437911</v>
      </c>
      <c r="AF86" s="79">
        <v>45169.494317129633</v>
      </c>
      <c r="AG86" s="85">
        <v>45169</v>
      </c>
      <c r="AH86" s="81" t="s">
        <v>5935</v>
      </c>
      <c r="AI86" s="77" t="b">
        <v>0</v>
      </c>
      <c r="AJ86" s="77"/>
      <c r="AK86" s="77"/>
      <c r="AL86" s="77"/>
      <c r="AM86" s="77"/>
      <c r="AN86" s="77"/>
      <c r="AO86" s="77"/>
      <c r="AP86" s="77"/>
      <c r="AQ86" s="77" t="s">
        <v>7945</v>
      </c>
      <c r="AR86" s="77">
        <v>38520</v>
      </c>
      <c r="AS86" s="77"/>
      <c r="AT86" s="77"/>
      <c r="AU86" s="77"/>
      <c r="AV86" s="83" t="str">
        <f>HYPERLINK("https://pbs.twimg.com/ext_tw_video_thumb/1697215551297253376/pu/img/lG_TCSDym4aLC-Gb.jpg")</f>
        <v>https://pbs.twimg.com/ext_tw_video_thumb/1697215551297253376/pu/img/lG_TCSDym4aLC-Gb.jpg</v>
      </c>
      <c r="AW86" s="81" t="s">
        <v>9368</v>
      </c>
      <c r="AX86" s="81" t="s">
        <v>9368</v>
      </c>
      <c r="AY86" s="77"/>
      <c r="AZ86" s="81" t="s">
        <v>11359</v>
      </c>
      <c r="BA86" s="81" t="s">
        <v>11359</v>
      </c>
      <c r="BB86" s="81" t="s">
        <v>11359</v>
      </c>
      <c r="BC86" s="81" t="s">
        <v>9368</v>
      </c>
      <c r="BD86" s="81" t="s">
        <v>11417</v>
      </c>
      <c r="BE86" s="77"/>
      <c r="BF86" s="77"/>
      <c r="BG86" s="77"/>
      <c r="BH86" s="77"/>
      <c r="BI86" s="77"/>
    </row>
    <row r="87" spans="1:61" x14ac:dyDescent="0.25">
      <c r="A87" s="62" t="s">
        <v>260</v>
      </c>
      <c r="B87" s="62" t="s">
        <v>260</v>
      </c>
      <c r="C87" s="63"/>
      <c r="D87" s="64"/>
      <c r="E87" s="65"/>
      <c r="F87" s="66"/>
      <c r="G87" s="63"/>
      <c r="H87" s="67"/>
      <c r="I87" s="68"/>
      <c r="J87" s="68"/>
      <c r="K87" s="32"/>
      <c r="L87" s="75">
        <v>87</v>
      </c>
      <c r="M87" s="75"/>
      <c r="N87" s="70"/>
      <c r="O87" s="77" t="s">
        <v>179</v>
      </c>
      <c r="P87" s="79">
        <v>45099.815567129626</v>
      </c>
      <c r="Q87" s="77" t="s">
        <v>1048</v>
      </c>
      <c r="R87" s="77">
        <v>0</v>
      </c>
      <c r="S87" s="77">
        <v>0</v>
      </c>
      <c r="T87" s="77">
        <v>0</v>
      </c>
      <c r="U87" s="77">
        <v>0</v>
      </c>
      <c r="V87" s="77">
        <v>17</v>
      </c>
      <c r="W87" s="81" t="s">
        <v>2984</v>
      </c>
      <c r="X87" s="83" t="str">
        <f>HYPERLINK("https://lnkd.in/dtKrr9S3")</f>
        <v>https://lnkd.in/dtKrr9S3</v>
      </c>
      <c r="Y87" s="77" t="s">
        <v>4221</v>
      </c>
      <c r="Z87" s="77"/>
      <c r="AA87" s="77"/>
      <c r="AB87" s="77"/>
      <c r="AC87" s="81" t="s">
        <v>5810</v>
      </c>
      <c r="AD87" s="77" t="s">
        <v>5855</v>
      </c>
      <c r="AE87" s="83" t="str">
        <f>HYPERLINK("https://twitter.com/gavrocheg/status/1671964877772955653")</f>
        <v>https://twitter.com/gavrocheg/status/1671964877772955653</v>
      </c>
      <c r="AF87" s="79">
        <v>45099.815567129626</v>
      </c>
      <c r="AG87" s="85">
        <v>45099</v>
      </c>
      <c r="AH87" s="81" t="s">
        <v>5936</v>
      </c>
      <c r="AI87" s="77" t="b">
        <v>0</v>
      </c>
      <c r="AJ87" s="77"/>
      <c r="AK87" s="77"/>
      <c r="AL87" s="77"/>
      <c r="AM87" s="77"/>
      <c r="AN87" s="77"/>
      <c r="AO87" s="77"/>
      <c r="AP87" s="77"/>
      <c r="AQ87" s="77"/>
      <c r="AR87" s="77"/>
      <c r="AS87" s="77"/>
      <c r="AT87" s="77"/>
      <c r="AU87" s="77"/>
      <c r="AV87" s="83" t="str">
        <f>HYPERLINK("https://pbs.twimg.com/profile_images/1427415588939390979/cBlP9Sbl_normal.jpg")</f>
        <v>https://pbs.twimg.com/profile_images/1427415588939390979/cBlP9Sbl_normal.jpg</v>
      </c>
      <c r="AW87" s="81" t="s">
        <v>9369</v>
      </c>
      <c r="AX87" s="81" t="s">
        <v>9369</v>
      </c>
      <c r="AY87" s="77"/>
      <c r="AZ87" s="81" t="s">
        <v>11359</v>
      </c>
      <c r="BA87" s="81" t="s">
        <v>11359</v>
      </c>
      <c r="BB87" s="81" t="s">
        <v>11359</v>
      </c>
      <c r="BC87" s="81" t="s">
        <v>9369</v>
      </c>
      <c r="BD87" s="77">
        <v>1058867252</v>
      </c>
      <c r="BE87" s="77"/>
      <c r="BF87" s="77"/>
      <c r="BG87" s="77"/>
      <c r="BH87" s="77"/>
      <c r="BI87" s="77"/>
    </row>
    <row r="88" spans="1:61" x14ac:dyDescent="0.25">
      <c r="A88" s="62" t="s">
        <v>261</v>
      </c>
      <c r="B88" s="62" t="s">
        <v>261</v>
      </c>
      <c r="C88" s="63"/>
      <c r="D88" s="64"/>
      <c r="E88" s="65"/>
      <c r="F88" s="66"/>
      <c r="G88" s="63"/>
      <c r="H88" s="67"/>
      <c r="I88" s="68"/>
      <c r="J88" s="68"/>
      <c r="K88" s="32"/>
      <c r="L88" s="75">
        <v>88</v>
      </c>
      <c r="M88" s="75"/>
      <c r="N88" s="70"/>
      <c r="O88" s="77" t="s">
        <v>179</v>
      </c>
      <c r="P88" s="79">
        <v>45044.61577546296</v>
      </c>
      <c r="Q88" s="77" t="s">
        <v>1049</v>
      </c>
      <c r="R88" s="77">
        <v>0</v>
      </c>
      <c r="S88" s="77">
        <v>1</v>
      </c>
      <c r="T88" s="77">
        <v>0</v>
      </c>
      <c r="U88" s="77">
        <v>0</v>
      </c>
      <c r="V88" s="77">
        <v>1771</v>
      </c>
      <c r="W88" s="81" t="s">
        <v>2947</v>
      </c>
      <c r="X88" s="83" t="str">
        <f>HYPERLINK("https://bit.ly/4278rNr")</f>
        <v>https://bit.ly/4278rNr</v>
      </c>
      <c r="Y88" s="77" t="s">
        <v>4213</v>
      </c>
      <c r="Z88" s="77"/>
      <c r="AA88" s="77"/>
      <c r="AB88" s="77"/>
      <c r="AC88" s="81" t="s">
        <v>5811</v>
      </c>
      <c r="AD88" s="77" t="s">
        <v>5850</v>
      </c>
      <c r="AE88" s="83" t="str">
        <f>HYPERLINK("https://twitter.com/noti7guatemala/status/1651961144662192130")</f>
        <v>https://twitter.com/noti7guatemala/status/1651961144662192130</v>
      </c>
      <c r="AF88" s="79">
        <v>45044.61577546296</v>
      </c>
      <c r="AG88" s="85">
        <v>45044</v>
      </c>
      <c r="AH88" s="81" t="s">
        <v>5937</v>
      </c>
      <c r="AI88" s="77" t="b">
        <v>0</v>
      </c>
      <c r="AJ88" s="77"/>
      <c r="AK88" s="77"/>
      <c r="AL88" s="77"/>
      <c r="AM88" s="77"/>
      <c r="AN88" s="77"/>
      <c r="AO88" s="77"/>
      <c r="AP88" s="77"/>
      <c r="AQ88" s="77"/>
      <c r="AR88" s="77"/>
      <c r="AS88" s="77"/>
      <c r="AT88" s="77"/>
      <c r="AU88" s="77"/>
      <c r="AV88" s="83" t="str">
        <f>HYPERLINK("https://pbs.twimg.com/profile_images/1015366500755038208/fQZ4ChBQ_normal.jpg")</f>
        <v>https://pbs.twimg.com/profile_images/1015366500755038208/fQZ4ChBQ_normal.jpg</v>
      </c>
      <c r="AW88" s="81" t="s">
        <v>9370</v>
      </c>
      <c r="AX88" s="81" t="s">
        <v>9370</v>
      </c>
      <c r="AY88" s="77"/>
      <c r="AZ88" s="81" t="s">
        <v>11359</v>
      </c>
      <c r="BA88" s="81" t="s">
        <v>11359</v>
      </c>
      <c r="BB88" s="81" t="s">
        <v>11359</v>
      </c>
      <c r="BC88" s="81" t="s">
        <v>9370</v>
      </c>
      <c r="BD88" s="77">
        <v>151154260</v>
      </c>
      <c r="BE88" s="77"/>
      <c r="BF88" s="77"/>
      <c r="BG88" s="77"/>
      <c r="BH88" s="77"/>
      <c r="BI88" s="77"/>
    </row>
    <row r="89" spans="1:61" x14ac:dyDescent="0.25">
      <c r="A89" s="62" t="s">
        <v>262</v>
      </c>
      <c r="B89" s="62" t="s">
        <v>262</v>
      </c>
      <c r="C89" s="63"/>
      <c r="D89" s="64"/>
      <c r="E89" s="65"/>
      <c r="F89" s="66"/>
      <c r="G89" s="63"/>
      <c r="H89" s="67"/>
      <c r="I89" s="68"/>
      <c r="J89" s="68"/>
      <c r="K89" s="32"/>
      <c r="L89" s="75">
        <v>89</v>
      </c>
      <c r="M89" s="75"/>
      <c r="N89" s="70"/>
      <c r="O89" s="77" t="s">
        <v>179</v>
      </c>
      <c r="P89" s="79">
        <v>45027.066250000003</v>
      </c>
      <c r="Q89" s="77" t="s">
        <v>1050</v>
      </c>
      <c r="R89" s="77">
        <v>0</v>
      </c>
      <c r="S89" s="77">
        <v>0</v>
      </c>
      <c r="T89" s="77">
        <v>0</v>
      </c>
      <c r="U89" s="77">
        <v>0</v>
      </c>
      <c r="V89" s="77">
        <v>16</v>
      </c>
      <c r="W89" s="81" t="s">
        <v>2985</v>
      </c>
      <c r="X89" s="77"/>
      <c r="Y89" s="77"/>
      <c r="Z89" s="77"/>
      <c r="AA89" s="77" t="s">
        <v>4443</v>
      </c>
      <c r="AB89" s="77" t="s">
        <v>5794</v>
      </c>
      <c r="AC89" s="81" t="s">
        <v>5801</v>
      </c>
      <c r="AD89" s="77" t="s">
        <v>5850</v>
      </c>
      <c r="AE89" s="83" t="str">
        <f>HYPERLINK("https://twitter.com/carmen197713/status/1645601410162073600")</f>
        <v>https://twitter.com/carmen197713/status/1645601410162073600</v>
      </c>
      <c r="AF89" s="79">
        <v>45027.066250000003</v>
      </c>
      <c r="AG89" s="85">
        <v>45027</v>
      </c>
      <c r="AH89" s="81" t="s">
        <v>5938</v>
      </c>
      <c r="AI89" s="77" t="b">
        <v>0</v>
      </c>
      <c r="AJ89" s="77"/>
      <c r="AK89" s="77"/>
      <c r="AL89" s="77"/>
      <c r="AM89" s="77"/>
      <c r="AN89" s="77"/>
      <c r="AO89" s="77"/>
      <c r="AP89" s="77"/>
      <c r="AQ89" s="77" t="s">
        <v>7946</v>
      </c>
      <c r="AR89" s="77"/>
      <c r="AS89" s="77"/>
      <c r="AT89" s="77"/>
      <c r="AU89" s="77"/>
      <c r="AV89" s="83" t="str">
        <f>HYPERLINK("https://pbs.twimg.com/media/FtZZwwMWwAAonCJ.jpg")</f>
        <v>https://pbs.twimg.com/media/FtZZwwMWwAAonCJ.jpg</v>
      </c>
      <c r="AW89" s="81" t="s">
        <v>9371</v>
      </c>
      <c r="AX89" s="81" t="s">
        <v>9371</v>
      </c>
      <c r="AY89" s="77"/>
      <c r="AZ89" s="81" t="s">
        <v>11359</v>
      </c>
      <c r="BA89" s="81" t="s">
        <v>11359</v>
      </c>
      <c r="BB89" s="81" t="s">
        <v>11359</v>
      </c>
      <c r="BC89" s="81" t="s">
        <v>9371</v>
      </c>
      <c r="BD89" s="81" t="s">
        <v>11418</v>
      </c>
      <c r="BE89" s="77"/>
      <c r="BF89" s="77"/>
      <c r="BG89" s="77"/>
      <c r="BH89" s="77"/>
      <c r="BI89" s="77"/>
    </row>
    <row r="90" spans="1:61" x14ac:dyDescent="0.25">
      <c r="A90" s="62" t="s">
        <v>263</v>
      </c>
      <c r="B90" s="62" t="s">
        <v>263</v>
      </c>
      <c r="C90" s="63"/>
      <c r="D90" s="64"/>
      <c r="E90" s="65"/>
      <c r="F90" s="66"/>
      <c r="G90" s="63"/>
      <c r="H90" s="67"/>
      <c r="I90" s="68"/>
      <c r="J90" s="68"/>
      <c r="K90" s="32"/>
      <c r="L90" s="75">
        <v>90</v>
      </c>
      <c r="M90" s="75"/>
      <c r="N90" s="70"/>
      <c r="O90" s="77" t="s">
        <v>179</v>
      </c>
      <c r="P90" s="79">
        <v>44946.501770833333</v>
      </c>
      <c r="Q90" s="77" t="s">
        <v>1051</v>
      </c>
      <c r="R90" s="77">
        <v>0</v>
      </c>
      <c r="S90" s="77">
        <v>0</v>
      </c>
      <c r="T90" s="77">
        <v>0</v>
      </c>
      <c r="U90" s="77">
        <v>0</v>
      </c>
      <c r="V90" s="77">
        <v>18</v>
      </c>
      <c r="W90" s="81" t="s">
        <v>2986</v>
      </c>
      <c r="X90" s="77"/>
      <c r="Y90" s="77"/>
      <c r="Z90" s="77"/>
      <c r="AA90" s="77" t="s">
        <v>4444</v>
      </c>
      <c r="AB90" s="77" t="s">
        <v>5794</v>
      </c>
      <c r="AC90" s="81" t="s">
        <v>5812</v>
      </c>
      <c r="AD90" s="77" t="s">
        <v>5850</v>
      </c>
      <c r="AE90" s="83" t="str">
        <f>HYPERLINK("https://twitter.com/evaluabroker/status/1616405819460882433")</f>
        <v>https://twitter.com/evaluabroker/status/1616405819460882433</v>
      </c>
      <c r="AF90" s="79">
        <v>44946.501770833333</v>
      </c>
      <c r="AG90" s="85">
        <v>44946</v>
      </c>
      <c r="AH90" s="81" t="s">
        <v>5939</v>
      </c>
      <c r="AI90" s="77" t="b">
        <v>0</v>
      </c>
      <c r="AJ90" s="77"/>
      <c r="AK90" s="77"/>
      <c r="AL90" s="77"/>
      <c r="AM90" s="77"/>
      <c r="AN90" s="77"/>
      <c r="AO90" s="77"/>
      <c r="AP90" s="77"/>
      <c r="AQ90" s="77" t="s">
        <v>7947</v>
      </c>
      <c r="AR90" s="77"/>
      <c r="AS90" s="77"/>
      <c r="AT90" s="77"/>
      <c r="AU90" s="77"/>
      <c r="AV90" s="83" t="str">
        <f>HYPERLINK("https://pbs.twimg.com/media/Fm6ghmwXoAQD6cC.jpg")</f>
        <v>https://pbs.twimg.com/media/Fm6ghmwXoAQD6cC.jpg</v>
      </c>
      <c r="AW90" s="81" t="s">
        <v>9372</v>
      </c>
      <c r="AX90" s="81" t="s">
        <v>9372</v>
      </c>
      <c r="AY90" s="77"/>
      <c r="AZ90" s="81" t="s">
        <v>11359</v>
      </c>
      <c r="BA90" s="81" t="s">
        <v>11359</v>
      </c>
      <c r="BB90" s="81" t="s">
        <v>11359</v>
      </c>
      <c r="BC90" s="81" t="s">
        <v>9372</v>
      </c>
      <c r="BD90" s="81" t="s">
        <v>11419</v>
      </c>
      <c r="BE90" s="77"/>
      <c r="BF90" s="77"/>
      <c r="BG90" s="77"/>
      <c r="BH90" s="77"/>
      <c r="BI90" s="77"/>
    </row>
    <row r="91" spans="1:61" x14ac:dyDescent="0.25">
      <c r="A91" s="62" t="s">
        <v>263</v>
      </c>
      <c r="B91" s="62" t="s">
        <v>263</v>
      </c>
      <c r="C91" s="63"/>
      <c r="D91" s="64"/>
      <c r="E91" s="65"/>
      <c r="F91" s="66"/>
      <c r="G91" s="63"/>
      <c r="H91" s="67"/>
      <c r="I91" s="68"/>
      <c r="J91" s="68"/>
      <c r="K91" s="32"/>
      <c r="L91" s="75">
        <v>91</v>
      </c>
      <c r="M91" s="75"/>
      <c r="N91" s="70"/>
      <c r="O91" s="77" t="s">
        <v>179</v>
      </c>
      <c r="P91" s="79">
        <v>44945.585416666669</v>
      </c>
      <c r="Q91" s="77" t="s">
        <v>1052</v>
      </c>
      <c r="R91" s="77">
        <v>0</v>
      </c>
      <c r="S91" s="77">
        <v>0</v>
      </c>
      <c r="T91" s="77">
        <v>0</v>
      </c>
      <c r="U91" s="77">
        <v>0</v>
      </c>
      <c r="V91" s="77">
        <v>13</v>
      </c>
      <c r="W91" s="81" t="s">
        <v>2987</v>
      </c>
      <c r="X91" s="77"/>
      <c r="Y91" s="77"/>
      <c r="Z91" s="77"/>
      <c r="AA91" s="77" t="s">
        <v>4445</v>
      </c>
      <c r="AB91" s="77" t="s">
        <v>5794</v>
      </c>
      <c r="AC91" s="81" t="s">
        <v>5812</v>
      </c>
      <c r="AD91" s="77" t="s">
        <v>5850</v>
      </c>
      <c r="AE91" s="83" t="str">
        <f>HYPERLINK("https://twitter.com/evaluabroker/status/1616073746225168385")</f>
        <v>https://twitter.com/evaluabroker/status/1616073746225168385</v>
      </c>
      <c r="AF91" s="79">
        <v>44945.585416666669</v>
      </c>
      <c r="AG91" s="85">
        <v>44945</v>
      </c>
      <c r="AH91" s="81" t="s">
        <v>5940</v>
      </c>
      <c r="AI91" s="77" t="b">
        <v>0</v>
      </c>
      <c r="AJ91" s="77"/>
      <c r="AK91" s="77"/>
      <c r="AL91" s="77"/>
      <c r="AM91" s="77"/>
      <c r="AN91" s="77"/>
      <c r="AO91" s="77"/>
      <c r="AP91" s="77"/>
      <c r="AQ91" s="77" t="s">
        <v>7948</v>
      </c>
      <c r="AR91" s="77"/>
      <c r="AS91" s="77"/>
      <c r="AT91" s="77"/>
      <c r="AU91" s="77"/>
      <c r="AV91" s="83" t="str">
        <f>HYPERLINK("https://pbs.twimg.com/media/Fm1ygWBXwAAct9D.jpg")</f>
        <v>https://pbs.twimg.com/media/Fm1ygWBXwAAct9D.jpg</v>
      </c>
      <c r="AW91" s="81" t="s">
        <v>9373</v>
      </c>
      <c r="AX91" s="81" t="s">
        <v>9373</v>
      </c>
      <c r="AY91" s="77"/>
      <c r="AZ91" s="81" t="s">
        <v>11359</v>
      </c>
      <c r="BA91" s="81" t="s">
        <v>11359</v>
      </c>
      <c r="BB91" s="81" t="s">
        <v>11359</v>
      </c>
      <c r="BC91" s="81" t="s">
        <v>9373</v>
      </c>
      <c r="BD91" s="81" t="s">
        <v>11419</v>
      </c>
      <c r="BE91" s="77"/>
      <c r="BF91" s="77"/>
      <c r="BG91" s="77"/>
      <c r="BH91" s="77"/>
      <c r="BI91" s="77"/>
    </row>
    <row r="92" spans="1:61" x14ac:dyDescent="0.25">
      <c r="A92" s="62" t="s">
        <v>263</v>
      </c>
      <c r="B92" s="62" t="s">
        <v>263</v>
      </c>
      <c r="C92" s="63"/>
      <c r="D92" s="64"/>
      <c r="E92" s="65"/>
      <c r="F92" s="66"/>
      <c r="G92" s="63"/>
      <c r="H92" s="67"/>
      <c r="I92" s="68"/>
      <c r="J92" s="68"/>
      <c r="K92" s="32"/>
      <c r="L92" s="75">
        <v>92</v>
      </c>
      <c r="M92" s="75"/>
      <c r="N92" s="70"/>
      <c r="O92" s="77" t="s">
        <v>179</v>
      </c>
      <c r="P92" s="79">
        <v>44936.167534722219</v>
      </c>
      <c r="Q92" s="77" t="s">
        <v>1053</v>
      </c>
      <c r="R92" s="77">
        <v>0</v>
      </c>
      <c r="S92" s="77">
        <v>0</v>
      </c>
      <c r="T92" s="77">
        <v>0</v>
      </c>
      <c r="U92" s="77">
        <v>0</v>
      </c>
      <c r="V92" s="77">
        <v>11</v>
      </c>
      <c r="W92" s="81" t="s">
        <v>2988</v>
      </c>
      <c r="X92" s="77"/>
      <c r="Y92" s="77"/>
      <c r="Z92" s="77"/>
      <c r="AA92" s="77" t="s">
        <v>4446</v>
      </c>
      <c r="AB92" s="77" t="s">
        <v>5794</v>
      </c>
      <c r="AC92" s="81" t="s">
        <v>5812</v>
      </c>
      <c r="AD92" s="77" t="s">
        <v>5850</v>
      </c>
      <c r="AE92" s="83" t="str">
        <f>HYPERLINK("https://twitter.com/evaluabroker/status/1612660816389574657")</f>
        <v>https://twitter.com/evaluabroker/status/1612660816389574657</v>
      </c>
      <c r="AF92" s="79">
        <v>44936.167534722219</v>
      </c>
      <c r="AG92" s="85">
        <v>44936</v>
      </c>
      <c r="AH92" s="81" t="s">
        <v>5941</v>
      </c>
      <c r="AI92" s="77" t="b">
        <v>0</v>
      </c>
      <c r="AJ92" s="77"/>
      <c r="AK92" s="77"/>
      <c r="AL92" s="77"/>
      <c r="AM92" s="77"/>
      <c r="AN92" s="77"/>
      <c r="AO92" s="77"/>
      <c r="AP92" s="77"/>
      <c r="AQ92" s="77" t="s">
        <v>7949</v>
      </c>
      <c r="AR92" s="77"/>
      <c r="AS92" s="77"/>
      <c r="AT92" s="77"/>
      <c r="AU92" s="77"/>
      <c r="AV92" s="83" t="str">
        <f>HYPERLINK("https://pbs.twimg.com/media/FmFSdwsX0AAbKDQ.jpg")</f>
        <v>https://pbs.twimg.com/media/FmFSdwsX0AAbKDQ.jpg</v>
      </c>
      <c r="AW92" s="81" t="s">
        <v>9374</v>
      </c>
      <c r="AX92" s="81" t="s">
        <v>9374</v>
      </c>
      <c r="AY92" s="77"/>
      <c r="AZ92" s="81" t="s">
        <v>11359</v>
      </c>
      <c r="BA92" s="81" t="s">
        <v>11359</v>
      </c>
      <c r="BB92" s="81" t="s">
        <v>11359</v>
      </c>
      <c r="BC92" s="81" t="s">
        <v>9374</v>
      </c>
      <c r="BD92" s="81" t="s">
        <v>11419</v>
      </c>
      <c r="BE92" s="77"/>
      <c r="BF92" s="77"/>
      <c r="BG92" s="77"/>
      <c r="BH92" s="77"/>
      <c r="BI92" s="77"/>
    </row>
    <row r="93" spans="1:61" x14ac:dyDescent="0.25">
      <c r="A93" s="62" t="s">
        <v>263</v>
      </c>
      <c r="B93" s="62" t="s">
        <v>263</v>
      </c>
      <c r="C93" s="63"/>
      <c r="D93" s="64"/>
      <c r="E93" s="65"/>
      <c r="F93" s="66"/>
      <c r="G93" s="63"/>
      <c r="H93" s="67"/>
      <c r="I93" s="68"/>
      <c r="J93" s="68"/>
      <c r="K93" s="32"/>
      <c r="L93" s="75">
        <v>93</v>
      </c>
      <c r="M93" s="75"/>
      <c r="N93" s="70"/>
      <c r="O93" s="77" t="s">
        <v>179</v>
      </c>
      <c r="P93" s="79">
        <v>44934.668043981481</v>
      </c>
      <c r="Q93" s="77" t="s">
        <v>1054</v>
      </c>
      <c r="R93" s="77">
        <v>0</v>
      </c>
      <c r="S93" s="77">
        <v>0</v>
      </c>
      <c r="T93" s="77">
        <v>0</v>
      </c>
      <c r="U93" s="77">
        <v>0</v>
      </c>
      <c r="V93" s="77">
        <v>11</v>
      </c>
      <c r="W93" s="81" t="s">
        <v>2989</v>
      </c>
      <c r="X93" s="77"/>
      <c r="Y93" s="77"/>
      <c r="Z93" s="77"/>
      <c r="AA93" s="77" t="s">
        <v>4447</v>
      </c>
      <c r="AB93" s="77" t="s">
        <v>5794</v>
      </c>
      <c r="AC93" s="81" t="s">
        <v>5812</v>
      </c>
      <c r="AD93" s="77" t="s">
        <v>5850</v>
      </c>
      <c r="AE93" s="83" t="str">
        <f>HYPERLINK("https://twitter.com/evaluabroker/status/1612117420067491841")</f>
        <v>https://twitter.com/evaluabroker/status/1612117420067491841</v>
      </c>
      <c r="AF93" s="79">
        <v>44934.668043981481</v>
      </c>
      <c r="AG93" s="85">
        <v>44934</v>
      </c>
      <c r="AH93" s="81" t="s">
        <v>5942</v>
      </c>
      <c r="AI93" s="77" t="b">
        <v>0</v>
      </c>
      <c r="AJ93" s="77"/>
      <c r="AK93" s="77"/>
      <c r="AL93" s="77"/>
      <c r="AM93" s="77"/>
      <c r="AN93" s="77"/>
      <c r="AO93" s="77"/>
      <c r="AP93" s="77"/>
      <c r="AQ93" s="77" t="s">
        <v>7950</v>
      </c>
      <c r="AR93" s="77"/>
      <c r="AS93" s="77"/>
      <c r="AT93" s="77"/>
      <c r="AU93" s="77"/>
      <c r="AV93" s="83" t="str">
        <f>HYPERLINK("https://pbs.twimg.com/media/Fl9kP6GXoAMbwS0.jpg")</f>
        <v>https://pbs.twimg.com/media/Fl9kP6GXoAMbwS0.jpg</v>
      </c>
      <c r="AW93" s="81" t="s">
        <v>9375</v>
      </c>
      <c r="AX93" s="81" t="s">
        <v>9375</v>
      </c>
      <c r="AY93" s="77"/>
      <c r="AZ93" s="81" t="s">
        <v>11359</v>
      </c>
      <c r="BA93" s="81" t="s">
        <v>11359</v>
      </c>
      <c r="BB93" s="81" t="s">
        <v>11359</v>
      </c>
      <c r="BC93" s="81" t="s">
        <v>9375</v>
      </c>
      <c r="BD93" s="81" t="s">
        <v>11419</v>
      </c>
      <c r="BE93" s="77"/>
      <c r="BF93" s="77"/>
      <c r="BG93" s="77"/>
      <c r="BH93" s="77"/>
      <c r="BI93" s="77"/>
    </row>
    <row r="94" spans="1:61" x14ac:dyDescent="0.25">
      <c r="A94" s="62" t="s">
        <v>263</v>
      </c>
      <c r="B94" s="62" t="s">
        <v>263</v>
      </c>
      <c r="C94" s="63"/>
      <c r="D94" s="64"/>
      <c r="E94" s="65"/>
      <c r="F94" s="66"/>
      <c r="G94" s="63"/>
      <c r="H94" s="67"/>
      <c r="I94" s="68"/>
      <c r="J94" s="68"/>
      <c r="K94" s="32"/>
      <c r="L94" s="75">
        <v>94</v>
      </c>
      <c r="M94" s="75"/>
      <c r="N94" s="70"/>
      <c r="O94" s="77" t="s">
        <v>179</v>
      </c>
      <c r="P94" s="79">
        <v>44934.376076388886</v>
      </c>
      <c r="Q94" s="77" t="s">
        <v>1055</v>
      </c>
      <c r="R94" s="77">
        <v>0</v>
      </c>
      <c r="S94" s="77">
        <v>0</v>
      </c>
      <c r="T94" s="77">
        <v>1</v>
      </c>
      <c r="U94" s="77">
        <v>0</v>
      </c>
      <c r="V94" s="77">
        <v>26</v>
      </c>
      <c r="W94" s="81" t="s">
        <v>2990</v>
      </c>
      <c r="X94" s="77"/>
      <c r="Y94" s="77"/>
      <c r="Z94" s="77"/>
      <c r="AA94" s="77" t="s">
        <v>4448</v>
      </c>
      <c r="AB94" s="77" t="s">
        <v>5794</v>
      </c>
      <c r="AC94" s="81" t="s">
        <v>5812</v>
      </c>
      <c r="AD94" s="77" t="s">
        <v>5850</v>
      </c>
      <c r="AE94" s="83" t="str">
        <f>HYPERLINK("https://twitter.com/evaluabroker/status/1612011616886726656")</f>
        <v>https://twitter.com/evaluabroker/status/1612011616886726656</v>
      </c>
      <c r="AF94" s="79">
        <v>44934.376076388886</v>
      </c>
      <c r="AG94" s="85">
        <v>44934</v>
      </c>
      <c r="AH94" s="81" t="s">
        <v>5943</v>
      </c>
      <c r="AI94" s="77" t="b">
        <v>0</v>
      </c>
      <c r="AJ94" s="77"/>
      <c r="AK94" s="77"/>
      <c r="AL94" s="77"/>
      <c r="AM94" s="77"/>
      <c r="AN94" s="77"/>
      <c r="AO94" s="77"/>
      <c r="AP94" s="77"/>
      <c r="AQ94" s="77" t="s">
        <v>7951</v>
      </c>
      <c r="AR94" s="77"/>
      <c r="AS94" s="77"/>
      <c r="AT94" s="77"/>
      <c r="AU94" s="77"/>
      <c r="AV94" s="83" t="str">
        <f>HYPERLINK("https://pbs.twimg.com/media/Fl8EBXNWAAA7-ub.jpg")</f>
        <v>https://pbs.twimg.com/media/Fl8EBXNWAAA7-ub.jpg</v>
      </c>
      <c r="AW94" s="81" t="s">
        <v>9376</v>
      </c>
      <c r="AX94" s="81" t="s">
        <v>9376</v>
      </c>
      <c r="AY94" s="77"/>
      <c r="AZ94" s="81" t="s">
        <v>11359</v>
      </c>
      <c r="BA94" s="81" t="s">
        <v>11359</v>
      </c>
      <c r="BB94" s="81" t="s">
        <v>11359</v>
      </c>
      <c r="BC94" s="81" t="s">
        <v>9376</v>
      </c>
      <c r="BD94" s="81" t="s">
        <v>11419</v>
      </c>
      <c r="BE94" s="77"/>
      <c r="BF94" s="77"/>
      <c r="BG94" s="77"/>
      <c r="BH94" s="77"/>
      <c r="BI94" s="77"/>
    </row>
    <row r="95" spans="1:61" x14ac:dyDescent="0.25">
      <c r="A95" s="62" t="s">
        <v>264</v>
      </c>
      <c r="B95" s="62" t="s">
        <v>264</v>
      </c>
      <c r="C95" s="63"/>
      <c r="D95" s="64"/>
      <c r="E95" s="65"/>
      <c r="F95" s="66"/>
      <c r="G95" s="63"/>
      <c r="H95" s="67"/>
      <c r="I95" s="68"/>
      <c r="J95" s="68"/>
      <c r="K95" s="32"/>
      <c r="L95" s="75">
        <v>95</v>
      </c>
      <c r="M95" s="75"/>
      <c r="N95" s="70"/>
      <c r="O95" s="77" t="s">
        <v>969</v>
      </c>
      <c r="P95" s="79">
        <v>45162.944803240738</v>
      </c>
      <c r="Q95" s="77" t="s">
        <v>1056</v>
      </c>
      <c r="R95" s="77">
        <v>4</v>
      </c>
      <c r="S95" s="77">
        <v>3</v>
      </c>
      <c r="T95" s="77">
        <v>0</v>
      </c>
      <c r="U95" s="77">
        <v>0</v>
      </c>
      <c r="V95" s="77">
        <v>37</v>
      </c>
      <c r="W95" s="81" t="s">
        <v>2947</v>
      </c>
      <c r="X95" s="83" t="str">
        <f>HYPERLINK("https://www.cursos24horas.com.br/parceiro.asp?cod=promocao3689&amp;url=cursos/tecnicas-de-vendas")</f>
        <v>https://www.cursos24horas.com.br/parceiro.asp?cod=promocao3689&amp;url=cursos/tecnicas-de-vendas</v>
      </c>
      <c r="Y95" s="77" t="s">
        <v>4223</v>
      </c>
      <c r="Z95" s="77"/>
      <c r="AA95" s="77"/>
      <c r="AB95" s="77"/>
      <c r="AC95" s="81" t="s">
        <v>5801</v>
      </c>
      <c r="AD95" s="77" t="s">
        <v>5851</v>
      </c>
      <c r="AE95" s="83" t="str">
        <f>HYPERLINK("https://twitter.com/centralcursoss/status/1694842149366337724")</f>
        <v>https://twitter.com/centralcursoss/status/1694842149366337724</v>
      </c>
      <c r="AF95" s="79">
        <v>45162.944803240738</v>
      </c>
      <c r="AG95" s="85">
        <v>45162</v>
      </c>
      <c r="AH95" s="81" t="s">
        <v>5944</v>
      </c>
      <c r="AI95" s="77" t="b">
        <v>0</v>
      </c>
      <c r="AJ95" s="77"/>
      <c r="AK95" s="77"/>
      <c r="AL95" s="77"/>
      <c r="AM95" s="77"/>
      <c r="AN95" s="77"/>
      <c r="AO95" s="77"/>
      <c r="AP95" s="77"/>
      <c r="AQ95" s="77"/>
      <c r="AR95" s="77"/>
      <c r="AS95" s="77"/>
      <c r="AT95" s="77"/>
      <c r="AU95" s="77"/>
      <c r="AV95" s="83" t="str">
        <f>HYPERLINK("https://pbs.twimg.com/profile_images/1436137087/empresa_normal.jpg")</f>
        <v>https://pbs.twimg.com/profile_images/1436137087/empresa_normal.jpg</v>
      </c>
      <c r="AW95" s="81" t="s">
        <v>9377</v>
      </c>
      <c r="AX95" s="81" t="s">
        <v>11249</v>
      </c>
      <c r="AY95" s="81" t="s">
        <v>11319</v>
      </c>
      <c r="AZ95" s="81" t="s">
        <v>11360</v>
      </c>
      <c r="BA95" s="81" t="s">
        <v>11359</v>
      </c>
      <c r="BB95" s="81" t="s">
        <v>11359</v>
      </c>
      <c r="BC95" s="81" t="s">
        <v>11360</v>
      </c>
      <c r="BD95" s="77">
        <v>333147653</v>
      </c>
      <c r="BE95" s="77"/>
      <c r="BF95" s="77"/>
      <c r="BG95" s="77"/>
      <c r="BH95" s="77"/>
      <c r="BI95" s="77"/>
    </row>
    <row r="96" spans="1:61" x14ac:dyDescent="0.25">
      <c r="A96" s="62" t="s">
        <v>265</v>
      </c>
      <c r="B96" s="62" t="s">
        <v>265</v>
      </c>
      <c r="C96" s="63"/>
      <c r="D96" s="64"/>
      <c r="E96" s="65"/>
      <c r="F96" s="66"/>
      <c r="G96" s="63"/>
      <c r="H96" s="67"/>
      <c r="I96" s="68"/>
      <c r="J96" s="68"/>
      <c r="K96" s="32"/>
      <c r="L96" s="75">
        <v>96</v>
      </c>
      <c r="M96" s="75"/>
      <c r="N96" s="70"/>
      <c r="O96" s="77" t="s">
        <v>179</v>
      </c>
      <c r="P96" s="79">
        <v>45173.584803240738</v>
      </c>
      <c r="Q96" s="77" t="s">
        <v>1057</v>
      </c>
      <c r="R96" s="77">
        <v>0</v>
      </c>
      <c r="S96" s="77">
        <v>1</v>
      </c>
      <c r="T96" s="77">
        <v>0</v>
      </c>
      <c r="U96" s="77">
        <v>0</v>
      </c>
      <c r="V96" s="77">
        <v>70</v>
      </c>
      <c r="W96" s="81" t="s">
        <v>2991</v>
      </c>
      <c r="X96" s="77"/>
      <c r="Y96" s="77"/>
      <c r="Z96" s="77"/>
      <c r="AA96" s="77" t="s">
        <v>4449</v>
      </c>
      <c r="AB96" s="77" t="s">
        <v>5794</v>
      </c>
      <c r="AC96" s="81" t="s">
        <v>5803</v>
      </c>
      <c r="AD96" s="77" t="s">
        <v>5850</v>
      </c>
      <c r="AE96" s="83" t="str">
        <f>HYPERLINK("https://twitter.com/rainmakersalesc/status/1698697955383840934")</f>
        <v>https://twitter.com/rainmakersalesc/status/1698697955383840934</v>
      </c>
      <c r="AF96" s="79">
        <v>45173.584803240738</v>
      </c>
      <c r="AG96" s="85">
        <v>45173</v>
      </c>
      <c r="AH96" s="81" t="s">
        <v>5945</v>
      </c>
      <c r="AI96" s="77" t="b">
        <v>0</v>
      </c>
      <c r="AJ96" s="77"/>
      <c r="AK96" s="77"/>
      <c r="AL96" s="77"/>
      <c r="AM96" s="77"/>
      <c r="AN96" s="77"/>
      <c r="AO96" s="77"/>
      <c r="AP96" s="77"/>
      <c r="AQ96" s="77" t="s">
        <v>7952</v>
      </c>
      <c r="AR96" s="77"/>
      <c r="AS96" s="77"/>
      <c r="AT96" s="77"/>
      <c r="AU96" s="77"/>
      <c r="AV96" s="83" t="str">
        <f>HYPERLINK("https://pbs.twimg.com/media/F5L8yV4XUAAnkAD.jpg")</f>
        <v>https://pbs.twimg.com/media/F5L8yV4XUAAnkAD.jpg</v>
      </c>
      <c r="AW96" s="81" t="s">
        <v>9378</v>
      </c>
      <c r="AX96" s="81" t="s">
        <v>9378</v>
      </c>
      <c r="AY96" s="77"/>
      <c r="AZ96" s="81" t="s">
        <v>11359</v>
      </c>
      <c r="BA96" s="81" t="s">
        <v>11359</v>
      </c>
      <c r="BB96" s="81" t="s">
        <v>11359</v>
      </c>
      <c r="BC96" s="81" t="s">
        <v>9378</v>
      </c>
      <c r="BD96" s="81" t="s">
        <v>11420</v>
      </c>
      <c r="BE96" s="77"/>
      <c r="BF96" s="77"/>
      <c r="BG96" s="77"/>
      <c r="BH96" s="77"/>
      <c r="BI96" s="77"/>
    </row>
    <row r="97" spans="1:61" x14ac:dyDescent="0.25">
      <c r="A97" s="62" t="s">
        <v>266</v>
      </c>
      <c r="B97" s="62" t="s">
        <v>266</v>
      </c>
      <c r="C97" s="63"/>
      <c r="D97" s="64"/>
      <c r="E97" s="65"/>
      <c r="F97" s="66"/>
      <c r="G97" s="63"/>
      <c r="H97" s="67"/>
      <c r="I97" s="68"/>
      <c r="J97" s="68"/>
      <c r="K97" s="32"/>
      <c r="L97" s="75">
        <v>97</v>
      </c>
      <c r="M97" s="75"/>
      <c r="N97" s="70"/>
      <c r="O97" s="77" t="s">
        <v>179</v>
      </c>
      <c r="P97" s="79">
        <v>45024.830451388887</v>
      </c>
      <c r="Q97" s="77" t="s">
        <v>1058</v>
      </c>
      <c r="R97" s="77">
        <v>0</v>
      </c>
      <c r="S97" s="77">
        <v>0</v>
      </c>
      <c r="T97" s="77">
        <v>0</v>
      </c>
      <c r="U97" s="77">
        <v>0</v>
      </c>
      <c r="V97" s="77">
        <v>18</v>
      </c>
      <c r="W97" s="81" t="s">
        <v>2992</v>
      </c>
      <c r="X97" s="77"/>
      <c r="Y97" s="77"/>
      <c r="Z97" s="77"/>
      <c r="AA97" s="77" t="s">
        <v>4450</v>
      </c>
      <c r="AB97" s="77" t="s">
        <v>5795</v>
      </c>
      <c r="AC97" s="81" t="s">
        <v>5803</v>
      </c>
      <c r="AD97" s="77" t="s">
        <v>5851</v>
      </c>
      <c r="AE97" s="83" t="str">
        <f>HYPERLINK("https://twitter.com/canalupcast/status/1644791183934103554")</f>
        <v>https://twitter.com/canalupcast/status/1644791183934103554</v>
      </c>
      <c r="AF97" s="79">
        <v>45024.830451388887</v>
      </c>
      <c r="AG97" s="85">
        <v>45024</v>
      </c>
      <c r="AH97" s="81" t="s">
        <v>5946</v>
      </c>
      <c r="AI97" s="77" t="b">
        <v>0</v>
      </c>
      <c r="AJ97" s="77"/>
      <c r="AK97" s="77"/>
      <c r="AL97" s="77"/>
      <c r="AM97" s="77"/>
      <c r="AN97" s="77"/>
      <c r="AO97" s="77"/>
      <c r="AP97" s="77"/>
      <c r="AQ97" s="77" t="s">
        <v>7953</v>
      </c>
      <c r="AR97" s="77">
        <v>30868</v>
      </c>
      <c r="AS97" s="77"/>
      <c r="AT97" s="77"/>
      <c r="AU97" s="77"/>
      <c r="AV97" s="83" t="str">
        <f>HYPERLINK("https://pbs.twimg.com/ext_tw_video_thumb/1644791130490322950/pu/img/dpUGm18cYdH3gTrE.jpg")</f>
        <v>https://pbs.twimg.com/ext_tw_video_thumb/1644791130490322950/pu/img/dpUGm18cYdH3gTrE.jpg</v>
      </c>
      <c r="AW97" s="81" t="s">
        <v>9379</v>
      </c>
      <c r="AX97" s="81" t="s">
        <v>9379</v>
      </c>
      <c r="AY97" s="77"/>
      <c r="AZ97" s="81" t="s">
        <v>11359</v>
      </c>
      <c r="BA97" s="81" t="s">
        <v>11359</v>
      </c>
      <c r="BB97" s="81" t="s">
        <v>11359</v>
      </c>
      <c r="BC97" s="81" t="s">
        <v>9379</v>
      </c>
      <c r="BD97" s="81" t="s">
        <v>11421</v>
      </c>
      <c r="BE97" s="77"/>
      <c r="BF97" s="77"/>
      <c r="BG97" s="77"/>
      <c r="BH97" s="77"/>
      <c r="BI97" s="77"/>
    </row>
    <row r="98" spans="1:61" x14ac:dyDescent="0.25">
      <c r="A98" s="62" t="s">
        <v>267</v>
      </c>
      <c r="B98" s="62" t="s">
        <v>879</v>
      </c>
      <c r="C98" s="63"/>
      <c r="D98" s="64"/>
      <c r="E98" s="65"/>
      <c r="F98" s="66"/>
      <c r="G98" s="63"/>
      <c r="H98" s="67"/>
      <c r="I98" s="68"/>
      <c r="J98" s="68"/>
      <c r="K98" s="32"/>
      <c r="L98" s="75">
        <v>98</v>
      </c>
      <c r="M98" s="75"/>
      <c r="N98" s="70"/>
      <c r="O98" s="77" t="s">
        <v>967</v>
      </c>
      <c r="P98" s="79">
        <v>44949.494953703703</v>
      </c>
      <c r="Q98" s="77" t="s">
        <v>1059</v>
      </c>
      <c r="R98" s="77">
        <v>0</v>
      </c>
      <c r="S98" s="77">
        <v>4</v>
      </c>
      <c r="T98" s="77">
        <v>0</v>
      </c>
      <c r="U98" s="77">
        <v>0</v>
      </c>
      <c r="V98" s="77">
        <v>169</v>
      </c>
      <c r="W98" s="81" t="s">
        <v>2993</v>
      </c>
      <c r="X98" s="83" t="str">
        <f>HYPERLINK("https://blogprofesional.fotocasa.es/ocho-razones-por-las-que-presentar-un-plan-de-marketing-al-vendedor/")</f>
        <v>https://blogprofesional.fotocasa.es/ocho-razones-por-las-que-presentar-un-plan-de-marketing-al-vendedor/</v>
      </c>
      <c r="Y98" s="77" t="s">
        <v>4224</v>
      </c>
      <c r="Z98" s="77" t="s">
        <v>879</v>
      </c>
      <c r="AA98" s="77" t="s">
        <v>4451</v>
      </c>
      <c r="AB98" s="77" t="s">
        <v>5794</v>
      </c>
      <c r="AC98" s="81" t="s">
        <v>5805</v>
      </c>
      <c r="AD98" s="77" t="s">
        <v>5850</v>
      </c>
      <c r="AE98" s="83" t="str">
        <f>HYPERLINK("https://twitter.com/ismaelkardoudi/status/1617490513384308737")</f>
        <v>https://twitter.com/ismaelkardoudi/status/1617490513384308737</v>
      </c>
      <c r="AF98" s="79">
        <v>44949.494953703703</v>
      </c>
      <c r="AG98" s="85">
        <v>44949</v>
      </c>
      <c r="AH98" s="81" t="s">
        <v>5947</v>
      </c>
      <c r="AI98" s="77" t="b">
        <v>0</v>
      </c>
      <c r="AJ98" s="77"/>
      <c r="AK98" s="77"/>
      <c r="AL98" s="77"/>
      <c r="AM98" s="77"/>
      <c r="AN98" s="77"/>
      <c r="AO98" s="77"/>
      <c r="AP98" s="77"/>
      <c r="AQ98" s="77" t="s">
        <v>7954</v>
      </c>
      <c r="AR98" s="77"/>
      <c r="AS98" s="77"/>
      <c r="AT98" s="77"/>
      <c r="AU98" s="77"/>
      <c r="AV98" s="83" t="str">
        <f>HYPERLINK("https://pbs.twimg.com/media/FnJ69xgXgAE5irQ.jpg")</f>
        <v>https://pbs.twimg.com/media/FnJ69xgXgAE5irQ.jpg</v>
      </c>
      <c r="AW98" s="81" t="s">
        <v>9380</v>
      </c>
      <c r="AX98" s="81" t="s">
        <v>9380</v>
      </c>
      <c r="AY98" s="77"/>
      <c r="AZ98" s="81" t="s">
        <v>11359</v>
      </c>
      <c r="BA98" s="81" t="s">
        <v>11359</v>
      </c>
      <c r="BB98" s="81" t="s">
        <v>11359</v>
      </c>
      <c r="BC98" s="81" t="s">
        <v>9380</v>
      </c>
      <c r="BD98" s="77">
        <v>358821720</v>
      </c>
      <c r="BE98" s="77"/>
      <c r="BF98" s="77"/>
      <c r="BG98" s="77"/>
      <c r="BH98" s="77"/>
      <c r="BI98" s="77"/>
    </row>
    <row r="99" spans="1:61" x14ac:dyDescent="0.25">
      <c r="A99" s="62" t="s">
        <v>268</v>
      </c>
      <c r="B99" s="62" t="s">
        <v>268</v>
      </c>
      <c r="C99" s="63"/>
      <c r="D99" s="64"/>
      <c r="E99" s="65"/>
      <c r="F99" s="66"/>
      <c r="G99" s="63"/>
      <c r="H99" s="67"/>
      <c r="I99" s="68"/>
      <c r="J99" s="68"/>
      <c r="K99" s="32"/>
      <c r="L99" s="75">
        <v>99</v>
      </c>
      <c r="M99" s="75"/>
      <c r="N99" s="70"/>
      <c r="O99" s="77" t="s">
        <v>179</v>
      </c>
      <c r="P99" s="79">
        <v>44999.709270833337</v>
      </c>
      <c r="Q99" s="77" t="s">
        <v>1060</v>
      </c>
      <c r="R99" s="77">
        <v>1</v>
      </c>
      <c r="S99" s="77">
        <v>1</v>
      </c>
      <c r="T99" s="77">
        <v>0</v>
      </c>
      <c r="U99" s="77">
        <v>0</v>
      </c>
      <c r="V99" s="77">
        <v>4</v>
      </c>
      <c r="W99" s="81" t="s">
        <v>2994</v>
      </c>
      <c r="X99" s="83" t="str">
        <f>HYPERLINK("https://www.youtube.com/watch?v=7IEDA2gH3R4")</f>
        <v>https://www.youtube.com/watch?v=7IEDA2gH3R4</v>
      </c>
      <c r="Y99" s="77" t="s">
        <v>4225</v>
      </c>
      <c r="Z99" s="77"/>
      <c r="AA99" s="77" t="s">
        <v>4452</v>
      </c>
      <c r="AB99" s="77" t="s">
        <v>5794</v>
      </c>
      <c r="AC99" s="81" t="s">
        <v>5812</v>
      </c>
      <c r="AD99" s="77" t="s">
        <v>5850</v>
      </c>
      <c r="AE99" s="83" t="str">
        <f>HYPERLINK("https://twitter.com/conocimientoyde/status/1635687574193811489")</f>
        <v>https://twitter.com/conocimientoyde/status/1635687574193811489</v>
      </c>
      <c r="AF99" s="79">
        <v>44999.709270833337</v>
      </c>
      <c r="AG99" s="85">
        <v>44999</v>
      </c>
      <c r="AH99" s="81" t="s">
        <v>5948</v>
      </c>
      <c r="AI99" s="77" t="b">
        <v>0</v>
      </c>
      <c r="AJ99" s="77"/>
      <c r="AK99" s="77"/>
      <c r="AL99" s="77"/>
      <c r="AM99" s="77"/>
      <c r="AN99" s="77"/>
      <c r="AO99" s="77"/>
      <c r="AP99" s="77"/>
      <c r="AQ99" s="77" t="s">
        <v>7955</v>
      </c>
      <c r="AR99" s="77"/>
      <c r="AS99" s="77"/>
      <c r="AT99" s="77"/>
      <c r="AU99" s="77"/>
      <c r="AV99" s="83" t="str">
        <f>HYPERLINK("https://pbs.twimg.com/media/FrMhLQ8XsAEUP9s.jpg")</f>
        <v>https://pbs.twimg.com/media/FrMhLQ8XsAEUP9s.jpg</v>
      </c>
      <c r="AW99" s="81" t="s">
        <v>9381</v>
      </c>
      <c r="AX99" s="81" t="s">
        <v>9381</v>
      </c>
      <c r="AY99" s="77"/>
      <c r="AZ99" s="81" t="s">
        <v>11359</v>
      </c>
      <c r="BA99" s="81" t="s">
        <v>11359</v>
      </c>
      <c r="BB99" s="81" t="s">
        <v>11359</v>
      </c>
      <c r="BC99" s="81" t="s">
        <v>9381</v>
      </c>
      <c r="BD99" s="81" t="s">
        <v>11422</v>
      </c>
      <c r="BE99" s="77"/>
      <c r="BF99" s="77"/>
      <c r="BG99" s="77"/>
      <c r="BH99" s="77"/>
      <c r="BI99" s="77"/>
    </row>
    <row r="100" spans="1:61" x14ac:dyDescent="0.25">
      <c r="A100" s="62" t="s">
        <v>269</v>
      </c>
      <c r="B100" s="62" t="s">
        <v>880</v>
      </c>
      <c r="C100" s="63"/>
      <c r="D100" s="64"/>
      <c r="E100" s="65"/>
      <c r="F100" s="66"/>
      <c r="G100" s="63"/>
      <c r="H100" s="67"/>
      <c r="I100" s="68"/>
      <c r="J100" s="68"/>
      <c r="K100" s="32"/>
      <c r="L100" s="75">
        <v>100</v>
      </c>
      <c r="M100" s="75"/>
      <c r="N100" s="70"/>
      <c r="O100" s="77" t="s">
        <v>970</v>
      </c>
      <c r="P100" s="79">
        <v>45113.539386574077</v>
      </c>
      <c r="Q100" s="77" t="s">
        <v>1061</v>
      </c>
      <c r="R100" s="77">
        <v>0</v>
      </c>
      <c r="S100" s="77">
        <v>0</v>
      </c>
      <c r="T100" s="77">
        <v>0</v>
      </c>
      <c r="U100" s="77">
        <v>0</v>
      </c>
      <c r="V100" s="77">
        <v>22</v>
      </c>
      <c r="W100" s="81" t="s">
        <v>2995</v>
      </c>
      <c r="X100" s="77"/>
      <c r="Y100" s="77"/>
      <c r="Z100" s="77" t="s">
        <v>4362</v>
      </c>
      <c r="AA100" s="77"/>
      <c r="AB100" s="77"/>
      <c r="AC100" s="81" t="s">
        <v>5801</v>
      </c>
      <c r="AD100" s="77" t="s">
        <v>5850</v>
      </c>
      <c r="AE100" s="83" t="str">
        <f>HYPERLINK("https://twitter.com/nienna_26/status/1676938225628184577")</f>
        <v>https://twitter.com/nienna_26/status/1676938225628184577</v>
      </c>
      <c r="AF100" s="79">
        <v>45113.539386574077</v>
      </c>
      <c r="AG100" s="85">
        <v>45113</v>
      </c>
      <c r="AH100" s="81" t="s">
        <v>5949</v>
      </c>
      <c r="AI100" s="77"/>
      <c r="AJ100" s="77"/>
      <c r="AK100" s="77"/>
      <c r="AL100" s="77"/>
      <c r="AM100" s="77"/>
      <c r="AN100" s="77"/>
      <c r="AO100" s="77"/>
      <c r="AP100" s="77"/>
      <c r="AQ100" s="77"/>
      <c r="AR100" s="77"/>
      <c r="AS100" s="77"/>
      <c r="AT100" s="77"/>
      <c r="AU100" s="77"/>
      <c r="AV100" s="83" t="str">
        <f>HYPERLINK("https://pbs.twimg.com/profile_images/1610399190525280268/58orTEnn_normal.png")</f>
        <v>https://pbs.twimg.com/profile_images/1610399190525280268/58orTEnn_normal.png</v>
      </c>
      <c r="AW100" s="81" t="s">
        <v>9382</v>
      </c>
      <c r="AX100" s="81" t="s">
        <v>11250</v>
      </c>
      <c r="AY100" s="81" t="s">
        <v>11320</v>
      </c>
      <c r="AZ100" s="81" t="s">
        <v>11361</v>
      </c>
      <c r="BA100" s="81" t="s">
        <v>11359</v>
      </c>
      <c r="BB100" s="81" t="s">
        <v>11359</v>
      </c>
      <c r="BC100" s="81" t="s">
        <v>11361</v>
      </c>
      <c r="BD100" s="81" t="s">
        <v>11320</v>
      </c>
      <c r="BE100" s="77"/>
      <c r="BF100" s="77"/>
      <c r="BG100" s="77"/>
      <c r="BH100" s="77"/>
      <c r="BI100" s="77"/>
    </row>
    <row r="101" spans="1:61" x14ac:dyDescent="0.25">
      <c r="A101" s="62" t="s">
        <v>269</v>
      </c>
      <c r="B101" s="62" t="s">
        <v>881</v>
      </c>
      <c r="C101" s="63"/>
      <c r="D101" s="64"/>
      <c r="E101" s="65"/>
      <c r="F101" s="66"/>
      <c r="G101" s="63"/>
      <c r="H101" s="67"/>
      <c r="I101" s="68"/>
      <c r="J101" s="68"/>
      <c r="K101" s="32"/>
      <c r="L101" s="75">
        <v>101</v>
      </c>
      <c r="M101" s="75"/>
      <c r="N101" s="70"/>
      <c r="O101" s="77" t="s">
        <v>970</v>
      </c>
      <c r="P101" s="79">
        <v>45113.539386574077</v>
      </c>
      <c r="Q101" s="77" t="s">
        <v>1061</v>
      </c>
      <c r="R101" s="77">
        <v>0</v>
      </c>
      <c r="S101" s="77">
        <v>0</v>
      </c>
      <c r="T101" s="77">
        <v>0</v>
      </c>
      <c r="U101" s="77">
        <v>0</v>
      </c>
      <c r="V101" s="77">
        <v>22</v>
      </c>
      <c r="W101" s="81" t="s">
        <v>2995</v>
      </c>
      <c r="X101" s="77"/>
      <c r="Y101" s="77"/>
      <c r="Z101" s="77" t="s">
        <v>4362</v>
      </c>
      <c r="AA101" s="77"/>
      <c r="AB101" s="77"/>
      <c r="AC101" s="81" t="s">
        <v>5801</v>
      </c>
      <c r="AD101" s="77" t="s">
        <v>5850</v>
      </c>
      <c r="AE101" s="83" t="str">
        <f>HYPERLINK("https://twitter.com/nienna_26/status/1676938225628184577")</f>
        <v>https://twitter.com/nienna_26/status/1676938225628184577</v>
      </c>
      <c r="AF101" s="79">
        <v>45113.539386574077</v>
      </c>
      <c r="AG101" s="85">
        <v>45113</v>
      </c>
      <c r="AH101" s="81" t="s">
        <v>5949</v>
      </c>
      <c r="AI101" s="77"/>
      <c r="AJ101" s="77"/>
      <c r="AK101" s="77"/>
      <c r="AL101" s="77"/>
      <c r="AM101" s="77"/>
      <c r="AN101" s="77"/>
      <c r="AO101" s="77"/>
      <c r="AP101" s="77"/>
      <c r="AQ101" s="77"/>
      <c r="AR101" s="77"/>
      <c r="AS101" s="77"/>
      <c r="AT101" s="77"/>
      <c r="AU101" s="77"/>
      <c r="AV101" s="83" t="str">
        <f>HYPERLINK("https://pbs.twimg.com/profile_images/1610399190525280268/58orTEnn_normal.png")</f>
        <v>https://pbs.twimg.com/profile_images/1610399190525280268/58orTEnn_normal.png</v>
      </c>
      <c r="AW101" s="81" t="s">
        <v>9382</v>
      </c>
      <c r="AX101" s="81" t="s">
        <v>11250</v>
      </c>
      <c r="AY101" s="81" t="s">
        <v>11320</v>
      </c>
      <c r="AZ101" s="81" t="s">
        <v>11361</v>
      </c>
      <c r="BA101" s="81" t="s">
        <v>11359</v>
      </c>
      <c r="BB101" s="81" t="s">
        <v>11359</v>
      </c>
      <c r="BC101" s="81" t="s">
        <v>11361</v>
      </c>
      <c r="BD101" s="81" t="s">
        <v>11320</v>
      </c>
      <c r="BE101" s="77"/>
      <c r="BF101" s="77"/>
      <c r="BG101" s="77"/>
      <c r="BH101" s="77"/>
      <c r="BI101" s="77"/>
    </row>
    <row r="102" spans="1:61" x14ac:dyDescent="0.25">
      <c r="A102" s="62" t="s">
        <v>269</v>
      </c>
      <c r="B102" s="62" t="s">
        <v>877</v>
      </c>
      <c r="C102" s="63"/>
      <c r="D102" s="64"/>
      <c r="E102" s="65"/>
      <c r="F102" s="66"/>
      <c r="G102" s="63"/>
      <c r="H102" s="67"/>
      <c r="I102" s="68"/>
      <c r="J102" s="68"/>
      <c r="K102" s="32"/>
      <c r="L102" s="75">
        <v>102</v>
      </c>
      <c r="M102" s="75"/>
      <c r="N102" s="70"/>
      <c r="O102" s="77" t="s">
        <v>970</v>
      </c>
      <c r="P102" s="79">
        <v>45113.539386574077</v>
      </c>
      <c r="Q102" s="77" t="s">
        <v>1061</v>
      </c>
      <c r="R102" s="77">
        <v>0</v>
      </c>
      <c r="S102" s="77">
        <v>0</v>
      </c>
      <c r="T102" s="77">
        <v>0</v>
      </c>
      <c r="U102" s="77">
        <v>0</v>
      </c>
      <c r="V102" s="77">
        <v>22</v>
      </c>
      <c r="W102" s="81" t="s">
        <v>2995</v>
      </c>
      <c r="X102" s="77"/>
      <c r="Y102" s="77"/>
      <c r="Z102" s="77" t="s">
        <v>4362</v>
      </c>
      <c r="AA102" s="77"/>
      <c r="AB102" s="77"/>
      <c r="AC102" s="81" t="s">
        <v>5801</v>
      </c>
      <c r="AD102" s="77" t="s">
        <v>5850</v>
      </c>
      <c r="AE102" s="83" t="str">
        <f>HYPERLINK("https://twitter.com/nienna_26/status/1676938225628184577")</f>
        <v>https://twitter.com/nienna_26/status/1676938225628184577</v>
      </c>
      <c r="AF102" s="79">
        <v>45113.539386574077</v>
      </c>
      <c r="AG102" s="85">
        <v>45113</v>
      </c>
      <c r="AH102" s="81" t="s">
        <v>5949</v>
      </c>
      <c r="AI102" s="77"/>
      <c r="AJ102" s="77"/>
      <c r="AK102" s="77"/>
      <c r="AL102" s="77"/>
      <c r="AM102" s="77"/>
      <c r="AN102" s="77"/>
      <c r="AO102" s="77"/>
      <c r="AP102" s="77"/>
      <c r="AQ102" s="77"/>
      <c r="AR102" s="77"/>
      <c r="AS102" s="77"/>
      <c r="AT102" s="77"/>
      <c r="AU102" s="77"/>
      <c r="AV102" s="83" t="str">
        <f>HYPERLINK("https://pbs.twimg.com/profile_images/1610399190525280268/58orTEnn_normal.png")</f>
        <v>https://pbs.twimg.com/profile_images/1610399190525280268/58orTEnn_normal.png</v>
      </c>
      <c r="AW102" s="81" t="s">
        <v>9382</v>
      </c>
      <c r="AX102" s="81" t="s">
        <v>11250</v>
      </c>
      <c r="AY102" s="81" t="s">
        <v>11320</v>
      </c>
      <c r="AZ102" s="81" t="s">
        <v>11361</v>
      </c>
      <c r="BA102" s="81" t="s">
        <v>11359</v>
      </c>
      <c r="BB102" s="81" t="s">
        <v>11359</v>
      </c>
      <c r="BC102" s="81" t="s">
        <v>11361</v>
      </c>
      <c r="BD102" s="81" t="s">
        <v>11320</v>
      </c>
      <c r="BE102" s="77"/>
      <c r="BF102" s="77"/>
      <c r="BG102" s="77"/>
      <c r="BH102" s="77"/>
      <c r="BI102" s="77"/>
    </row>
    <row r="103" spans="1:61" x14ac:dyDescent="0.25">
      <c r="A103" s="62" t="s">
        <v>269</v>
      </c>
      <c r="B103" s="62" t="s">
        <v>269</v>
      </c>
      <c r="C103" s="63"/>
      <c r="D103" s="64"/>
      <c r="E103" s="65"/>
      <c r="F103" s="66"/>
      <c r="G103" s="63"/>
      <c r="H103" s="67"/>
      <c r="I103" s="68"/>
      <c r="J103" s="68"/>
      <c r="K103" s="32"/>
      <c r="L103" s="75">
        <v>103</v>
      </c>
      <c r="M103" s="75"/>
      <c r="N103" s="70"/>
      <c r="O103" s="77" t="s">
        <v>969</v>
      </c>
      <c r="P103" s="79">
        <v>45113.539386574077</v>
      </c>
      <c r="Q103" s="77" t="s">
        <v>1061</v>
      </c>
      <c r="R103" s="77">
        <v>0</v>
      </c>
      <c r="S103" s="77">
        <v>0</v>
      </c>
      <c r="T103" s="77">
        <v>0</v>
      </c>
      <c r="U103" s="77">
        <v>0</v>
      </c>
      <c r="V103" s="77">
        <v>22</v>
      </c>
      <c r="W103" s="81" t="s">
        <v>2995</v>
      </c>
      <c r="X103" s="77"/>
      <c r="Y103" s="77"/>
      <c r="Z103" s="77" t="s">
        <v>4362</v>
      </c>
      <c r="AA103" s="77"/>
      <c r="AB103" s="77"/>
      <c r="AC103" s="81" t="s">
        <v>5801</v>
      </c>
      <c r="AD103" s="77" t="s">
        <v>5850</v>
      </c>
      <c r="AE103" s="83" t="str">
        <f>HYPERLINK("https://twitter.com/nienna_26/status/1676938225628184577")</f>
        <v>https://twitter.com/nienna_26/status/1676938225628184577</v>
      </c>
      <c r="AF103" s="79">
        <v>45113.539386574077</v>
      </c>
      <c r="AG103" s="85">
        <v>45113</v>
      </c>
      <c r="AH103" s="81" t="s">
        <v>5949</v>
      </c>
      <c r="AI103" s="77"/>
      <c r="AJ103" s="77"/>
      <c r="AK103" s="77"/>
      <c r="AL103" s="77"/>
      <c r="AM103" s="77"/>
      <c r="AN103" s="77"/>
      <c r="AO103" s="77"/>
      <c r="AP103" s="77"/>
      <c r="AQ103" s="77"/>
      <c r="AR103" s="77"/>
      <c r="AS103" s="77"/>
      <c r="AT103" s="77"/>
      <c r="AU103" s="77"/>
      <c r="AV103" s="83" t="str">
        <f>HYPERLINK("https://pbs.twimg.com/profile_images/1610399190525280268/58orTEnn_normal.png")</f>
        <v>https://pbs.twimg.com/profile_images/1610399190525280268/58orTEnn_normal.png</v>
      </c>
      <c r="AW103" s="81" t="s">
        <v>9382</v>
      </c>
      <c r="AX103" s="81" t="s">
        <v>11250</v>
      </c>
      <c r="AY103" s="81" t="s">
        <v>11320</v>
      </c>
      <c r="AZ103" s="81" t="s">
        <v>11361</v>
      </c>
      <c r="BA103" s="81" t="s">
        <v>11359</v>
      </c>
      <c r="BB103" s="81" t="s">
        <v>11359</v>
      </c>
      <c r="BC103" s="81" t="s">
        <v>11361</v>
      </c>
      <c r="BD103" s="81" t="s">
        <v>11320</v>
      </c>
      <c r="BE103" s="77"/>
      <c r="BF103" s="77"/>
      <c r="BG103" s="77"/>
      <c r="BH103" s="77"/>
      <c r="BI103" s="77"/>
    </row>
    <row r="104" spans="1:61" x14ac:dyDescent="0.25">
      <c r="A104" s="62" t="s">
        <v>270</v>
      </c>
      <c r="B104" s="62" t="s">
        <v>270</v>
      </c>
      <c r="C104" s="63"/>
      <c r="D104" s="64"/>
      <c r="E104" s="65"/>
      <c r="F104" s="66"/>
      <c r="G104" s="63"/>
      <c r="H104" s="67"/>
      <c r="I104" s="68"/>
      <c r="J104" s="68"/>
      <c r="K104" s="32"/>
      <c r="L104" s="75">
        <v>104</v>
      </c>
      <c r="M104" s="75"/>
      <c r="N104" s="70"/>
      <c r="O104" s="77" t="s">
        <v>179</v>
      </c>
      <c r="P104" s="79">
        <v>44933.575775462959</v>
      </c>
      <c r="Q104" s="77" t="s">
        <v>1062</v>
      </c>
      <c r="R104" s="77">
        <v>0</v>
      </c>
      <c r="S104" s="77">
        <v>0</v>
      </c>
      <c r="T104" s="77">
        <v>0</v>
      </c>
      <c r="U104" s="77">
        <v>0</v>
      </c>
      <c r="V104" s="77">
        <v>30</v>
      </c>
      <c r="W104" s="81" t="s">
        <v>2996</v>
      </c>
      <c r="X104" s="77" t="s">
        <v>4151</v>
      </c>
      <c r="Y104" s="77" t="s">
        <v>4226</v>
      </c>
      <c r="Z104" s="77"/>
      <c r="AA104" s="77" t="s">
        <v>4453</v>
      </c>
      <c r="AB104" s="77" t="s">
        <v>5794</v>
      </c>
      <c r="AC104" s="81" t="s">
        <v>5805</v>
      </c>
      <c r="AD104" s="77" t="s">
        <v>5850</v>
      </c>
      <c r="AE104" s="83" t="str">
        <f>HYPERLINK("https://twitter.com/trabajoenelnoa/status/1611721594530938882")</f>
        <v>https://twitter.com/trabajoenelnoa/status/1611721594530938882</v>
      </c>
      <c r="AF104" s="79">
        <v>44933.575775462959</v>
      </c>
      <c r="AG104" s="85">
        <v>44933</v>
      </c>
      <c r="AH104" s="81" t="s">
        <v>5950</v>
      </c>
      <c r="AI104" s="77" t="b">
        <v>0</v>
      </c>
      <c r="AJ104" s="77"/>
      <c r="AK104" s="77"/>
      <c r="AL104" s="77"/>
      <c r="AM104" s="77"/>
      <c r="AN104" s="77"/>
      <c r="AO104" s="77"/>
      <c r="AP104" s="77"/>
      <c r="AQ104" s="77" t="s">
        <v>7956</v>
      </c>
      <c r="AR104" s="77"/>
      <c r="AS104" s="77"/>
      <c r="AT104" s="77"/>
      <c r="AU104" s="77"/>
      <c r="AV104" s="83" t="str">
        <f>HYPERLINK("https://pbs.twimg.com/media/Fl38PZgXEAcsUow.jpg")</f>
        <v>https://pbs.twimg.com/media/Fl38PZgXEAcsUow.jpg</v>
      </c>
      <c r="AW104" s="81" t="s">
        <v>9383</v>
      </c>
      <c r="AX104" s="81" t="s">
        <v>9383</v>
      </c>
      <c r="AY104" s="77"/>
      <c r="AZ104" s="81" t="s">
        <v>11359</v>
      </c>
      <c r="BA104" s="81" t="s">
        <v>11359</v>
      </c>
      <c r="BB104" s="81" t="s">
        <v>11359</v>
      </c>
      <c r="BC104" s="81" t="s">
        <v>9383</v>
      </c>
      <c r="BD104" s="81" t="s">
        <v>11423</v>
      </c>
      <c r="BE104" s="77"/>
      <c r="BF104" s="77"/>
      <c r="BG104" s="77"/>
      <c r="BH104" s="77"/>
      <c r="BI104" s="77"/>
    </row>
    <row r="105" spans="1:61" x14ac:dyDescent="0.25">
      <c r="A105" s="62" t="s">
        <v>270</v>
      </c>
      <c r="B105" s="62" t="s">
        <v>270</v>
      </c>
      <c r="C105" s="63"/>
      <c r="D105" s="64"/>
      <c r="E105" s="65"/>
      <c r="F105" s="66"/>
      <c r="G105" s="63"/>
      <c r="H105" s="67"/>
      <c r="I105" s="68"/>
      <c r="J105" s="68"/>
      <c r="K105" s="32"/>
      <c r="L105" s="75">
        <v>105</v>
      </c>
      <c r="M105" s="75"/>
      <c r="N105" s="70"/>
      <c r="O105" s="77" t="s">
        <v>179</v>
      </c>
      <c r="P105" s="79">
        <v>45075.000034722223</v>
      </c>
      <c r="Q105" s="77" t="s">
        <v>1063</v>
      </c>
      <c r="R105" s="77">
        <v>0</v>
      </c>
      <c r="S105" s="77">
        <v>0</v>
      </c>
      <c r="T105" s="77">
        <v>0</v>
      </c>
      <c r="U105" s="77">
        <v>0</v>
      </c>
      <c r="V105" s="77">
        <v>24</v>
      </c>
      <c r="W105" s="81" t="s">
        <v>2997</v>
      </c>
      <c r="X105" s="77"/>
      <c r="Y105" s="77"/>
      <c r="Z105" s="77"/>
      <c r="AA105" s="77" t="s">
        <v>4454</v>
      </c>
      <c r="AB105" s="77" t="s">
        <v>5794</v>
      </c>
      <c r="AC105" s="81" t="s">
        <v>5805</v>
      </c>
      <c r="AD105" s="77" t="s">
        <v>5850</v>
      </c>
      <c r="AE105" s="83" t="str">
        <f>HYPERLINK("https://twitter.com/trabajoenelnoa/status/1662972029526499328")</f>
        <v>https://twitter.com/trabajoenelnoa/status/1662972029526499328</v>
      </c>
      <c r="AF105" s="79">
        <v>45075.000034722223</v>
      </c>
      <c r="AG105" s="85">
        <v>45075</v>
      </c>
      <c r="AH105" s="81" t="s">
        <v>5951</v>
      </c>
      <c r="AI105" s="77" t="b">
        <v>0</v>
      </c>
      <c r="AJ105" s="77"/>
      <c r="AK105" s="77"/>
      <c r="AL105" s="77"/>
      <c r="AM105" s="77"/>
      <c r="AN105" s="77"/>
      <c r="AO105" s="77"/>
      <c r="AP105" s="77"/>
      <c r="AQ105" s="77" t="s">
        <v>7957</v>
      </c>
      <c r="AR105" s="77"/>
      <c r="AS105" s="77"/>
      <c r="AT105" s="77"/>
      <c r="AU105" s="77"/>
      <c r="AV105" s="83" t="str">
        <f>HYPERLINK("https://pbs.twimg.com/media/FxQQPmVX0AAJu62.jpg")</f>
        <v>https://pbs.twimg.com/media/FxQQPmVX0AAJu62.jpg</v>
      </c>
      <c r="AW105" s="81" t="s">
        <v>9384</v>
      </c>
      <c r="AX105" s="81" t="s">
        <v>9384</v>
      </c>
      <c r="AY105" s="77"/>
      <c r="AZ105" s="81" t="s">
        <v>11359</v>
      </c>
      <c r="BA105" s="81" t="s">
        <v>11359</v>
      </c>
      <c r="BB105" s="81" t="s">
        <v>11359</v>
      </c>
      <c r="BC105" s="81" t="s">
        <v>9384</v>
      </c>
      <c r="BD105" s="81" t="s">
        <v>11423</v>
      </c>
      <c r="BE105" s="77"/>
      <c r="BF105" s="77"/>
      <c r="BG105" s="77"/>
      <c r="BH105" s="77"/>
      <c r="BI105" s="77"/>
    </row>
    <row r="106" spans="1:61" x14ac:dyDescent="0.25">
      <c r="A106" s="62" t="s">
        <v>270</v>
      </c>
      <c r="B106" s="62" t="s">
        <v>270</v>
      </c>
      <c r="C106" s="63"/>
      <c r="D106" s="64"/>
      <c r="E106" s="65"/>
      <c r="F106" s="66"/>
      <c r="G106" s="63"/>
      <c r="H106" s="67"/>
      <c r="I106" s="68"/>
      <c r="J106" s="68"/>
      <c r="K106" s="32"/>
      <c r="L106" s="75">
        <v>106</v>
      </c>
      <c r="M106" s="75"/>
      <c r="N106" s="70"/>
      <c r="O106" s="77" t="s">
        <v>179</v>
      </c>
      <c r="P106" s="79">
        <v>45092.941655092596</v>
      </c>
      <c r="Q106" s="77" t="s">
        <v>1064</v>
      </c>
      <c r="R106" s="77">
        <v>0</v>
      </c>
      <c r="S106" s="77">
        <v>0</v>
      </c>
      <c r="T106" s="77">
        <v>0</v>
      </c>
      <c r="U106" s="77">
        <v>0</v>
      </c>
      <c r="V106" s="77">
        <v>22</v>
      </c>
      <c r="W106" s="81" t="s">
        <v>2998</v>
      </c>
      <c r="X106" s="77"/>
      <c r="Y106" s="77"/>
      <c r="Z106" s="77"/>
      <c r="AA106" s="77" t="s">
        <v>4455</v>
      </c>
      <c r="AB106" s="77" t="s">
        <v>5794</v>
      </c>
      <c r="AC106" s="81" t="s">
        <v>5805</v>
      </c>
      <c r="AD106" s="77" t="s">
        <v>5850</v>
      </c>
      <c r="AE106" s="83" t="str">
        <f>HYPERLINK("https://twitter.com/trabajoenelnoa/status/1669473856321380352")</f>
        <v>https://twitter.com/trabajoenelnoa/status/1669473856321380352</v>
      </c>
      <c r="AF106" s="79">
        <v>45092.941655092596</v>
      </c>
      <c r="AG106" s="85">
        <v>45092</v>
      </c>
      <c r="AH106" s="81" t="s">
        <v>5952</v>
      </c>
      <c r="AI106" s="77" t="b">
        <v>0</v>
      </c>
      <c r="AJ106" s="77"/>
      <c r="AK106" s="77"/>
      <c r="AL106" s="77"/>
      <c r="AM106" s="77"/>
      <c r="AN106" s="77"/>
      <c r="AO106" s="77"/>
      <c r="AP106" s="77"/>
      <c r="AQ106" s="77" t="s">
        <v>7958</v>
      </c>
      <c r="AR106" s="77"/>
      <c r="AS106" s="77"/>
      <c r="AT106" s="77"/>
      <c r="AU106" s="77"/>
      <c r="AV106" s="83" t="str">
        <f>HYPERLINK("https://pbs.twimg.com/media/Fyspnu_WwAEnia5.jpg")</f>
        <v>https://pbs.twimg.com/media/Fyspnu_WwAEnia5.jpg</v>
      </c>
      <c r="AW106" s="81" t="s">
        <v>9385</v>
      </c>
      <c r="AX106" s="81" t="s">
        <v>9385</v>
      </c>
      <c r="AY106" s="77"/>
      <c r="AZ106" s="81" t="s">
        <v>11359</v>
      </c>
      <c r="BA106" s="81" t="s">
        <v>11359</v>
      </c>
      <c r="BB106" s="81" t="s">
        <v>11359</v>
      </c>
      <c r="BC106" s="81" t="s">
        <v>9385</v>
      </c>
      <c r="BD106" s="81" t="s">
        <v>11423</v>
      </c>
      <c r="BE106" s="77"/>
      <c r="BF106" s="77"/>
      <c r="BG106" s="77"/>
      <c r="BH106" s="77"/>
      <c r="BI106" s="77"/>
    </row>
    <row r="107" spans="1:61" x14ac:dyDescent="0.25">
      <c r="A107" s="62" t="s">
        <v>270</v>
      </c>
      <c r="B107" s="62" t="s">
        <v>270</v>
      </c>
      <c r="C107" s="63"/>
      <c r="D107" s="64"/>
      <c r="E107" s="65"/>
      <c r="F107" s="66"/>
      <c r="G107" s="63"/>
      <c r="H107" s="67"/>
      <c r="I107" s="68"/>
      <c r="J107" s="68"/>
      <c r="K107" s="32"/>
      <c r="L107" s="75">
        <v>107</v>
      </c>
      <c r="M107" s="75"/>
      <c r="N107" s="70"/>
      <c r="O107" s="77" t="s">
        <v>179</v>
      </c>
      <c r="P107" s="79">
        <v>45104.002812500003</v>
      </c>
      <c r="Q107" s="77" t="s">
        <v>1065</v>
      </c>
      <c r="R107" s="77">
        <v>0</v>
      </c>
      <c r="S107" s="77">
        <v>0</v>
      </c>
      <c r="T107" s="77">
        <v>0</v>
      </c>
      <c r="U107" s="77">
        <v>0</v>
      </c>
      <c r="V107" s="77">
        <v>50</v>
      </c>
      <c r="W107" s="81" t="s">
        <v>2998</v>
      </c>
      <c r="X107" s="77"/>
      <c r="Y107" s="77"/>
      <c r="Z107" s="77"/>
      <c r="AA107" s="77" t="s">
        <v>4456</v>
      </c>
      <c r="AB107" s="77" t="s">
        <v>5794</v>
      </c>
      <c r="AC107" s="81" t="s">
        <v>5805</v>
      </c>
      <c r="AD107" s="77" t="s">
        <v>5850</v>
      </c>
      <c r="AE107" s="83" t="str">
        <f>HYPERLINK("https://twitter.com/trabajoenelnoa/status/1673482287621591040")</f>
        <v>https://twitter.com/trabajoenelnoa/status/1673482287621591040</v>
      </c>
      <c r="AF107" s="79">
        <v>45104.002812500003</v>
      </c>
      <c r="AG107" s="85">
        <v>45104</v>
      </c>
      <c r="AH107" s="81" t="s">
        <v>5953</v>
      </c>
      <c r="AI107" s="77" t="b">
        <v>0</v>
      </c>
      <c r="AJ107" s="77"/>
      <c r="AK107" s="77"/>
      <c r="AL107" s="77"/>
      <c r="AM107" s="77"/>
      <c r="AN107" s="77"/>
      <c r="AO107" s="77"/>
      <c r="AP107" s="77"/>
      <c r="AQ107" s="77" t="s">
        <v>7959</v>
      </c>
      <c r="AR107" s="77"/>
      <c r="AS107" s="77"/>
      <c r="AT107" s="77"/>
      <c r="AU107" s="77"/>
      <c r="AV107" s="83" t="str">
        <f>HYPERLINK("https://pbs.twimg.com/media/FzlnRF4WYAI1atJ.jpg")</f>
        <v>https://pbs.twimg.com/media/FzlnRF4WYAI1atJ.jpg</v>
      </c>
      <c r="AW107" s="81" t="s">
        <v>9386</v>
      </c>
      <c r="AX107" s="81" t="s">
        <v>9386</v>
      </c>
      <c r="AY107" s="77"/>
      <c r="AZ107" s="81" t="s">
        <v>11359</v>
      </c>
      <c r="BA107" s="81" t="s">
        <v>11359</v>
      </c>
      <c r="BB107" s="81" t="s">
        <v>11359</v>
      </c>
      <c r="BC107" s="81" t="s">
        <v>9386</v>
      </c>
      <c r="BD107" s="81" t="s">
        <v>11423</v>
      </c>
      <c r="BE107" s="77"/>
      <c r="BF107" s="77"/>
      <c r="BG107" s="77"/>
      <c r="BH107" s="77"/>
      <c r="BI107" s="77"/>
    </row>
    <row r="108" spans="1:61" x14ac:dyDescent="0.25">
      <c r="A108" s="62" t="s">
        <v>270</v>
      </c>
      <c r="B108" s="62" t="s">
        <v>270</v>
      </c>
      <c r="C108" s="63"/>
      <c r="D108" s="64"/>
      <c r="E108" s="65"/>
      <c r="F108" s="66"/>
      <c r="G108" s="63"/>
      <c r="H108" s="67"/>
      <c r="I108" s="68"/>
      <c r="J108" s="68"/>
      <c r="K108" s="32"/>
      <c r="L108" s="75">
        <v>108</v>
      </c>
      <c r="M108" s="75"/>
      <c r="N108" s="70"/>
      <c r="O108" s="77" t="s">
        <v>179</v>
      </c>
      <c r="P108" s="79">
        <v>45062.941701388889</v>
      </c>
      <c r="Q108" s="77" t="s">
        <v>1066</v>
      </c>
      <c r="R108" s="77">
        <v>0</v>
      </c>
      <c r="S108" s="77">
        <v>0</v>
      </c>
      <c r="T108" s="77">
        <v>0</v>
      </c>
      <c r="U108" s="77">
        <v>0</v>
      </c>
      <c r="V108" s="77">
        <v>16</v>
      </c>
      <c r="W108" s="81" t="s">
        <v>2997</v>
      </c>
      <c r="X108" s="77"/>
      <c r="Y108" s="77"/>
      <c r="Z108" s="77"/>
      <c r="AA108" s="77" t="s">
        <v>4457</v>
      </c>
      <c r="AB108" s="77" t="s">
        <v>5794</v>
      </c>
      <c r="AC108" s="81" t="s">
        <v>5805</v>
      </c>
      <c r="AD108" s="77" t="s">
        <v>5850</v>
      </c>
      <c r="AE108" s="83" t="str">
        <f>HYPERLINK("https://twitter.com/trabajoenelnoa/status/1658602235805278209")</f>
        <v>https://twitter.com/trabajoenelnoa/status/1658602235805278209</v>
      </c>
      <c r="AF108" s="79">
        <v>45062.941701388889</v>
      </c>
      <c r="AG108" s="85">
        <v>45062</v>
      </c>
      <c r="AH108" s="81" t="s">
        <v>5954</v>
      </c>
      <c r="AI108" s="77" t="b">
        <v>0</v>
      </c>
      <c r="AJ108" s="77"/>
      <c r="AK108" s="77"/>
      <c r="AL108" s="77"/>
      <c r="AM108" s="77"/>
      <c r="AN108" s="77"/>
      <c r="AO108" s="77"/>
      <c r="AP108" s="77"/>
      <c r="AQ108" s="77" t="s">
        <v>7960</v>
      </c>
      <c r="AR108" s="77"/>
      <c r="AS108" s="77"/>
      <c r="AT108" s="77"/>
      <c r="AU108" s="77"/>
      <c r="AV108" s="83" t="str">
        <f>HYPERLINK("https://pbs.twimg.com/media/FwSJ8GFWwAIrM1o.jpg")</f>
        <v>https://pbs.twimg.com/media/FwSJ8GFWwAIrM1o.jpg</v>
      </c>
      <c r="AW108" s="81" t="s">
        <v>9387</v>
      </c>
      <c r="AX108" s="81" t="s">
        <v>9387</v>
      </c>
      <c r="AY108" s="77"/>
      <c r="AZ108" s="81" t="s">
        <v>11359</v>
      </c>
      <c r="BA108" s="81" t="s">
        <v>11359</v>
      </c>
      <c r="BB108" s="81" t="s">
        <v>11359</v>
      </c>
      <c r="BC108" s="81" t="s">
        <v>9387</v>
      </c>
      <c r="BD108" s="81" t="s">
        <v>11423</v>
      </c>
      <c r="BE108" s="77"/>
      <c r="BF108" s="77"/>
      <c r="BG108" s="77"/>
      <c r="BH108" s="77"/>
      <c r="BI108" s="77"/>
    </row>
    <row r="109" spans="1:61" x14ac:dyDescent="0.25">
      <c r="A109" s="62" t="s">
        <v>270</v>
      </c>
      <c r="B109" s="62" t="s">
        <v>270</v>
      </c>
      <c r="C109" s="63"/>
      <c r="D109" s="64"/>
      <c r="E109" s="65"/>
      <c r="F109" s="66"/>
      <c r="G109" s="63"/>
      <c r="H109" s="67"/>
      <c r="I109" s="68"/>
      <c r="J109" s="68"/>
      <c r="K109" s="32"/>
      <c r="L109" s="75">
        <v>109</v>
      </c>
      <c r="M109" s="75"/>
      <c r="N109" s="70"/>
      <c r="O109" s="77" t="s">
        <v>179</v>
      </c>
      <c r="P109" s="79">
        <v>45151.953344907408</v>
      </c>
      <c r="Q109" s="77" t="s">
        <v>1067</v>
      </c>
      <c r="R109" s="77">
        <v>0</v>
      </c>
      <c r="S109" s="77">
        <v>0</v>
      </c>
      <c r="T109" s="77">
        <v>0</v>
      </c>
      <c r="U109" s="77">
        <v>0</v>
      </c>
      <c r="V109" s="77">
        <v>29</v>
      </c>
      <c r="W109" s="81" t="s">
        <v>2999</v>
      </c>
      <c r="X109" s="77"/>
      <c r="Y109" s="77"/>
      <c r="Z109" s="77"/>
      <c r="AA109" s="77" t="s">
        <v>4458</v>
      </c>
      <c r="AB109" s="77" t="s">
        <v>5794</v>
      </c>
      <c r="AC109" s="81" t="s">
        <v>5805</v>
      </c>
      <c r="AD109" s="77" t="s">
        <v>5850</v>
      </c>
      <c r="AE109" s="83" t="str">
        <f>HYPERLINK("https://twitter.com/trabajoenelnoa/status/1690858977662255104")</f>
        <v>https://twitter.com/trabajoenelnoa/status/1690858977662255104</v>
      </c>
      <c r="AF109" s="79">
        <v>45151.953344907408</v>
      </c>
      <c r="AG109" s="85">
        <v>45151</v>
      </c>
      <c r="AH109" s="81" t="s">
        <v>5955</v>
      </c>
      <c r="AI109" s="77" t="b">
        <v>0</v>
      </c>
      <c r="AJ109" s="77"/>
      <c r="AK109" s="77"/>
      <c r="AL109" s="77"/>
      <c r="AM109" s="77"/>
      <c r="AN109" s="77"/>
      <c r="AO109" s="77"/>
      <c r="AP109" s="77"/>
      <c r="AQ109" s="77" t="s">
        <v>7961</v>
      </c>
      <c r="AR109" s="77"/>
      <c r="AS109" s="77"/>
      <c r="AT109" s="77"/>
      <c r="AU109" s="77"/>
      <c r="AV109" s="83" t="str">
        <f>HYPERLINK("https://pbs.twimg.com/media/F3ciz7-XgAATTEU.jpg")</f>
        <v>https://pbs.twimg.com/media/F3ciz7-XgAATTEU.jpg</v>
      </c>
      <c r="AW109" s="81" t="s">
        <v>9388</v>
      </c>
      <c r="AX109" s="81" t="s">
        <v>9388</v>
      </c>
      <c r="AY109" s="77"/>
      <c r="AZ109" s="81" t="s">
        <v>11359</v>
      </c>
      <c r="BA109" s="81" t="s">
        <v>11359</v>
      </c>
      <c r="BB109" s="81" t="s">
        <v>11359</v>
      </c>
      <c r="BC109" s="81" t="s">
        <v>9388</v>
      </c>
      <c r="BD109" s="81" t="s">
        <v>11423</v>
      </c>
      <c r="BE109" s="77"/>
      <c r="BF109" s="77"/>
      <c r="BG109" s="77"/>
      <c r="BH109" s="77"/>
      <c r="BI109" s="77"/>
    </row>
    <row r="110" spans="1:61" x14ac:dyDescent="0.25">
      <c r="A110" s="62" t="s">
        <v>270</v>
      </c>
      <c r="B110" s="62" t="s">
        <v>270</v>
      </c>
      <c r="C110" s="63"/>
      <c r="D110" s="64"/>
      <c r="E110" s="65"/>
      <c r="F110" s="66"/>
      <c r="G110" s="63"/>
      <c r="H110" s="67"/>
      <c r="I110" s="68"/>
      <c r="J110" s="68"/>
      <c r="K110" s="32"/>
      <c r="L110" s="75">
        <v>110</v>
      </c>
      <c r="M110" s="75"/>
      <c r="N110" s="70"/>
      <c r="O110" s="77" t="s">
        <v>179</v>
      </c>
      <c r="P110" s="79">
        <v>45082.035891203705</v>
      </c>
      <c r="Q110" s="77" t="s">
        <v>1068</v>
      </c>
      <c r="R110" s="77">
        <v>0</v>
      </c>
      <c r="S110" s="77">
        <v>0</v>
      </c>
      <c r="T110" s="77">
        <v>0</v>
      </c>
      <c r="U110" s="77">
        <v>0</v>
      </c>
      <c r="V110" s="77">
        <v>14</v>
      </c>
      <c r="W110" s="81" t="s">
        <v>2997</v>
      </c>
      <c r="X110" s="77"/>
      <c r="Y110" s="77"/>
      <c r="Z110" s="77"/>
      <c r="AA110" s="77" t="s">
        <v>4459</v>
      </c>
      <c r="AB110" s="77" t="s">
        <v>5794</v>
      </c>
      <c r="AC110" s="81" t="s">
        <v>5805</v>
      </c>
      <c r="AD110" s="77" t="s">
        <v>5850</v>
      </c>
      <c r="AE110" s="83" t="str">
        <f>HYPERLINK("https://twitter.com/trabajoenelnoa/status/1665521739416125440")</f>
        <v>https://twitter.com/trabajoenelnoa/status/1665521739416125440</v>
      </c>
      <c r="AF110" s="79">
        <v>45082.035891203705</v>
      </c>
      <c r="AG110" s="85">
        <v>45082</v>
      </c>
      <c r="AH110" s="81" t="s">
        <v>5956</v>
      </c>
      <c r="AI110" s="77" t="b">
        <v>0</v>
      </c>
      <c r="AJ110" s="77"/>
      <c r="AK110" s="77"/>
      <c r="AL110" s="77"/>
      <c r="AM110" s="77"/>
      <c r="AN110" s="77"/>
      <c r="AO110" s="77"/>
      <c r="AP110" s="77"/>
      <c r="AQ110" s="77" t="s">
        <v>7962</v>
      </c>
      <c r="AR110" s="77"/>
      <c r="AS110" s="77"/>
      <c r="AT110" s="77"/>
      <c r="AU110" s="77"/>
      <c r="AV110" s="83" t="str">
        <f>HYPERLINK("https://pbs.twimg.com/media/Fx0fMJxWwAESL14.jpg")</f>
        <v>https://pbs.twimg.com/media/Fx0fMJxWwAESL14.jpg</v>
      </c>
      <c r="AW110" s="81" t="s">
        <v>9389</v>
      </c>
      <c r="AX110" s="81" t="s">
        <v>9389</v>
      </c>
      <c r="AY110" s="77"/>
      <c r="AZ110" s="81" t="s">
        <v>11359</v>
      </c>
      <c r="BA110" s="81" t="s">
        <v>11359</v>
      </c>
      <c r="BB110" s="81" t="s">
        <v>11359</v>
      </c>
      <c r="BC110" s="81" t="s">
        <v>9389</v>
      </c>
      <c r="BD110" s="81" t="s">
        <v>11423</v>
      </c>
      <c r="BE110" s="77"/>
      <c r="BF110" s="77"/>
      <c r="BG110" s="77"/>
      <c r="BH110" s="77"/>
      <c r="BI110" s="77"/>
    </row>
    <row r="111" spans="1:61" x14ac:dyDescent="0.25">
      <c r="A111" s="62" t="s">
        <v>270</v>
      </c>
      <c r="B111" s="62" t="s">
        <v>270</v>
      </c>
      <c r="C111" s="63"/>
      <c r="D111" s="64"/>
      <c r="E111" s="65"/>
      <c r="F111" s="66"/>
      <c r="G111" s="63"/>
      <c r="H111" s="67"/>
      <c r="I111" s="68"/>
      <c r="J111" s="68"/>
      <c r="K111" s="32"/>
      <c r="L111" s="75">
        <v>111</v>
      </c>
      <c r="M111" s="75"/>
      <c r="N111" s="70"/>
      <c r="O111" s="77" t="s">
        <v>179</v>
      </c>
      <c r="P111" s="79">
        <v>45189.476909722223</v>
      </c>
      <c r="Q111" s="77" t="s">
        <v>1069</v>
      </c>
      <c r="R111" s="77">
        <v>0</v>
      </c>
      <c r="S111" s="77">
        <v>0</v>
      </c>
      <c r="T111" s="77">
        <v>0</v>
      </c>
      <c r="U111" s="77">
        <v>0</v>
      </c>
      <c r="V111" s="77">
        <v>7</v>
      </c>
      <c r="W111" s="81" t="s">
        <v>3000</v>
      </c>
      <c r="X111" s="77" t="s">
        <v>4152</v>
      </c>
      <c r="Y111" s="77" t="s">
        <v>4226</v>
      </c>
      <c r="Z111" s="77"/>
      <c r="AA111" s="77" t="s">
        <v>4460</v>
      </c>
      <c r="AB111" s="77" t="s">
        <v>5794</v>
      </c>
      <c r="AC111" s="81" t="s">
        <v>5805</v>
      </c>
      <c r="AD111" s="77" t="s">
        <v>5850</v>
      </c>
      <c r="AE111" s="83" t="str">
        <f>HYPERLINK("https://twitter.com/trabajoenelnoa/status/1704457060174172465")</f>
        <v>https://twitter.com/trabajoenelnoa/status/1704457060174172465</v>
      </c>
      <c r="AF111" s="79">
        <v>45189.476909722223</v>
      </c>
      <c r="AG111" s="85">
        <v>45189</v>
      </c>
      <c r="AH111" s="81" t="s">
        <v>5957</v>
      </c>
      <c r="AI111" s="77" t="b">
        <v>0</v>
      </c>
      <c r="AJ111" s="77"/>
      <c r="AK111" s="77"/>
      <c r="AL111" s="77"/>
      <c r="AM111" s="77"/>
      <c r="AN111" s="77"/>
      <c r="AO111" s="77"/>
      <c r="AP111" s="77"/>
      <c r="AQ111" s="77" t="s">
        <v>7963</v>
      </c>
      <c r="AR111" s="77"/>
      <c r="AS111" s="77"/>
      <c r="AT111" s="77"/>
      <c r="AU111" s="77"/>
      <c r="AV111" s="83" t="str">
        <f>HYPERLINK("https://pbs.twimg.com/media/F6dyqBJWEAAgFW7.jpg")</f>
        <v>https://pbs.twimg.com/media/F6dyqBJWEAAgFW7.jpg</v>
      </c>
      <c r="AW111" s="81" t="s">
        <v>9390</v>
      </c>
      <c r="AX111" s="81" t="s">
        <v>9390</v>
      </c>
      <c r="AY111" s="77"/>
      <c r="AZ111" s="81" t="s">
        <v>11359</v>
      </c>
      <c r="BA111" s="81" t="s">
        <v>11359</v>
      </c>
      <c r="BB111" s="81" t="s">
        <v>11359</v>
      </c>
      <c r="BC111" s="81" t="s">
        <v>9390</v>
      </c>
      <c r="BD111" s="81" t="s">
        <v>11423</v>
      </c>
      <c r="BE111" s="77"/>
      <c r="BF111" s="77"/>
      <c r="BG111" s="77"/>
      <c r="BH111" s="77"/>
      <c r="BI111" s="77"/>
    </row>
    <row r="112" spans="1:61" x14ac:dyDescent="0.25">
      <c r="A112" s="62" t="s">
        <v>270</v>
      </c>
      <c r="B112" s="62" t="s">
        <v>270</v>
      </c>
      <c r="C112" s="63"/>
      <c r="D112" s="64"/>
      <c r="E112" s="65"/>
      <c r="F112" s="66"/>
      <c r="G112" s="63"/>
      <c r="H112" s="67"/>
      <c r="I112" s="68"/>
      <c r="J112" s="68"/>
      <c r="K112" s="32"/>
      <c r="L112" s="75">
        <v>112</v>
      </c>
      <c r="M112" s="75"/>
      <c r="N112" s="70"/>
      <c r="O112" s="77" t="s">
        <v>179</v>
      </c>
      <c r="P112" s="79">
        <v>45148.905833333331</v>
      </c>
      <c r="Q112" s="77" t="s">
        <v>1070</v>
      </c>
      <c r="R112" s="77">
        <v>0</v>
      </c>
      <c r="S112" s="77">
        <v>0</v>
      </c>
      <c r="T112" s="77">
        <v>0</v>
      </c>
      <c r="U112" s="77">
        <v>0</v>
      </c>
      <c r="V112" s="77">
        <v>16</v>
      </c>
      <c r="W112" s="81" t="s">
        <v>3001</v>
      </c>
      <c r="X112" s="77"/>
      <c r="Y112" s="77"/>
      <c r="Z112" s="77"/>
      <c r="AA112" s="77" t="s">
        <v>4461</v>
      </c>
      <c r="AB112" s="77" t="s">
        <v>5794</v>
      </c>
      <c r="AC112" s="81" t="s">
        <v>5805</v>
      </c>
      <c r="AD112" s="77" t="s">
        <v>5850</v>
      </c>
      <c r="AE112" s="83" t="str">
        <f>HYPERLINK("https://twitter.com/trabajoenelnoa/status/1689754597408002048")</f>
        <v>https://twitter.com/trabajoenelnoa/status/1689754597408002048</v>
      </c>
      <c r="AF112" s="79">
        <v>45148.905833333331</v>
      </c>
      <c r="AG112" s="85">
        <v>45148</v>
      </c>
      <c r="AH112" s="81" t="s">
        <v>5958</v>
      </c>
      <c r="AI112" s="77" t="b">
        <v>0</v>
      </c>
      <c r="AJ112" s="77"/>
      <c r="AK112" s="77"/>
      <c r="AL112" s="77"/>
      <c r="AM112" s="77"/>
      <c r="AN112" s="77"/>
      <c r="AO112" s="77"/>
      <c r="AP112" s="77"/>
      <c r="AQ112" s="77" t="s">
        <v>7964</v>
      </c>
      <c r="AR112" s="77"/>
      <c r="AS112" s="77"/>
      <c r="AT112" s="77"/>
      <c r="AU112" s="77"/>
      <c r="AV112" s="83" t="str">
        <f>HYPERLINK("https://pbs.twimg.com/media/F3M22LKWEAApfdv.jpg")</f>
        <v>https://pbs.twimg.com/media/F3M22LKWEAApfdv.jpg</v>
      </c>
      <c r="AW112" s="81" t="s">
        <v>9391</v>
      </c>
      <c r="AX112" s="81" t="s">
        <v>9391</v>
      </c>
      <c r="AY112" s="77"/>
      <c r="AZ112" s="81" t="s">
        <v>11359</v>
      </c>
      <c r="BA112" s="81" t="s">
        <v>11359</v>
      </c>
      <c r="BB112" s="81" t="s">
        <v>11359</v>
      </c>
      <c r="BC112" s="81" t="s">
        <v>9391</v>
      </c>
      <c r="BD112" s="81" t="s">
        <v>11423</v>
      </c>
      <c r="BE112" s="77"/>
      <c r="BF112" s="77"/>
      <c r="BG112" s="77"/>
      <c r="BH112" s="77"/>
      <c r="BI112" s="77"/>
    </row>
    <row r="113" spans="1:61" x14ac:dyDescent="0.25">
      <c r="A113" s="62" t="s">
        <v>270</v>
      </c>
      <c r="B113" s="62" t="s">
        <v>270</v>
      </c>
      <c r="C113" s="63"/>
      <c r="D113" s="64"/>
      <c r="E113" s="65"/>
      <c r="F113" s="66"/>
      <c r="G113" s="63"/>
      <c r="H113" s="67"/>
      <c r="I113" s="68"/>
      <c r="J113" s="68"/>
      <c r="K113" s="32"/>
      <c r="L113" s="75">
        <v>113</v>
      </c>
      <c r="M113" s="75"/>
      <c r="N113" s="70"/>
      <c r="O113" s="77" t="s">
        <v>179</v>
      </c>
      <c r="P113" s="79">
        <v>44989.978148148148</v>
      </c>
      <c r="Q113" s="77" t="s">
        <v>1071</v>
      </c>
      <c r="R113" s="77">
        <v>0</v>
      </c>
      <c r="S113" s="77">
        <v>0</v>
      </c>
      <c r="T113" s="77">
        <v>0</v>
      </c>
      <c r="U113" s="77">
        <v>0</v>
      </c>
      <c r="V113" s="77">
        <v>24</v>
      </c>
      <c r="W113" s="81" t="s">
        <v>3002</v>
      </c>
      <c r="X113" s="77" t="s">
        <v>4153</v>
      </c>
      <c r="Y113" s="77" t="s">
        <v>4226</v>
      </c>
      <c r="Z113" s="77"/>
      <c r="AA113" s="77" t="s">
        <v>4462</v>
      </c>
      <c r="AB113" s="77" t="s">
        <v>5794</v>
      </c>
      <c r="AC113" s="81" t="s">
        <v>5805</v>
      </c>
      <c r="AD113" s="77" t="s">
        <v>5850</v>
      </c>
      <c r="AE113" s="83" t="str">
        <f>HYPERLINK("https://twitter.com/trabajoenelnoa/status/1632161131723726849")</f>
        <v>https://twitter.com/trabajoenelnoa/status/1632161131723726849</v>
      </c>
      <c r="AF113" s="79">
        <v>44989.978148148148</v>
      </c>
      <c r="AG113" s="85">
        <v>44989</v>
      </c>
      <c r="AH113" s="81" t="s">
        <v>5959</v>
      </c>
      <c r="AI113" s="77" t="b">
        <v>0</v>
      </c>
      <c r="AJ113" s="77"/>
      <c r="AK113" s="77"/>
      <c r="AL113" s="77"/>
      <c r="AM113" s="77"/>
      <c r="AN113" s="77"/>
      <c r="AO113" s="77"/>
      <c r="AP113" s="77"/>
      <c r="AQ113" s="77" t="s">
        <v>7965</v>
      </c>
      <c r="AR113" s="77"/>
      <c r="AS113" s="77"/>
      <c r="AT113" s="77"/>
      <c r="AU113" s="77"/>
      <c r="AV113" s="83" t="str">
        <f>HYPERLINK("https://pbs.twimg.com/media/FqaZ5CUWAAAa--m.jpg")</f>
        <v>https://pbs.twimg.com/media/FqaZ5CUWAAAa--m.jpg</v>
      </c>
      <c r="AW113" s="81" t="s">
        <v>9392</v>
      </c>
      <c r="AX113" s="81" t="s">
        <v>9392</v>
      </c>
      <c r="AY113" s="77"/>
      <c r="AZ113" s="81" t="s">
        <v>11359</v>
      </c>
      <c r="BA113" s="81" t="s">
        <v>11359</v>
      </c>
      <c r="BB113" s="81" t="s">
        <v>11359</v>
      </c>
      <c r="BC113" s="81" t="s">
        <v>9392</v>
      </c>
      <c r="BD113" s="81" t="s">
        <v>11423</v>
      </c>
      <c r="BE113" s="77"/>
      <c r="BF113" s="77"/>
      <c r="BG113" s="77"/>
      <c r="BH113" s="77"/>
      <c r="BI113" s="77"/>
    </row>
    <row r="114" spans="1:61" x14ac:dyDescent="0.25">
      <c r="A114" s="62" t="s">
        <v>271</v>
      </c>
      <c r="B114" s="62" t="s">
        <v>271</v>
      </c>
      <c r="C114" s="63"/>
      <c r="D114" s="64"/>
      <c r="E114" s="65"/>
      <c r="F114" s="66"/>
      <c r="G114" s="63"/>
      <c r="H114" s="67"/>
      <c r="I114" s="68"/>
      <c r="J114" s="68"/>
      <c r="K114" s="32"/>
      <c r="L114" s="75">
        <v>114</v>
      </c>
      <c r="M114" s="75"/>
      <c r="N114" s="70"/>
      <c r="O114" s="77" t="s">
        <v>179</v>
      </c>
      <c r="P114" s="79">
        <v>44935.389537037037</v>
      </c>
      <c r="Q114" s="77" t="s">
        <v>1072</v>
      </c>
      <c r="R114" s="77">
        <v>0</v>
      </c>
      <c r="S114" s="77">
        <v>0</v>
      </c>
      <c r="T114" s="77">
        <v>0</v>
      </c>
      <c r="U114" s="77">
        <v>0</v>
      </c>
      <c r="V114" s="77">
        <v>13</v>
      </c>
      <c r="W114" s="81" t="s">
        <v>3003</v>
      </c>
      <c r="X114" s="77"/>
      <c r="Y114" s="77"/>
      <c r="Z114" s="77"/>
      <c r="AA114" s="77" t="s">
        <v>4463</v>
      </c>
      <c r="AB114" s="77" t="s">
        <v>5795</v>
      </c>
      <c r="AC114" s="81" t="s">
        <v>5803</v>
      </c>
      <c r="AD114" s="77" t="s">
        <v>5850</v>
      </c>
      <c r="AE114" s="83" t="str">
        <f>HYPERLINK("https://twitter.com/timbralofacil/status/1612378881646006272")</f>
        <v>https://twitter.com/timbralofacil/status/1612378881646006272</v>
      </c>
      <c r="AF114" s="79">
        <v>44935.389537037037</v>
      </c>
      <c r="AG114" s="85">
        <v>44935</v>
      </c>
      <c r="AH114" s="81" t="s">
        <v>5960</v>
      </c>
      <c r="AI114" s="77" t="b">
        <v>0</v>
      </c>
      <c r="AJ114" s="77"/>
      <c r="AK114" s="77"/>
      <c r="AL114" s="77"/>
      <c r="AM114" s="77"/>
      <c r="AN114" s="77"/>
      <c r="AO114" s="77"/>
      <c r="AP114" s="77"/>
      <c r="AQ114" s="77" t="s">
        <v>7966</v>
      </c>
      <c r="AR114" s="77">
        <v>67001</v>
      </c>
      <c r="AS114" s="77"/>
      <c r="AT114" s="77"/>
      <c r="AU114" s="77"/>
      <c r="AV114" s="83" t="str">
        <f>HYPERLINK("https://pbs.twimg.com/ext_tw_video_thumb/1612378627597008896/pu/img/S9UsrjAmEXADkQrt.jpg")</f>
        <v>https://pbs.twimg.com/ext_tw_video_thumb/1612378627597008896/pu/img/S9UsrjAmEXADkQrt.jpg</v>
      </c>
      <c r="AW114" s="81" t="s">
        <v>9393</v>
      </c>
      <c r="AX114" s="81" t="s">
        <v>9393</v>
      </c>
      <c r="AY114" s="77"/>
      <c r="AZ114" s="81" t="s">
        <v>11359</v>
      </c>
      <c r="BA114" s="81" t="s">
        <v>11359</v>
      </c>
      <c r="BB114" s="81" t="s">
        <v>11359</v>
      </c>
      <c r="BC114" s="81" t="s">
        <v>9393</v>
      </c>
      <c r="BD114" s="81" t="s">
        <v>11424</v>
      </c>
      <c r="BE114" s="77"/>
      <c r="BF114" s="77"/>
      <c r="BG114" s="77"/>
      <c r="BH114" s="77"/>
      <c r="BI114" s="77"/>
    </row>
    <row r="115" spans="1:61" x14ac:dyDescent="0.25">
      <c r="A115" s="62" t="s">
        <v>272</v>
      </c>
      <c r="B115" s="62" t="s">
        <v>272</v>
      </c>
      <c r="C115" s="63"/>
      <c r="D115" s="64"/>
      <c r="E115" s="65"/>
      <c r="F115" s="66"/>
      <c r="G115" s="63"/>
      <c r="H115" s="67"/>
      <c r="I115" s="68"/>
      <c r="J115" s="68"/>
      <c r="K115" s="32"/>
      <c r="L115" s="75">
        <v>115</v>
      </c>
      <c r="M115" s="75"/>
      <c r="N115" s="70"/>
      <c r="O115" s="77" t="s">
        <v>179</v>
      </c>
      <c r="P115" s="79">
        <v>45111.458541666667</v>
      </c>
      <c r="Q115" s="77" t="s">
        <v>1073</v>
      </c>
      <c r="R115" s="77">
        <v>0</v>
      </c>
      <c r="S115" s="77">
        <v>0</v>
      </c>
      <c r="T115" s="77">
        <v>0</v>
      </c>
      <c r="U115" s="77">
        <v>0</v>
      </c>
      <c r="V115" s="77">
        <v>52</v>
      </c>
      <c r="W115" s="81" t="s">
        <v>3004</v>
      </c>
      <c r="X115" s="83" t="str">
        <f>HYPERLINK("https://lnkd.in/dBevwF7n")</f>
        <v>https://lnkd.in/dBevwF7n</v>
      </c>
      <c r="Y115" s="77" t="s">
        <v>4221</v>
      </c>
      <c r="Z115" s="77"/>
      <c r="AA115" s="77"/>
      <c r="AB115" s="77"/>
      <c r="AC115" s="81" t="s">
        <v>5810</v>
      </c>
      <c r="AD115" s="77" t="s">
        <v>5851</v>
      </c>
      <c r="AE115" s="83" t="str">
        <f>HYPERLINK("https://twitter.com/geraimpacto/status/1676184153295921153")</f>
        <v>https://twitter.com/geraimpacto/status/1676184153295921153</v>
      </c>
      <c r="AF115" s="79">
        <v>45111.458541666667</v>
      </c>
      <c r="AG115" s="85">
        <v>45111</v>
      </c>
      <c r="AH115" s="81" t="s">
        <v>5961</v>
      </c>
      <c r="AI115" s="77" t="b">
        <v>0</v>
      </c>
      <c r="AJ115" s="77"/>
      <c r="AK115" s="77"/>
      <c r="AL115" s="77"/>
      <c r="AM115" s="77"/>
      <c r="AN115" s="77"/>
      <c r="AO115" s="77"/>
      <c r="AP115" s="77"/>
      <c r="AQ115" s="77"/>
      <c r="AR115" s="77"/>
      <c r="AS115" s="77"/>
      <c r="AT115" s="77"/>
      <c r="AU115" s="77"/>
      <c r="AV115" s="83" t="str">
        <f>HYPERLINK("https://pbs.twimg.com/profile_images/1469623883695366150/fglSayzd_normal.jpg")</f>
        <v>https://pbs.twimg.com/profile_images/1469623883695366150/fglSayzd_normal.jpg</v>
      </c>
      <c r="AW115" s="81" t="s">
        <v>9394</v>
      </c>
      <c r="AX115" s="81" t="s">
        <v>9394</v>
      </c>
      <c r="AY115" s="77"/>
      <c r="AZ115" s="81" t="s">
        <v>11359</v>
      </c>
      <c r="BA115" s="81" t="s">
        <v>11359</v>
      </c>
      <c r="BB115" s="81" t="s">
        <v>11359</v>
      </c>
      <c r="BC115" s="81" t="s">
        <v>9394</v>
      </c>
      <c r="BD115" s="77">
        <v>53212118</v>
      </c>
      <c r="BE115" s="77"/>
      <c r="BF115" s="77"/>
      <c r="BG115" s="77"/>
      <c r="BH115" s="77"/>
      <c r="BI115" s="77"/>
    </row>
    <row r="116" spans="1:61" x14ac:dyDescent="0.25">
      <c r="A116" s="62" t="s">
        <v>273</v>
      </c>
      <c r="B116" s="62" t="s">
        <v>273</v>
      </c>
      <c r="C116" s="63"/>
      <c r="D116" s="64"/>
      <c r="E116" s="65"/>
      <c r="F116" s="66"/>
      <c r="G116" s="63"/>
      <c r="H116" s="67"/>
      <c r="I116" s="68"/>
      <c r="J116" s="68"/>
      <c r="K116" s="32"/>
      <c r="L116" s="75">
        <v>116</v>
      </c>
      <c r="M116" s="75"/>
      <c r="N116" s="70"/>
      <c r="O116" s="77" t="s">
        <v>179</v>
      </c>
      <c r="P116" s="79">
        <v>45047.66070601852</v>
      </c>
      <c r="Q116" s="77" t="s">
        <v>1074</v>
      </c>
      <c r="R116" s="77">
        <v>0</v>
      </c>
      <c r="S116" s="77">
        <v>0</v>
      </c>
      <c r="T116" s="77">
        <v>0</v>
      </c>
      <c r="U116" s="77">
        <v>0</v>
      </c>
      <c r="V116" s="77">
        <v>18</v>
      </c>
      <c r="W116" s="81" t="s">
        <v>3005</v>
      </c>
      <c r="X116" s="77"/>
      <c r="Y116" s="77"/>
      <c r="Z116" s="77"/>
      <c r="AA116" s="77" t="s">
        <v>4464</v>
      </c>
      <c r="AB116" s="77" t="s">
        <v>5794</v>
      </c>
      <c r="AC116" s="81" t="s">
        <v>5801</v>
      </c>
      <c r="AD116" s="77" t="s">
        <v>5850</v>
      </c>
      <c r="AE116" s="83" t="str">
        <f>HYPERLINK("https://twitter.com/shugardeli1/status/1653064588714295296")</f>
        <v>https://twitter.com/shugardeli1/status/1653064588714295296</v>
      </c>
      <c r="AF116" s="79">
        <v>45047.66070601852</v>
      </c>
      <c r="AG116" s="85">
        <v>45047</v>
      </c>
      <c r="AH116" s="81" t="s">
        <v>5962</v>
      </c>
      <c r="AI116" s="77" t="b">
        <v>0</v>
      </c>
      <c r="AJ116" s="77"/>
      <c r="AK116" s="77"/>
      <c r="AL116" s="77"/>
      <c r="AM116" s="77"/>
      <c r="AN116" s="77"/>
      <c r="AO116" s="77"/>
      <c r="AP116" s="77"/>
      <c r="AQ116" s="77" t="s">
        <v>7967</v>
      </c>
      <c r="AR116" s="77"/>
      <c r="AS116" s="77"/>
      <c r="AT116" s="77"/>
      <c r="AU116" s="77"/>
      <c r="AV116" s="83" t="str">
        <f>HYPERLINK("https://pbs.twimg.com/media/FvDde4YakAEqREy.jpg")</f>
        <v>https://pbs.twimg.com/media/FvDde4YakAEqREy.jpg</v>
      </c>
      <c r="AW116" s="81" t="s">
        <v>9395</v>
      </c>
      <c r="AX116" s="81" t="s">
        <v>9395</v>
      </c>
      <c r="AY116" s="77"/>
      <c r="AZ116" s="81" t="s">
        <v>11359</v>
      </c>
      <c r="BA116" s="81" t="s">
        <v>11359</v>
      </c>
      <c r="BB116" s="81" t="s">
        <v>11359</v>
      </c>
      <c r="BC116" s="81" t="s">
        <v>9395</v>
      </c>
      <c r="BD116" s="77">
        <v>4059092172</v>
      </c>
      <c r="BE116" s="77"/>
      <c r="BF116" s="77"/>
      <c r="BG116" s="77"/>
      <c r="BH116" s="77"/>
      <c r="BI116" s="77"/>
    </row>
    <row r="117" spans="1:61" x14ac:dyDescent="0.25">
      <c r="A117" s="62" t="s">
        <v>274</v>
      </c>
      <c r="B117" s="62" t="s">
        <v>274</v>
      </c>
      <c r="C117" s="63"/>
      <c r="D117" s="64"/>
      <c r="E117" s="65"/>
      <c r="F117" s="66"/>
      <c r="G117" s="63"/>
      <c r="H117" s="67"/>
      <c r="I117" s="68"/>
      <c r="J117" s="68"/>
      <c r="K117" s="32"/>
      <c r="L117" s="75">
        <v>117</v>
      </c>
      <c r="M117" s="75"/>
      <c r="N117" s="70"/>
      <c r="O117" s="77" t="s">
        <v>179</v>
      </c>
      <c r="P117" s="79">
        <v>45027.417615740742</v>
      </c>
      <c r="Q117" s="77" t="s">
        <v>1075</v>
      </c>
      <c r="R117" s="77">
        <v>0</v>
      </c>
      <c r="S117" s="77">
        <v>0</v>
      </c>
      <c r="T117" s="77">
        <v>0</v>
      </c>
      <c r="U117" s="77">
        <v>0</v>
      </c>
      <c r="V117" s="77">
        <v>18</v>
      </c>
      <c r="W117" s="81" t="s">
        <v>3006</v>
      </c>
      <c r="X117" s="83" t="str">
        <f>HYPERLINK("https://info.vivendex.com/comprador-cualificado-para-comprar-vivienda/")</f>
        <v>https://info.vivendex.com/comprador-cualificado-para-comprar-vivienda/</v>
      </c>
      <c r="Y117" s="77" t="s">
        <v>4227</v>
      </c>
      <c r="Z117" s="77"/>
      <c r="AA117" s="77"/>
      <c r="AB117" s="77"/>
      <c r="AC117" s="81" t="s">
        <v>5812</v>
      </c>
      <c r="AD117" s="77" t="s">
        <v>5850</v>
      </c>
      <c r="AE117" s="83" t="str">
        <f>HYPERLINK("https://twitter.com/vivendex/status/1645728739093798915")</f>
        <v>https://twitter.com/vivendex/status/1645728739093798915</v>
      </c>
      <c r="AF117" s="79">
        <v>45027.417615740742</v>
      </c>
      <c r="AG117" s="85">
        <v>45027</v>
      </c>
      <c r="AH117" s="81" t="s">
        <v>5963</v>
      </c>
      <c r="AI117" s="77" t="b">
        <v>0</v>
      </c>
      <c r="AJ117" s="77"/>
      <c r="AK117" s="77"/>
      <c r="AL117" s="77"/>
      <c r="AM117" s="77"/>
      <c r="AN117" s="77"/>
      <c r="AO117" s="77"/>
      <c r="AP117" s="77"/>
      <c r="AQ117" s="77"/>
      <c r="AR117" s="77"/>
      <c r="AS117" s="77"/>
      <c r="AT117" s="77"/>
      <c r="AU117" s="77"/>
      <c r="AV117" s="83" t="str">
        <f>HYPERLINK("https://pbs.twimg.com/profile_images/1106132897688440832/v-_2eQuH_normal.png")</f>
        <v>https://pbs.twimg.com/profile_images/1106132897688440832/v-_2eQuH_normal.png</v>
      </c>
      <c r="AW117" s="81" t="s">
        <v>9396</v>
      </c>
      <c r="AX117" s="81" t="s">
        <v>9396</v>
      </c>
      <c r="AY117" s="77"/>
      <c r="AZ117" s="81" t="s">
        <v>11359</v>
      </c>
      <c r="BA117" s="81" t="s">
        <v>11359</v>
      </c>
      <c r="BB117" s="81" t="s">
        <v>11359</v>
      </c>
      <c r="BC117" s="81" t="s">
        <v>9396</v>
      </c>
      <c r="BD117" s="77">
        <v>420522863</v>
      </c>
      <c r="BE117" s="77"/>
      <c r="BF117" s="77"/>
      <c r="BG117" s="77"/>
      <c r="BH117" s="77"/>
      <c r="BI117" s="77"/>
    </row>
    <row r="118" spans="1:61" x14ac:dyDescent="0.25">
      <c r="A118" s="62" t="s">
        <v>275</v>
      </c>
      <c r="B118" s="62" t="s">
        <v>275</v>
      </c>
      <c r="C118" s="63"/>
      <c r="D118" s="64"/>
      <c r="E118" s="65"/>
      <c r="F118" s="66"/>
      <c r="G118" s="63"/>
      <c r="H118" s="67"/>
      <c r="I118" s="68"/>
      <c r="J118" s="68"/>
      <c r="K118" s="32"/>
      <c r="L118" s="75">
        <v>118</v>
      </c>
      <c r="M118" s="75"/>
      <c r="N118" s="70"/>
      <c r="O118" s="77" t="s">
        <v>179</v>
      </c>
      <c r="P118" s="79">
        <v>44949.636469907404</v>
      </c>
      <c r="Q118" s="77" t="s">
        <v>1076</v>
      </c>
      <c r="R118" s="77">
        <v>0</v>
      </c>
      <c r="S118" s="77">
        <v>0</v>
      </c>
      <c r="T118" s="77">
        <v>0</v>
      </c>
      <c r="U118" s="77">
        <v>0</v>
      </c>
      <c r="V118" s="77">
        <v>45</v>
      </c>
      <c r="W118" s="81" t="s">
        <v>3007</v>
      </c>
      <c r="X118" s="83" t="str">
        <f>HYPERLINK("https://elbonaerense.news/sur/echaron-a-golpes-de-un-restaurante-a-un-vendedor-ambulante-en-la-plata/")</f>
        <v>https://elbonaerense.news/sur/echaron-a-golpes-de-un-restaurante-a-un-vendedor-ambulante-en-la-plata/</v>
      </c>
      <c r="Y118" s="77" t="s">
        <v>4228</v>
      </c>
      <c r="Z118" s="77"/>
      <c r="AA118" s="77" t="s">
        <v>4465</v>
      </c>
      <c r="AB118" s="77" t="s">
        <v>5795</v>
      </c>
      <c r="AC118" s="81" t="s">
        <v>5805</v>
      </c>
      <c r="AD118" s="77" t="s">
        <v>5850</v>
      </c>
      <c r="AE118" s="83" t="str">
        <f>HYPERLINK("https://twitter.com/elbonanews/status/1617541796359450625")</f>
        <v>https://twitter.com/elbonanews/status/1617541796359450625</v>
      </c>
      <c r="AF118" s="79">
        <v>44949.636469907404</v>
      </c>
      <c r="AG118" s="85">
        <v>44949</v>
      </c>
      <c r="AH118" s="81" t="s">
        <v>5964</v>
      </c>
      <c r="AI118" s="77" t="b">
        <v>0</v>
      </c>
      <c r="AJ118" s="77"/>
      <c r="AK118" s="77"/>
      <c r="AL118" s="77"/>
      <c r="AM118" s="77"/>
      <c r="AN118" s="77"/>
      <c r="AO118" s="77"/>
      <c r="AP118" s="77"/>
      <c r="AQ118" s="77" t="s">
        <v>7968</v>
      </c>
      <c r="AR118" s="77">
        <v>26585</v>
      </c>
      <c r="AS118" s="77"/>
      <c r="AT118" s="77"/>
      <c r="AU118" s="77"/>
      <c r="AV118" s="83" t="str">
        <f>HYPERLINK("https://pbs.twimg.com/ext_tw_video_thumb/1617527182796156929/pu/img/-l2zw220cf8OBnCk.jpg")</f>
        <v>https://pbs.twimg.com/ext_tw_video_thumb/1617527182796156929/pu/img/-l2zw220cf8OBnCk.jpg</v>
      </c>
      <c r="AW118" s="81" t="s">
        <v>9397</v>
      </c>
      <c r="AX118" s="81" t="s">
        <v>9397</v>
      </c>
      <c r="AY118" s="77"/>
      <c r="AZ118" s="81" t="s">
        <v>11359</v>
      </c>
      <c r="BA118" s="81" t="s">
        <v>11359</v>
      </c>
      <c r="BB118" s="81" t="s">
        <v>11359</v>
      </c>
      <c r="BC118" s="81" t="s">
        <v>9397</v>
      </c>
      <c r="BD118" s="81" t="s">
        <v>11425</v>
      </c>
      <c r="BE118" s="77"/>
      <c r="BF118" s="77"/>
      <c r="BG118" s="77"/>
      <c r="BH118" s="77"/>
      <c r="BI118" s="77"/>
    </row>
    <row r="119" spans="1:61" x14ac:dyDescent="0.25">
      <c r="A119" s="62" t="s">
        <v>275</v>
      </c>
      <c r="B119" s="62" t="s">
        <v>275</v>
      </c>
      <c r="C119" s="63"/>
      <c r="D119" s="64"/>
      <c r="E119" s="65"/>
      <c r="F119" s="66"/>
      <c r="G119" s="63"/>
      <c r="H119" s="67"/>
      <c r="I119" s="68"/>
      <c r="J119" s="68"/>
      <c r="K119" s="32"/>
      <c r="L119" s="75">
        <v>119</v>
      </c>
      <c r="M119" s="75"/>
      <c r="N119" s="70"/>
      <c r="O119" s="77" t="s">
        <v>179</v>
      </c>
      <c r="P119" s="79">
        <v>45008.628298611111</v>
      </c>
      <c r="Q119" s="77" t="s">
        <v>1077</v>
      </c>
      <c r="R119" s="77">
        <v>0</v>
      </c>
      <c r="S119" s="77">
        <v>0</v>
      </c>
      <c r="T119" s="77">
        <v>0</v>
      </c>
      <c r="U119" s="77">
        <v>0</v>
      </c>
      <c r="V119" s="77">
        <v>75</v>
      </c>
      <c r="W119" s="81" t="s">
        <v>3008</v>
      </c>
      <c r="X119" s="83" t="str">
        <f>HYPERLINK("https://elbonaerense.news/interior/la-inseguridad-no-cesa-en-pergamino-robaron-en-la-misma-cuadra-de-la-comisaria-segunda/")</f>
        <v>https://elbonaerense.news/interior/la-inseguridad-no-cesa-en-pergamino-robaron-en-la-misma-cuadra-de-la-comisaria-segunda/</v>
      </c>
      <c r="Y119" s="77" t="s">
        <v>4228</v>
      </c>
      <c r="Z119" s="77"/>
      <c r="AA119" s="77"/>
      <c r="AB119" s="77"/>
      <c r="AC119" s="81" t="s">
        <v>5801</v>
      </c>
      <c r="AD119" s="77" t="s">
        <v>5850</v>
      </c>
      <c r="AE119" s="83" t="str">
        <f>HYPERLINK("https://twitter.com/elbonanews/status/1638919721549725697")</f>
        <v>https://twitter.com/elbonanews/status/1638919721549725697</v>
      </c>
      <c r="AF119" s="79">
        <v>45008.628298611111</v>
      </c>
      <c r="AG119" s="85">
        <v>45008</v>
      </c>
      <c r="AH119" s="81" t="s">
        <v>5965</v>
      </c>
      <c r="AI119" s="77" t="b">
        <v>0</v>
      </c>
      <c r="AJ119" s="77"/>
      <c r="AK119" s="77"/>
      <c r="AL119" s="77"/>
      <c r="AM119" s="77"/>
      <c r="AN119" s="77"/>
      <c r="AO119" s="77"/>
      <c r="AP119" s="77"/>
      <c r="AQ119" s="77"/>
      <c r="AR119" s="77"/>
      <c r="AS119" s="77"/>
      <c r="AT119" s="77"/>
      <c r="AU119" s="77"/>
      <c r="AV119" s="83" t="str">
        <f>HYPERLINK("https://pbs.twimg.com/profile_images/1453464781868969993/Z-GK7S8m_normal.jpg")</f>
        <v>https://pbs.twimg.com/profile_images/1453464781868969993/Z-GK7S8m_normal.jpg</v>
      </c>
      <c r="AW119" s="81" t="s">
        <v>9398</v>
      </c>
      <c r="AX119" s="81" t="s">
        <v>9398</v>
      </c>
      <c r="AY119" s="77"/>
      <c r="AZ119" s="81" t="s">
        <v>11359</v>
      </c>
      <c r="BA119" s="81" t="s">
        <v>11359</v>
      </c>
      <c r="BB119" s="81" t="s">
        <v>11359</v>
      </c>
      <c r="BC119" s="81" t="s">
        <v>9398</v>
      </c>
      <c r="BD119" s="81" t="s">
        <v>11425</v>
      </c>
      <c r="BE119" s="77"/>
      <c r="BF119" s="77"/>
      <c r="BG119" s="77"/>
      <c r="BH119" s="77"/>
      <c r="BI119" s="77"/>
    </row>
    <row r="120" spans="1:61" x14ac:dyDescent="0.25">
      <c r="A120" s="62" t="s">
        <v>276</v>
      </c>
      <c r="B120" s="62" t="s">
        <v>276</v>
      </c>
      <c r="C120" s="63"/>
      <c r="D120" s="64"/>
      <c r="E120" s="65"/>
      <c r="F120" s="66"/>
      <c r="G120" s="63"/>
      <c r="H120" s="67"/>
      <c r="I120" s="68"/>
      <c r="J120" s="68"/>
      <c r="K120" s="32"/>
      <c r="L120" s="75">
        <v>120</v>
      </c>
      <c r="M120" s="75"/>
      <c r="N120" s="70"/>
      <c r="O120" s="77" t="s">
        <v>179</v>
      </c>
      <c r="P120" s="79">
        <v>45087.000057870369</v>
      </c>
      <c r="Q120" s="77" t="s">
        <v>1078</v>
      </c>
      <c r="R120" s="77">
        <v>0</v>
      </c>
      <c r="S120" s="77">
        <v>0</v>
      </c>
      <c r="T120" s="77">
        <v>0</v>
      </c>
      <c r="U120" s="77">
        <v>1</v>
      </c>
      <c r="V120" s="77">
        <v>3</v>
      </c>
      <c r="W120" s="81" t="s">
        <v>3009</v>
      </c>
      <c r="X120" s="77"/>
      <c r="Y120" s="77"/>
      <c r="Z120" s="77"/>
      <c r="AA120" s="77" t="s">
        <v>4466</v>
      </c>
      <c r="AB120" s="77" t="s">
        <v>5794</v>
      </c>
      <c r="AC120" s="81" t="s">
        <v>5813</v>
      </c>
      <c r="AD120" s="77" t="s">
        <v>5850</v>
      </c>
      <c r="AE120" s="83" t="str">
        <f>HYPERLINK("https://twitter.com/merchantsguider/status/1667320694999220225")</f>
        <v>https://twitter.com/merchantsguider/status/1667320694999220225</v>
      </c>
      <c r="AF120" s="79">
        <v>45087.000057870369</v>
      </c>
      <c r="AG120" s="85">
        <v>45087</v>
      </c>
      <c r="AH120" s="81" t="s">
        <v>5966</v>
      </c>
      <c r="AI120" s="77" t="b">
        <v>0</v>
      </c>
      <c r="AJ120" s="77"/>
      <c r="AK120" s="77"/>
      <c r="AL120" s="77"/>
      <c r="AM120" s="77"/>
      <c r="AN120" s="77"/>
      <c r="AO120" s="77"/>
      <c r="AP120" s="77"/>
      <c r="AQ120" s="77" t="s">
        <v>7969</v>
      </c>
      <c r="AR120" s="77"/>
      <c r="AS120" s="77"/>
      <c r="AT120" s="77"/>
      <c r="AU120" s="77"/>
      <c r="AV120" s="83" t="str">
        <f>HYPERLINK("https://pbs.twimg.com/media/FyODVc7WcAEGqfK.jpg")</f>
        <v>https://pbs.twimg.com/media/FyODVc7WcAEGqfK.jpg</v>
      </c>
      <c r="AW120" s="81" t="s">
        <v>9399</v>
      </c>
      <c r="AX120" s="81" t="s">
        <v>9399</v>
      </c>
      <c r="AY120" s="77"/>
      <c r="AZ120" s="81" t="s">
        <v>11359</v>
      </c>
      <c r="BA120" s="81" t="s">
        <v>11359</v>
      </c>
      <c r="BB120" s="81" t="s">
        <v>11359</v>
      </c>
      <c r="BC120" s="81" t="s">
        <v>9399</v>
      </c>
      <c r="BD120" s="77">
        <v>104871338</v>
      </c>
      <c r="BE120" s="77"/>
      <c r="BF120" s="77"/>
      <c r="BG120" s="77"/>
      <c r="BH120" s="77"/>
      <c r="BI120" s="77"/>
    </row>
    <row r="121" spans="1:61" x14ac:dyDescent="0.25">
      <c r="A121" s="62" t="s">
        <v>277</v>
      </c>
      <c r="B121" s="62" t="s">
        <v>277</v>
      </c>
      <c r="C121" s="63"/>
      <c r="D121" s="64"/>
      <c r="E121" s="65"/>
      <c r="F121" s="66"/>
      <c r="G121" s="63"/>
      <c r="H121" s="67"/>
      <c r="I121" s="68"/>
      <c r="J121" s="68"/>
      <c r="K121" s="32"/>
      <c r="L121" s="75">
        <v>121</v>
      </c>
      <c r="M121" s="75"/>
      <c r="N121" s="70"/>
      <c r="O121" s="77" t="s">
        <v>179</v>
      </c>
      <c r="P121" s="79">
        <v>44964.500277777777</v>
      </c>
      <c r="Q121" s="77" t="s">
        <v>1079</v>
      </c>
      <c r="R121" s="77">
        <v>0</v>
      </c>
      <c r="S121" s="77">
        <v>0</v>
      </c>
      <c r="T121" s="77">
        <v>0</v>
      </c>
      <c r="U121" s="77">
        <v>0</v>
      </c>
      <c r="V121" s="77">
        <v>19</v>
      </c>
      <c r="W121" s="81" t="s">
        <v>3010</v>
      </c>
      <c r="X121" s="77"/>
      <c r="Y121" s="77"/>
      <c r="Z121" s="77"/>
      <c r="AA121" s="77" t="s">
        <v>4467</v>
      </c>
      <c r="AB121" s="77" t="s">
        <v>5794</v>
      </c>
      <c r="AC121" s="81" t="s">
        <v>5808</v>
      </c>
      <c r="AD121" s="77" t="s">
        <v>5851</v>
      </c>
      <c r="AE121" s="83" t="str">
        <f>HYPERLINK("https://twitter.com/guiaserjcentro/status/1622928259837992964")</f>
        <v>https://twitter.com/guiaserjcentro/status/1622928259837992964</v>
      </c>
      <c r="AF121" s="79">
        <v>44964.500277777777</v>
      </c>
      <c r="AG121" s="85">
        <v>44964</v>
      </c>
      <c r="AH121" s="81" t="s">
        <v>5967</v>
      </c>
      <c r="AI121" s="77" t="b">
        <v>0</v>
      </c>
      <c r="AJ121" s="77"/>
      <c r="AK121" s="77"/>
      <c r="AL121" s="77"/>
      <c r="AM121" s="77"/>
      <c r="AN121" s="77"/>
      <c r="AO121" s="77"/>
      <c r="AP121" s="77"/>
      <c r="AQ121" s="77" t="s">
        <v>7970</v>
      </c>
      <c r="AR121" s="77"/>
      <c r="AS121" s="77"/>
      <c r="AT121" s="77"/>
      <c r="AU121" s="77"/>
      <c r="AV121" s="83" t="str">
        <f>HYPERLINK("https://pbs.twimg.com/media/FoXMpsaXgAAsvOh.jpg")</f>
        <v>https://pbs.twimg.com/media/FoXMpsaXgAAsvOh.jpg</v>
      </c>
      <c r="AW121" s="81" t="s">
        <v>9400</v>
      </c>
      <c r="AX121" s="81" t="s">
        <v>9400</v>
      </c>
      <c r="AY121" s="77"/>
      <c r="AZ121" s="81" t="s">
        <v>11359</v>
      </c>
      <c r="BA121" s="81" t="s">
        <v>11359</v>
      </c>
      <c r="BB121" s="81" t="s">
        <v>11359</v>
      </c>
      <c r="BC121" s="81" t="s">
        <v>9400</v>
      </c>
      <c r="BD121" s="81" t="s">
        <v>11426</v>
      </c>
      <c r="BE121" s="77"/>
      <c r="BF121" s="77"/>
      <c r="BG121" s="77"/>
      <c r="BH121" s="77"/>
      <c r="BI121" s="77"/>
    </row>
    <row r="122" spans="1:61" x14ac:dyDescent="0.25">
      <c r="A122" s="62" t="s">
        <v>278</v>
      </c>
      <c r="B122" s="62" t="s">
        <v>278</v>
      </c>
      <c r="C122" s="63"/>
      <c r="D122" s="64"/>
      <c r="E122" s="65"/>
      <c r="F122" s="66"/>
      <c r="G122" s="63"/>
      <c r="H122" s="67"/>
      <c r="I122" s="68"/>
      <c r="J122" s="68"/>
      <c r="K122" s="32"/>
      <c r="L122" s="75">
        <v>122</v>
      </c>
      <c r="M122" s="75"/>
      <c r="N122" s="70"/>
      <c r="O122" s="77" t="s">
        <v>179</v>
      </c>
      <c r="P122" s="79">
        <v>45083.663148148145</v>
      </c>
      <c r="Q122" s="77" t="s">
        <v>1080</v>
      </c>
      <c r="R122" s="77">
        <v>0</v>
      </c>
      <c r="S122" s="77">
        <v>1</v>
      </c>
      <c r="T122" s="77">
        <v>0</v>
      </c>
      <c r="U122" s="77">
        <v>0</v>
      </c>
      <c r="V122" s="77">
        <v>104</v>
      </c>
      <c r="W122" s="81" t="s">
        <v>3011</v>
      </c>
      <c r="X122" s="83" t="str">
        <f>HYPERLINK("https://youtube.com/shorts/rtD2KyE7YIg?feature=share")</f>
        <v>https://youtube.com/shorts/rtD2KyE7YIg?feature=share</v>
      </c>
      <c r="Y122" s="77" t="s">
        <v>4225</v>
      </c>
      <c r="Z122" s="77"/>
      <c r="AA122" s="77" t="s">
        <v>4468</v>
      </c>
      <c r="AB122" s="77" t="s">
        <v>5796</v>
      </c>
      <c r="AC122" s="81" t="s">
        <v>5803</v>
      </c>
      <c r="AD122" s="77" t="s">
        <v>5850</v>
      </c>
      <c r="AE122" s="83" t="str">
        <f>HYPERLINK("https://twitter.com/cintiaxis/status/1666111439541600256")</f>
        <v>https://twitter.com/cintiaxis/status/1666111439541600256</v>
      </c>
      <c r="AF122" s="79">
        <v>45083.663148148145</v>
      </c>
      <c r="AG122" s="85">
        <v>45083</v>
      </c>
      <c r="AH122" s="81" t="s">
        <v>5968</v>
      </c>
      <c r="AI122" s="77" t="b">
        <v>0</v>
      </c>
      <c r="AJ122" s="77" t="s">
        <v>7729</v>
      </c>
      <c r="AK122" s="77" t="s">
        <v>7764</v>
      </c>
      <c r="AL122" s="77" t="s">
        <v>7773</v>
      </c>
      <c r="AM122" s="77" t="s">
        <v>7783</v>
      </c>
      <c r="AN122" s="77" t="s">
        <v>7819</v>
      </c>
      <c r="AO122" s="77" t="s">
        <v>7855</v>
      </c>
      <c r="AP122" s="77" t="s">
        <v>7890</v>
      </c>
      <c r="AQ122" s="77" t="s">
        <v>7971</v>
      </c>
      <c r="AR122" s="77"/>
      <c r="AS122" s="77"/>
      <c r="AT122" s="77"/>
      <c r="AU122" s="77"/>
      <c r="AV122" s="83" t="str">
        <f>HYPERLINK("https://pbs.twimg.com/tweet_video_thumb/Fx83hGdXgAAeWbF.jpg")</f>
        <v>https://pbs.twimg.com/tweet_video_thumb/Fx83hGdXgAAeWbF.jpg</v>
      </c>
      <c r="AW122" s="81" t="s">
        <v>9401</v>
      </c>
      <c r="AX122" s="81" t="s">
        <v>9401</v>
      </c>
      <c r="AY122" s="77"/>
      <c r="AZ122" s="81" t="s">
        <v>11359</v>
      </c>
      <c r="BA122" s="81" t="s">
        <v>11359</v>
      </c>
      <c r="BB122" s="81" t="s">
        <v>11359</v>
      </c>
      <c r="BC122" s="81" t="s">
        <v>9401</v>
      </c>
      <c r="BD122" s="77">
        <v>539604404</v>
      </c>
      <c r="BE122" s="77"/>
      <c r="BF122" s="77"/>
      <c r="BG122" s="77"/>
      <c r="BH122" s="77"/>
      <c r="BI122" s="77"/>
    </row>
    <row r="123" spans="1:61" x14ac:dyDescent="0.25">
      <c r="A123" s="62" t="s">
        <v>279</v>
      </c>
      <c r="B123" s="62" t="s">
        <v>279</v>
      </c>
      <c r="C123" s="63"/>
      <c r="D123" s="64"/>
      <c r="E123" s="65"/>
      <c r="F123" s="66"/>
      <c r="G123" s="63"/>
      <c r="H123" s="67"/>
      <c r="I123" s="68"/>
      <c r="J123" s="68"/>
      <c r="K123" s="32"/>
      <c r="L123" s="75">
        <v>123</v>
      </c>
      <c r="M123" s="75"/>
      <c r="N123" s="70"/>
      <c r="O123" s="77" t="s">
        <v>179</v>
      </c>
      <c r="P123" s="79">
        <v>44950.079560185186</v>
      </c>
      <c r="Q123" s="77" t="s">
        <v>1081</v>
      </c>
      <c r="R123" s="77">
        <v>0</v>
      </c>
      <c r="S123" s="77">
        <v>0</v>
      </c>
      <c r="T123" s="77">
        <v>0</v>
      </c>
      <c r="U123" s="77">
        <v>0</v>
      </c>
      <c r="V123" s="77">
        <v>31</v>
      </c>
      <c r="W123" s="81" t="s">
        <v>2964</v>
      </c>
      <c r="X123" s="77"/>
      <c r="Y123" s="77"/>
      <c r="Z123" s="77"/>
      <c r="AA123" s="77" t="s">
        <v>4469</v>
      </c>
      <c r="AB123" s="77" t="s">
        <v>5794</v>
      </c>
      <c r="AC123" s="81" t="s">
        <v>5801</v>
      </c>
      <c r="AD123" s="77" t="s">
        <v>5850</v>
      </c>
      <c r="AE123" s="83" t="str">
        <f>HYPERLINK("https://twitter.com/dnrconsultor/status/1617702365561524227")</f>
        <v>https://twitter.com/dnrconsultor/status/1617702365561524227</v>
      </c>
      <c r="AF123" s="79">
        <v>44950.079560185186</v>
      </c>
      <c r="AG123" s="85">
        <v>44950</v>
      </c>
      <c r="AH123" s="81" t="s">
        <v>5969</v>
      </c>
      <c r="AI123" s="77" t="b">
        <v>0</v>
      </c>
      <c r="AJ123" s="77"/>
      <c r="AK123" s="77"/>
      <c r="AL123" s="77"/>
      <c r="AM123" s="77"/>
      <c r="AN123" s="77"/>
      <c r="AO123" s="77"/>
      <c r="AP123" s="77"/>
      <c r="AQ123" s="77" t="s">
        <v>7972</v>
      </c>
      <c r="AR123" s="77"/>
      <c r="AS123" s="77"/>
      <c r="AT123" s="77"/>
      <c r="AU123" s="77"/>
      <c r="AV123" s="83" t="str">
        <f>HYPERLINK("https://pbs.twimg.com/media/FnM7ukpXoAAHRho.jpg")</f>
        <v>https://pbs.twimg.com/media/FnM7ukpXoAAHRho.jpg</v>
      </c>
      <c r="AW123" s="81" t="s">
        <v>9402</v>
      </c>
      <c r="AX123" s="81" t="s">
        <v>9402</v>
      </c>
      <c r="AY123" s="77"/>
      <c r="AZ123" s="81" t="s">
        <v>11359</v>
      </c>
      <c r="BA123" s="81" t="s">
        <v>11359</v>
      </c>
      <c r="BB123" s="81" t="s">
        <v>11359</v>
      </c>
      <c r="BC123" s="81" t="s">
        <v>9402</v>
      </c>
      <c r="BD123" s="81" t="s">
        <v>11427</v>
      </c>
      <c r="BE123" s="77"/>
      <c r="BF123" s="77"/>
      <c r="BG123" s="77"/>
      <c r="BH123" s="77"/>
      <c r="BI123" s="77"/>
    </row>
    <row r="124" spans="1:61" x14ac:dyDescent="0.25">
      <c r="A124" s="62" t="s">
        <v>280</v>
      </c>
      <c r="B124" s="62" t="s">
        <v>280</v>
      </c>
      <c r="C124" s="63"/>
      <c r="D124" s="64"/>
      <c r="E124" s="65"/>
      <c r="F124" s="66"/>
      <c r="G124" s="63"/>
      <c r="H124" s="67"/>
      <c r="I124" s="68"/>
      <c r="J124" s="68"/>
      <c r="K124" s="32"/>
      <c r="L124" s="75">
        <v>124</v>
      </c>
      <c r="M124" s="75"/>
      <c r="N124" s="70"/>
      <c r="O124" s="77" t="s">
        <v>179</v>
      </c>
      <c r="P124" s="79">
        <v>45187.713460648149</v>
      </c>
      <c r="Q124" s="77" t="s">
        <v>1082</v>
      </c>
      <c r="R124" s="77">
        <v>0</v>
      </c>
      <c r="S124" s="77">
        <v>0</v>
      </c>
      <c r="T124" s="77">
        <v>0</v>
      </c>
      <c r="U124" s="77">
        <v>0</v>
      </c>
      <c r="V124" s="77">
        <v>5</v>
      </c>
      <c r="W124" s="81" t="s">
        <v>3012</v>
      </c>
      <c r="X124" s="83" t="str">
        <f>HYPERLINK("https://amaneciendo.com.mx/vendedor-evita-que-retiren-su-puesto-en-plazaprincipal-de-apan/")</f>
        <v>https://amaneciendo.com.mx/vendedor-evita-que-retiren-su-puesto-en-plazaprincipal-de-apan/</v>
      </c>
      <c r="Y124" s="77" t="s">
        <v>4222</v>
      </c>
      <c r="Z124" s="77"/>
      <c r="AA124" s="77"/>
      <c r="AB124" s="77"/>
      <c r="AC124" s="81" t="s">
        <v>5814</v>
      </c>
      <c r="AD124" s="77" t="s">
        <v>5850</v>
      </c>
      <c r="AE124" s="83" t="str">
        <f>HYPERLINK("https://twitter.com/amaneciendomx/status/1703818008928415836")</f>
        <v>https://twitter.com/amaneciendomx/status/1703818008928415836</v>
      </c>
      <c r="AF124" s="79">
        <v>45187.713460648149</v>
      </c>
      <c r="AG124" s="85">
        <v>45187</v>
      </c>
      <c r="AH124" s="81" t="s">
        <v>5970</v>
      </c>
      <c r="AI124" s="77" t="b">
        <v>0</v>
      </c>
      <c r="AJ124" s="77"/>
      <c r="AK124" s="77"/>
      <c r="AL124" s="77"/>
      <c r="AM124" s="77"/>
      <c r="AN124" s="77"/>
      <c r="AO124" s="77"/>
      <c r="AP124" s="77"/>
      <c r="AQ124" s="77"/>
      <c r="AR124" s="77"/>
      <c r="AS124" s="77"/>
      <c r="AT124" s="77"/>
      <c r="AU124" s="77"/>
      <c r="AV124" s="83" t="str">
        <f>HYPERLINK("https://pbs.twimg.com/profile_images/1687127639465644032/l01zXRmZ_normal.jpg")</f>
        <v>https://pbs.twimg.com/profile_images/1687127639465644032/l01zXRmZ_normal.jpg</v>
      </c>
      <c r="AW124" s="81" t="s">
        <v>9403</v>
      </c>
      <c r="AX124" s="81" t="s">
        <v>9403</v>
      </c>
      <c r="AY124" s="77"/>
      <c r="AZ124" s="81" t="s">
        <v>11359</v>
      </c>
      <c r="BA124" s="81" t="s">
        <v>11359</v>
      </c>
      <c r="BB124" s="81" t="s">
        <v>11359</v>
      </c>
      <c r="BC124" s="81" t="s">
        <v>9403</v>
      </c>
      <c r="BD124" s="77">
        <v>917969348</v>
      </c>
      <c r="BE124" s="77"/>
      <c r="BF124" s="77"/>
      <c r="BG124" s="77"/>
      <c r="BH124" s="77"/>
      <c r="BI124" s="77"/>
    </row>
    <row r="125" spans="1:61" x14ac:dyDescent="0.25">
      <c r="A125" s="62" t="s">
        <v>281</v>
      </c>
      <c r="B125" s="62" t="s">
        <v>281</v>
      </c>
      <c r="C125" s="63"/>
      <c r="D125" s="64"/>
      <c r="E125" s="65"/>
      <c r="F125" s="66"/>
      <c r="G125" s="63"/>
      <c r="H125" s="67"/>
      <c r="I125" s="68"/>
      <c r="J125" s="68"/>
      <c r="K125" s="32"/>
      <c r="L125" s="75">
        <v>125</v>
      </c>
      <c r="M125" s="75"/>
      <c r="N125" s="70"/>
      <c r="O125" s="77" t="s">
        <v>179</v>
      </c>
      <c r="P125" s="79">
        <v>44965.740717592591</v>
      </c>
      <c r="Q125" s="77" t="s">
        <v>1083</v>
      </c>
      <c r="R125" s="77">
        <v>0</v>
      </c>
      <c r="S125" s="77">
        <v>0</v>
      </c>
      <c r="T125" s="77">
        <v>0</v>
      </c>
      <c r="U125" s="77">
        <v>0</v>
      </c>
      <c r="V125" s="77">
        <v>140</v>
      </c>
      <c r="W125" s="81" t="s">
        <v>3013</v>
      </c>
      <c r="X125" s="77"/>
      <c r="Y125" s="77"/>
      <c r="Z125" s="77"/>
      <c r="AA125" s="77"/>
      <c r="AB125" s="77"/>
      <c r="AC125" s="81" t="s">
        <v>5801</v>
      </c>
      <c r="AD125" s="77" t="s">
        <v>5850</v>
      </c>
      <c r="AE125" s="83" t="str">
        <f>HYPERLINK("https://twitter.com/abigaildelolmo1/status/1623377780225241088")</f>
        <v>https://twitter.com/abigaildelolmo1/status/1623377780225241088</v>
      </c>
      <c r="AF125" s="79">
        <v>44965.740717592591</v>
      </c>
      <c r="AG125" s="85">
        <v>44965</v>
      </c>
      <c r="AH125" s="81" t="s">
        <v>5971</v>
      </c>
      <c r="AI125" s="77"/>
      <c r="AJ125" s="77"/>
      <c r="AK125" s="77"/>
      <c r="AL125" s="77"/>
      <c r="AM125" s="77"/>
      <c r="AN125" s="77"/>
      <c r="AO125" s="77"/>
      <c r="AP125" s="77"/>
      <c r="AQ125" s="77"/>
      <c r="AR125" s="77"/>
      <c r="AS125" s="77"/>
      <c r="AT125" s="77"/>
      <c r="AU125" s="77"/>
      <c r="AV125" s="83" t="str">
        <f>HYPERLINK("https://pbs.twimg.com/profile_images/1621593988842262528/Kt4sQyHL_normal.jpg")</f>
        <v>https://pbs.twimg.com/profile_images/1621593988842262528/Kt4sQyHL_normal.jpg</v>
      </c>
      <c r="AW125" s="81" t="s">
        <v>9404</v>
      </c>
      <c r="AX125" s="81" t="s">
        <v>9404</v>
      </c>
      <c r="AY125" s="77"/>
      <c r="AZ125" s="81" t="s">
        <v>11359</v>
      </c>
      <c r="BA125" s="81" t="s">
        <v>11359</v>
      </c>
      <c r="BB125" s="81" t="s">
        <v>11359</v>
      </c>
      <c r="BC125" s="81" t="s">
        <v>9404</v>
      </c>
      <c r="BD125" s="81" t="s">
        <v>11428</v>
      </c>
      <c r="BE125" s="77"/>
      <c r="BF125" s="77"/>
      <c r="BG125" s="77"/>
      <c r="BH125" s="77"/>
      <c r="BI125" s="77"/>
    </row>
    <row r="126" spans="1:61" x14ac:dyDescent="0.25">
      <c r="A126" s="62" t="s">
        <v>281</v>
      </c>
      <c r="B126" s="62" t="s">
        <v>281</v>
      </c>
      <c r="C126" s="63"/>
      <c r="D126" s="64"/>
      <c r="E126" s="65"/>
      <c r="F126" s="66"/>
      <c r="G126" s="63"/>
      <c r="H126" s="67"/>
      <c r="I126" s="68"/>
      <c r="J126" s="68"/>
      <c r="K126" s="32"/>
      <c r="L126" s="75">
        <v>126</v>
      </c>
      <c r="M126" s="75"/>
      <c r="N126" s="70"/>
      <c r="O126" s="77" t="s">
        <v>179</v>
      </c>
      <c r="P126" s="79">
        <v>44965.704398148147</v>
      </c>
      <c r="Q126" s="77" t="s">
        <v>1084</v>
      </c>
      <c r="R126" s="77">
        <v>0</v>
      </c>
      <c r="S126" s="77">
        <v>0</v>
      </c>
      <c r="T126" s="77">
        <v>0</v>
      </c>
      <c r="U126" s="77">
        <v>0</v>
      </c>
      <c r="V126" s="77">
        <v>134</v>
      </c>
      <c r="W126" s="81" t="s">
        <v>3014</v>
      </c>
      <c r="X126" s="77"/>
      <c r="Y126" s="77"/>
      <c r="Z126" s="77"/>
      <c r="AA126" s="77" t="s">
        <v>4470</v>
      </c>
      <c r="AB126" s="77" t="s">
        <v>5794</v>
      </c>
      <c r="AC126" s="81" t="s">
        <v>5801</v>
      </c>
      <c r="AD126" s="77" t="s">
        <v>5853</v>
      </c>
      <c r="AE126" s="83" t="str">
        <f>HYPERLINK("https://twitter.com/abigaildelolmo1/status/1623364620135047169")</f>
        <v>https://twitter.com/abigaildelolmo1/status/1623364620135047169</v>
      </c>
      <c r="AF126" s="79">
        <v>44965.704398148147</v>
      </c>
      <c r="AG126" s="85">
        <v>44965</v>
      </c>
      <c r="AH126" s="81" t="s">
        <v>5972</v>
      </c>
      <c r="AI126" s="77" t="b">
        <v>0</v>
      </c>
      <c r="AJ126" s="77"/>
      <c r="AK126" s="77"/>
      <c r="AL126" s="77"/>
      <c r="AM126" s="77"/>
      <c r="AN126" s="77"/>
      <c r="AO126" s="77"/>
      <c r="AP126" s="77"/>
      <c r="AQ126" s="77" t="s">
        <v>7973</v>
      </c>
      <c r="AR126" s="77"/>
      <c r="AS126" s="77"/>
      <c r="AT126" s="77"/>
      <c r="AU126" s="77"/>
      <c r="AV126" s="83" t="str">
        <f>HYPERLINK("https://pbs.twimg.com/media/FodZhHWWAAAkc0S.jpg")</f>
        <v>https://pbs.twimg.com/media/FodZhHWWAAAkc0S.jpg</v>
      </c>
      <c r="AW126" s="81" t="s">
        <v>9405</v>
      </c>
      <c r="AX126" s="81" t="s">
        <v>9405</v>
      </c>
      <c r="AY126" s="77"/>
      <c r="AZ126" s="81" t="s">
        <v>11359</v>
      </c>
      <c r="BA126" s="81" t="s">
        <v>11359</v>
      </c>
      <c r="BB126" s="81" t="s">
        <v>11359</v>
      </c>
      <c r="BC126" s="81" t="s">
        <v>9405</v>
      </c>
      <c r="BD126" s="81" t="s">
        <v>11428</v>
      </c>
      <c r="BE126" s="77"/>
      <c r="BF126" s="77"/>
      <c r="BG126" s="77"/>
      <c r="BH126" s="77"/>
      <c r="BI126" s="77"/>
    </row>
    <row r="127" spans="1:61" x14ac:dyDescent="0.25">
      <c r="A127" s="62" t="s">
        <v>282</v>
      </c>
      <c r="B127" s="62" t="s">
        <v>282</v>
      </c>
      <c r="C127" s="63"/>
      <c r="D127" s="64"/>
      <c r="E127" s="65"/>
      <c r="F127" s="66"/>
      <c r="G127" s="63"/>
      <c r="H127" s="67"/>
      <c r="I127" s="68"/>
      <c r="J127" s="68"/>
      <c r="K127" s="32"/>
      <c r="L127" s="75">
        <v>127</v>
      </c>
      <c r="M127" s="75"/>
      <c r="N127" s="70"/>
      <c r="O127" s="77" t="s">
        <v>179</v>
      </c>
      <c r="P127" s="79">
        <v>45162.222222222219</v>
      </c>
      <c r="Q127" s="77" t="s">
        <v>1085</v>
      </c>
      <c r="R127" s="77">
        <v>0</v>
      </c>
      <c r="S127" s="77">
        <v>0</v>
      </c>
      <c r="T127" s="77">
        <v>0</v>
      </c>
      <c r="U127" s="77">
        <v>0</v>
      </c>
      <c r="V127" s="77">
        <v>334</v>
      </c>
      <c r="W127" s="81" t="s">
        <v>3015</v>
      </c>
      <c r="X127" s="83" t="str">
        <f>HYPERLINK("https://antenasanluis.mx/ejecutan-a-vendedor-de-miches-cuando-se-echaba-unas-quesadilla-con-su-esposa/")</f>
        <v>https://antenasanluis.mx/ejecutan-a-vendedor-de-miches-cuando-se-echaba-unas-quesadilla-con-su-esposa/</v>
      </c>
      <c r="Y127" s="77" t="s">
        <v>4229</v>
      </c>
      <c r="Z127" s="77"/>
      <c r="AA127" s="77" t="s">
        <v>4471</v>
      </c>
      <c r="AB127" s="77" t="s">
        <v>5794</v>
      </c>
      <c r="AC127" s="81" t="s">
        <v>5815</v>
      </c>
      <c r="AD127" s="77" t="s">
        <v>5850</v>
      </c>
      <c r="AE127" s="83" t="str">
        <f>HYPERLINK("https://twitter.com/antenasanluis/status/1694580292735091192")</f>
        <v>https://twitter.com/antenasanluis/status/1694580292735091192</v>
      </c>
      <c r="AF127" s="79">
        <v>45162.222222222219</v>
      </c>
      <c r="AG127" s="85">
        <v>45162</v>
      </c>
      <c r="AH127" s="81" t="s">
        <v>5973</v>
      </c>
      <c r="AI127" s="77" t="b">
        <v>0</v>
      </c>
      <c r="AJ127" s="77"/>
      <c r="AK127" s="77"/>
      <c r="AL127" s="77"/>
      <c r="AM127" s="77"/>
      <c r="AN127" s="77"/>
      <c r="AO127" s="77"/>
      <c r="AP127" s="77"/>
      <c r="AQ127" s="77" t="s">
        <v>7974</v>
      </c>
      <c r="AR127" s="77"/>
      <c r="AS127" s="77"/>
      <c r="AT127" s="77"/>
      <c r="AU127" s="77"/>
      <c r="AV127" s="83" t="str">
        <f>HYPERLINK("https://pbs.twimg.com/media/F4PaFqTXYAAGI4L.jpg")</f>
        <v>https://pbs.twimg.com/media/F4PaFqTXYAAGI4L.jpg</v>
      </c>
      <c r="AW127" s="81" t="s">
        <v>9406</v>
      </c>
      <c r="AX127" s="81" t="s">
        <v>9406</v>
      </c>
      <c r="AY127" s="77"/>
      <c r="AZ127" s="81" t="s">
        <v>11359</v>
      </c>
      <c r="BA127" s="81" t="s">
        <v>11359</v>
      </c>
      <c r="BB127" s="81" t="s">
        <v>11359</v>
      </c>
      <c r="BC127" s="81" t="s">
        <v>9406</v>
      </c>
      <c r="BD127" s="77">
        <v>184827671</v>
      </c>
      <c r="BE127" s="77"/>
      <c r="BF127" s="77"/>
      <c r="BG127" s="77"/>
      <c r="BH127" s="77"/>
      <c r="BI127" s="77"/>
    </row>
    <row r="128" spans="1:61" x14ac:dyDescent="0.25">
      <c r="A128" s="62" t="s">
        <v>283</v>
      </c>
      <c r="B128" s="62" t="s">
        <v>283</v>
      </c>
      <c r="C128" s="63"/>
      <c r="D128" s="64"/>
      <c r="E128" s="65"/>
      <c r="F128" s="66"/>
      <c r="G128" s="63"/>
      <c r="H128" s="67"/>
      <c r="I128" s="68"/>
      <c r="J128" s="68"/>
      <c r="K128" s="32"/>
      <c r="L128" s="75">
        <v>128</v>
      </c>
      <c r="M128" s="75"/>
      <c r="N128" s="70"/>
      <c r="O128" s="77" t="s">
        <v>179</v>
      </c>
      <c r="P128" s="79">
        <v>44974.795115740744</v>
      </c>
      <c r="Q128" s="77" t="s">
        <v>1086</v>
      </c>
      <c r="R128" s="77">
        <v>0</v>
      </c>
      <c r="S128" s="77">
        <v>1</v>
      </c>
      <c r="T128" s="77">
        <v>0</v>
      </c>
      <c r="U128" s="77">
        <v>0</v>
      </c>
      <c r="V128" s="77">
        <v>44</v>
      </c>
      <c r="W128" s="81" t="s">
        <v>2980</v>
      </c>
      <c r="X128" s="77"/>
      <c r="Y128" s="77"/>
      <c r="Z128" s="77"/>
      <c r="AA128" s="77" t="s">
        <v>4472</v>
      </c>
      <c r="AB128" s="77" t="s">
        <v>5795</v>
      </c>
      <c r="AC128" s="81" t="s">
        <v>5803</v>
      </c>
      <c r="AD128" s="77" t="s">
        <v>5851</v>
      </c>
      <c r="AE128" s="83" t="str">
        <f>HYPERLINK("https://twitter.com/elenicostadf/status/1626658986605813760")</f>
        <v>https://twitter.com/elenicostadf/status/1626658986605813760</v>
      </c>
      <c r="AF128" s="79">
        <v>44974.795115740744</v>
      </c>
      <c r="AG128" s="85">
        <v>44974</v>
      </c>
      <c r="AH128" s="81" t="s">
        <v>5974</v>
      </c>
      <c r="AI128" s="77" t="b">
        <v>0</v>
      </c>
      <c r="AJ128" s="77"/>
      <c r="AK128" s="77"/>
      <c r="AL128" s="77"/>
      <c r="AM128" s="77"/>
      <c r="AN128" s="77"/>
      <c r="AO128" s="77"/>
      <c r="AP128" s="77"/>
      <c r="AQ128" s="77" t="s">
        <v>7975</v>
      </c>
      <c r="AR128" s="77">
        <v>11266</v>
      </c>
      <c r="AS128" s="77"/>
      <c r="AT128" s="77"/>
      <c r="AU128" s="77"/>
      <c r="AV128" s="83" t="str">
        <f>HYPERLINK("https://pbs.twimg.com/ext_tw_video_thumb/1626658805315428362/pu/img/2Y0aXtN-HWj5oIKt.jpg")</f>
        <v>https://pbs.twimg.com/ext_tw_video_thumb/1626658805315428362/pu/img/2Y0aXtN-HWj5oIKt.jpg</v>
      </c>
      <c r="AW128" s="81" t="s">
        <v>9407</v>
      </c>
      <c r="AX128" s="81" t="s">
        <v>9407</v>
      </c>
      <c r="AY128" s="77"/>
      <c r="AZ128" s="81" t="s">
        <v>11359</v>
      </c>
      <c r="BA128" s="81" t="s">
        <v>11359</v>
      </c>
      <c r="BB128" s="81" t="s">
        <v>11359</v>
      </c>
      <c r="BC128" s="81" t="s">
        <v>9407</v>
      </c>
      <c r="BD128" s="81" t="s">
        <v>11429</v>
      </c>
      <c r="BE128" s="77"/>
      <c r="BF128" s="77"/>
      <c r="BG128" s="77"/>
      <c r="BH128" s="77"/>
      <c r="BI128" s="77"/>
    </row>
    <row r="129" spans="1:61" x14ac:dyDescent="0.25">
      <c r="A129" s="62" t="s">
        <v>284</v>
      </c>
      <c r="B129" s="62" t="s">
        <v>284</v>
      </c>
      <c r="C129" s="63"/>
      <c r="D129" s="64"/>
      <c r="E129" s="65"/>
      <c r="F129" s="66"/>
      <c r="G129" s="63"/>
      <c r="H129" s="67"/>
      <c r="I129" s="68"/>
      <c r="J129" s="68"/>
      <c r="K129" s="32"/>
      <c r="L129" s="75">
        <v>129</v>
      </c>
      <c r="M129" s="75"/>
      <c r="N129" s="70"/>
      <c r="O129" s="77" t="s">
        <v>179</v>
      </c>
      <c r="P129" s="79">
        <v>45170.055949074071</v>
      </c>
      <c r="Q129" s="77" t="s">
        <v>1087</v>
      </c>
      <c r="R129" s="77">
        <v>0</v>
      </c>
      <c r="S129" s="77">
        <v>0</v>
      </c>
      <c r="T129" s="77">
        <v>0</v>
      </c>
      <c r="U129" s="77">
        <v>0</v>
      </c>
      <c r="V129" s="77">
        <v>74</v>
      </c>
      <c r="W129" s="81" t="s">
        <v>3016</v>
      </c>
      <c r="X129" s="77"/>
      <c r="Y129" s="77"/>
      <c r="Z129" s="77"/>
      <c r="AA129" s="77" t="s">
        <v>4473</v>
      </c>
      <c r="AB129" s="77" t="s">
        <v>5795</v>
      </c>
      <c r="AC129" s="81" t="s">
        <v>5805</v>
      </c>
      <c r="AD129" s="77" t="s">
        <v>5850</v>
      </c>
      <c r="AE129" s="83" t="str">
        <f>HYPERLINK("https://twitter.com/vendes_o_ayudas/status/1697419143094452462")</f>
        <v>https://twitter.com/vendes_o_ayudas/status/1697419143094452462</v>
      </c>
      <c r="AF129" s="79">
        <v>45170.055949074071</v>
      </c>
      <c r="AG129" s="85">
        <v>45170</v>
      </c>
      <c r="AH129" s="81" t="s">
        <v>5975</v>
      </c>
      <c r="AI129" s="77" t="b">
        <v>0</v>
      </c>
      <c r="AJ129" s="77"/>
      <c r="AK129" s="77"/>
      <c r="AL129" s="77"/>
      <c r="AM129" s="77"/>
      <c r="AN129" s="77"/>
      <c r="AO129" s="77"/>
      <c r="AP129" s="77"/>
      <c r="AQ129" s="77" t="s">
        <v>7976</v>
      </c>
      <c r="AR129" s="77">
        <v>36850</v>
      </c>
      <c r="AS129" s="77"/>
      <c r="AT129" s="77"/>
      <c r="AU129" s="77"/>
      <c r="AV129" s="83" t="str">
        <f>HYPERLINK("https://pbs.twimg.com/ext_tw_video_thumb/1697419005756141568/pu/img/1zh2v2wetJ_CQqnB.jpg")</f>
        <v>https://pbs.twimg.com/ext_tw_video_thumb/1697419005756141568/pu/img/1zh2v2wetJ_CQqnB.jpg</v>
      </c>
      <c r="AW129" s="81" t="s">
        <v>9408</v>
      </c>
      <c r="AX129" s="81" t="s">
        <v>9408</v>
      </c>
      <c r="AY129" s="77"/>
      <c r="AZ129" s="81" t="s">
        <v>11359</v>
      </c>
      <c r="BA129" s="81" t="s">
        <v>11359</v>
      </c>
      <c r="BB129" s="81" t="s">
        <v>11359</v>
      </c>
      <c r="BC129" s="81" t="s">
        <v>9408</v>
      </c>
      <c r="BD129" s="81" t="s">
        <v>11430</v>
      </c>
      <c r="BE129" s="77"/>
      <c r="BF129" s="77"/>
      <c r="BG129" s="77"/>
      <c r="BH129" s="77"/>
      <c r="BI129" s="77"/>
    </row>
    <row r="130" spans="1:61" x14ac:dyDescent="0.25">
      <c r="A130" s="62" t="s">
        <v>284</v>
      </c>
      <c r="B130" s="62" t="s">
        <v>284</v>
      </c>
      <c r="C130" s="63"/>
      <c r="D130" s="64"/>
      <c r="E130" s="65"/>
      <c r="F130" s="66"/>
      <c r="G130" s="63"/>
      <c r="H130" s="67"/>
      <c r="I130" s="68"/>
      <c r="J130" s="68"/>
      <c r="K130" s="32"/>
      <c r="L130" s="75">
        <v>130</v>
      </c>
      <c r="M130" s="75"/>
      <c r="N130" s="70"/>
      <c r="O130" s="77" t="s">
        <v>179</v>
      </c>
      <c r="P130" s="79">
        <v>45169.896504629629</v>
      </c>
      <c r="Q130" s="77" t="s">
        <v>1088</v>
      </c>
      <c r="R130" s="77">
        <v>0</v>
      </c>
      <c r="S130" s="77">
        <v>0</v>
      </c>
      <c r="T130" s="77">
        <v>0</v>
      </c>
      <c r="U130" s="77">
        <v>0</v>
      </c>
      <c r="V130" s="77">
        <v>67</v>
      </c>
      <c r="W130" s="81" t="s">
        <v>3017</v>
      </c>
      <c r="X130" s="77"/>
      <c r="Y130" s="77"/>
      <c r="Z130" s="77"/>
      <c r="AA130" s="77" t="s">
        <v>4474</v>
      </c>
      <c r="AB130" s="77" t="s">
        <v>5795</v>
      </c>
      <c r="AC130" s="81" t="s">
        <v>5805</v>
      </c>
      <c r="AD130" s="77" t="s">
        <v>5850</v>
      </c>
      <c r="AE130" s="83" t="str">
        <f>HYPERLINK("https://twitter.com/vendes_o_ayudas/status/1697361360374403098")</f>
        <v>https://twitter.com/vendes_o_ayudas/status/1697361360374403098</v>
      </c>
      <c r="AF130" s="79">
        <v>45169.896504629629</v>
      </c>
      <c r="AG130" s="85">
        <v>45169</v>
      </c>
      <c r="AH130" s="81" t="s">
        <v>5976</v>
      </c>
      <c r="AI130" s="77" t="b">
        <v>0</v>
      </c>
      <c r="AJ130" s="77"/>
      <c r="AK130" s="77"/>
      <c r="AL130" s="77"/>
      <c r="AM130" s="77"/>
      <c r="AN130" s="77"/>
      <c r="AO130" s="77"/>
      <c r="AP130" s="77"/>
      <c r="AQ130" s="77" t="s">
        <v>7977</v>
      </c>
      <c r="AR130" s="77">
        <v>39821</v>
      </c>
      <c r="AS130" s="77"/>
      <c r="AT130" s="77"/>
      <c r="AU130" s="77"/>
      <c r="AV130" s="83" t="str">
        <f>HYPERLINK("https://pbs.twimg.com/ext_tw_video_thumb/1697360528643850240/pu/img/wyryt2d4eudOCzSu.jpg")</f>
        <v>https://pbs.twimg.com/ext_tw_video_thumb/1697360528643850240/pu/img/wyryt2d4eudOCzSu.jpg</v>
      </c>
      <c r="AW130" s="81" t="s">
        <v>9409</v>
      </c>
      <c r="AX130" s="81" t="s">
        <v>9409</v>
      </c>
      <c r="AY130" s="77"/>
      <c r="AZ130" s="81" t="s">
        <v>11359</v>
      </c>
      <c r="BA130" s="81" t="s">
        <v>11359</v>
      </c>
      <c r="BB130" s="81" t="s">
        <v>11359</v>
      </c>
      <c r="BC130" s="81" t="s">
        <v>9409</v>
      </c>
      <c r="BD130" s="81" t="s">
        <v>11430</v>
      </c>
      <c r="BE130" s="77"/>
      <c r="BF130" s="77"/>
      <c r="BG130" s="77"/>
      <c r="BH130" s="77"/>
      <c r="BI130" s="77"/>
    </row>
    <row r="131" spans="1:61" x14ac:dyDescent="0.25">
      <c r="A131" s="62" t="s">
        <v>284</v>
      </c>
      <c r="B131" s="62" t="s">
        <v>284</v>
      </c>
      <c r="C131" s="63"/>
      <c r="D131" s="64"/>
      <c r="E131" s="65"/>
      <c r="F131" s="66"/>
      <c r="G131" s="63"/>
      <c r="H131" s="67"/>
      <c r="I131" s="68"/>
      <c r="J131" s="68"/>
      <c r="K131" s="32"/>
      <c r="L131" s="75">
        <v>131</v>
      </c>
      <c r="M131" s="75"/>
      <c r="N131" s="70"/>
      <c r="O131" s="77" t="s">
        <v>179</v>
      </c>
      <c r="P131" s="79">
        <v>45169.703715277778</v>
      </c>
      <c r="Q131" s="77" t="s">
        <v>1089</v>
      </c>
      <c r="R131" s="77">
        <v>0</v>
      </c>
      <c r="S131" s="77">
        <v>0</v>
      </c>
      <c r="T131" s="77">
        <v>0</v>
      </c>
      <c r="U131" s="77">
        <v>0</v>
      </c>
      <c r="V131" s="77">
        <v>7</v>
      </c>
      <c r="W131" s="81" t="s">
        <v>3018</v>
      </c>
      <c r="X131" s="77"/>
      <c r="Y131" s="77"/>
      <c r="Z131" s="77"/>
      <c r="AA131" s="77" t="s">
        <v>4475</v>
      </c>
      <c r="AB131" s="77" t="s">
        <v>5795</v>
      </c>
      <c r="AC131" s="81" t="s">
        <v>5805</v>
      </c>
      <c r="AD131" s="77" t="s">
        <v>5850</v>
      </c>
      <c r="AE131" s="83" t="str">
        <f>HYPERLINK("https://twitter.com/vendes_o_ayudas/status/1697291494787354950")</f>
        <v>https://twitter.com/vendes_o_ayudas/status/1697291494787354950</v>
      </c>
      <c r="AF131" s="79">
        <v>45169.703715277778</v>
      </c>
      <c r="AG131" s="85">
        <v>45169</v>
      </c>
      <c r="AH131" s="81" t="s">
        <v>5977</v>
      </c>
      <c r="AI131" s="77" t="b">
        <v>0</v>
      </c>
      <c r="AJ131" s="77"/>
      <c r="AK131" s="77"/>
      <c r="AL131" s="77"/>
      <c r="AM131" s="77"/>
      <c r="AN131" s="77"/>
      <c r="AO131" s="77"/>
      <c r="AP131" s="77"/>
      <c r="AQ131" s="77" t="s">
        <v>7978</v>
      </c>
      <c r="AR131" s="77">
        <v>47553</v>
      </c>
      <c r="AS131" s="77"/>
      <c r="AT131" s="77"/>
      <c r="AU131" s="77"/>
      <c r="AV131" s="83" t="str">
        <f>HYPERLINK("https://pbs.twimg.com/ext_tw_video_thumb/1697290847371313152/pu/img/_WuASVY5RzUkt10E.jpg")</f>
        <v>https://pbs.twimg.com/ext_tw_video_thumb/1697290847371313152/pu/img/_WuASVY5RzUkt10E.jpg</v>
      </c>
      <c r="AW131" s="81" t="s">
        <v>9410</v>
      </c>
      <c r="AX131" s="81" t="s">
        <v>9410</v>
      </c>
      <c r="AY131" s="77"/>
      <c r="AZ131" s="81" t="s">
        <v>11359</v>
      </c>
      <c r="BA131" s="81" t="s">
        <v>11359</v>
      </c>
      <c r="BB131" s="81" t="s">
        <v>11359</v>
      </c>
      <c r="BC131" s="81" t="s">
        <v>9410</v>
      </c>
      <c r="BD131" s="81" t="s">
        <v>11430</v>
      </c>
      <c r="BE131" s="77"/>
      <c r="BF131" s="77"/>
      <c r="BG131" s="77"/>
      <c r="BH131" s="77"/>
      <c r="BI131" s="77"/>
    </row>
    <row r="132" spans="1:61" x14ac:dyDescent="0.25">
      <c r="A132" s="62" t="s">
        <v>285</v>
      </c>
      <c r="B132" s="62" t="s">
        <v>285</v>
      </c>
      <c r="C132" s="63"/>
      <c r="D132" s="64"/>
      <c r="E132" s="65"/>
      <c r="F132" s="66"/>
      <c r="G132" s="63"/>
      <c r="H132" s="67"/>
      <c r="I132" s="68"/>
      <c r="J132" s="68"/>
      <c r="K132" s="32"/>
      <c r="L132" s="75">
        <v>132</v>
      </c>
      <c r="M132" s="75"/>
      <c r="N132" s="70"/>
      <c r="O132" s="77" t="s">
        <v>179</v>
      </c>
      <c r="P132" s="79">
        <v>44974.598321759258</v>
      </c>
      <c r="Q132" s="77" t="s">
        <v>1090</v>
      </c>
      <c r="R132" s="77">
        <v>0</v>
      </c>
      <c r="S132" s="77">
        <v>0</v>
      </c>
      <c r="T132" s="77">
        <v>0</v>
      </c>
      <c r="U132" s="77">
        <v>0</v>
      </c>
      <c r="V132" s="77">
        <v>1</v>
      </c>
      <c r="W132" s="81" t="s">
        <v>3019</v>
      </c>
      <c r="X132" s="83" t="str">
        <f>HYPERLINK("https://ief.com.br/economia/negocios/5-acoes-para-vender-mais-nos-negocios-digitais.html/?utm_source=dlvr.it&amp;utm_medium=twitter")</f>
        <v>https://ief.com.br/economia/negocios/5-acoes-para-vender-mais-nos-negocios-digitais.html/?utm_source=dlvr.it&amp;utm_medium=twitter</v>
      </c>
      <c r="Y132" s="77" t="s">
        <v>4223</v>
      </c>
      <c r="Z132" s="77"/>
      <c r="AA132" s="77" t="s">
        <v>4476</v>
      </c>
      <c r="AB132" s="77" t="s">
        <v>5794</v>
      </c>
      <c r="AC132" s="81" t="s">
        <v>5816</v>
      </c>
      <c r="AD132" s="77" t="s">
        <v>5851</v>
      </c>
      <c r="AE132" s="83" t="str">
        <f>HYPERLINK("https://twitter.com/informacaoief/status/1626587668867072001")</f>
        <v>https://twitter.com/informacaoief/status/1626587668867072001</v>
      </c>
      <c r="AF132" s="79">
        <v>44974.598321759258</v>
      </c>
      <c r="AG132" s="85">
        <v>44974</v>
      </c>
      <c r="AH132" s="81" t="s">
        <v>5978</v>
      </c>
      <c r="AI132" s="77" t="b">
        <v>0</v>
      </c>
      <c r="AJ132" s="77"/>
      <c r="AK132" s="77"/>
      <c r="AL132" s="77"/>
      <c r="AM132" s="77"/>
      <c r="AN132" s="77"/>
      <c r="AO132" s="77"/>
      <c r="AP132" s="77"/>
      <c r="AQ132" s="77" t="s">
        <v>7979</v>
      </c>
      <c r="AR132" s="77"/>
      <c r="AS132" s="77"/>
      <c r="AT132" s="77"/>
      <c r="AU132" s="77"/>
      <c r="AV132" s="83" t="str">
        <f>HYPERLINK("https://pbs.twimg.com/media/FpLM3QaaIAAwvml.jpg")</f>
        <v>https://pbs.twimg.com/media/FpLM3QaaIAAwvml.jpg</v>
      </c>
      <c r="AW132" s="81" t="s">
        <v>9411</v>
      </c>
      <c r="AX132" s="81" t="s">
        <v>9411</v>
      </c>
      <c r="AY132" s="77"/>
      <c r="AZ132" s="81" t="s">
        <v>11359</v>
      </c>
      <c r="BA132" s="81" t="s">
        <v>11359</v>
      </c>
      <c r="BB132" s="81" t="s">
        <v>11359</v>
      </c>
      <c r="BC132" s="81" t="s">
        <v>9411</v>
      </c>
      <c r="BD132" s="81" t="s">
        <v>11431</v>
      </c>
      <c r="BE132" s="77"/>
      <c r="BF132" s="77"/>
      <c r="BG132" s="77"/>
      <c r="BH132" s="77"/>
      <c r="BI132" s="77"/>
    </row>
    <row r="133" spans="1:61" x14ac:dyDescent="0.25">
      <c r="A133" s="62" t="s">
        <v>286</v>
      </c>
      <c r="B133" s="62" t="s">
        <v>286</v>
      </c>
      <c r="C133" s="63"/>
      <c r="D133" s="64"/>
      <c r="E133" s="65"/>
      <c r="F133" s="66"/>
      <c r="G133" s="63"/>
      <c r="H133" s="67"/>
      <c r="I133" s="68"/>
      <c r="J133" s="68"/>
      <c r="K133" s="32"/>
      <c r="L133" s="75">
        <v>133</v>
      </c>
      <c r="M133" s="75"/>
      <c r="N133" s="70"/>
      <c r="O133" s="77" t="s">
        <v>179</v>
      </c>
      <c r="P133" s="79">
        <v>45057.533402777779</v>
      </c>
      <c r="Q133" s="77" t="s">
        <v>1091</v>
      </c>
      <c r="R133" s="77">
        <v>0</v>
      </c>
      <c r="S133" s="77">
        <v>1</v>
      </c>
      <c r="T133" s="77">
        <v>0</v>
      </c>
      <c r="U133" s="77">
        <v>0</v>
      </c>
      <c r="V133" s="77">
        <v>27</v>
      </c>
      <c r="W133" s="81" t="s">
        <v>3020</v>
      </c>
      <c r="X133" s="77"/>
      <c r="Y133" s="77"/>
      <c r="Z133" s="77"/>
      <c r="AA133" s="77" t="s">
        <v>4477</v>
      </c>
      <c r="AB133" s="77" t="s">
        <v>5794</v>
      </c>
      <c r="AC133" s="81" t="s">
        <v>5805</v>
      </c>
      <c r="AD133" s="77" t="s">
        <v>5855</v>
      </c>
      <c r="AE133" s="83" t="str">
        <f>HYPERLINK("https://twitter.com/vendolite/status/1656642335051227136")</f>
        <v>https://twitter.com/vendolite/status/1656642335051227136</v>
      </c>
      <c r="AF133" s="79">
        <v>45057.533402777779</v>
      </c>
      <c r="AG133" s="85">
        <v>45057</v>
      </c>
      <c r="AH133" s="81" t="s">
        <v>5979</v>
      </c>
      <c r="AI133" s="77" t="b">
        <v>0</v>
      </c>
      <c r="AJ133" s="77"/>
      <c r="AK133" s="77"/>
      <c r="AL133" s="77"/>
      <c r="AM133" s="77"/>
      <c r="AN133" s="77"/>
      <c r="AO133" s="77"/>
      <c r="AP133" s="77"/>
      <c r="AQ133" s="77" t="s">
        <v>7980</v>
      </c>
      <c r="AR133" s="77"/>
      <c r="AS133" s="77"/>
      <c r="AT133" s="77"/>
      <c r="AU133" s="77"/>
      <c r="AV133" s="83" t="str">
        <f>HYPERLINK("https://pbs.twimg.com/media/Fv2TaJFakAAXtAf.jpg")</f>
        <v>https://pbs.twimg.com/media/Fv2TaJFakAAXtAf.jpg</v>
      </c>
      <c r="AW133" s="81" t="s">
        <v>9412</v>
      </c>
      <c r="AX133" s="81" t="s">
        <v>9412</v>
      </c>
      <c r="AY133" s="77"/>
      <c r="AZ133" s="81" t="s">
        <v>11359</v>
      </c>
      <c r="BA133" s="81" t="s">
        <v>11359</v>
      </c>
      <c r="BB133" s="81" t="s">
        <v>11359</v>
      </c>
      <c r="BC133" s="81" t="s">
        <v>9412</v>
      </c>
      <c r="BD133" s="81" t="s">
        <v>11432</v>
      </c>
      <c r="BE133" s="77"/>
      <c r="BF133" s="77"/>
      <c r="BG133" s="77"/>
      <c r="BH133" s="77"/>
      <c r="BI133" s="77"/>
    </row>
    <row r="134" spans="1:61" x14ac:dyDescent="0.25">
      <c r="A134" s="62" t="s">
        <v>287</v>
      </c>
      <c r="B134" s="62" t="s">
        <v>287</v>
      </c>
      <c r="C134" s="63"/>
      <c r="D134" s="64"/>
      <c r="E134" s="65"/>
      <c r="F134" s="66"/>
      <c r="G134" s="63"/>
      <c r="H134" s="67"/>
      <c r="I134" s="68"/>
      <c r="J134" s="68"/>
      <c r="K134" s="32"/>
      <c r="L134" s="75">
        <v>134</v>
      </c>
      <c r="M134" s="75"/>
      <c r="N134" s="70"/>
      <c r="O134" s="77" t="s">
        <v>179</v>
      </c>
      <c r="P134" s="79">
        <v>45063.667337962965</v>
      </c>
      <c r="Q134" s="77" t="s">
        <v>1092</v>
      </c>
      <c r="R134" s="77">
        <v>1</v>
      </c>
      <c r="S134" s="77">
        <v>1</v>
      </c>
      <c r="T134" s="77">
        <v>0</v>
      </c>
      <c r="U134" s="77">
        <v>0</v>
      </c>
      <c r="V134" s="77">
        <v>43</v>
      </c>
      <c r="W134" s="81" t="s">
        <v>3021</v>
      </c>
      <c r="X134" s="83" t="str">
        <f>HYPERLINK("https://bavaronews.com/actualidad/con-sus-frutas-tropicales-juan-carlos-monto-su-negocio-hace-16-anos-en-el-cruce-de-veron")</f>
        <v>https://bavaronews.com/actualidad/con-sus-frutas-tropicales-juan-carlos-monto-su-negocio-hace-16-anos-en-el-cruce-de-veron</v>
      </c>
      <c r="Y134" s="77" t="s">
        <v>4230</v>
      </c>
      <c r="Z134" s="77"/>
      <c r="AA134" s="77" t="s">
        <v>4478</v>
      </c>
      <c r="AB134" s="77" t="s">
        <v>5797</v>
      </c>
      <c r="AC134" s="81" t="s">
        <v>5801</v>
      </c>
      <c r="AD134" s="77" t="s">
        <v>5850</v>
      </c>
      <c r="AE134" s="83" t="str">
        <f>HYPERLINK("https://twitter.com/bavaronews/status/1658865198487203840")</f>
        <v>https://twitter.com/bavaronews/status/1658865198487203840</v>
      </c>
      <c r="AF134" s="79">
        <v>45063.667337962965</v>
      </c>
      <c r="AG134" s="85">
        <v>45063</v>
      </c>
      <c r="AH134" s="81" t="s">
        <v>5980</v>
      </c>
      <c r="AI134" s="77" t="b">
        <v>0</v>
      </c>
      <c r="AJ134" s="77"/>
      <c r="AK134" s="77"/>
      <c r="AL134" s="77"/>
      <c r="AM134" s="77"/>
      <c r="AN134" s="77"/>
      <c r="AO134" s="77"/>
      <c r="AP134" s="77"/>
      <c r="AQ134" s="77" t="s">
        <v>7981</v>
      </c>
      <c r="AR134" s="77"/>
      <c r="AS134" s="77"/>
      <c r="AT134" s="77"/>
      <c r="AU134" s="77"/>
      <c r="AV134" s="83" t="str">
        <f>HYPERLINK("https://pbs.twimg.com/media/FwV5FllWwAAL5E3.jpg")</f>
        <v>https://pbs.twimg.com/media/FwV5FllWwAAL5E3.jpg</v>
      </c>
      <c r="AW134" s="81" t="s">
        <v>9413</v>
      </c>
      <c r="AX134" s="81" t="s">
        <v>9413</v>
      </c>
      <c r="AY134" s="77"/>
      <c r="AZ134" s="81" t="s">
        <v>11359</v>
      </c>
      <c r="BA134" s="81" t="s">
        <v>11359</v>
      </c>
      <c r="BB134" s="81" t="s">
        <v>11359</v>
      </c>
      <c r="BC134" s="81" t="s">
        <v>9413</v>
      </c>
      <c r="BD134" s="77">
        <v>515532764</v>
      </c>
      <c r="BE134" s="77"/>
      <c r="BF134" s="77"/>
      <c r="BG134" s="77"/>
      <c r="BH134" s="77"/>
      <c r="BI134" s="77"/>
    </row>
    <row r="135" spans="1:61" x14ac:dyDescent="0.25">
      <c r="A135" s="62" t="s">
        <v>288</v>
      </c>
      <c r="B135" s="62" t="s">
        <v>288</v>
      </c>
      <c r="C135" s="63"/>
      <c r="D135" s="64"/>
      <c r="E135" s="65"/>
      <c r="F135" s="66"/>
      <c r="G135" s="63"/>
      <c r="H135" s="67"/>
      <c r="I135" s="68"/>
      <c r="J135" s="68"/>
      <c r="K135" s="32"/>
      <c r="L135" s="75">
        <v>135</v>
      </c>
      <c r="M135" s="75"/>
      <c r="N135" s="70"/>
      <c r="O135" s="77" t="s">
        <v>969</v>
      </c>
      <c r="P135" s="79">
        <v>44990.707638888889</v>
      </c>
      <c r="Q135" s="77" t="s">
        <v>1093</v>
      </c>
      <c r="R135" s="77">
        <v>0</v>
      </c>
      <c r="S135" s="77">
        <v>1</v>
      </c>
      <c r="T135" s="77">
        <v>1</v>
      </c>
      <c r="U135" s="77">
        <v>0</v>
      </c>
      <c r="V135" s="77">
        <v>24</v>
      </c>
      <c r="W135" s="81" t="s">
        <v>3022</v>
      </c>
      <c r="X135" s="77"/>
      <c r="Y135" s="77"/>
      <c r="Z135" s="77"/>
      <c r="AA135" s="77"/>
      <c r="AB135" s="77"/>
      <c r="AC135" s="81" t="s">
        <v>5803</v>
      </c>
      <c r="AD135" s="77" t="s">
        <v>5850</v>
      </c>
      <c r="AE135" s="83" t="str">
        <f>HYPERLINK("https://twitter.com/netgen_al/status/1632425491507314688")</f>
        <v>https://twitter.com/netgen_al/status/1632425491507314688</v>
      </c>
      <c r="AF135" s="79">
        <v>44990.707638888889</v>
      </c>
      <c r="AG135" s="85">
        <v>44990</v>
      </c>
      <c r="AH135" s="81" t="s">
        <v>5981</v>
      </c>
      <c r="AI135" s="77"/>
      <c r="AJ135" s="77"/>
      <c r="AK135" s="77"/>
      <c r="AL135" s="77"/>
      <c r="AM135" s="77"/>
      <c r="AN135" s="77"/>
      <c r="AO135" s="77"/>
      <c r="AP135" s="77"/>
      <c r="AQ135" s="77"/>
      <c r="AR135" s="77"/>
      <c r="AS135" s="77"/>
      <c r="AT135" s="77"/>
      <c r="AU135" s="77"/>
      <c r="AV135" s="83" t="str">
        <f>HYPERLINK("https://pbs.twimg.com/profile_images/1631646833901461506/I9qdjJqj_normal.jpg")</f>
        <v>https://pbs.twimg.com/profile_images/1631646833901461506/I9qdjJqj_normal.jpg</v>
      </c>
      <c r="AW135" s="81" t="s">
        <v>9414</v>
      </c>
      <c r="AX135" s="81" t="s">
        <v>11251</v>
      </c>
      <c r="AY135" s="81" t="s">
        <v>11321</v>
      </c>
      <c r="AZ135" s="81" t="s">
        <v>11362</v>
      </c>
      <c r="BA135" s="81" t="s">
        <v>11359</v>
      </c>
      <c r="BB135" s="81" t="s">
        <v>11359</v>
      </c>
      <c r="BC135" s="81" t="s">
        <v>11362</v>
      </c>
      <c r="BD135" s="81" t="s">
        <v>11321</v>
      </c>
      <c r="BE135" s="77"/>
      <c r="BF135" s="77"/>
      <c r="BG135" s="77"/>
      <c r="BH135" s="77"/>
      <c r="BI135" s="77"/>
    </row>
    <row r="136" spans="1:61" x14ac:dyDescent="0.25">
      <c r="A136" s="62" t="s">
        <v>288</v>
      </c>
      <c r="B136" s="62" t="s">
        <v>288</v>
      </c>
      <c r="C136" s="63"/>
      <c r="D136" s="64"/>
      <c r="E136" s="65"/>
      <c r="F136" s="66"/>
      <c r="G136" s="63"/>
      <c r="H136" s="67"/>
      <c r="I136" s="68"/>
      <c r="J136" s="68"/>
      <c r="K136" s="32"/>
      <c r="L136" s="75">
        <v>136</v>
      </c>
      <c r="M136" s="75"/>
      <c r="N136" s="70"/>
      <c r="O136" s="77" t="s">
        <v>179</v>
      </c>
      <c r="P136" s="79">
        <v>44989.745046296295</v>
      </c>
      <c r="Q136" s="77" t="s">
        <v>1094</v>
      </c>
      <c r="R136" s="77">
        <v>0</v>
      </c>
      <c r="S136" s="77">
        <v>0</v>
      </c>
      <c r="T136" s="77">
        <v>1</v>
      </c>
      <c r="U136" s="77">
        <v>0</v>
      </c>
      <c r="V136" s="77">
        <v>26</v>
      </c>
      <c r="W136" s="81" t="s">
        <v>3023</v>
      </c>
      <c r="X136" s="77"/>
      <c r="Y136" s="77"/>
      <c r="Z136" s="77"/>
      <c r="AA136" s="77" t="s">
        <v>4479</v>
      </c>
      <c r="AB136" s="77" t="s">
        <v>5795</v>
      </c>
      <c r="AC136" s="81" t="s">
        <v>5803</v>
      </c>
      <c r="AD136" s="77" t="s">
        <v>5850</v>
      </c>
      <c r="AE136" s="83" t="str">
        <f>HYPERLINK("https://twitter.com/netgen_al/status/1632076656440492034")</f>
        <v>https://twitter.com/netgen_al/status/1632076656440492034</v>
      </c>
      <c r="AF136" s="79">
        <v>44989.745046296295</v>
      </c>
      <c r="AG136" s="85">
        <v>44989</v>
      </c>
      <c r="AH136" s="81" t="s">
        <v>5982</v>
      </c>
      <c r="AI136" s="77" t="b">
        <v>0</v>
      </c>
      <c r="AJ136" s="77"/>
      <c r="AK136" s="77"/>
      <c r="AL136" s="77"/>
      <c r="AM136" s="77"/>
      <c r="AN136" s="77"/>
      <c r="AO136" s="77"/>
      <c r="AP136" s="77"/>
      <c r="AQ136" s="77" t="s">
        <v>7982</v>
      </c>
      <c r="AR136" s="77">
        <v>6500</v>
      </c>
      <c r="AS136" s="77"/>
      <c r="AT136" s="77"/>
      <c r="AU136" s="77"/>
      <c r="AV136" s="83" t="str">
        <f>HYPERLINK("https://pbs.twimg.com/ext_tw_video_thumb/1632076585426616320/pu/img/J5FixWaDf6WvHnry.jpg")</f>
        <v>https://pbs.twimg.com/ext_tw_video_thumb/1632076585426616320/pu/img/J5FixWaDf6WvHnry.jpg</v>
      </c>
      <c r="AW136" s="81" t="s">
        <v>9415</v>
      </c>
      <c r="AX136" s="81" t="s">
        <v>9415</v>
      </c>
      <c r="AY136" s="77"/>
      <c r="AZ136" s="81" t="s">
        <v>11359</v>
      </c>
      <c r="BA136" s="81" t="s">
        <v>11359</v>
      </c>
      <c r="BB136" s="81" t="s">
        <v>11359</v>
      </c>
      <c r="BC136" s="81" t="s">
        <v>9415</v>
      </c>
      <c r="BD136" s="81" t="s">
        <v>11321</v>
      </c>
      <c r="BE136" s="77"/>
      <c r="BF136" s="77"/>
      <c r="BG136" s="77"/>
      <c r="BH136" s="77"/>
      <c r="BI136" s="77"/>
    </row>
    <row r="137" spans="1:61" x14ac:dyDescent="0.25">
      <c r="A137" s="62" t="s">
        <v>288</v>
      </c>
      <c r="B137" s="62" t="s">
        <v>288</v>
      </c>
      <c r="C137" s="63"/>
      <c r="D137" s="64"/>
      <c r="E137" s="65"/>
      <c r="F137" s="66"/>
      <c r="G137" s="63"/>
      <c r="H137" s="67"/>
      <c r="I137" s="68"/>
      <c r="J137" s="68"/>
      <c r="K137" s="32"/>
      <c r="L137" s="75">
        <v>137</v>
      </c>
      <c r="M137" s="75"/>
      <c r="N137" s="70"/>
      <c r="O137" s="77" t="s">
        <v>179</v>
      </c>
      <c r="P137" s="79">
        <v>44987.570706018516</v>
      </c>
      <c r="Q137" s="77" t="s">
        <v>1095</v>
      </c>
      <c r="R137" s="77">
        <v>0</v>
      </c>
      <c r="S137" s="77">
        <v>0</v>
      </c>
      <c r="T137" s="77">
        <v>0</v>
      </c>
      <c r="U137" s="77">
        <v>0</v>
      </c>
      <c r="V137" s="77">
        <v>35</v>
      </c>
      <c r="W137" s="81" t="s">
        <v>3024</v>
      </c>
      <c r="X137" s="77"/>
      <c r="Y137" s="77"/>
      <c r="Z137" s="77"/>
      <c r="AA137" s="77" t="s">
        <v>4480</v>
      </c>
      <c r="AB137" s="77" t="s">
        <v>5795</v>
      </c>
      <c r="AC137" s="81" t="s">
        <v>5803</v>
      </c>
      <c r="AD137" s="77" t="s">
        <v>5851</v>
      </c>
      <c r="AE137" s="83" t="str">
        <f>HYPERLINK("https://twitter.com/netgen_al/status/1631288703388639235")</f>
        <v>https://twitter.com/netgen_al/status/1631288703388639235</v>
      </c>
      <c r="AF137" s="79">
        <v>44987.570706018516</v>
      </c>
      <c r="AG137" s="85">
        <v>44987</v>
      </c>
      <c r="AH137" s="81" t="s">
        <v>5983</v>
      </c>
      <c r="AI137" s="77" t="b">
        <v>0</v>
      </c>
      <c r="AJ137" s="77"/>
      <c r="AK137" s="77"/>
      <c r="AL137" s="77"/>
      <c r="AM137" s="77"/>
      <c r="AN137" s="77"/>
      <c r="AO137" s="77"/>
      <c r="AP137" s="77"/>
      <c r="AQ137" s="77" t="s">
        <v>7983</v>
      </c>
      <c r="AR137" s="77">
        <v>6800</v>
      </c>
      <c r="AS137" s="77"/>
      <c r="AT137" s="77"/>
      <c r="AU137" s="77"/>
      <c r="AV137" s="83" t="str">
        <f>HYPERLINK("https://pbs.twimg.com/ext_tw_video_thumb/1631288661416222725/pu/img/O6xqQV9weX83-Flx.jpg")</f>
        <v>https://pbs.twimg.com/ext_tw_video_thumb/1631288661416222725/pu/img/O6xqQV9weX83-Flx.jpg</v>
      </c>
      <c r="AW137" s="81" t="s">
        <v>9416</v>
      </c>
      <c r="AX137" s="81" t="s">
        <v>9416</v>
      </c>
      <c r="AY137" s="77"/>
      <c r="AZ137" s="81" t="s">
        <v>11359</v>
      </c>
      <c r="BA137" s="81" t="s">
        <v>11359</v>
      </c>
      <c r="BB137" s="81" t="s">
        <v>11359</v>
      </c>
      <c r="BC137" s="81" t="s">
        <v>9416</v>
      </c>
      <c r="BD137" s="81" t="s">
        <v>11321</v>
      </c>
      <c r="BE137" s="77"/>
      <c r="BF137" s="77"/>
      <c r="BG137" s="77"/>
      <c r="BH137" s="77"/>
      <c r="BI137" s="77"/>
    </row>
    <row r="138" spans="1:61" x14ac:dyDescent="0.25">
      <c r="A138" s="62" t="s">
        <v>289</v>
      </c>
      <c r="B138" s="62" t="s">
        <v>289</v>
      </c>
      <c r="C138" s="63"/>
      <c r="D138" s="64"/>
      <c r="E138" s="65"/>
      <c r="F138" s="66"/>
      <c r="G138" s="63"/>
      <c r="H138" s="67"/>
      <c r="I138" s="68"/>
      <c r="J138" s="68"/>
      <c r="K138" s="32"/>
      <c r="L138" s="75">
        <v>138</v>
      </c>
      <c r="M138" s="75"/>
      <c r="N138" s="70"/>
      <c r="O138" s="77" t="s">
        <v>967</v>
      </c>
      <c r="P138" s="79">
        <v>45070.783622685187</v>
      </c>
      <c r="Q138" s="77" t="s">
        <v>1096</v>
      </c>
      <c r="R138" s="77">
        <v>0</v>
      </c>
      <c r="S138" s="77">
        <v>0</v>
      </c>
      <c r="T138" s="77">
        <v>0</v>
      </c>
      <c r="U138" s="77">
        <v>0</v>
      </c>
      <c r="V138" s="77">
        <v>53</v>
      </c>
      <c r="W138" s="81" t="s">
        <v>3025</v>
      </c>
      <c r="X138" s="83" t="str">
        <f>HYPERLINK("http://clicktime.com.ar")</f>
        <v>http://clicktime.com.ar</v>
      </c>
      <c r="Y138" s="77" t="s">
        <v>4231</v>
      </c>
      <c r="Z138" s="77" t="s">
        <v>289</v>
      </c>
      <c r="AA138" s="77" t="s">
        <v>4481</v>
      </c>
      <c r="AB138" s="77" t="s">
        <v>5798</v>
      </c>
      <c r="AC138" s="81" t="s">
        <v>5801</v>
      </c>
      <c r="AD138" s="77" t="s">
        <v>5850</v>
      </c>
      <c r="AE138" s="83" t="str">
        <f>HYPERLINK("https://twitter.com/info_clicktime/status/1661444055115464727")</f>
        <v>https://twitter.com/info_clicktime/status/1661444055115464727</v>
      </c>
      <c r="AF138" s="79">
        <v>45070.783622685187</v>
      </c>
      <c r="AG138" s="85">
        <v>45070</v>
      </c>
      <c r="AH138" s="81" t="s">
        <v>5984</v>
      </c>
      <c r="AI138" s="77" t="b">
        <v>0</v>
      </c>
      <c r="AJ138" s="77"/>
      <c r="AK138" s="77"/>
      <c r="AL138" s="77"/>
      <c r="AM138" s="77"/>
      <c r="AN138" s="77"/>
      <c r="AO138" s="77"/>
      <c r="AP138" s="77"/>
      <c r="AQ138" s="77" t="s">
        <v>7984</v>
      </c>
      <c r="AR138" s="77"/>
      <c r="AS138" s="77"/>
      <c r="AT138" s="77"/>
      <c r="AU138" s="77"/>
      <c r="AV138" s="83" t="str">
        <f>HYPERLINK("https://pbs.twimg.com/media/Fw6ijygXgCMlczS.jpg")</f>
        <v>https://pbs.twimg.com/media/Fw6ijygXgCMlczS.jpg</v>
      </c>
      <c r="AW138" s="81" t="s">
        <v>9417</v>
      </c>
      <c r="AX138" s="81" t="s">
        <v>9417</v>
      </c>
      <c r="AY138" s="77"/>
      <c r="AZ138" s="81" t="s">
        <v>11359</v>
      </c>
      <c r="BA138" s="81" t="s">
        <v>11359</v>
      </c>
      <c r="BB138" s="81" t="s">
        <v>11359</v>
      </c>
      <c r="BC138" s="81" t="s">
        <v>9417</v>
      </c>
      <c r="BD138" s="81" t="s">
        <v>11433</v>
      </c>
      <c r="BE138" s="77"/>
      <c r="BF138" s="77"/>
      <c r="BG138" s="77"/>
      <c r="BH138" s="77"/>
      <c r="BI138" s="77"/>
    </row>
    <row r="139" spans="1:61" x14ac:dyDescent="0.25">
      <c r="A139" s="62" t="s">
        <v>290</v>
      </c>
      <c r="B139" s="62" t="s">
        <v>882</v>
      </c>
      <c r="C139" s="63"/>
      <c r="D139" s="64"/>
      <c r="E139" s="65"/>
      <c r="F139" s="66"/>
      <c r="G139" s="63"/>
      <c r="H139" s="67"/>
      <c r="I139" s="68"/>
      <c r="J139" s="68"/>
      <c r="K139" s="32"/>
      <c r="L139" s="75">
        <v>139</v>
      </c>
      <c r="M139" s="75"/>
      <c r="N139" s="70"/>
      <c r="O139" s="77" t="s">
        <v>967</v>
      </c>
      <c r="P139" s="79">
        <v>45043.804618055554</v>
      </c>
      <c r="Q139" s="77" t="s">
        <v>1097</v>
      </c>
      <c r="R139" s="77">
        <v>0</v>
      </c>
      <c r="S139" s="77">
        <v>0</v>
      </c>
      <c r="T139" s="77">
        <v>0</v>
      </c>
      <c r="U139" s="77">
        <v>0</v>
      </c>
      <c r="V139" s="77">
        <v>5</v>
      </c>
      <c r="W139" s="81" t="s">
        <v>3026</v>
      </c>
      <c r="X139" s="77"/>
      <c r="Y139" s="77"/>
      <c r="Z139" s="77" t="s">
        <v>4363</v>
      </c>
      <c r="AA139" s="77"/>
      <c r="AB139" s="77"/>
      <c r="AC139" s="81" t="s">
        <v>5803</v>
      </c>
      <c r="AD139" s="77" t="s">
        <v>5850</v>
      </c>
      <c r="AE139" s="83" t="str">
        <f>HYPERLINK("https://twitter.com/esther260420/status/1651667189236105217")</f>
        <v>https://twitter.com/esther260420/status/1651667189236105217</v>
      </c>
      <c r="AF139" s="79">
        <v>45043.804618055554</v>
      </c>
      <c r="AG139" s="85">
        <v>45043</v>
      </c>
      <c r="AH139" s="81" t="s">
        <v>5985</v>
      </c>
      <c r="AI139" s="77"/>
      <c r="AJ139" s="77"/>
      <c r="AK139" s="77"/>
      <c r="AL139" s="77"/>
      <c r="AM139" s="77"/>
      <c r="AN139" s="77"/>
      <c r="AO139" s="77"/>
      <c r="AP139" s="77"/>
      <c r="AQ139" s="77"/>
      <c r="AR139" s="77"/>
      <c r="AS139" s="77"/>
      <c r="AT139" s="77"/>
      <c r="AU139" s="77"/>
      <c r="AV139" s="83" t="str">
        <f>HYPERLINK("https://abs.twimg.com/sticky/default_profile_images/default_profile_normal.png")</f>
        <v>https://abs.twimg.com/sticky/default_profile_images/default_profile_normal.png</v>
      </c>
      <c r="AW139" s="81" t="s">
        <v>9418</v>
      </c>
      <c r="AX139" s="81" t="s">
        <v>9418</v>
      </c>
      <c r="AY139" s="81" t="s">
        <v>11322</v>
      </c>
      <c r="AZ139" s="81" t="s">
        <v>11359</v>
      </c>
      <c r="BA139" s="81" t="s">
        <v>11359</v>
      </c>
      <c r="BB139" s="81" t="s">
        <v>11359</v>
      </c>
      <c r="BC139" s="81" t="s">
        <v>9418</v>
      </c>
      <c r="BD139" s="81" t="s">
        <v>11434</v>
      </c>
      <c r="BE139" s="77"/>
      <c r="BF139" s="77"/>
      <c r="BG139" s="77"/>
      <c r="BH139" s="77"/>
      <c r="BI139" s="77"/>
    </row>
    <row r="140" spans="1:61" x14ac:dyDescent="0.25">
      <c r="A140" s="62" t="s">
        <v>290</v>
      </c>
      <c r="B140" s="62" t="s">
        <v>882</v>
      </c>
      <c r="C140" s="63"/>
      <c r="D140" s="64"/>
      <c r="E140" s="65"/>
      <c r="F140" s="66"/>
      <c r="G140" s="63"/>
      <c r="H140" s="67"/>
      <c r="I140" s="68"/>
      <c r="J140" s="68"/>
      <c r="K140" s="32"/>
      <c r="L140" s="75">
        <v>140</v>
      </c>
      <c r="M140" s="75"/>
      <c r="N140" s="70"/>
      <c r="O140" s="77" t="s">
        <v>967</v>
      </c>
      <c r="P140" s="79">
        <v>45043.804618055554</v>
      </c>
      <c r="Q140" s="77" t="s">
        <v>1097</v>
      </c>
      <c r="R140" s="77">
        <v>0</v>
      </c>
      <c r="S140" s="77">
        <v>0</v>
      </c>
      <c r="T140" s="77">
        <v>0</v>
      </c>
      <c r="U140" s="77">
        <v>0</v>
      </c>
      <c r="V140" s="77">
        <v>5</v>
      </c>
      <c r="W140" s="81" t="s">
        <v>3026</v>
      </c>
      <c r="X140" s="77"/>
      <c r="Y140" s="77"/>
      <c r="Z140" s="77" t="s">
        <v>4363</v>
      </c>
      <c r="AA140" s="77"/>
      <c r="AB140" s="77"/>
      <c r="AC140" s="81" t="s">
        <v>5803</v>
      </c>
      <c r="AD140" s="77" t="s">
        <v>5850</v>
      </c>
      <c r="AE140" s="83" t="str">
        <f>HYPERLINK("https://twitter.com/esther260420/status/1651667189236105217")</f>
        <v>https://twitter.com/esther260420/status/1651667189236105217</v>
      </c>
      <c r="AF140" s="79">
        <v>45043.804618055554</v>
      </c>
      <c r="AG140" s="85">
        <v>45043</v>
      </c>
      <c r="AH140" s="81" t="s">
        <v>5985</v>
      </c>
      <c r="AI140" s="77"/>
      <c r="AJ140" s="77"/>
      <c r="AK140" s="77"/>
      <c r="AL140" s="77"/>
      <c r="AM140" s="77"/>
      <c r="AN140" s="77"/>
      <c r="AO140" s="77"/>
      <c r="AP140" s="77"/>
      <c r="AQ140" s="77"/>
      <c r="AR140" s="77"/>
      <c r="AS140" s="77"/>
      <c r="AT140" s="77"/>
      <c r="AU140" s="77"/>
      <c r="AV140" s="83" t="str">
        <f>HYPERLINK("https://abs.twimg.com/sticky/default_profile_images/default_profile_normal.png")</f>
        <v>https://abs.twimg.com/sticky/default_profile_images/default_profile_normal.png</v>
      </c>
      <c r="AW140" s="81" t="s">
        <v>9418</v>
      </c>
      <c r="AX140" s="81" t="s">
        <v>9418</v>
      </c>
      <c r="AY140" s="81" t="s">
        <v>11322</v>
      </c>
      <c r="AZ140" s="81" t="s">
        <v>11359</v>
      </c>
      <c r="BA140" s="81" t="s">
        <v>11359</v>
      </c>
      <c r="BB140" s="81" t="s">
        <v>11359</v>
      </c>
      <c r="BC140" s="81" t="s">
        <v>9418</v>
      </c>
      <c r="BD140" s="81" t="s">
        <v>11434</v>
      </c>
      <c r="BE140" s="77"/>
      <c r="BF140" s="77"/>
      <c r="BG140" s="77"/>
      <c r="BH140" s="77"/>
      <c r="BI140" s="77"/>
    </row>
    <row r="141" spans="1:61" x14ac:dyDescent="0.25">
      <c r="A141" s="62" t="s">
        <v>291</v>
      </c>
      <c r="B141" s="62" t="s">
        <v>291</v>
      </c>
      <c r="C141" s="63"/>
      <c r="D141" s="64"/>
      <c r="E141" s="65"/>
      <c r="F141" s="66"/>
      <c r="G141" s="63"/>
      <c r="H141" s="67"/>
      <c r="I141" s="68"/>
      <c r="J141" s="68"/>
      <c r="K141" s="32"/>
      <c r="L141" s="75">
        <v>141</v>
      </c>
      <c r="M141" s="75"/>
      <c r="N141" s="70"/>
      <c r="O141" s="77" t="s">
        <v>179</v>
      </c>
      <c r="P141" s="79">
        <v>45117.680462962962</v>
      </c>
      <c r="Q141" s="77" t="s">
        <v>1098</v>
      </c>
      <c r="R141" s="77">
        <v>0</v>
      </c>
      <c r="S141" s="77">
        <v>0</v>
      </c>
      <c r="T141" s="77">
        <v>0</v>
      </c>
      <c r="U141" s="77">
        <v>0</v>
      </c>
      <c r="V141" s="77">
        <v>3</v>
      </c>
      <c r="W141" s="81" t="s">
        <v>2973</v>
      </c>
      <c r="X141" s="83" t="str">
        <f>HYPERLINK("https://youtu.be/enBxRYHzivA")</f>
        <v>https://youtu.be/enBxRYHzivA</v>
      </c>
      <c r="Y141" s="77" t="s">
        <v>4214</v>
      </c>
      <c r="Z141" s="77"/>
      <c r="AA141" s="77"/>
      <c r="AB141" s="77"/>
      <c r="AC141" s="81" t="s">
        <v>5805</v>
      </c>
      <c r="AD141" s="77" t="s">
        <v>5850</v>
      </c>
      <c r="AE141" s="83" t="str">
        <f>HYPERLINK("https://twitter.com/prcticasempres1/status/1678438899587194885")</f>
        <v>https://twitter.com/prcticasempres1/status/1678438899587194885</v>
      </c>
      <c r="AF141" s="79">
        <v>45117.680462962962</v>
      </c>
      <c r="AG141" s="85">
        <v>45117</v>
      </c>
      <c r="AH141" s="81" t="s">
        <v>5986</v>
      </c>
      <c r="AI141" s="77" t="b">
        <v>0</v>
      </c>
      <c r="AJ141" s="77"/>
      <c r="AK141" s="77"/>
      <c r="AL141" s="77"/>
      <c r="AM141" s="77"/>
      <c r="AN141" s="77"/>
      <c r="AO141" s="77"/>
      <c r="AP141" s="77"/>
      <c r="AQ141" s="77"/>
      <c r="AR141" s="77"/>
      <c r="AS141" s="77"/>
      <c r="AT141" s="77"/>
      <c r="AU141" s="77"/>
      <c r="AV141" s="83" t="str">
        <f>HYPERLINK("https://pbs.twimg.com/profile_images/1332887216125829127/cZNpivNr_normal.jpg")</f>
        <v>https://pbs.twimg.com/profile_images/1332887216125829127/cZNpivNr_normal.jpg</v>
      </c>
      <c r="AW141" s="81" t="s">
        <v>9419</v>
      </c>
      <c r="AX141" s="81" t="s">
        <v>9419</v>
      </c>
      <c r="AY141" s="77"/>
      <c r="AZ141" s="81" t="s">
        <v>11359</v>
      </c>
      <c r="BA141" s="81" t="s">
        <v>11359</v>
      </c>
      <c r="BB141" s="81" t="s">
        <v>11359</v>
      </c>
      <c r="BC141" s="81" t="s">
        <v>9419</v>
      </c>
      <c r="BD141" s="81" t="s">
        <v>11435</v>
      </c>
      <c r="BE141" s="77"/>
      <c r="BF141" s="77"/>
      <c r="BG141" s="77"/>
      <c r="BH141" s="77"/>
      <c r="BI141" s="77"/>
    </row>
    <row r="142" spans="1:61" x14ac:dyDescent="0.25">
      <c r="A142" s="62" t="s">
        <v>292</v>
      </c>
      <c r="B142" s="62" t="s">
        <v>292</v>
      </c>
      <c r="C142" s="63"/>
      <c r="D142" s="64"/>
      <c r="E142" s="65"/>
      <c r="F142" s="66"/>
      <c r="G142" s="63"/>
      <c r="H142" s="67"/>
      <c r="I142" s="68"/>
      <c r="J142" s="68"/>
      <c r="K142" s="32"/>
      <c r="L142" s="75">
        <v>142</v>
      </c>
      <c r="M142" s="75"/>
      <c r="N142" s="70"/>
      <c r="O142" s="77" t="s">
        <v>179</v>
      </c>
      <c r="P142" s="79">
        <v>45103.58390046296</v>
      </c>
      <c r="Q142" s="77" t="s">
        <v>1099</v>
      </c>
      <c r="R142" s="77">
        <v>0</v>
      </c>
      <c r="S142" s="77">
        <v>0</v>
      </c>
      <c r="T142" s="77">
        <v>0</v>
      </c>
      <c r="U142" s="77">
        <v>0</v>
      </c>
      <c r="V142" s="77">
        <v>7</v>
      </c>
      <c r="W142" s="81" t="s">
        <v>3027</v>
      </c>
      <c r="X142" s="77"/>
      <c r="Y142" s="77"/>
      <c r="Z142" s="77"/>
      <c r="AA142" s="77" t="s">
        <v>4482</v>
      </c>
      <c r="AB142" s="77" t="s">
        <v>5798</v>
      </c>
      <c r="AC142" s="81" t="s">
        <v>5808</v>
      </c>
      <c r="AD142" s="77" t="s">
        <v>5851</v>
      </c>
      <c r="AE142" s="83" t="str">
        <f>HYPERLINK("https://twitter.com/viccarijonny/status/1673330478026305538")</f>
        <v>https://twitter.com/viccarijonny/status/1673330478026305538</v>
      </c>
      <c r="AF142" s="79">
        <v>45103.58390046296</v>
      </c>
      <c r="AG142" s="85">
        <v>45103</v>
      </c>
      <c r="AH142" s="81" t="s">
        <v>5987</v>
      </c>
      <c r="AI142" s="77" t="b">
        <v>0</v>
      </c>
      <c r="AJ142" s="77"/>
      <c r="AK142" s="77"/>
      <c r="AL142" s="77"/>
      <c r="AM142" s="77"/>
      <c r="AN142" s="77"/>
      <c r="AO142" s="77"/>
      <c r="AP142" s="77"/>
      <c r="AQ142" s="77" t="s">
        <v>7985</v>
      </c>
      <c r="AR142" s="77"/>
      <c r="AS142" s="77"/>
      <c r="AT142" s="77"/>
      <c r="AU142" s="77"/>
      <c r="AV142" s="83" t="str">
        <f>HYPERLINK("https://pbs.twimg.com/media/FzjdM75WcAE-ma2.jpg")</f>
        <v>https://pbs.twimg.com/media/FzjdM75WcAE-ma2.jpg</v>
      </c>
      <c r="AW142" s="81" t="s">
        <v>9420</v>
      </c>
      <c r="AX142" s="81" t="s">
        <v>9420</v>
      </c>
      <c r="AY142" s="77"/>
      <c r="AZ142" s="81" t="s">
        <v>11359</v>
      </c>
      <c r="BA142" s="81" t="s">
        <v>11359</v>
      </c>
      <c r="BB142" s="81" t="s">
        <v>11359</v>
      </c>
      <c r="BC142" s="81" t="s">
        <v>9420</v>
      </c>
      <c r="BD142" s="81" t="s">
        <v>11436</v>
      </c>
      <c r="BE142" s="77"/>
      <c r="BF142" s="77"/>
      <c r="BG142" s="77"/>
      <c r="BH142" s="77"/>
      <c r="BI142" s="77"/>
    </row>
    <row r="143" spans="1:61" x14ac:dyDescent="0.25">
      <c r="A143" s="62" t="s">
        <v>293</v>
      </c>
      <c r="B143" s="62" t="s">
        <v>293</v>
      </c>
      <c r="C143" s="63"/>
      <c r="D143" s="64"/>
      <c r="E143" s="65"/>
      <c r="F143" s="66"/>
      <c r="G143" s="63"/>
      <c r="H143" s="67"/>
      <c r="I143" s="68"/>
      <c r="J143" s="68"/>
      <c r="K143" s="32"/>
      <c r="L143" s="75">
        <v>143</v>
      </c>
      <c r="M143" s="75"/>
      <c r="N143" s="70"/>
      <c r="O143" s="77" t="s">
        <v>179</v>
      </c>
      <c r="P143" s="79">
        <v>45047.468159722222</v>
      </c>
      <c r="Q143" s="77" t="s">
        <v>1100</v>
      </c>
      <c r="R143" s="77">
        <v>0</v>
      </c>
      <c r="S143" s="77">
        <v>1</v>
      </c>
      <c r="T143" s="77">
        <v>0</v>
      </c>
      <c r="U143" s="77">
        <v>0</v>
      </c>
      <c r="V143" s="77">
        <v>20</v>
      </c>
      <c r="W143" s="81" t="s">
        <v>3028</v>
      </c>
      <c r="X143" s="77"/>
      <c r="Y143" s="77"/>
      <c r="Z143" s="77"/>
      <c r="AA143" s="77"/>
      <c r="AB143" s="77"/>
      <c r="AC143" s="81" t="s">
        <v>5805</v>
      </c>
      <c r="AD143" s="77" t="s">
        <v>5851</v>
      </c>
      <c r="AE143" s="83" t="str">
        <f>HYPERLINK("https://twitter.com/dancarlossilva/status/1652994814772641792")</f>
        <v>https://twitter.com/dancarlossilva/status/1652994814772641792</v>
      </c>
      <c r="AF143" s="79">
        <v>45047.468159722222</v>
      </c>
      <c r="AG143" s="85">
        <v>45047</v>
      </c>
      <c r="AH143" s="81" t="s">
        <v>5988</v>
      </c>
      <c r="AI143" s="77"/>
      <c r="AJ143" s="77"/>
      <c r="AK143" s="77"/>
      <c r="AL143" s="77"/>
      <c r="AM143" s="77"/>
      <c r="AN143" s="77"/>
      <c r="AO143" s="77"/>
      <c r="AP143" s="77"/>
      <c r="AQ143" s="77"/>
      <c r="AR143" s="77"/>
      <c r="AS143" s="77"/>
      <c r="AT143" s="77"/>
      <c r="AU143" s="77"/>
      <c r="AV143" s="83" t="str">
        <f>HYPERLINK("https://pbs.twimg.com/profile_images/1211108842655961089/z0k-TjM0_normal.jpg")</f>
        <v>https://pbs.twimg.com/profile_images/1211108842655961089/z0k-TjM0_normal.jpg</v>
      </c>
      <c r="AW143" s="81" t="s">
        <v>9421</v>
      </c>
      <c r="AX143" s="81" t="s">
        <v>9421</v>
      </c>
      <c r="AY143" s="77"/>
      <c r="AZ143" s="81" t="s">
        <v>11359</v>
      </c>
      <c r="BA143" s="81" t="s">
        <v>11359</v>
      </c>
      <c r="BB143" s="81" t="s">
        <v>11359</v>
      </c>
      <c r="BC143" s="81" t="s">
        <v>9421</v>
      </c>
      <c r="BD143" s="77">
        <v>323976567</v>
      </c>
      <c r="BE143" s="77"/>
      <c r="BF143" s="77"/>
      <c r="BG143" s="77"/>
      <c r="BH143" s="77"/>
      <c r="BI143" s="77"/>
    </row>
    <row r="144" spans="1:61" x14ac:dyDescent="0.25">
      <c r="A144" s="62" t="s">
        <v>294</v>
      </c>
      <c r="B144" s="62" t="s">
        <v>294</v>
      </c>
      <c r="C144" s="63"/>
      <c r="D144" s="64"/>
      <c r="E144" s="65"/>
      <c r="F144" s="66"/>
      <c r="G144" s="63"/>
      <c r="H144" s="67"/>
      <c r="I144" s="68"/>
      <c r="J144" s="68"/>
      <c r="K144" s="32"/>
      <c r="L144" s="75">
        <v>144</v>
      </c>
      <c r="M144" s="75"/>
      <c r="N144" s="70"/>
      <c r="O144" s="77" t="s">
        <v>179</v>
      </c>
      <c r="P144" s="79">
        <v>45128.396064814813</v>
      </c>
      <c r="Q144" s="77" t="s">
        <v>1101</v>
      </c>
      <c r="R144" s="77">
        <v>0</v>
      </c>
      <c r="S144" s="77">
        <v>0</v>
      </c>
      <c r="T144" s="77">
        <v>0</v>
      </c>
      <c r="U144" s="77">
        <v>0</v>
      </c>
      <c r="V144" s="77"/>
      <c r="W144" s="81" t="s">
        <v>3029</v>
      </c>
      <c r="X144" s="77"/>
      <c r="Y144" s="77"/>
      <c r="Z144" s="77"/>
      <c r="AA144" s="77" t="s">
        <v>4483</v>
      </c>
      <c r="AB144" s="77" t="s">
        <v>5794</v>
      </c>
      <c r="AC144" s="81" t="s">
        <v>5812</v>
      </c>
      <c r="AD144" s="77" t="s">
        <v>5850</v>
      </c>
      <c r="AE144" s="83" t="str">
        <f>HYPERLINK("https://twitter.com/aliqindoi/status/1682322106770489345")</f>
        <v>https://twitter.com/aliqindoi/status/1682322106770489345</v>
      </c>
      <c r="AF144" s="79">
        <v>45128.396064814813</v>
      </c>
      <c r="AG144" s="85">
        <v>45128</v>
      </c>
      <c r="AH144" s="81" t="s">
        <v>5989</v>
      </c>
      <c r="AI144" s="77" t="b">
        <v>0</v>
      </c>
      <c r="AJ144" s="77"/>
      <c r="AK144" s="77"/>
      <c r="AL144" s="77"/>
      <c r="AM144" s="77"/>
      <c r="AN144" s="77"/>
      <c r="AO144" s="77"/>
      <c r="AP144" s="77"/>
      <c r="AQ144" s="77" t="s">
        <v>7986</v>
      </c>
      <c r="AR144" s="77"/>
      <c r="AS144" s="77"/>
      <c r="AT144" s="77"/>
      <c r="AU144" s="77"/>
      <c r="AV144" s="83" t="str">
        <f>HYPERLINK("https://pbs.twimg.com/media/F1jPCXsXgAA9Moo.jpg")</f>
        <v>https://pbs.twimg.com/media/F1jPCXsXgAA9Moo.jpg</v>
      </c>
      <c r="AW144" s="81" t="s">
        <v>9422</v>
      </c>
      <c r="AX144" s="81" t="s">
        <v>9422</v>
      </c>
      <c r="AY144" s="77"/>
      <c r="AZ144" s="81" t="s">
        <v>11359</v>
      </c>
      <c r="BA144" s="81" t="s">
        <v>11359</v>
      </c>
      <c r="BB144" s="81" t="s">
        <v>11359</v>
      </c>
      <c r="BC144" s="81" t="s">
        <v>9422</v>
      </c>
      <c r="BD144" s="77">
        <v>1284318817</v>
      </c>
      <c r="BE144" s="77"/>
      <c r="BF144" s="77"/>
      <c r="BG144" s="77"/>
      <c r="BH144" s="77"/>
      <c r="BI144" s="77"/>
    </row>
    <row r="145" spans="1:61" x14ac:dyDescent="0.25">
      <c r="A145" s="62" t="s">
        <v>294</v>
      </c>
      <c r="B145" s="62" t="s">
        <v>294</v>
      </c>
      <c r="C145" s="63"/>
      <c r="D145" s="64"/>
      <c r="E145" s="65"/>
      <c r="F145" s="66"/>
      <c r="G145" s="63"/>
      <c r="H145" s="67"/>
      <c r="I145" s="68"/>
      <c r="J145" s="68"/>
      <c r="K145" s="32"/>
      <c r="L145" s="75">
        <v>145</v>
      </c>
      <c r="M145" s="75"/>
      <c r="N145" s="70"/>
      <c r="O145" s="77" t="s">
        <v>179</v>
      </c>
      <c r="P145" s="79">
        <v>45127.479548611111</v>
      </c>
      <c r="Q145" s="77" t="s">
        <v>1102</v>
      </c>
      <c r="R145" s="77">
        <v>0</v>
      </c>
      <c r="S145" s="77">
        <v>0</v>
      </c>
      <c r="T145" s="77">
        <v>0</v>
      </c>
      <c r="U145" s="77">
        <v>0</v>
      </c>
      <c r="V145" s="77">
        <v>12</v>
      </c>
      <c r="W145" s="81" t="s">
        <v>3030</v>
      </c>
      <c r="X145" s="77"/>
      <c r="Y145" s="77"/>
      <c r="Z145" s="77"/>
      <c r="AA145" s="77" t="s">
        <v>4484</v>
      </c>
      <c r="AB145" s="77" t="s">
        <v>5794</v>
      </c>
      <c r="AC145" s="81" t="s">
        <v>5812</v>
      </c>
      <c r="AD145" s="77" t="s">
        <v>5850</v>
      </c>
      <c r="AE145" s="83" t="str">
        <f>HYPERLINK("https://twitter.com/aliqindoi/status/1681989969076801539")</f>
        <v>https://twitter.com/aliqindoi/status/1681989969076801539</v>
      </c>
      <c r="AF145" s="79">
        <v>45127.479548611111</v>
      </c>
      <c r="AG145" s="85">
        <v>45127</v>
      </c>
      <c r="AH145" s="81" t="s">
        <v>5990</v>
      </c>
      <c r="AI145" s="77" t="b">
        <v>0</v>
      </c>
      <c r="AJ145" s="77"/>
      <c r="AK145" s="77"/>
      <c r="AL145" s="77"/>
      <c r="AM145" s="77"/>
      <c r="AN145" s="77"/>
      <c r="AO145" s="77"/>
      <c r="AP145" s="77"/>
      <c r="AQ145" s="77" t="s">
        <v>7987</v>
      </c>
      <c r="AR145" s="77"/>
      <c r="AS145" s="77"/>
      <c r="AT145" s="77"/>
      <c r="AU145" s="77"/>
      <c r="AV145" s="83" t="str">
        <f>HYPERLINK("https://pbs.twimg.com/media/F1eg9NqWwAAge20.jpg")</f>
        <v>https://pbs.twimg.com/media/F1eg9NqWwAAge20.jpg</v>
      </c>
      <c r="AW145" s="81" t="s">
        <v>9423</v>
      </c>
      <c r="AX145" s="81" t="s">
        <v>9423</v>
      </c>
      <c r="AY145" s="77"/>
      <c r="AZ145" s="81" t="s">
        <v>11359</v>
      </c>
      <c r="BA145" s="81" t="s">
        <v>11359</v>
      </c>
      <c r="BB145" s="81" t="s">
        <v>11359</v>
      </c>
      <c r="BC145" s="81" t="s">
        <v>9423</v>
      </c>
      <c r="BD145" s="77">
        <v>1284318817</v>
      </c>
      <c r="BE145" s="77"/>
      <c r="BF145" s="77"/>
      <c r="BG145" s="77"/>
      <c r="BH145" s="77"/>
      <c r="BI145" s="77"/>
    </row>
    <row r="146" spans="1:61" x14ac:dyDescent="0.25">
      <c r="A146" s="62" t="s">
        <v>295</v>
      </c>
      <c r="B146" s="62" t="s">
        <v>295</v>
      </c>
      <c r="C146" s="63"/>
      <c r="D146" s="64"/>
      <c r="E146" s="65"/>
      <c r="F146" s="66"/>
      <c r="G146" s="63"/>
      <c r="H146" s="67"/>
      <c r="I146" s="68"/>
      <c r="J146" s="68"/>
      <c r="K146" s="32"/>
      <c r="L146" s="75">
        <v>146</v>
      </c>
      <c r="M146" s="75"/>
      <c r="N146" s="70"/>
      <c r="O146" s="77" t="s">
        <v>179</v>
      </c>
      <c r="P146" s="79">
        <v>44999.500659722224</v>
      </c>
      <c r="Q146" s="77" t="s">
        <v>1103</v>
      </c>
      <c r="R146" s="77">
        <v>1</v>
      </c>
      <c r="S146" s="77">
        <v>3</v>
      </c>
      <c r="T146" s="77">
        <v>0</v>
      </c>
      <c r="U146" s="77">
        <v>0</v>
      </c>
      <c r="V146" s="77">
        <v>126</v>
      </c>
      <c r="W146" s="81" t="s">
        <v>3031</v>
      </c>
      <c r="X146" s="83" t="s">
        <v>4149</v>
      </c>
      <c r="Y146" s="77" t="s">
        <v>4232</v>
      </c>
      <c r="Z146" s="77"/>
      <c r="AA146" s="77"/>
      <c r="AB146" s="77"/>
      <c r="AC146" s="81" t="s">
        <v>5802</v>
      </c>
      <c r="AD146" s="77" t="s">
        <v>5850</v>
      </c>
      <c r="AE146" s="83" t="str">
        <f>HYPERLINK("https://twitter.com/civilmercantil/status/1635611975194402816")</f>
        <v>https://twitter.com/civilmercantil/status/1635611975194402816</v>
      </c>
      <c r="AF146" s="79">
        <v>44999.500659722224</v>
      </c>
      <c r="AG146" s="85">
        <v>44999</v>
      </c>
      <c r="AH146" s="81" t="s">
        <v>5991</v>
      </c>
      <c r="AI146" s="77" t="b">
        <v>0</v>
      </c>
      <c r="AJ146" s="77"/>
      <c r="AK146" s="77"/>
      <c r="AL146" s="77"/>
      <c r="AM146" s="77"/>
      <c r="AN146" s="77"/>
      <c r="AO146" s="77"/>
      <c r="AP146" s="77"/>
      <c r="AQ146" s="77"/>
      <c r="AR146" s="77"/>
      <c r="AS146" s="77"/>
      <c r="AT146" s="77"/>
      <c r="AU146" s="77"/>
      <c r="AV146" s="83" t="str">
        <f>HYPERLINK("https://pbs.twimg.com/profile_images/885767551485190145/e_J2RvHU_normal.jpg")</f>
        <v>https://pbs.twimg.com/profile_images/885767551485190145/e_J2RvHU_normal.jpg</v>
      </c>
      <c r="AW146" s="81" t="s">
        <v>9424</v>
      </c>
      <c r="AX146" s="81" t="s">
        <v>9424</v>
      </c>
      <c r="AY146" s="77"/>
      <c r="AZ146" s="81" t="s">
        <v>11359</v>
      </c>
      <c r="BA146" s="81" t="s">
        <v>11359</v>
      </c>
      <c r="BB146" s="81" t="s">
        <v>11359</v>
      </c>
      <c r="BC146" s="81" t="s">
        <v>9424</v>
      </c>
      <c r="BD146" s="81" t="s">
        <v>11437</v>
      </c>
      <c r="BE146" s="77"/>
      <c r="BF146" s="77"/>
      <c r="BG146" s="77"/>
      <c r="BH146" s="77"/>
      <c r="BI146" s="77"/>
    </row>
    <row r="147" spans="1:61" x14ac:dyDescent="0.25">
      <c r="A147" s="62" t="s">
        <v>296</v>
      </c>
      <c r="B147" s="62" t="s">
        <v>296</v>
      </c>
      <c r="C147" s="63"/>
      <c r="D147" s="64"/>
      <c r="E147" s="65"/>
      <c r="F147" s="66"/>
      <c r="G147" s="63"/>
      <c r="H147" s="67"/>
      <c r="I147" s="68"/>
      <c r="J147" s="68"/>
      <c r="K147" s="32"/>
      <c r="L147" s="75">
        <v>147</v>
      </c>
      <c r="M147" s="75"/>
      <c r="N147" s="70"/>
      <c r="O147" s="77" t="s">
        <v>179</v>
      </c>
      <c r="P147" s="79">
        <v>45107.126261574071</v>
      </c>
      <c r="Q147" s="77" t="s">
        <v>1104</v>
      </c>
      <c r="R147" s="77">
        <v>0</v>
      </c>
      <c r="S147" s="77">
        <v>0</v>
      </c>
      <c r="T147" s="77">
        <v>2</v>
      </c>
      <c r="U147" s="77">
        <v>0</v>
      </c>
      <c r="V147" s="77">
        <v>249</v>
      </c>
      <c r="W147" s="81" t="s">
        <v>3032</v>
      </c>
      <c r="X147" s="77"/>
      <c r="Y147" s="77"/>
      <c r="Z147" s="77"/>
      <c r="AA147" s="77"/>
      <c r="AB147" s="77"/>
      <c r="AC147" s="81" t="s">
        <v>5805</v>
      </c>
      <c r="AD147" s="77" t="s">
        <v>5850</v>
      </c>
      <c r="AE147" s="83" t="str">
        <f>HYPERLINK("https://twitter.com/rodrigo90818252/status/1674614185542516738")</f>
        <v>https://twitter.com/rodrigo90818252/status/1674614185542516738</v>
      </c>
      <c r="AF147" s="79">
        <v>45107.126261574071</v>
      </c>
      <c r="AG147" s="85">
        <v>45107</v>
      </c>
      <c r="AH147" s="81" t="s">
        <v>5992</v>
      </c>
      <c r="AI147" s="77"/>
      <c r="AJ147" s="77"/>
      <c r="AK147" s="77"/>
      <c r="AL147" s="77"/>
      <c r="AM147" s="77"/>
      <c r="AN147" s="77"/>
      <c r="AO147" s="77"/>
      <c r="AP147" s="77"/>
      <c r="AQ147" s="77"/>
      <c r="AR147" s="77"/>
      <c r="AS147" s="77"/>
      <c r="AT147" s="77"/>
      <c r="AU147" s="77"/>
      <c r="AV147" s="83" t="str">
        <f>HYPERLINK("https://pbs.twimg.com/profile_images/1707222862770114560/YCn_fEaj_normal.jpg")</f>
        <v>https://pbs.twimg.com/profile_images/1707222862770114560/YCn_fEaj_normal.jpg</v>
      </c>
      <c r="AW147" s="81" t="s">
        <v>9425</v>
      </c>
      <c r="AX147" s="81" t="s">
        <v>9425</v>
      </c>
      <c r="AY147" s="77"/>
      <c r="AZ147" s="81" t="s">
        <v>11359</v>
      </c>
      <c r="BA147" s="81" t="s">
        <v>11359</v>
      </c>
      <c r="BB147" s="81" t="s">
        <v>11359</v>
      </c>
      <c r="BC147" s="81" t="s">
        <v>9425</v>
      </c>
      <c r="BD147" s="81" t="s">
        <v>11438</v>
      </c>
      <c r="BE147" s="77"/>
      <c r="BF147" s="77"/>
      <c r="BG147" s="77"/>
      <c r="BH147" s="77"/>
      <c r="BI147" s="77"/>
    </row>
    <row r="148" spans="1:61" x14ac:dyDescent="0.25">
      <c r="A148" s="62" t="s">
        <v>297</v>
      </c>
      <c r="B148" s="62" t="s">
        <v>297</v>
      </c>
      <c r="C148" s="63"/>
      <c r="D148" s="64"/>
      <c r="E148" s="65"/>
      <c r="F148" s="66"/>
      <c r="G148" s="63"/>
      <c r="H148" s="67"/>
      <c r="I148" s="68"/>
      <c r="J148" s="68"/>
      <c r="K148" s="32"/>
      <c r="L148" s="75">
        <v>148</v>
      </c>
      <c r="M148" s="75"/>
      <c r="N148" s="70"/>
      <c r="O148" s="77" t="s">
        <v>969</v>
      </c>
      <c r="P148" s="79">
        <v>44946.716284722221</v>
      </c>
      <c r="Q148" s="77" t="s">
        <v>1105</v>
      </c>
      <c r="R148" s="77">
        <v>0</v>
      </c>
      <c r="S148" s="77">
        <v>0</v>
      </c>
      <c r="T148" s="77">
        <v>0</v>
      </c>
      <c r="U148" s="77">
        <v>0</v>
      </c>
      <c r="V148" s="77">
        <v>73</v>
      </c>
      <c r="W148" s="81" t="s">
        <v>3033</v>
      </c>
      <c r="X148" s="83" t="str">
        <f>HYPERLINK("https://talentoverde.com/oferta/gaia-servicios-ambientales-s-a-s-cali-tiempocompleto-vendedor-a-cali/")</f>
        <v>https://talentoverde.com/oferta/gaia-servicios-ambientales-s-a-s-cali-tiempocompleto-vendedor-a-cali/</v>
      </c>
      <c r="Y148" s="77" t="s">
        <v>4233</v>
      </c>
      <c r="Z148" s="77" t="s">
        <v>4364</v>
      </c>
      <c r="AA148" s="77"/>
      <c r="AB148" s="77"/>
      <c r="AC148" s="81" t="s">
        <v>5801</v>
      </c>
      <c r="AD148" s="77" t="s">
        <v>5850</v>
      </c>
      <c r="AE148" s="83" t="str">
        <f>HYPERLINK("https://twitter.com/lausalda0115/status/1616483556716314626")</f>
        <v>https://twitter.com/lausalda0115/status/1616483556716314626</v>
      </c>
      <c r="AF148" s="79">
        <v>44946.716284722221</v>
      </c>
      <c r="AG148" s="85">
        <v>44946</v>
      </c>
      <c r="AH148" s="81" t="s">
        <v>5993</v>
      </c>
      <c r="AI148" s="77" t="b">
        <v>0</v>
      </c>
      <c r="AJ148" s="77"/>
      <c r="AK148" s="77"/>
      <c r="AL148" s="77"/>
      <c r="AM148" s="77"/>
      <c r="AN148" s="77"/>
      <c r="AO148" s="77"/>
      <c r="AP148" s="77"/>
      <c r="AQ148" s="77"/>
      <c r="AR148" s="77"/>
      <c r="AS148" s="77"/>
      <c r="AT148" s="77"/>
      <c r="AU148" s="77"/>
      <c r="AV148" s="83" t="str">
        <f>HYPERLINK("https://pbs.twimg.com/profile_images/1223325549713666049/kwTfXPyQ_normal.jpg")</f>
        <v>https://pbs.twimg.com/profile_images/1223325549713666049/kwTfXPyQ_normal.jpg</v>
      </c>
      <c r="AW148" s="81" t="s">
        <v>9426</v>
      </c>
      <c r="AX148" s="81" t="s">
        <v>11252</v>
      </c>
      <c r="AY148" s="81" t="s">
        <v>11323</v>
      </c>
      <c r="AZ148" s="81" t="s">
        <v>11252</v>
      </c>
      <c r="BA148" s="81" t="s">
        <v>11359</v>
      </c>
      <c r="BB148" s="81" t="s">
        <v>11359</v>
      </c>
      <c r="BC148" s="81" t="s">
        <v>11252</v>
      </c>
      <c r="BD148" s="77">
        <v>3026656611</v>
      </c>
      <c r="BE148" s="77"/>
      <c r="BF148" s="77"/>
      <c r="BG148" s="77"/>
      <c r="BH148" s="77"/>
      <c r="BI148" s="77"/>
    </row>
    <row r="149" spans="1:61" x14ac:dyDescent="0.25">
      <c r="A149" s="62" t="s">
        <v>298</v>
      </c>
      <c r="B149" s="62" t="s">
        <v>298</v>
      </c>
      <c r="C149" s="63"/>
      <c r="D149" s="64"/>
      <c r="E149" s="65"/>
      <c r="F149" s="66"/>
      <c r="G149" s="63"/>
      <c r="H149" s="67"/>
      <c r="I149" s="68"/>
      <c r="J149" s="68"/>
      <c r="K149" s="32"/>
      <c r="L149" s="75">
        <v>149</v>
      </c>
      <c r="M149" s="75"/>
      <c r="N149" s="70"/>
      <c r="O149" s="77" t="s">
        <v>179</v>
      </c>
      <c r="P149" s="79">
        <v>45113.524444444447</v>
      </c>
      <c r="Q149" s="77" t="s">
        <v>1106</v>
      </c>
      <c r="R149" s="77">
        <v>0</v>
      </c>
      <c r="S149" s="77">
        <v>0</v>
      </c>
      <c r="T149" s="77">
        <v>0</v>
      </c>
      <c r="U149" s="77">
        <v>0</v>
      </c>
      <c r="V149" s="77">
        <v>7</v>
      </c>
      <c r="W149" s="81" t="s">
        <v>3034</v>
      </c>
      <c r="X149" s="77"/>
      <c r="Y149" s="77"/>
      <c r="Z149" s="77"/>
      <c r="AA149" s="77"/>
      <c r="AB149" s="77"/>
      <c r="AC149" s="81" t="s">
        <v>5803</v>
      </c>
      <c r="AD149" s="77" t="s">
        <v>5851</v>
      </c>
      <c r="AE149" s="83" t="str">
        <f>HYPERLINK("https://twitter.com/daniel_consig/status/1676932811205296129")</f>
        <v>https://twitter.com/daniel_consig/status/1676932811205296129</v>
      </c>
      <c r="AF149" s="79">
        <v>45113.524444444447</v>
      </c>
      <c r="AG149" s="85">
        <v>45113</v>
      </c>
      <c r="AH149" s="81" t="s">
        <v>5994</v>
      </c>
      <c r="AI149" s="77"/>
      <c r="AJ149" s="77"/>
      <c r="AK149" s="77"/>
      <c r="AL149" s="77"/>
      <c r="AM149" s="77"/>
      <c r="AN149" s="77"/>
      <c r="AO149" s="77"/>
      <c r="AP149" s="77"/>
      <c r="AQ149" s="77"/>
      <c r="AR149" s="77"/>
      <c r="AS149" s="77"/>
      <c r="AT149" s="77"/>
      <c r="AU149" s="77"/>
      <c r="AV149" s="83" t="str">
        <f>HYPERLINK("https://pbs.twimg.com/profile_images/1375852768523616258/00Ngr3RZ_normal.jpg")</f>
        <v>https://pbs.twimg.com/profile_images/1375852768523616258/00Ngr3RZ_normal.jpg</v>
      </c>
      <c r="AW149" s="81" t="s">
        <v>9427</v>
      </c>
      <c r="AX149" s="81" t="s">
        <v>9427</v>
      </c>
      <c r="AY149" s="77"/>
      <c r="AZ149" s="81" t="s">
        <v>11359</v>
      </c>
      <c r="BA149" s="81" t="s">
        <v>11359</v>
      </c>
      <c r="BB149" s="81" t="s">
        <v>11359</v>
      </c>
      <c r="BC149" s="81" t="s">
        <v>9427</v>
      </c>
      <c r="BD149" s="77">
        <v>78655984</v>
      </c>
      <c r="BE149" s="77"/>
      <c r="BF149" s="77"/>
      <c r="BG149" s="77"/>
      <c r="BH149" s="77"/>
      <c r="BI149" s="77"/>
    </row>
    <row r="150" spans="1:61" x14ac:dyDescent="0.25">
      <c r="A150" s="62" t="s">
        <v>299</v>
      </c>
      <c r="B150" s="62" t="s">
        <v>299</v>
      </c>
      <c r="C150" s="63"/>
      <c r="D150" s="64"/>
      <c r="E150" s="65"/>
      <c r="F150" s="66"/>
      <c r="G150" s="63"/>
      <c r="H150" s="67"/>
      <c r="I150" s="68"/>
      <c r="J150" s="68"/>
      <c r="K150" s="32"/>
      <c r="L150" s="75">
        <v>150</v>
      </c>
      <c r="M150" s="75"/>
      <c r="N150" s="70"/>
      <c r="O150" s="77" t="s">
        <v>179</v>
      </c>
      <c r="P150" s="79">
        <v>45089.731261574074</v>
      </c>
      <c r="Q150" s="77" t="s">
        <v>1107</v>
      </c>
      <c r="R150" s="77">
        <v>1</v>
      </c>
      <c r="S150" s="77">
        <v>0</v>
      </c>
      <c r="T150" s="77">
        <v>0</v>
      </c>
      <c r="U150" s="77">
        <v>0</v>
      </c>
      <c r="V150" s="77">
        <v>54</v>
      </c>
      <c r="W150" s="81" t="s">
        <v>3035</v>
      </c>
      <c r="X150" s="83" t="str">
        <f>HYPERLINK("https://sumundodigital.com/a-plena-luz-del-dia-atracadores-ultiman-vendedor-de-cafe-en-pantoja/")</f>
        <v>https://sumundodigital.com/a-plena-luz-del-dia-atracadores-ultiman-vendedor-de-cafe-en-pantoja/</v>
      </c>
      <c r="Y150" s="77" t="s">
        <v>4234</v>
      </c>
      <c r="Z150" s="77"/>
      <c r="AA150" s="77"/>
      <c r="AB150" s="77"/>
      <c r="AC150" s="81" t="s">
        <v>5805</v>
      </c>
      <c r="AD150" s="77" t="s">
        <v>5850</v>
      </c>
      <c r="AE150" s="83" t="str">
        <f>HYPERLINK("https://twitter.com/sumundotv/status/1668310449014681618")</f>
        <v>https://twitter.com/sumundotv/status/1668310449014681618</v>
      </c>
      <c r="AF150" s="79">
        <v>45089.731261574074</v>
      </c>
      <c r="AG150" s="85">
        <v>45089</v>
      </c>
      <c r="AH150" s="81" t="s">
        <v>5995</v>
      </c>
      <c r="AI150" s="77" t="b">
        <v>0</v>
      </c>
      <c r="AJ150" s="77"/>
      <c r="AK150" s="77"/>
      <c r="AL150" s="77"/>
      <c r="AM150" s="77"/>
      <c r="AN150" s="77"/>
      <c r="AO150" s="77"/>
      <c r="AP150" s="77"/>
      <c r="AQ150" s="77"/>
      <c r="AR150" s="77"/>
      <c r="AS150" s="77"/>
      <c r="AT150" s="77"/>
      <c r="AU150" s="77"/>
      <c r="AV150" s="83" t="str">
        <f>HYPERLINK("https://pbs.twimg.com/profile_images/1612623753145421826/MG1Y1O32_normal.jpg")</f>
        <v>https://pbs.twimg.com/profile_images/1612623753145421826/MG1Y1O32_normal.jpg</v>
      </c>
      <c r="AW150" s="81" t="s">
        <v>9428</v>
      </c>
      <c r="AX150" s="81" t="s">
        <v>9428</v>
      </c>
      <c r="AY150" s="77"/>
      <c r="AZ150" s="81" t="s">
        <v>11359</v>
      </c>
      <c r="BA150" s="81" t="s">
        <v>11359</v>
      </c>
      <c r="BB150" s="81" t="s">
        <v>11359</v>
      </c>
      <c r="BC150" s="81" t="s">
        <v>9428</v>
      </c>
      <c r="BD150" s="77">
        <v>575591153</v>
      </c>
      <c r="BE150" s="77"/>
      <c r="BF150" s="77"/>
      <c r="BG150" s="77"/>
      <c r="BH150" s="77"/>
      <c r="BI150" s="77"/>
    </row>
    <row r="151" spans="1:61" x14ac:dyDescent="0.25">
      <c r="A151" s="62" t="s">
        <v>300</v>
      </c>
      <c r="B151" s="62" t="s">
        <v>300</v>
      </c>
      <c r="C151" s="63"/>
      <c r="D151" s="64"/>
      <c r="E151" s="65"/>
      <c r="F151" s="66"/>
      <c r="G151" s="63"/>
      <c r="H151" s="67"/>
      <c r="I151" s="68"/>
      <c r="J151" s="68"/>
      <c r="K151" s="32"/>
      <c r="L151" s="75">
        <v>151</v>
      </c>
      <c r="M151" s="75"/>
      <c r="N151" s="70"/>
      <c r="O151" s="77" t="s">
        <v>179</v>
      </c>
      <c r="P151" s="79">
        <v>45101.198194444441</v>
      </c>
      <c r="Q151" s="77" t="s">
        <v>1108</v>
      </c>
      <c r="R151" s="77">
        <v>0</v>
      </c>
      <c r="S151" s="77">
        <v>0</v>
      </c>
      <c r="T151" s="77">
        <v>1</v>
      </c>
      <c r="U151" s="77">
        <v>0</v>
      </c>
      <c r="V151" s="77">
        <v>21</v>
      </c>
      <c r="W151" s="81" t="s">
        <v>3036</v>
      </c>
      <c r="X151" s="77"/>
      <c r="Y151" s="77"/>
      <c r="Z151" s="77"/>
      <c r="AA151" s="77" t="s">
        <v>4485</v>
      </c>
      <c r="AB151" s="77" t="s">
        <v>5794</v>
      </c>
      <c r="AC151" s="81" t="s">
        <v>5805</v>
      </c>
      <c r="AD151" s="77" t="s">
        <v>5853</v>
      </c>
      <c r="AE151" s="83" t="str">
        <f>HYPERLINK("https://twitter.com/luchoveracruz/status/1672465924681613313")</f>
        <v>https://twitter.com/luchoveracruz/status/1672465924681613313</v>
      </c>
      <c r="AF151" s="79">
        <v>45101.198194444441</v>
      </c>
      <c r="AG151" s="85">
        <v>45101</v>
      </c>
      <c r="AH151" s="81" t="s">
        <v>5996</v>
      </c>
      <c r="AI151" s="77" t="b">
        <v>0</v>
      </c>
      <c r="AJ151" s="77"/>
      <c r="AK151" s="77"/>
      <c r="AL151" s="77"/>
      <c r="AM151" s="77"/>
      <c r="AN151" s="77"/>
      <c r="AO151" s="77"/>
      <c r="AP151" s="77"/>
      <c r="AQ151" s="77" t="s">
        <v>7988</v>
      </c>
      <c r="AR151" s="77"/>
      <c r="AS151" s="77"/>
      <c r="AT151" s="77"/>
      <c r="AU151" s="77"/>
      <c r="AV151" s="83" t="str">
        <f>HYPERLINK("https://pbs.twimg.com/media/FzXKsJAWIAEPMy0.jpg")</f>
        <v>https://pbs.twimg.com/media/FzXKsJAWIAEPMy0.jpg</v>
      </c>
      <c r="AW151" s="81" t="s">
        <v>9429</v>
      </c>
      <c r="AX151" s="81" t="s">
        <v>9429</v>
      </c>
      <c r="AY151" s="77"/>
      <c r="AZ151" s="81" t="s">
        <v>11359</v>
      </c>
      <c r="BA151" s="81" t="s">
        <v>11359</v>
      </c>
      <c r="BB151" s="81" t="s">
        <v>11359</v>
      </c>
      <c r="BC151" s="81" t="s">
        <v>9429</v>
      </c>
      <c r="BD151" s="81" t="s">
        <v>11439</v>
      </c>
      <c r="BE151" s="77"/>
      <c r="BF151" s="77"/>
      <c r="BG151" s="77"/>
      <c r="BH151" s="77"/>
      <c r="BI151" s="77"/>
    </row>
    <row r="152" spans="1:61" x14ac:dyDescent="0.25">
      <c r="A152" s="62" t="s">
        <v>301</v>
      </c>
      <c r="B152" s="62" t="s">
        <v>301</v>
      </c>
      <c r="C152" s="63"/>
      <c r="D152" s="64"/>
      <c r="E152" s="65"/>
      <c r="F152" s="66"/>
      <c r="G152" s="63"/>
      <c r="H152" s="67"/>
      <c r="I152" s="68"/>
      <c r="J152" s="68"/>
      <c r="K152" s="32"/>
      <c r="L152" s="75">
        <v>152</v>
      </c>
      <c r="M152" s="75"/>
      <c r="N152" s="70"/>
      <c r="O152" s="77" t="s">
        <v>179</v>
      </c>
      <c r="P152" s="79">
        <v>45048.40457175926</v>
      </c>
      <c r="Q152" s="77" t="s">
        <v>1109</v>
      </c>
      <c r="R152" s="77">
        <v>0</v>
      </c>
      <c r="S152" s="77">
        <v>0</v>
      </c>
      <c r="T152" s="77">
        <v>0</v>
      </c>
      <c r="U152" s="77">
        <v>0</v>
      </c>
      <c r="V152" s="77">
        <v>16</v>
      </c>
      <c r="W152" s="81" t="s">
        <v>3037</v>
      </c>
      <c r="X152" s="77"/>
      <c r="Y152" s="77"/>
      <c r="Z152" s="77"/>
      <c r="AA152" s="77"/>
      <c r="AB152" s="77"/>
      <c r="AC152" s="81" t="s">
        <v>5803</v>
      </c>
      <c r="AD152" s="77" t="s">
        <v>5851</v>
      </c>
      <c r="AE152" s="83" t="str">
        <f>HYPERLINK("https://twitter.com/luizrocca_/status/1653334158612000768")</f>
        <v>https://twitter.com/luizrocca_/status/1653334158612000768</v>
      </c>
      <c r="AF152" s="79">
        <v>45048.40457175926</v>
      </c>
      <c r="AG152" s="85">
        <v>45048</v>
      </c>
      <c r="AH152" s="81" t="s">
        <v>5997</v>
      </c>
      <c r="AI152" s="77"/>
      <c r="AJ152" s="77"/>
      <c r="AK152" s="77"/>
      <c r="AL152" s="77"/>
      <c r="AM152" s="77"/>
      <c r="AN152" s="77"/>
      <c r="AO152" s="77"/>
      <c r="AP152" s="77"/>
      <c r="AQ152" s="77"/>
      <c r="AR152" s="77"/>
      <c r="AS152" s="77"/>
      <c r="AT152" s="77"/>
      <c r="AU152" s="77"/>
      <c r="AV152" s="83" t="str">
        <f>HYPERLINK("https://pbs.twimg.com/profile_images/1629049685536133120/IPs61nlo_normal.jpg")</f>
        <v>https://pbs.twimg.com/profile_images/1629049685536133120/IPs61nlo_normal.jpg</v>
      </c>
      <c r="AW152" s="81" t="s">
        <v>9430</v>
      </c>
      <c r="AX152" s="81" t="s">
        <v>9430</v>
      </c>
      <c r="AY152" s="77"/>
      <c r="AZ152" s="81" t="s">
        <v>11359</v>
      </c>
      <c r="BA152" s="81" t="s">
        <v>11359</v>
      </c>
      <c r="BB152" s="81" t="s">
        <v>11359</v>
      </c>
      <c r="BC152" s="81" t="s">
        <v>9430</v>
      </c>
      <c r="BD152" s="81" t="s">
        <v>11440</v>
      </c>
      <c r="BE152" s="77"/>
      <c r="BF152" s="77"/>
      <c r="BG152" s="77"/>
      <c r="BH152" s="77"/>
      <c r="BI152" s="77"/>
    </row>
    <row r="153" spans="1:61" x14ac:dyDescent="0.25">
      <c r="A153" s="62" t="s">
        <v>302</v>
      </c>
      <c r="B153" s="62" t="s">
        <v>883</v>
      </c>
      <c r="C153" s="63"/>
      <c r="D153" s="64"/>
      <c r="E153" s="65"/>
      <c r="F153" s="66"/>
      <c r="G153" s="63"/>
      <c r="H153" s="67"/>
      <c r="I153" s="68"/>
      <c r="J153" s="68"/>
      <c r="K153" s="32"/>
      <c r="L153" s="75">
        <v>153</v>
      </c>
      <c r="M153" s="75"/>
      <c r="N153" s="70"/>
      <c r="O153" s="77" t="s">
        <v>967</v>
      </c>
      <c r="P153" s="79">
        <v>44964.45449074074</v>
      </c>
      <c r="Q153" s="77" t="s">
        <v>1110</v>
      </c>
      <c r="R153" s="77">
        <v>0</v>
      </c>
      <c r="S153" s="77">
        <v>0</v>
      </c>
      <c r="T153" s="77">
        <v>0</v>
      </c>
      <c r="U153" s="77">
        <v>0</v>
      </c>
      <c r="V153" s="77">
        <v>1</v>
      </c>
      <c r="W153" s="81" t="s">
        <v>3038</v>
      </c>
      <c r="X153" s="83" t="str">
        <f>HYPERLINK("https://www.spreaker.com/user/novaera/desligue-o-piloto-automa-tico-na-sua-emp")</f>
        <v>https://www.spreaker.com/user/novaera/desligue-o-piloto-automa-tico-na-sua-emp</v>
      </c>
      <c r="Y153" s="77" t="s">
        <v>4235</v>
      </c>
      <c r="Z153" s="77" t="s">
        <v>883</v>
      </c>
      <c r="AA153" s="77"/>
      <c r="AB153" s="77"/>
      <c r="AC153" s="81" t="s">
        <v>5817</v>
      </c>
      <c r="AD153" s="77" t="s">
        <v>5851</v>
      </c>
      <c r="AE153" s="83" t="str">
        <f>HYPERLINK("https://twitter.com/novaeraestrateg/status/1622911665766367234")</f>
        <v>https://twitter.com/novaeraestrateg/status/1622911665766367234</v>
      </c>
      <c r="AF153" s="79">
        <v>44964.45449074074</v>
      </c>
      <c r="AG153" s="85">
        <v>44964</v>
      </c>
      <c r="AH153" s="81" t="s">
        <v>5998</v>
      </c>
      <c r="AI153" s="77" t="b">
        <v>0</v>
      </c>
      <c r="AJ153" s="77"/>
      <c r="AK153" s="77"/>
      <c r="AL153" s="77"/>
      <c r="AM153" s="77"/>
      <c r="AN153" s="77"/>
      <c r="AO153" s="77"/>
      <c r="AP153" s="77"/>
      <c r="AQ153" s="77"/>
      <c r="AR153" s="77"/>
      <c r="AS153" s="77"/>
      <c r="AT153" s="77"/>
      <c r="AU153" s="77"/>
      <c r="AV153" s="83" t="str">
        <f>HYPERLINK("https://pbs.twimg.com/profile_images/1607433526156181507/dFZ8cWcP_normal.jpg")</f>
        <v>https://pbs.twimg.com/profile_images/1607433526156181507/dFZ8cWcP_normal.jpg</v>
      </c>
      <c r="AW153" s="81" t="s">
        <v>9431</v>
      </c>
      <c r="AX153" s="81" t="s">
        <v>9431</v>
      </c>
      <c r="AY153" s="77"/>
      <c r="AZ153" s="81" t="s">
        <v>11359</v>
      </c>
      <c r="BA153" s="81" t="s">
        <v>11359</v>
      </c>
      <c r="BB153" s="81" t="s">
        <v>11359</v>
      </c>
      <c r="BC153" s="81" t="s">
        <v>9431</v>
      </c>
      <c r="BD153" s="81" t="s">
        <v>11441</v>
      </c>
      <c r="BE153" s="77"/>
      <c r="BF153" s="77"/>
      <c r="BG153" s="77"/>
      <c r="BH153" s="77"/>
      <c r="BI153" s="77"/>
    </row>
    <row r="154" spans="1:61" x14ac:dyDescent="0.25">
      <c r="A154" s="62" t="s">
        <v>303</v>
      </c>
      <c r="B154" s="62" t="s">
        <v>303</v>
      </c>
      <c r="C154" s="63"/>
      <c r="D154" s="64"/>
      <c r="E154" s="65"/>
      <c r="F154" s="66"/>
      <c r="G154" s="63"/>
      <c r="H154" s="67"/>
      <c r="I154" s="68"/>
      <c r="J154" s="68"/>
      <c r="K154" s="32"/>
      <c r="L154" s="75">
        <v>154</v>
      </c>
      <c r="M154" s="75"/>
      <c r="N154" s="70"/>
      <c r="O154" s="77" t="s">
        <v>179</v>
      </c>
      <c r="P154" s="79">
        <v>45177.672384259262</v>
      </c>
      <c r="Q154" s="77" t="s">
        <v>1111</v>
      </c>
      <c r="R154" s="77">
        <v>0</v>
      </c>
      <c r="S154" s="77">
        <v>0</v>
      </c>
      <c r="T154" s="77">
        <v>0</v>
      </c>
      <c r="U154" s="77">
        <v>0</v>
      </c>
      <c r="V154" s="77">
        <v>6</v>
      </c>
      <c r="W154" s="81" t="s">
        <v>3039</v>
      </c>
      <c r="X154" s="83" t="str">
        <f>HYPERLINK("https://www.instagram.com/p/Cw75g6avBLJ/?igshid=MTVlNTYxMjY2ZQ==")</f>
        <v>https://www.instagram.com/p/Cw75g6avBLJ/?igshid=MTVlNTYxMjY2ZQ==</v>
      </c>
      <c r="Y154" s="77" t="s">
        <v>4215</v>
      </c>
      <c r="Z154" s="77"/>
      <c r="AA154" s="77"/>
      <c r="AB154" s="77"/>
      <c r="AC154" s="81" t="s">
        <v>5801</v>
      </c>
      <c r="AD154" s="77" t="s">
        <v>5851</v>
      </c>
      <c r="AE154" s="83" t="str">
        <f>HYPERLINK("https://twitter.com/andreassaallan/status/1700179243513094336")</f>
        <v>https://twitter.com/andreassaallan/status/1700179243513094336</v>
      </c>
      <c r="AF154" s="79">
        <v>45177.672384259262</v>
      </c>
      <c r="AG154" s="85">
        <v>45177</v>
      </c>
      <c r="AH154" s="81" t="s">
        <v>5999</v>
      </c>
      <c r="AI154" s="77" t="b">
        <v>0</v>
      </c>
      <c r="AJ154" s="77"/>
      <c r="AK154" s="77"/>
      <c r="AL154" s="77"/>
      <c r="AM154" s="77"/>
      <c r="AN154" s="77"/>
      <c r="AO154" s="77"/>
      <c r="AP154" s="77"/>
      <c r="AQ154" s="77"/>
      <c r="AR154" s="77"/>
      <c r="AS154" s="77"/>
      <c r="AT154" s="77"/>
      <c r="AU154" s="77"/>
      <c r="AV154" s="83" t="str">
        <f>HYPERLINK("https://pbs.twimg.com/profile_images/1611398198232227842/47buRxE4_normal.jpg")</f>
        <v>https://pbs.twimg.com/profile_images/1611398198232227842/47buRxE4_normal.jpg</v>
      </c>
      <c r="AW154" s="81" t="s">
        <v>9432</v>
      </c>
      <c r="AX154" s="81" t="s">
        <v>9432</v>
      </c>
      <c r="AY154" s="77"/>
      <c r="AZ154" s="81" t="s">
        <v>11359</v>
      </c>
      <c r="BA154" s="81" t="s">
        <v>11359</v>
      </c>
      <c r="BB154" s="81" t="s">
        <v>11359</v>
      </c>
      <c r="BC154" s="81" t="s">
        <v>9432</v>
      </c>
      <c r="BD154" s="81" t="s">
        <v>11442</v>
      </c>
      <c r="BE154" s="77"/>
      <c r="BF154" s="77"/>
      <c r="BG154" s="77"/>
      <c r="BH154" s="77"/>
      <c r="BI154" s="77"/>
    </row>
    <row r="155" spans="1:61" x14ac:dyDescent="0.25">
      <c r="A155" s="62" t="s">
        <v>304</v>
      </c>
      <c r="B155" s="62" t="s">
        <v>304</v>
      </c>
      <c r="C155" s="63"/>
      <c r="D155" s="64"/>
      <c r="E155" s="65"/>
      <c r="F155" s="66"/>
      <c r="G155" s="63"/>
      <c r="H155" s="67"/>
      <c r="I155" s="68"/>
      <c r="J155" s="68"/>
      <c r="K155" s="32"/>
      <c r="L155" s="75">
        <v>155</v>
      </c>
      <c r="M155" s="75"/>
      <c r="N155" s="70"/>
      <c r="O155" s="77" t="s">
        <v>179</v>
      </c>
      <c r="P155" s="79">
        <v>44992.612800925926</v>
      </c>
      <c r="Q155" s="77" t="s">
        <v>1112</v>
      </c>
      <c r="R155" s="77">
        <v>0</v>
      </c>
      <c r="S155" s="77">
        <v>4</v>
      </c>
      <c r="T155" s="77">
        <v>1</v>
      </c>
      <c r="U155" s="77">
        <v>0</v>
      </c>
      <c r="V155" s="77">
        <v>416</v>
      </c>
      <c r="W155" s="81" t="s">
        <v>3040</v>
      </c>
      <c r="X155" s="83" t="str">
        <f>HYPERLINK("https://diariodeuberlandia.com.br/noticia/33160/rede-de-artigos-esportivos-prepara-inauguracao-e-abre-30-vagas-de-emprego-em-uberlandia")</f>
        <v>https://diariodeuberlandia.com.br/noticia/33160/rede-de-artigos-esportivos-prepara-inauguracao-e-abre-30-vagas-de-emprego-em-uberlandia</v>
      </c>
      <c r="Y155" s="77" t="s">
        <v>4223</v>
      </c>
      <c r="Z155" s="77"/>
      <c r="AA155" s="77"/>
      <c r="AB155" s="77"/>
      <c r="AC155" s="81" t="s">
        <v>5805</v>
      </c>
      <c r="AD155" s="77" t="s">
        <v>5851</v>
      </c>
      <c r="AE155" s="83" t="str">
        <f>HYPERLINK("https://twitter.com/diarioudi/status/1633115897714946048")</f>
        <v>https://twitter.com/diarioudi/status/1633115897714946048</v>
      </c>
      <c r="AF155" s="79">
        <v>44992.612800925926</v>
      </c>
      <c r="AG155" s="85">
        <v>44992</v>
      </c>
      <c r="AH155" s="81" t="s">
        <v>6000</v>
      </c>
      <c r="AI155" s="77" t="b">
        <v>0</v>
      </c>
      <c r="AJ155" s="77"/>
      <c r="AK155" s="77"/>
      <c r="AL155" s="77"/>
      <c r="AM155" s="77"/>
      <c r="AN155" s="77"/>
      <c r="AO155" s="77"/>
      <c r="AP155" s="77"/>
      <c r="AQ155" s="77"/>
      <c r="AR155" s="77"/>
      <c r="AS155" s="77"/>
      <c r="AT155" s="77"/>
      <c r="AU155" s="77"/>
      <c r="AV155" s="83" t="str">
        <f>HYPERLINK("https://pbs.twimg.com/profile_images/981906789838016513/iuFn0WzC_normal.jpg")</f>
        <v>https://pbs.twimg.com/profile_images/981906789838016513/iuFn0WzC_normal.jpg</v>
      </c>
      <c r="AW155" s="81" t="s">
        <v>9433</v>
      </c>
      <c r="AX155" s="81" t="s">
        <v>9433</v>
      </c>
      <c r="AY155" s="77"/>
      <c r="AZ155" s="81" t="s">
        <v>11359</v>
      </c>
      <c r="BA155" s="81" t="s">
        <v>11359</v>
      </c>
      <c r="BB155" s="81" t="s">
        <v>11359</v>
      </c>
      <c r="BC155" s="81" t="s">
        <v>9433</v>
      </c>
      <c r="BD155" s="81" t="s">
        <v>11443</v>
      </c>
      <c r="BE155" s="77"/>
      <c r="BF155" s="77"/>
      <c r="BG155" s="77"/>
      <c r="BH155" s="77"/>
      <c r="BI155" s="77"/>
    </row>
    <row r="156" spans="1:61" x14ac:dyDescent="0.25">
      <c r="A156" s="62" t="s">
        <v>305</v>
      </c>
      <c r="B156" s="62" t="s">
        <v>305</v>
      </c>
      <c r="C156" s="63"/>
      <c r="D156" s="64"/>
      <c r="E156" s="65"/>
      <c r="F156" s="66"/>
      <c r="G156" s="63"/>
      <c r="H156" s="67"/>
      <c r="I156" s="68"/>
      <c r="J156" s="68"/>
      <c r="K156" s="32"/>
      <c r="L156" s="75">
        <v>156</v>
      </c>
      <c r="M156" s="75"/>
      <c r="N156" s="70"/>
      <c r="O156" s="77" t="s">
        <v>179</v>
      </c>
      <c r="P156" s="79">
        <v>44991.668738425928</v>
      </c>
      <c r="Q156" s="77" t="s">
        <v>1113</v>
      </c>
      <c r="R156" s="77">
        <v>0</v>
      </c>
      <c r="S156" s="77">
        <v>0</v>
      </c>
      <c r="T156" s="77">
        <v>0</v>
      </c>
      <c r="U156" s="77">
        <v>0</v>
      </c>
      <c r="V156" s="77">
        <v>27</v>
      </c>
      <c r="W156" s="81" t="s">
        <v>3041</v>
      </c>
      <c r="X156" s="83" t="str">
        <f>HYPERLINK("https://focoinformativo.com/capturan-a-vendedor-de-drogas-en-sabaneta/")</f>
        <v>https://focoinformativo.com/capturan-a-vendedor-de-drogas-en-sabaneta/</v>
      </c>
      <c r="Y156" s="77" t="s">
        <v>4236</v>
      </c>
      <c r="Z156" s="77"/>
      <c r="AA156" s="77"/>
      <c r="AB156" s="77"/>
      <c r="AC156" s="81" t="s">
        <v>5805</v>
      </c>
      <c r="AD156" s="77" t="s">
        <v>5850</v>
      </c>
      <c r="AE156" s="83" t="str">
        <f>HYPERLINK("https://twitter.com/elfocoinforma/status/1632773779649617920")</f>
        <v>https://twitter.com/elfocoinforma/status/1632773779649617920</v>
      </c>
      <c r="AF156" s="79">
        <v>44991.668738425928</v>
      </c>
      <c r="AG156" s="85">
        <v>44991</v>
      </c>
      <c r="AH156" s="81" t="s">
        <v>6001</v>
      </c>
      <c r="AI156" s="77" t="b">
        <v>0</v>
      </c>
      <c r="AJ156" s="77"/>
      <c r="AK156" s="77"/>
      <c r="AL156" s="77"/>
      <c r="AM156" s="77"/>
      <c r="AN156" s="77"/>
      <c r="AO156" s="77"/>
      <c r="AP156" s="77"/>
      <c r="AQ156" s="77"/>
      <c r="AR156" s="77"/>
      <c r="AS156" s="77"/>
      <c r="AT156" s="77"/>
      <c r="AU156" s="77"/>
      <c r="AV156" s="83" t="str">
        <f>HYPERLINK("https://pbs.twimg.com/profile_images/1614827504321134592/UP-DOd4E_normal.jpg")</f>
        <v>https://pbs.twimg.com/profile_images/1614827504321134592/UP-DOd4E_normal.jpg</v>
      </c>
      <c r="AW156" s="81" t="s">
        <v>9434</v>
      </c>
      <c r="AX156" s="81" t="s">
        <v>9434</v>
      </c>
      <c r="AY156" s="77"/>
      <c r="AZ156" s="81" t="s">
        <v>11359</v>
      </c>
      <c r="BA156" s="81" t="s">
        <v>11359</v>
      </c>
      <c r="BB156" s="81" t="s">
        <v>11359</v>
      </c>
      <c r="BC156" s="81" t="s">
        <v>9434</v>
      </c>
      <c r="BD156" s="77">
        <v>142503243</v>
      </c>
      <c r="BE156" s="77"/>
      <c r="BF156" s="77"/>
      <c r="BG156" s="77"/>
      <c r="BH156" s="77"/>
      <c r="BI156" s="77"/>
    </row>
    <row r="157" spans="1:61" x14ac:dyDescent="0.25">
      <c r="A157" s="62" t="s">
        <v>306</v>
      </c>
      <c r="B157" s="62" t="s">
        <v>786</v>
      </c>
      <c r="C157" s="63"/>
      <c r="D157" s="64"/>
      <c r="E157" s="65"/>
      <c r="F157" s="66"/>
      <c r="G157" s="63"/>
      <c r="H157" s="67"/>
      <c r="I157" s="68"/>
      <c r="J157" s="68"/>
      <c r="K157" s="32"/>
      <c r="L157" s="75">
        <v>157</v>
      </c>
      <c r="M157" s="75"/>
      <c r="N157" s="70"/>
      <c r="O157" s="77" t="s">
        <v>968</v>
      </c>
      <c r="P157" s="79">
        <v>45194.431631944448</v>
      </c>
      <c r="Q157" s="77" t="s">
        <v>1114</v>
      </c>
      <c r="R157" s="77">
        <v>3</v>
      </c>
      <c r="S157" s="77">
        <v>0</v>
      </c>
      <c r="T157" s="77">
        <v>0</v>
      </c>
      <c r="U157" s="77">
        <v>0</v>
      </c>
      <c r="V157" s="77"/>
      <c r="W157" s="77"/>
      <c r="X157" s="77"/>
      <c r="Y157" s="77"/>
      <c r="Z157" s="77" t="s">
        <v>786</v>
      </c>
      <c r="AA157" s="77"/>
      <c r="AB157" s="77"/>
      <c r="AC157" s="81" t="s">
        <v>5801</v>
      </c>
      <c r="AD157" s="77" t="s">
        <v>5850</v>
      </c>
      <c r="AE157" s="83" t="str">
        <f>HYPERLINK("https://twitter.com/juan41195/status/1706252592186056975")</f>
        <v>https://twitter.com/juan41195/status/1706252592186056975</v>
      </c>
      <c r="AF157" s="79">
        <v>45194.431631944448</v>
      </c>
      <c r="AG157" s="85">
        <v>45194</v>
      </c>
      <c r="AH157" s="81" t="s">
        <v>6002</v>
      </c>
      <c r="AI157" s="77"/>
      <c r="AJ157" s="77"/>
      <c r="AK157" s="77"/>
      <c r="AL157" s="77"/>
      <c r="AM157" s="77"/>
      <c r="AN157" s="77"/>
      <c r="AO157" s="77"/>
      <c r="AP157" s="77"/>
      <c r="AQ157" s="77"/>
      <c r="AR157" s="77"/>
      <c r="AS157" s="77"/>
      <c r="AT157" s="77"/>
      <c r="AU157" s="77"/>
      <c r="AV157" s="83" t="str">
        <f>HYPERLINK("https://pbs.twimg.com/profile_images/1681033062241402882/uICGPtpd_normal.png")</f>
        <v>https://pbs.twimg.com/profile_images/1681033062241402882/uICGPtpd_normal.png</v>
      </c>
      <c r="AW157" s="81" t="s">
        <v>9435</v>
      </c>
      <c r="AX157" s="81" t="s">
        <v>9435</v>
      </c>
      <c r="AY157" s="77"/>
      <c r="AZ157" s="81" t="s">
        <v>11359</v>
      </c>
      <c r="BA157" s="81" t="s">
        <v>11359</v>
      </c>
      <c r="BB157" s="81" t="s">
        <v>11007</v>
      </c>
      <c r="BC157" s="81" t="s">
        <v>11007</v>
      </c>
      <c r="BD157" s="81" t="s">
        <v>11444</v>
      </c>
      <c r="BE157" s="77"/>
      <c r="BF157" s="77"/>
      <c r="BG157" s="77"/>
      <c r="BH157" s="77"/>
      <c r="BI157" s="77"/>
    </row>
    <row r="158" spans="1:61" x14ac:dyDescent="0.25">
      <c r="A158" s="62" t="s">
        <v>307</v>
      </c>
      <c r="B158" s="62" t="s">
        <v>307</v>
      </c>
      <c r="C158" s="63"/>
      <c r="D158" s="64"/>
      <c r="E158" s="65"/>
      <c r="F158" s="66"/>
      <c r="G158" s="63"/>
      <c r="H158" s="67"/>
      <c r="I158" s="68"/>
      <c r="J158" s="68"/>
      <c r="K158" s="32"/>
      <c r="L158" s="75">
        <v>158</v>
      </c>
      <c r="M158" s="75"/>
      <c r="N158" s="70"/>
      <c r="O158" s="77" t="s">
        <v>179</v>
      </c>
      <c r="P158" s="79">
        <v>45006.821539351855</v>
      </c>
      <c r="Q158" s="77" t="s">
        <v>1115</v>
      </c>
      <c r="R158" s="77">
        <v>0</v>
      </c>
      <c r="S158" s="77">
        <v>0</v>
      </c>
      <c r="T158" s="77">
        <v>0</v>
      </c>
      <c r="U158" s="77">
        <v>0</v>
      </c>
      <c r="V158" s="77">
        <v>6</v>
      </c>
      <c r="W158" s="81" t="s">
        <v>3042</v>
      </c>
      <c r="X158" s="83" t="str">
        <f>HYPERLINK("https://lnkd.in/debyCF2f")</f>
        <v>https://lnkd.in/debyCF2f</v>
      </c>
      <c r="Y158" s="77" t="s">
        <v>4221</v>
      </c>
      <c r="Z158" s="77"/>
      <c r="AA158" s="77"/>
      <c r="AB158" s="77"/>
      <c r="AC158" s="81" t="s">
        <v>5810</v>
      </c>
      <c r="AD158" s="77" t="s">
        <v>5850</v>
      </c>
      <c r="AE158" s="83" t="str">
        <f>HYPERLINK("https://twitter.com/ivangzg/status/1638264973330718720")</f>
        <v>https://twitter.com/ivangzg/status/1638264973330718720</v>
      </c>
      <c r="AF158" s="79">
        <v>45006.821539351855</v>
      </c>
      <c r="AG158" s="85">
        <v>45006</v>
      </c>
      <c r="AH158" s="81" t="s">
        <v>6003</v>
      </c>
      <c r="AI158" s="77" t="b">
        <v>0</v>
      </c>
      <c r="AJ158" s="77"/>
      <c r="AK158" s="77"/>
      <c r="AL158" s="77"/>
      <c r="AM158" s="77"/>
      <c r="AN158" s="77"/>
      <c r="AO158" s="77"/>
      <c r="AP158" s="77"/>
      <c r="AQ158" s="77"/>
      <c r="AR158" s="77"/>
      <c r="AS158" s="77"/>
      <c r="AT158" s="77"/>
      <c r="AU158" s="77"/>
      <c r="AV158" s="83" t="str">
        <f>HYPERLINK("https://pbs.twimg.com/profile_images/1618608043352096769/yo50G2gI_normal.jpg")</f>
        <v>https://pbs.twimg.com/profile_images/1618608043352096769/yo50G2gI_normal.jpg</v>
      </c>
      <c r="AW158" s="81" t="s">
        <v>9436</v>
      </c>
      <c r="AX158" s="81" t="s">
        <v>9436</v>
      </c>
      <c r="AY158" s="77"/>
      <c r="AZ158" s="81" t="s">
        <v>11359</v>
      </c>
      <c r="BA158" s="81" t="s">
        <v>11359</v>
      </c>
      <c r="BB158" s="81" t="s">
        <v>11359</v>
      </c>
      <c r="BC158" s="81" t="s">
        <v>9436</v>
      </c>
      <c r="BD158" s="77">
        <v>582994607</v>
      </c>
      <c r="BE158" s="77"/>
      <c r="BF158" s="77"/>
      <c r="BG158" s="77"/>
      <c r="BH158" s="77"/>
      <c r="BI158" s="77"/>
    </row>
    <row r="159" spans="1:61" x14ac:dyDescent="0.25">
      <c r="A159" s="62" t="s">
        <v>308</v>
      </c>
      <c r="B159" s="62" t="s">
        <v>308</v>
      </c>
      <c r="C159" s="63"/>
      <c r="D159" s="64"/>
      <c r="E159" s="65"/>
      <c r="F159" s="66"/>
      <c r="G159" s="63"/>
      <c r="H159" s="67"/>
      <c r="I159" s="68"/>
      <c r="J159" s="68"/>
      <c r="K159" s="32"/>
      <c r="L159" s="75">
        <v>159</v>
      </c>
      <c r="M159" s="75"/>
      <c r="N159" s="70"/>
      <c r="O159" s="77" t="s">
        <v>179</v>
      </c>
      <c r="P159" s="79">
        <v>45086.846238425926</v>
      </c>
      <c r="Q159" s="77" t="s">
        <v>1116</v>
      </c>
      <c r="R159" s="77">
        <v>0</v>
      </c>
      <c r="S159" s="77">
        <v>0</v>
      </c>
      <c r="T159" s="77">
        <v>0</v>
      </c>
      <c r="U159" s="77">
        <v>0</v>
      </c>
      <c r="V159" s="77">
        <v>225</v>
      </c>
      <c r="W159" s="81" t="s">
        <v>3043</v>
      </c>
      <c r="X159" s="77"/>
      <c r="Y159" s="77"/>
      <c r="Z159" s="77"/>
      <c r="AA159" s="77" t="s">
        <v>4486</v>
      </c>
      <c r="AB159" s="77" t="s">
        <v>5794</v>
      </c>
      <c r="AC159" s="81" t="s">
        <v>5805</v>
      </c>
      <c r="AD159" s="77" t="s">
        <v>5850</v>
      </c>
      <c r="AE159" s="83" t="str">
        <f>HYPERLINK("https://twitter.com/snepueblaofi/status/1667264952845979659")</f>
        <v>https://twitter.com/snepueblaofi/status/1667264952845979659</v>
      </c>
      <c r="AF159" s="79">
        <v>45086.846238425926</v>
      </c>
      <c r="AG159" s="85">
        <v>45086</v>
      </c>
      <c r="AH159" s="81" t="s">
        <v>6004</v>
      </c>
      <c r="AI159" s="77" t="b">
        <v>0</v>
      </c>
      <c r="AJ159" s="77"/>
      <c r="AK159" s="77"/>
      <c r="AL159" s="77"/>
      <c r="AM159" s="77"/>
      <c r="AN159" s="77"/>
      <c r="AO159" s="77"/>
      <c r="AP159" s="77"/>
      <c r="AQ159" s="77" t="s">
        <v>7989</v>
      </c>
      <c r="AR159" s="77"/>
      <c r="AS159" s="77"/>
      <c r="AT159" s="77"/>
      <c r="AU159" s="77"/>
      <c r="AV159" s="83" t="str">
        <f>HYPERLINK("https://pbs.twimg.com/media/FyNJdM1X0CUAefP.jpg")</f>
        <v>https://pbs.twimg.com/media/FyNJdM1X0CUAefP.jpg</v>
      </c>
      <c r="AW159" s="81" t="s">
        <v>9437</v>
      </c>
      <c r="AX159" s="81" t="s">
        <v>9437</v>
      </c>
      <c r="AY159" s="77"/>
      <c r="AZ159" s="81" t="s">
        <v>11359</v>
      </c>
      <c r="BA159" s="81" t="s">
        <v>11359</v>
      </c>
      <c r="BB159" s="81" t="s">
        <v>11359</v>
      </c>
      <c r="BC159" s="81" t="s">
        <v>9437</v>
      </c>
      <c r="BD159" s="81" t="s">
        <v>11445</v>
      </c>
      <c r="BE159" s="77"/>
      <c r="BF159" s="77"/>
      <c r="BG159" s="77"/>
      <c r="BH159" s="77"/>
      <c r="BI159" s="77"/>
    </row>
    <row r="160" spans="1:61" x14ac:dyDescent="0.25">
      <c r="A160" s="62" t="s">
        <v>308</v>
      </c>
      <c r="B160" s="62" t="s">
        <v>308</v>
      </c>
      <c r="C160" s="63"/>
      <c r="D160" s="64"/>
      <c r="E160" s="65"/>
      <c r="F160" s="66"/>
      <c r="G160" s="63"/>
      <c r="H160" s="67"/>
      <c r="I160" s="68"/>
      <c r="J160" s="68"/>
      <c r="K160" s="32"/>
      <c r="L160" s="75">
        <v>160</v>
      </c>
      <c r="M160" s="75"/>
      <c r="N160" s="70"/>
      <c r="O160" s="77" t="s">
        <v>179</v>
      </c>
      <c r="P160" s="79">
        <v>45077.833344907405</v>
      </c>
      <c r="Q160" s="77" t="s">
        <v>1117</v>
      </c>
      <c r="R160" s="77">
        <v>0</v>
      </c>
      <c r="S160" s="77">
        <v>2</v>
      </c>
      <c r="T160" s="77">
        <v>0</v>
      </c>
      <c r="U160" s="77">
        <v>0</v>
      </c>
      <c r="V160" s="77">
        <v>334</v>
      </c>
      <c r="W160" s="81" t="s">
        <v>3044</v>
      </c>
      <c r="X160" s="77"/>
      <c r="Y160" s="77"/>
      <c r="Z160" s="77"/>
      <c r="AA160" s="77" t="s">
        <v>4487</v>
      </c>
      <c r="AB160" s="77" t="s">
        <v>5794</v>
      </c>
      <c r="AC160" s="81" t="s">
        <v>5805</v>
      </c>
      <c r="AD160" s="77" t="s">
        <v>5850</v>
      </c>
      <c r="AE160" s="83" t="str">
        <f>HYPERLINK("https://twitter.com/snepueblaofi/status/1663998789450096640")</f>
        <v>https://twitter.com/snepueblaofi/status/1663998789450096640</v>
      </c>
      <c r="AF160" s="79">
        <v>45077.833344907405</v>
      </c>
      <c r="AG160" s="85">
        <v>45077</v>
      </c>
      <c r="AH160" s="81" t="s">
        <v>6005</v>
      </c>
      <c r="AI160" s="77" t="b">
        <v>0</v>
      </c>
      <c r="AJ160" s="77"/>
      <c r="AK160" s="77"/>
      <c r="AL160" s="77"/>
      <c r="AM160" s="77"/>
      <c r="AN160" s="77"/>
      <c r="AO160" s="77"/>
      <c r="AP160" s="77"/>
      <c r="AQ160" s="77" t="s">
        <v>7990</v>
      </c>
      <c r="AR160" s="77"/>
      <c r="AS160" s="77"/>
      <c r="AT160" s="77"/>
      <c r="AU160" s="77"/>
      <c r="AV160" s="83" t="str">
        <f>HYPERLINK("https://pbs.twimg.com/media/FxeMi05WAAovXd8.jpg")</f>
        <v>https://pbs.twimg.com/media/FxeMi05WAAovXd8.jpg</v>
      </c>
      <c r="AW160" s="81" t="s">
        <v>9438</v>
      </c>
      <c r="AX160" s="81" t="s">
        <v>9438</v>
      </c>
      <c r="AY160" s="77"/>
      <c r="AZ160" s="81" t="s">
        <v>11359</v>
      </c>
      <c r="BA160" s="81" t="s">
        <v>11359</v>
      </c>
      <c r="BB160" s="81" t="s">
        <v>11359</v>
      </c>
      <c r="BC160" s="81" t="s">
        <v>9438</v>
      </c>
      <c r="BD160" s="81" t="s">
        <v>11445</v>
      </c>
      <c r="BE160" s="77"/>
      <c r="BF160" s="77"/>
      <c r="BG160" s="77"/>
      <c r="BH160" s="77"/>
      <c r="BI160" s="77"/>
    </row>
    <row r="161" spans="1:61" x14ac:dyDescent="0.25">
      <c r="A161" s="62" t="s">
        <v>308</v>
      </c>
      <c r="B161" s="62" t="s">
        <v>308</v>
      </c>
      <c r="C161" s="63"/>
      <c r="D161" s="64"/>
      <c r="E161" s="65"/>
      <c r="F161" s="66"/>
      <c r="G161" s="63"/>
      <c r="H161" s="67"/>
      <c r="I161" s="68"/>
      <c r="J161" s="68"/>
      <c r="K161" s="32"/>
      <c r="L161" s="75">
        <v>161</v>
      </c>
      <c r="M161" s="75"/>
      <c r="N161" s="70"/>
      <c r="O161" s="77" t="s">
        <v>179</v>
      </c>
      <c r="P161" s="79">
        <v>45182.677083333336</v>
      </c>
      <c r="Q161" s="77" t="s">
        <v>1118</v>
      </c>
      <c r="R161" s="77">
        <v>0</v>
      </c>
      <c r="S161" s="77">
        <v>0</v>
      </c>
      <c r="T161" s="77">
        <v>0</v>
      </c>
      <c r="U161" s="77">
        <v>0</v>
      </c>
      <c r="V161" s="77">
        <v>241</v>
      </c>
      <c r="W161" s="81" t="s">
        <v>3045</v>
      </c>
      <c r="X161" s="77"/>
      <c r="Y161" s="77"/>
      <c r="Z161" s="77"/>
      <c r="AA161" s="77" t="s">
        <v>4488</v>
      </c>
      <c r="AB161" s="77" t="s">
        <v>5794</v>
      </c>
      <c r="AC161" s="81" t="s">
        <v>5805</v>
      </c>
      <c r="AD161" s="77" t="s">
        <v>5850</v>
      </c>
      <c r="AE161" s="83" t="str">
        <f>HYPERLINK("https://twitter.com/snepueblaofi/status/1701992886878019597")</f>
        <v>https://twitter.com/snepueblaofi/status/1701992886878019597</v>
      </c>
      <c r="AF161" s="79">
        <v>45182.677083333336</v>
      </c>
      <c r="AG161" s="85">
        <v>45182</v>
      </c>
      <c r="AH161" s="81" t="s">
        <v>6006</v>
      </c>
      <c r="AI161" s="77" t="b">
        <v>0</v>
      </c>
      <c r="AJ161" s="77"/>
      <c r="AK161" s="77"/>
      <c r="AL161" s="77"/>
      <c r="AM161" s="77"/>
      <c r="AN161" s="77"/>
      <c r="AO161" s="77"/>
      <c r="AP161" s="77"/>
      <c r="AQ161" s="77" t="s">
        <v>7991</v>
      </c>
      <c r="AR161" s="77"/>
      <c r="AS161" s="77"/>
      <c r="AT161" s="77"/>
      <c r="AU161" s="77"/>
      <c r="AV161" s="83" t="str">
        <f>HYPERLINK("https://pbs.twimg.com/media/F56pPoGWwAAhrcl.jpg")</f>
        <v>https://pbs.twimg.com/media/F56pPoGWwAAhrcl.jpg</v>
      </c>
      <c r="AW161" s="81" t="s">
        <v>9439</v>
      </c>
      <c r="AX161" s="81" t="s">
        <v>9439</v>
      </c>
      <c r="AY161" s="77"/>
      <c r="AZ161" s="81" t="s">
        <v>11359</v>
      </c>
      <c r="BA161" s="81" t="s">
        <v>11359</v>
      </c>
      <c r="BB161" s="81" t="s">
        <v>11359</v>
      </c>
      <c r="BC161" s="81" t="s">
        <v>9439</v>
      </c>
      <c r="BD161" s="81" t="s">
        <v>11445</v>
      </c>
      <c r="BE161" s="77"/>
      <c r="BF161" s="77"/>
      <c r="BG161" s="77"/>
      <c r="BH161" s="77"/>
      <c r="BI161" s="77"/>
    </row>
    <row r="162" spans="1:61" x14ac:dyDescent="0.25">
      <c r="A162" s="62" t="s">
        <v>309</v>
      </c>
      <c r="B162" s="62" t="s">
        <v>309</v>
      </c>
      <c r="C162" s="63"/>
      <c r="D162" s="64"/>
      <c r="E162" s="65"/>
      <c r="F162" s="66"/>
      <c r="G162" s="63"/>
      <c r="H162" s="67"/>
      <c r="I162" s="68"/>
      <c r="J162" s="68"/>
      <c r="K162" s="32"/>
      <c r="L162" s="75">
        <v>162</v>
      </c>
      <c r="M162" s="75"/>
      <c r="N162" s="70"/>
      <c r="O162" s="77" t="s">
        <v>179</v>
      </c>
      <c r="P162" s="79">
        <v>45135.754166666666</v>
      </c>
      <c r="Q162" s="77" t="s">
        <v>1119</v>
      </c>
      <c r="R162" s="77">
        <v>2</v>
      </c>
      <c r="S162" s="77">
        <v>3</v>
      </c>
      <c r="T162" s="77">
        <v>0</v>
      </c>
      <c r="U162" s="77">
        <v>0</v>
      </c>
      <c r="V162" s="77">
        <v>42</v>
      </c>
      <c r="W162" s="81" t="s">
        <v>3046</v>
      </c>
      <c r="X162" s="77"/>
      <c r="Y162" s="77"/>
      <c r="Z162" s="77"/>
      <c r="AA162" s="77"/>
      <c r="AB162" s="77"/>
      <c r="AC162" s="81" t="s">
        <v>5811</v>
      </c>
      <c r="AD162" s="77" t="s">
        <v>5850</v>
      </c>
      <c r="AE162" s="83" t="str">
        <f>HYPERLINK("https://twitter.com/paredonpaterna/status/1684988590483222530")</f>
        <v>https://twitter.com/paredonpaterna/status/1684988590483222530</v>
      </c>
      <c r="AF162" s="79">
        <v>45135.754166666666</v>
      </c>
      <c r="AG162" s="85">
        <v>45135</v>
      </c>
      <c r="AH162" s="81" t="s">
        <v>6007</v>
      </c>
      <c r="AI162" s="77"/>
      <c r="AJ162" s="77"/>
      <c r="AK162" s="77"/>
      <c r="AL162" s="77"/>
      <c r="AM162" s="77"/>
      <c r="AN162" s="77"/>
      <c r="AO162" s="77"/>
      <c r="AP162" s="77"/>
      <c r="AQ162" s="77"/>
      <c r="AR162" s="77"/>
      <c r="AS162" s="77"/>
      <c r="AT162" s="77"/>
      <c r="AU162" s="77"/>
      <c r="AV162" s="83" t="str">
        <f>HYPERLINK("https://pbs.twimg.com/profile_images/2703175559/94c843b00cbd9900f1422d8940bea6b3_normal.png")</f>
        <v>https://pbs.twimg.com/profile_images/2703175559/94c843b00cbd9900f1422d8940bea6b3_normal.png</v>
      </c>
      <c r="AW162" s="81" t="s">
        <v>9440</v>
      </c>
      <c r="AX162" s="81" t="s">
        <v>9440</v>
      </c>
      <c r="AY162" s="77"/>
      <c r="AZ162" s="81" t="s">
        <v>11359</v>
      </c>
      <c r="BA162" s="81" t="s">
        <v>11359</v>
      </c>
      <c r="BB162" s="81" t="s">
        <v>11359</v>
      </c>
      <c r="BC162" s="81" t="s">
        <v>9440</v>
      </c>
      <c r="BD162" s="77">
        <v>872529876</v>
      </c>
      <c r="BE162" s="77"/>
      <c r="BF162" s="77"/>
      <c r="BG162" s="77"/>
      <c r="BH162" s="77"/>
      <c r="BI162" s="77"/>
    </row>
    <row r="163" spans="1:61" x14ac:dyDescent="0.25">
      <c r="A163" s="62" t="s">
        <v>309</v>
      </c>
      <c r="B163" s="62" t="s">
        <v>309</v>
      </c>
      <c r="C163" s="63"/>
      <c r="D163" s="64"/>
      <c r="E163" s="65"/>
      <c r="F163" s="66"/>
      <c r="G163" s="63"/>
      <c r="H163" s="67"/>
      <c r="I163" s="68"/>
      <c r="J163" s="68"/>
      <c r="K163" s="32"/>
      <c r="L163" s="75">
        <v>163</v>
      </c>
      <c r="M163" s="75"/>
      <c r="N163" s="70"/>
      <c r="O163" s="77" t="s">
        <v>179</v>
      </c>
      <c r="P163" s="79">
        <v>45134.754166666666</v>
      </c>
      <c r="Q163" s="77" t="s">
        <v>1120</v>
      </c>
      <c r="R163" s="77">
        <v>3</v>
      </c>
      <c r="S163" s="77">
        <v>2</v>
      </c>
      <c r="T163" s="77">
        <v>0</v>
      </c>
      <c r="U163" s="77">
        <v>0</v>
      </c>
      <c r="V163" s="77">
        <v>74</v>
      </c>
      <c r="W163" s="81" t="s">
        <v>3047</v>
      </c>
      <c r="X163" s="77"/>
      <c r="Y163" s="77"/>
      <c r="Z163" s="77"/>
      <c r="AA163" s="77"/>
      <c r="AB163" s="77"/>
      <c r="AC163" s="81" t="s">
        <v>5811</v>
      </c>
      <c r="AD163" s="77" t="s">
        <v>5850</v>
      </c>
      <c r="AE163" s="83" t="str">
        <f>HYPERLINK("https://twitter.com/paredonpaterna/status/1684626202676342784")</f>
        <v>https://twitter.com/paredonpaterna/status/1684626202676342784</v>
      </c>
      <c r="AF163" s="79">
        <v>45134.754166666666</v>
      </c>
      <c r="AG163" s="85">
        <v>45134</v>
      </c>
      <c r="AH163" s="81" t="s">
        <v>6007</v>
      </c>
      <c r="AI163" s="77"/>
      <c r="AJ163" s="77"/>
      <c r="AK163" s="77"/>
      <c r="AL163" s="77"/>
      <c r="AM163" s="77"/>
      <c r="AN163" s="77"/>
      <c r="AO163" s="77"/>
      <c r="AP163" s="77"/>
      <c r="AQ163" s="77"/>
      <c r="AR163" s="77"/>
      <c r="AS163" s="77"/>
      <c r="AT163" s="77"/>
      <c r="AU163" s="77"/>
      <c r="AV163" s="83" t="str">
        <f>HYPERLINK("https://pbs.twimg.com/profile_images/2703175559/94c843b00cbd9900f1422d8940bea6b3_normal.png")</f>
        <v>https://pbs.twimg.com/profile_images/2703175559/94c843b00cbd9900f1422d8940bea6b3_normal.png</v>
      </c>
      <c r="AW163" s="81" t="s">
        <v>9441</v>
      </c>
      <c r="AX163" s="81" t="s">
        <v>9441</v>
      </c>
      <c r="AY163" s="77"/>
      <c r="AZ163" s="81" t="s">
        <v>11359</v>
      </c>
      <c r="BA163" s="81" t="s">
        <v>11359</v>
      </c>
      <c r="BB163" s="81" t="s">
        <v>11359</v>
      </c>
      <c r="BC163" s="81" t="s">
        <v>9441</v>
      </c>
      <c r="BD163" s="77">
        <v>872529876</v>
      </c>
      <c r="BE163" s="77"/>
      <c r="BF163" s="77"/>
      <c r="BG163" s="77"/>
      <c r="BH163" s="77"/>
      <c r="BI163" s="77"/>
    </row>
    <row r="164" spans="1:61" x14ac:dyDescent="0.25">
      <c r="A164" s="62" t="s">
        <v>309</v>
      </c>
      <c r="B164" s="62" t="s">
        <v>309</v>
      </c>
      <c r="C164" s="63"/>
      <c r="D164" s="64"/>
      <c r="E164" s="65"/>
      <c r="F164" s="66"/>
      <c r="G164" s="63"/>
      <c r="H164" s="67"/>
      <c r="I164" s="68"/>
      <c r="J164" s="68"/>
      <c r="K164" s="32"/>
      <c r="L164" s="75">
        <v>164</v>
      </c>
      <c r="M164" s="75"/>
      <c r="N164" s="70"/>
      <c r="O164" s="77" t="s">
        <v>179</v>
      </c>
      <c r="P164" s="79">
        <v>45122.777777777781</v>
      </c>
      <c r="Q164" s="77" t="s">
        <v>1121</v>
      </c>
      <c r="R164" s="77">
        <v>5</v>
      </c>
      <c r="S164" s="77">
        <v>4</v>
      </c>
      <c r="T164" s="77">
        <v>0</v>
      </c>
      <c r="U164" s="77">
        <v>0</v>
      </c>
      <c r="V164" s="77">
        <v>136</v>
      </c>
      <c r="W164" s="81" t="s">
        <v>3048</v>
      </c>
      <c r="X164" s="77"/>
      <c r="Y164" s="77"/>
      <c r="Z164" s="77"/>
      <c r="AA164" s="77"/>
      <c r="AB164" s="77"/>
      <c r="AC164" s="81" t="s">
        <v>5811</v>
      </c>
      <c r="AD164" s="77" t="s">
        <v>5850</v>
      </c>
      <c r="AE164" s="83" t="str">
        <f>HYPERLINK("https://twitter.com/paredonpaterna/status/1680286104581292036")</f>
        <v>https://twitter.com/paredonpaterna/status/1680286104581292036</v>
      </c>
      <c r="AF164" s="79">
        <v>45122.777777777781</v>
      </c>
      <c r="AG164" s="85">
        <v>45122</v>
      </c>
      <c r="AH164" s="81" t="s">
        <v>6008</v>
      </c>
      <c r="AI164" s="77"/>
      <c r="AJ164" s="77"/>
      <c r="AK164" s="77"/>
      <c r="AL164" s="77"/>
      <c r="AM164" s="77"/>
      <c r="AN164" s="77"/>
      <c r="AO164" s="77"/>
      <c r="AP164" s="77"/>
      <c r="AQ164" s="77"/>
      <c r="AR164" s="77"/>
      <c r="AS164" s="77"/>
      <c r="AT164" s="77"/>
      <c r="AU164" s="77"/>
      <c r="AV164" s="83" t="str">
        <f>HYPERLINK("https://pbs.twimg.com/profile_images/2703175559/94c843b00cbd9900f1422d8940bea6b3_normal.png")</f>
        <v>https://pbs.twimg.com/profile_images/2703175559/94c843b00cbd9900f1422d8940bea6b3_normal.png</v>
      </c>
      <c r="AW164" s="81" t="s">
        <v>9442</v>
      </c>
      <c r="AX164" s="81" t="s">
        <v>9442</v>
      </c>
      <c r="AY164" s="77"/>
      <c r="AZ164" s="81" t="s">
        <v>11359</v>
      </c>
      <c r="BA164" s="81" t="s">
        <v>11359</v>
      </c>
      <c r="BB164" s="81" t="s">
        <v>11359</v>
      </c>
      <c r="BC164" s="81" t="s">
        <v>9442</v>
      </c>
      <c r="BD164" s="77">
        <v>872529876</v>
      </c>
      <c r="BE164" s="77"/>
      <c r="BF164" s="77"/>
      <c r="BG164" s="77"/>
      <c r="BH164" s="77"/>
      <c r="BI164" s="77"/>
    </row>
    <row r="165" spans="1:61" x14ac:dyDescent="0.25">
      <c r="A165" s="62" t="s">
        <v>309</v>
      </c>
      <c r="B165" s="62" t="s">
        <v>309</v>
      </c>
      <c r="C165" s="63"/>
      <c r="D165" s="64"/>
      <c r="E165" s="65"/>
      <c r="F165" s="66"/>
      <c r="G165" s="63"/>
      <c r="H165" s="67"/>
      <c r="I165" s="68"/>
      <c r="J165" s="68"/>
      <c r="K165" s="32"/>
      <c r="L165" s="75">
        <v>165</v>
      </c>
      <c r="M165" s="75"/>
      <c r="N165" s="70"/>
      <c r="O165" s="77" t="s">
        <v>179</v>
      </c>
      <c r="P165" s="79">
        <v>44957.816666666666</v>
      </c>
      <c r="Q165" s="77" t="s">
        <v>1122</v>
      </c>
      <c r="R165" s="77">
        <v>3</v>
      </c>
      <c r="S165" s="77">
        <v>7</v>
      </c>
      <c r="T165" s="77">
        <v>0</v>
      </c>
      <c r="U165" s="77">
        <v>0</v>
      </c>
      <c r="V165" s="77">
        <v>135</v>
      </c>
      <c r="W165" s="81" t="s">
        <v>3046</v>
      </c>
      <c r="X165" s="77"/>
      <c r="Y165" s="77"/>
      <c r="Z165" s="77"/>
      <c r="AA165" s="77"/>
      <c r="AB165" s="77"/>
      <c r="AC165" s="81" t="s">
        <v>5811</v>
      </c>
      <c r="AD165" s="77" t="s">
        <v>5850</v>
      </c>
      <c r="AE165" s="83" t="str">
        <f>HYPERLINK("https://twitter.com/paredonpaterna/status/1620506199744544769")</f>
        <v>https://twitter.com/paredonpaterna/status/1620506199744544769</v>
      </c>
      <c r="AF165" s="79">
        <v>44957.816666666666</v>
      </c>
      <c r="AG165" s="85">
        <v>44957</v>
      </c>
      <c r="AH165" s="81" t="s">
        <v>6009</v>
      </c>
      <c r="AI165" s="77"/>
      <c r="AJ165" s="77"/>
      <c r="AK165" s="77"/>
      <c r="AL165" s="77"/>
      <c r="AM165" s="77"/>
      <c r="AN165" s="77"/>
      <c r="AO165" s="77"/>
      <c r="AP165" s="77"/>
      <c r="AQ165" s="77"/>
      <c r="AR165" s="77"/>
      <c r="AS165" s="77"/>
      <c r="AT165" s="77"/>
      <c r="AU165" s="77"/>
      <c r="AV165" s="83" t="str">
        <f>HYPERLINK("https://pbs.twimg.com/profile_images/2703175559/94c843b00cbd9900f1422d8940bea6b3_normal.png")</f>
        <v>https://pbs.twimg.com/profile_images/2703175559/94c843b00cbd9900f1422d8940bea6b3_normal.png</v>
      </c>
      <c r="AW165" s="81" t="s">
        <v>9443</v>
      </c>
      <c r="AX165" s="81" t="s">
        <v>9443</v>
      </c>
      <c r="AY165" s="77"/>
      <c r="AZ165" s="81" t="s">
        <v>11359</v>
      </c>
      <c r="BA165" s="81" t="s">
        <v>11359</v>
      </c>
      <c r="BB165" s="81" t="s">
        <v>11359</v>
      </c>
      <c r="BC165" s="81" t="s">
        <v>9443</v>
      </c>
      <c r="BD165" s="77">
        <v>872529876</v>
      </c>
      <c r="BE165" s="77"/>
      <c r="BF165" s="77"/>
      <c r="BG165" s="77"/>
      <c r="BH165" s="77"/>
      <c r="BI165" s="77"/>
    </row>
    <row r="166" spans="1:61" x14ac:dyDescent="0.25">
      <c r="A166" s="62" t="s">
        <v>309</v>
      </c>
      <c r="B166" s="62" t="s">
        <v>309</v>
      </c>
      <c r="C166" s="63"/>
      <c r="D166" s="64"/>
      <c r="E166" s="65"/>
      <c r="F166" s="66"/>
      <c r="G166" s="63"/>
      <c r="H166" s="67"/>
      <c r="I166" s="68"/>
      <c r="J166" s="68"/>
      <c r="K166" s="32"/>
      <c r="L166" s="75">
        <v>166</v>
      </c>
      <c r="M166" s="75"/>
      <c r="N166" s="70"/>
      <c r="O166" s="77" t="s">
        <v>179</v>
      </c>
      <c r="P166" s="79">
        <v>45124.776388888888</v>
      </c>
      <c r="Q166" s="77" t="s">
        <v>1123</v>
      </c>
      <c r="R166" s="77">
        <v>4</v>
      </c>
      <c r="S166" s="77">
        <v>6</v>
      </c>
      <c r="T166" s="77">
        <v>0</v>
      </c>
      <c r="U166" s="77">
        <v>0</v>
      </c>
      <c r="V166" s="77">
        <v>60</v>
      </c>
      <c r="W166" s="81" t="s">
        <v>3049</v>
      </c>
      <c r="X166" s="77"/>
      <c r="Y166" s="77"/>
      <c r="Z166" s="77"/>
      <c r="AA166" s="77"/>
      <c r="AB166" s="77"/>
      <c r="AC166" s="81" t="s">
        <v>5811</v>
      </c>
      <c r="AD166" s="77" t="s">
        <v>5850</v>
      </c>
      <c r="AE166" s="83" t="str">
        <f>HYPERLINK("https://twitter.com/paredonpaterna/status/1681010376974950405")</f>
        <v>https://twitter.com/paredonpaterna/status/1681010376974950405</v>
      </c>
      <c r="AF166" s="79">
        <v>45124.776388888888</v>
      </c>
      <c r="AG166" s="85">
        <v>45124</v>
      </c>
      <c r="AH166" s="81" t="s">
        <v>6010</v>
      </c>
      <c r="AI166" s="77"/>
      <c r="AJ166" s="77"/>
      <c r="AK166" s="77"/>
      <c r="AL166" s="77"/>
      <c r="AM166" s="77"/>
      <c r="AN166" s="77"/>
      <c r="AO166" s="77"/>
      <c r="AP166" s="77"/>
      <c r="AQ166" s="77"/>
      <c r="AR166" s="77"/>
      <c r="AS166" s="77"/>
      <c r="AT166" s="77"/>
      <c r="AU166" s="77"/>
      <c r="AV166" s="83" t="str">
        <f>HYPERLINK("https://pbs.twimg.com/profile_images/2703175559/94c843b00cbd9900f1422d8940bea6b3_normal.png")</f>
        <v>https://pbs.twimg.com/profile_images/2703175559/94c843b00cbd9900f1422d8940bea6b3_normal.png</v>
      </c>
      <c r="AW166" s="81" t="s">
        <v>9444</v>
      </c>
      <c r="AX166" s="81" t="s">
        <v>9444</v>
      </c>
      <c r="AY166" s="77"/>
      <c r="AZ166" s="81" t="s">
        <v>11359</v>
      </c>
      <c r="BA166" s="81" t="s">
        <v>11359</v>
      </c>
      <c r="BB166" s="81" t="s">
        <v>11359</v>
      </c>
      <c r="BC166" s="81" t="s">
        <v>9444</v>
      </c>
      <c r="BD166" s="77">
        <v>872529876</v>
      </c>
      <c r="BE166" s="77"/>
      <c r="BF166" s="77"/>
      <c r="BG166" s="77"/>
      <c r="BH166" s="77"/>
      <c r="BI166" s="77"/>
    </row>
    <row r="167" spans="1:61" x14ac:dyDescent="0.25">
      <c r="A167" s="62" t="s">
        <v>309</v>
      </c>
      <c r="B167" s="62" t="s">
        <v>309</v>
      </c>
      <c r="C167" s="63"/>
      <c r="D167" s="64"/>
      <c r="E167" s="65"/>
      <c r="F167" s="66"/>
      <c r="G167" s="63"/>
      <c r="H167" s="67"/>
      <c r="I167" s="68"/>
      <c r="J167" s="68"/>
      <c r="K167" s="32"/>
      <c r="L167" s="75">
        <v>167</v>
      </c>
      <c r="M167" s="75"/>
      <c r="N167" s="70"/>
      <c r="O167" s="77" t="s">
        <v>179</v>
      </c>
      <c r="P167" s="79">
        <v>45012.800000000003</v>
      </c>
      <c r="Q167" s="77" t="s">
        <v>1124</v>
      </c>
      <c r="R167" s="77">
        <v>3</v>
      </c>
      <c r="S167" s="77">
        <v>3</v>
      </c>
      <c r="T167" s="77">
        <v>0</v>
      </c>
      <c r="U167" s="77">
        <v>0</v>
      </c>
      <c r="V167" s="77">
        <v>35</v>
      </c>
      <c r="W167" s="81" t="s">
        <v>3050</v>
      </c>
      <c r="X167" s="77"/>
      <c r="Y167" s="77"/>
      <c r="Z167" s="77"/>
      <c r="AA167" s="77"/>
      <c r="AB167" s="77"/>
      <c r="AC167" s="81" t="s">
        <v>5811</v>
      </c>
      <c r="AD167" s="77" t="s">
        <v>5850</v>
      </c>
      <c r="AE167" s="83" t="str">
        <f>HYPERLINK("https://twitter.com/paredonpaterna/status/1640431492366241793")</f>
        <v>https://twitter.com/paredonpaterna/status/1640431492366241793</v>
      </c>
      <c r="AF167" s="79">
        <v>45012.800000000003</v>
      </c>
      <c r="AG167" s="85">
        <v>45012</v>
      </c>
      <c r="AH167" s="81" t="s">
        <v>6011</v>
      </c>
      <c r="AI167" s="77"/>
      <c r="AJ167" s="77"/>
      <c r="AK167" s="77"/>
      <c r="AL167" s="77"/>
      <c r="AM167" s="77"/>
      <c r="AN167" s="77"/>
      <c r="AO167" s="77"/>
      <c r="AP167" s="77"/>
      <c r="AQ167" s="77"/>
      <c r="AR167" s="77"/>
      <c r="AS167" s="77"/>
      <c r="AT167" s="77"/>
      <c r="AU167" s="77"/>
      <c r="AV167" s="83" t="str">
        <f>HYPERLINK("https://pbs.twimg.com/profile_images/2703175559/94c843b00cbd9900f1422d8940bea6b3_normal.png")</f>
        <v>https://pbs.twimg.com/profile_images/2703175559/94c843b00cbd9900f1422d8940bea6b3_normal.png</v>
      </c>
      <c r="AW167" s="81" t="s">
        <v>9445</v>
      </c>
      <c r="AX167" s="81" t="s">
        <v>9445</v>
      </c>
      <c r="AY167" s="77"/>
      <c r="AZ167" s="81" t="s">
        <v>11359</v>
      </c>
      <c r="BA167" s="81" t="s">
        <v>11359</v>
      </c>
      <c r="BB167" s="81" t="s">
        <v>11359</v>
      </c>
      <c r="BC167" s="81" t="s">
        <v>9445</v>
      </c>
      <c r="BD167" s="77">
        <v>872529876</v>
      </c>
      <c r="BE167" s="77"/>
      <c r="BF167" s="77"/>
      <c r="BG167" s="77"/>
      <c r="BH167" s="77"/>
      <c r="BI167" s="77"/>
    </row>
    <row r="168" spans="1:61" x14ac:dyDescent="0.25">
      <c r="A168" s="62" t="s">
        <v>309</v>
      </c>
      <c r="B168" s="62" t="s">
        <v>309</v>
      </c>
      <c r="C168" s="63"/>
      <c r="D168" s="64"/>
      <c r="E168" s="65"/>
      <c r="F168" s="66"/>
      <c r="G168" s="63"/>
      <c r="H168" s="67"/>
      <c r="I168" s="68"/>
      <c r="J168" s="68"/>
      <c r="K168" s="32"/>
      <c r="L168" s="75">
        <v>168</v>
      </c>
      <c r="M168" s="75"/>
      <c r="N168" s="70"/>
      <c r="O168" s="77" t="s">
        <v>179</v>
      </c>
      <c r="P168" s="79">
        <v>45155.755555555559</v>
      </c>
      <c r="Q168" s="77" t="s">
        <v>1125</v>
      </c>
      <c r="R168" s="77">
        <v>6</v>
      </c>
      <c r="S168" s="77">
        <v>11</v>
      </c>
      <c r="T168" s="77">
        <v>1</v>
      </c>
      <c r="U168" s="77">
        <v>0</v>
      </c>
      <c r="V168" s="77">
        <v>167</v>
      </c>
      <c r="W168" s="81" t="s">
        <v>3051</v>
      </c>
      <c r="X168" s="77"/>
      <c r="Y168" s="77"/>
      <c r="Z168" s="77"/>
      <c r="AA168" s="77"/>
      <c r="AB168" s="77"/>
      <c r="AC168" s="81" t="s">
        <v>5811</v>
      </c>
      <c r="AD168" s="77" t="s">
        <v>5850</v>
      </c>
      <c r="AE168" s="83" t="str">
        <f>HYPERLINK("https://twitter.com/paredonpaterna/status/1692236851078201399")</f>
        <v>https://twitter.com/paredonpaterna/status/1692236851078201399</v>
      </c>
      <c r="AF168" s="79">
        <v>45155.755555555559</v>
      </c>
      <c r="AG168" s="85">
        <v>45155</v>
      </c>
      <c r="AH168" s="81" t="s">
        <v>6012</v>
      </c>
      <c r="AI168" s="77"/>
      <c r="AJ168" s="77"/>
      <c r="AK168" s="77"/>
      <c r="AL168" s="77"/>
      <c r="AM168" s="77"/>
      <c r="AN168" s="77"/>
      <c r="AO168" s="77"/>
      <c r="AP168" s="77"/>
      <c r="AQ168" s="77"/>
      <c r="AR168" s="77"/>
      <c r="AS168" s="77"/>
      <c r="AT168" s="77"/>
      <c r="AU168" s="77"/>
      <c r="AV168" s="83" t="str">
        <f>HYPERLINK("https://pbs.twimg.com/profile_images/2703175559/94c843b00cbd9900f1422d8940bea6b3_normal.png")</f>
        <v>https://pbs.twimg.com/profile_images/2703175559/94c843b00cbd9900f1422d8940bea6b3_normal.png</v>
      </c>
      <c r="AW168" s="81" t="s">
        <v>9446</v>
      </c>
      <c r="AX168" s="81" t="s">
        <v>9446</v>
      </c>
      <c r="AY168" s="77"/>
      <c r="AZ168" s="81" t="s">
        <v>11359</v>
      </c>
      <c r="BA168" s="81" t="s">
        <v>11359</v>
      </c>
      <c r="BB168" s="81" t="s">
        <v>11359</v>
      </c>
      <c r="BC168" s="81" t="s">
        <v>9446</v>
      </c>
      <c r="BD168" s="77">
        <v>872529876</v>
      </c>
      <c r="BE168" s="77"/>
      <c r="BF168" s="77"/>
      <c r="BG168" s="77"/>
      <c r="BH168" s="77"/>
      <c r="BI168" s="77"/>
    </row>
    <row r="169" spans="1:61" x14ac:dyDescent="0.25">
      <c r="A169" s="62" t="s">
        <v>309</v>
      </c>
      <c r="B169" s="62" t="s">
        <v>309</v>
      </c>
      <c r="C169" s="63"/>
      <c r="D169" s="64"/>
      <c r="E169" s="65"/>
      <c r="F169" s="66"/>
      <c r="G169" s="63"/>
      <c r="H169" s="67"/>
      <c r="I169" s="68"/>
      <c r="J169" s="68"/>
      <c r="K169" s="32"/>
      <c r="L169" s="75">
        <v>169</v>
      </c>
      <c r="M169" s="75"/>
      <c r="N169" s="70"/>
      <c r="O169" s="77" t="s">
        <v>179</v>
      </c>
      <c r="P169" s="79">
        <v>44944.797222222223</v>
      </c>
      <c r="Q169" s="77" t="s">
        <v>1126</v>
      </c>
      <c r="R169" s="77">
        <v>2</v>
      </c>
      <c r="S169" s="77">
        <v>9</v>
      </c>
      <c r="T169" s="77">
        <v>0</v>
      </c>
      <c r="U169" s="77">
        <v>0</v>
      </c>
      <c r="V169" s="77">
        <v>107</v>
      </c>
      <c r="W169" s="81" t="s">
        <v>3047</v>
      </c>
      <c r="X169" s="77"/>
      <c r="Y169" s="77"/>
      <c r="Z169" s="77"/>
      <c r="AA169" s="77"/>
      <c r="AB169" s="77"/>
      <c r="AC169" s="81" t="s">
        <v>5811</v>
      </c>
      <c r="AD169" s="77" t="s">
        <v>5850</v>
      </c>
      <c r="AE169" s="83" t="str">
        <f>HYPERLINK("https://twitter.com/paredonpaterna/status/1615788111471984656")</f>
        <v>https://twitter.com/paredonpaterna/status/1615788111471984656</v>
      </c>
      <c r="AF169" s="79">
        <v>44944.797222222223</v>
      </c>
      <c r="AG169" s="85">
        <v>44944</v>
      </c>
      <c r="AH169" s="81" t="s">
        <v>6013</v>
      </c>
      <c r="AI169" s="77"/>
      <c r="AJ169" s="77"/>
      <c r="AK169" s="77"/>
      <c r="AL169" s="77"/>
      <c r="AM169" s="77"/>
      <c r="AN169" s="77"/>
      <c r="AO169" s="77"/>
      <c r="AP169" s="77"/>
      <c r="AQ169" s="77"/>
      <c r="AR169" s="77"/>
      <c r="AS169" s="77"/>
      <c r="AT169" s="77"/>
      <c r="AU169" s="77"/>
      <c r="AV169" s="83" t="str">
        <f>HYPERLINK("https://pbs.twimg.com/profile_images/2703175559/94c843b00cbd9900f1422d8940bea6b3_normal.png")</f>
        <v>https://pbs.twimg.com/profile_images/2703175559/94c843b00cbd9900f1422d8940bea6b3_normal.png</v>
      </c>
      <c r="AW169" s="81" t="s">
        <v>9447</v>
      </c>
      <c r="AX169" s="81" t="s">
        <v>9447</v>
      </c>
      <c r="AY169" s="77"/>
      <c r="AZ169" s="81" t="s">
        <v>11359</v>
      </c>
      <c r="BA169" s="81" t="s">
        <v>11359</v>
      </c>
      <c r="BB169" s="81" t="s">
        <v>11359</v>
      </c>
      <c r="BC169" s="81" t="s">
        <v>9447</v>
      </c>
      <c r="BD169" s="77">
        <v>872529876</v>
      </c>
      <c r="BE169" s="77"/>
      <c r="BF169" s="77"/>
      <c r="BG169" s="77"/>
      <c r="BH169" s="77"/>
      <c r="BI169" s="77"/>
    </row>
    <row r="170" spans="1:61" x14ac:dyDescent="0.25">
      <c r="A170" s="62" t="s">
        <v>310</v>
      </c>
      <c r="B170" s="62" t="s">
        <v>883</v>
      </c>
      <c r="C170" s="63"/>
      <c r="D170" s="64"/>
      <c r="E170" s="65"/>
      <c r="F170" s="66"/>
      <c r="G170" s="63"/>
      <c r="H170" s="67"/>
      <c r="I170" s="68"/>
      <c r="J170" s="68"/>
      <c r="K170" s="32"/>
      <c r="L170" s="75">
        <v>170</v>
      </c>
      <c r="M170" s="75"/>
      <c r="N170" s="70"/>
      <c r="O170" s="77" t="s">
        <v>967</v>
      </c>
      <c r="P170" s="79">
        <v>44986.2184837963</v>
      </c>
      <c r="Q170" s="77" t="s">
        <v>1127</v>
      </c>
      <c r="R170" s="77">
        <v>0</v>
      </c>
      <c r="S170" s="77">
        <v>0</v>
      </c>
      <c r="T170" s="77">
        <v>0</v>
      </c>
      <c r="U170" s="77">
        <v>0</v>
      </c>
      <c r="V170" s="77">
        <v>19</v>
      </c>
      <c r="W170" s="81" t="s">
        <v>3052</v>
      </c>
      <c r="X170" s="83" t="str">
        <f>HYPERLINK("https://www.spreaker.com/user/16982213/inmopodcast-11-consejos-compradores-haz-")</f>
        <v>https://www.spreaker.com/user/16982213/inmopodcast-11-consejos-compradores-haz-</v>
      </c>
      <c r="Y170" s="77" t="s">
        <v>4235</v>
      </c>
      <c r="Z170" s="77" t="s">
        <v>883</v>
      </c>
      <c r="AA170" s="77"/>
      <c r="AB170" s="77"/>
      <c r="AC170" s="81" t="s">
        <v>5817</v>
      </c>
      <c r="AD170" s="77" t="s">
        <v>5850</v>
      </c>
      <c r="AE170" s="83" t="str">
        <f>HYPERLINK("https://twitter.com/manuarias_c/status/1630798673406828545")</f>
        <v>https://twitter.com/manuarias_c/status/1630798673406828545</v>
      </c>
      <c r="AF170" s="79">
        <v>44986.2184837963</v>
      </c>
      <c r="AG170" s="85">
        <v>44986</v>
      </c>
      <c r="AH170" s="81" t="s">
        <v>6014</v>
      </c>
      <c r="AI170" s="77" t="b">
        <v>0</v>
      </c>
      <c r="AJ170" s="77"/>
      <c r="AK170" s="77"/>
      <c r="AL170" s="77"/>
      <c r="AM170" s="77"/>
      <c r="AN170" s="77"/>
      <c r="AO170" s="77"/>
      <c r="AP170" s="77"/>
      <c r="AQ170" s="77"/>
      <c r="AR170" s="77"/>
      <c r="AS170" s="77"/>
      <c r="AT170" s="77"/>
      <c r="AU170" s="77"/>
      <c r="AV170" s="83" t="str">
        <f>HYPERLINK("https://pbs.twimg.com/profile_images/1459857065539686401/3nhbfGvN_normal.jpg")</f>
        <v>https://pbs.twimg.com/profile_images/1459857065539686401/3nhbfGvN_normal.jpg</v>
      </c>
      <c r="AW170" s="81" t="s">
        <v>9448</v>
      </c>
      <c r="AX170" s="81" t="s">
        <v>9448</v>
      </c>
      <c r="AY170" s="77"/>
      <c r="AZ170" s="81" t="s">
        <v>11359</v>
      </c>
      <c r="BA170" s="81" t="s">
        <v>11359</v>
      </c>
      <c r="BB170" s="81" t="s">
        <v>11359</v>
      </c>
      <c r="BC170" s="81" t="s">
        <v>9448</v>
      </c>
      <c r="BD170" s="77">
        <v>116532718</v>
      </c>
      <c r="BE170" s="77"/>
      <c r="BF170" s="77"/>
      <c r="BG170" s="77"/>
      <c r="BH170" s="77"/>
      <c r="BI170" s="77"/>
    </row>
    <row r="171" spans="1:61" x14ac:dyDescent="0.25">
      <c r="A171" s="62" t="s">
        <v>310</v>
      </c>
      <c r="B171" s="62" t="s">
        <v>883</v>
      </c>
      <c r="C171" s="63"/>
      <c r="D171" s="64"/>
      <c r="E171" s="65"/>
      <c r="F171" s="66"/>
      <c r="G171" s="63"/>
      <c r="H171" s="67"/>
      <c r="I171" s="68"/>
      <c r="J171" s="68"/>
      <c r="K171" s="32"/>
      <c r="L171" s="75">
        <v>171</v>
      </c>
      <c r="M171" s="75"/>
      <c r="N171" s="70"/>
      <c r="O171" s="77" t="s">
        <v>967</v>
      </c>
      <c r="P171" s="79">
        <v>44980.240023148152</v>
      </c>
      <c r="Q171" s="77" t="s">
        <v>1128</v>
      </c>
      <c r="R171" s="77">
        <v>0</v>
      </c>
      <c r="S171" s="77">
        <v>1</v>
      </c>
      <c r="T171" s="77">
        <v>0</v>
      </c>
      <c r="U171" s="77">
        <v>0</v>
      </c>
      <c r="V171" s="77">
        <v>20</v>
      </c>
      <c r="W171" s="81" t="s">
        <v>3053</v>
      </c>
      <c r="X171" s="83" t="str">
        <f>HYPERLINK("https://www.spreaker.com/user/16982213/inmopodcast-8-ve-ndeles-su-vida-no-quier")</f>
        <v>https://www.spreaker.com/user/16982213/inmopodcast-8-ve-ndeles-su-vida-no-quier</v>
      </c>
      <c r="Y171" s="77" t="s">
        <v>4235</v>
      </c>
      <c r="Z171" s="77" t="s">
        <v>883</v>
      </c>
      <c r="AA171" s="77"/>
      <c r="AB171" s="77"/>
      <c r="AC171" s="81" t="s">
        <v>5817</v>
      </c>
      <c r="AD171" s="77" t="s">
        <v>5850</v>
      </c>
      <c r="AE171" s="83" t="str">
        <f>HYPERLINK("https://twitter.com/manuarias_c/status/1628632152664416257")</f>
        <v>https://twitter.com/manuarias_c/status/1628632152664416257</v>
      </c>
      <c r="AF171" s="79">
        <v>44980.240023148152</v>
      </c>
      <c r="AG171" s="85">
        <v>44980</v>
      </c>
      <c r="AH171" s="81" t="s">
        <v>6015</v>
      </c>
      <c r="AI171" s="77" t="b">
        <v>0</v>
      </c>
      <c r="AJ171" s="77"/>
      <c r="AK171" s="77"/>
      <c r="AL171" s="77"/>
      <c r="AM171" s="77"/>
      <c r="AN171" s="77"/>
      <c r="AO171" s="77"/>
      <c r="AP171" s="77"/>
      <c r="AQ171" s="77"/>
      <c r="AR171" s="77"/>
      <c r="AS171" s="77"/>
      <c r="AT171" s="77"/>
      <c r="AU171" s="77"/>
      <c r="AV171" s="83" t="str">
        <f>HYPERLINK("https://pbs.twimg.com/profile_images/1459857065539686401/3nhbfGvN_normal.jpg")</f>
        <v>https://pbs.twimg.com/profile_images/1459857065539686401/3nhbfGvN_normal.jpg</v>
      </c>
      <c r="AW171" s="81" t="s">
        <v>9449</v>
      </c>
      <c r="AX171" s="81" t="s">
        <v>9449</v>
      </c>
      <c r="AY171" s="77"/>
      <c r="AZ171" s="81" t="s">
        <v>11359</v>
      </c>
      <c r="BA171" s="81" t="s">
        <v>11359</v>
      </c>
      <c r="BB171" s="81" t="s">
        <v>11359</v>
      </c>
      <c r="BC171" s="81" t="s">
        <v>9449</v>
      </c>
      <c r="BD171" s="77">
        <v>116532718</v>
      </c>
      <c r="BE171" s="77"/>
      <c r="BF171" s="77"/>
      <c r="BG171" s="77"/>
      <c r="BH171" s="77"/>
      <c r="BI171" s="77"/>
    </row>
    <row r="172" spans="1:61" x14ac:dyDescent="0.25">
      <c r="A172" s="62" t="s">
        <v>310</v>
      </c>
      <c r="B172" s="62" t="s">
        <v>883</v>
      </c>
      <c r="C172" s="63"/>
      <c r="D172" s="64"/>
      <c r="E172" s="65"/>
      <c r="F172" s="66"/>
      <c r="G172" s="63"/>
      <c r="H172" s="67"/>
      <c r="I172" s="68"/>
      <c r="J172" s="68"/>
      <c r="K172" s="32"/>
      <c r="L172" s="75">
        <v>172</v>
      </c>
      <c r="M172" s="75"/>
      <c r="N172" s="70"/>
      <c r="O172" s="77" t="s">
        <v>967</v>
      </c>
      <c r="P172" s="79">
        <v>45065.222245370373</v>
      </c>
      <c r="Q172" s="77" t="s">
        <v>1129</v>
      </c>
      <c r="R172" s="77">
        <v>0</v>
      </c>
      <c r="S172" s="77">
        <v>0</v>
      </c>
      <c r="T172" s="77">
        <v>0</v>
      </c>
      <c r="U172" s="77">
        <v>0</v>
      </c>
      <c r="V172" s="77">
        <v>37</v>
      </c>
      <c r="W172" s="81" t="s">
        <v>3054</v>
      </c>
      <c r="X172" s="83" t="str">
        <f>HYPERLINK("https://www.spreaker.com/user/16982213/inmopodcast-43-co-mo-hacer-un-contrato-d")</f>
        <v>https://www.spreaker.com/user/16982213/inmopodcast-43-co-mo-hacer-un-contrato-d</v>
      </c>
      <c r="Y172" s="77" t="s">
        <v>4235</v>
      </c>
      <c r="Z172" s="77" t="s">
        <v>883</v>
      </c>
      <c r="AA172" s="77"/>
      <c r="AB172" s="77"/>
      <c r="AC172" s="81" t="s">
        <v>5817</v>
      </c>
      <c r="AD172" s="77" t="s">
        <v>5850</v>
      </c>
      <c r="AE172" s="83" t="str">
        <f>HYPERLINK("https://twitter.com/manuarias_c/status/1659428677837307908")</f>
        <v>https://twitter.com/manuarias_c/status/1659428677837307908</v>
      </c>
      <c r="AF172" s="79">
        <v>45065.222245370373</v>
      </c>
      <c r="AG172" s="85">
        <v>45065</v>
      </c>
      <c r="AH172" s="81" t="s">
        <v>6016</v>
      </c>
      <c r="AI172" s="77" t="b">
        <v>0</v>
      </c>
      <c r="AJ172" s="77"/>
      <c r="AK172" s="77"/>
      <c r="AL172" s="77"/>
      <c r="AM172" s="77"/>
      <c r="AN172" s="77"/>
      <c r="AO172" s="77"/>
      <c r="AP172" s="77"/>
      <c r="AQ172" s="77"/>
      <c r="AR172" s="77"/>
      <c r="AS172" s="77"/>
      <c r="AT172" s="77"/>
      <c r="AU172" s="77"/>
      <c r="AV172" s="83" t="str">
        <f>HYPERLINK("https://pbs.twimg.com/profile_images/1459857065539686401/3nhbfGvN_normal.jpg")</f>
        <v>https://pbs.twimg.com/profile_images/1459857065539686401/3nhbfGvN_normal.jpg</v>
      </c>
      <c r="AW172" s="81" t="s">
        <v>9450</v>
      </c>
      <c r="AX172" s="81" t="s">
        <v>9450</v>
      </c>
      <c r="AY172" s="77"/>
      <c r="AZ172" s="81" t="s">
        <v>11359</v>
      </c>
      <c r="BA172" s="81" t="s">
        <v>11359</v>
      </c>
      <c r="BB172" s="81" t="s">
        <v>11359</v>
      </c>
      <c r="BC172" s="81" t="s">
        <v>9450</v>
      </c>
      <c r="BD172" s="77">
        <v>116532718</v>
      </c>
      <c r="BE172" s="77"/>
      <c r="BF172" s="77"/>
      <c r="BG172" s="77"/>
      <c r="BH172" s="77"/>
      <c r="BI172" s="77"/>
    </row>
    <row r="173" spans="1:61" x14ac:dyDescent="0.25">
      <c r="A173" s="62" t="s">
        <v>310</v>
      </c>
      <c r="B173" s="62" t="s">
        <v>883</v>
      </c>
      <c r="C173" s="63"/>
      <c r="D173" s="64"/>
      <c r="E173" s="65"/>
      <c r="F173" s="66"/>
      <c r="G173" s="63"/>
      <c r="H173" s="67"/>
      <c r="I173" s="68"/>
      <c r="J173" s="68"/>
      <c r="K173" s="32"/>
      <c r="L173" s="75">
        <v>173</v>
      </c>
      <c r="M173" s="75"/>
      <c r="N173" s="70"/>
      <c r="O173" s="77" t="s">
        <v>967</v>
      </c>
      <c r="P173" s="79">
        <v>45093.166909722226</v>
      </c>
      <c r="Q173" s="77" t="s">
        <v>1130</v>
      </c>
      <c r="R173" s="77">
        <v>0</v>
      </c>
      <c r="S173" s="77">
        <v>0</v>
      </c>
      <c r="T173" s="77">
        <v>0</v>
      </c>
      <c r="U173" s="77">
        <v>0</v>
      </c>
      <c r="V173" s="77">
        <v>14</v>
      </c>
      <c r="W173" s="81" t="s">
        <v>3055</v>
      </c>
      <c r="X173" s="83" t="str">
        <f>HYPERLINK("https://www.spreaker.com/user/16982213/inmopodcast-55-co-mo-elegir-bien-a-la-ag")</f>
        <v>https://www.spreaker.com/user/16982213/inmopodcast-55-co-mo-elegir-bien-a-la-ag</v>
      </c>
      <c r="Y173" s="77" t="s">
        <v>4235</v>
      </c>
      <c r="Z173" s="77" t="s">
        <v>883</v>
      </c>
      <c r="AA173" s="77"/>
      <c r="AB173" s="77"/>
      <c r="AC173" s="81" t="s">
        <v>5817</v>
      </c>
      <c r="AD173" s="77" t="s">
        <v>5850</v>
      </c>
      <c r="AE173" s="83" t="str">
        <f>HYPERLINK("https://twitter.com/manuarias_c/status/1669555486146830336")</f>
        <v>https://twitter.com/manuarias_c/status/1669555486146830336</v>
      </c>
      <c r="AF173" s="79">
        <v>45093.166909722226</v>
      </c>
      <c r="AG173" s="85">
        <v>45093</v>
      </c>
      <c r="AH173" s="81" t="s">
        <v>6017</v>
      </c>
      <c r="AI173" s="77" t="b">
        <v>0</v>
      </c>
      <c r="AJ173" s="77"/>
      <c r="AK173" s="77"/>
      <c r="AL173" s="77"/>
      <c r="AM173" s="77"/>
      <c r="AN173" s="77"/>
      <c r="AO173" s="77"/>
      <c r="AP173" s="77"/>
      <c r="AQ173" s="77"/>
      <c r="AR173" s="77"/>
      <c r="AS173" s="77"/>
      <c r="AT173" s="77"/>
      <c r="AU173" s="77"/>
      <c r="AV173" s="83" t="str">
        <f>HYPERLINK("https://pbs.twimg.com/profile_images/1459857065539686401/3nhbfGvN_normal.jpg")</f>
        <v>https://pbs.twimg.com/profile_images/1459857065539686401/3nhbfGvN_normal.jpg</v>
      </c>
      <c r="AW173" s="81" t="s">
        <v>9451</v>
      </c>
      <c r="AX173" s="81" t="s">
        <v>9451</v>
      </c>
      <c r="AY173" s="77"/>
      <c r="AZ173" s="81" t="s">
        <v>11359</v>
      </c>
      <c r="BA173" s="81" t="s">
        <v>11359</v>
      </c>
      <c r="BB173" s="81" t="s">
        <v>11359</v>
      </c>
      <c r="BC173" s="81" t="s">
        <v>9451</v>
      </c>
      <c r="BD173" s="77">
        <v>116532718</v>
      </c>
      <c r="BE173" s="77"/>
      <c r="BF173" s="77"/>
      <c r="BG173" s="77"/>
      <c r="BH173" s="77"/>
      <c r="BI173" s="77"/>
    </row>
    <row r="174" spans="1:61" x14ac:dyDescent="0.25">
      <c r="A174" s="62" t="s">
        <v>310</v>
      </c>
      <c r="B174" s="62" t="s">
        <v>883</v>
      </c>
      <c r="C174" s="63"/>
      <c r="D174" s="64"/>
      <c r="E174" s="65"/>
      <c r="F174" s="66"/>
      <c r="G174" s="63"/>
      <c r="H174" s="67"/>
      <c r="I174" s="68"/>
      <c r="J174" s="68"/>
      <c r="K174" s="32"/>
      <c r="L174" s="75">
        <v>174</v>
      </c>
      <c r="M174" s="75"/>
      <c r="N174" s="70"/>
      <c r="O174" s="77" t="s">
        <v>967</v>
      </c>
      <c r="P174" s="79">
        <v>45033.166747685187</v>
      </c>
      <c r="Q174" s="77" t="s">
        <v>1131</v>
      </c>
      <c r="R174" s="77">
        <v>0</v>
      </c>
      <c r="S174" s="77">
        <v>0</v>
      </c>
      <c r="T174" s="77">
        <v>0</v>
      </c>
      <c r="U174" s="77">
        <v>0</v>
      </c>
      <c r="V174" s="77">
        <v>19</v>
      </c>
      <c r="W174" s="81" t="s">
        <v>3056</v>
      </c>
      <c r="X174" s="83" t="str">
        <f>HYPERLINK("https://www.spreaker.com/user/16982213/inmopodcast-30-que-es-una-mls")</f>
        <v>https://www.spreaker.com/user/16982213/inmopodcast-30-que-es-una-mls</v>
      </c>
      <c r="Y174" s="77" t="s">
        <v>4235</v>
      </c>
      <c r="Z174" s="77" t="s">
        <v>883</v>
      </c>
      <c r="AA174" s="77"/>
      <c r="AB174" s="77"/>
      <c r="AC174" s="81" t="s">
        <v>5817</v>
      </c>
      <c r="AD174" s="77" t="s">
        <v>5850</v>
      </c>
      <c r="AE174" s="83" t="str">
        <f>HYPERLINK("https://twitter.com/manuarias_c/status/1647812154093887488")</f>
        <v>https://twitter.com/manuarias_c/status/1647812154093887488</v>
      </c>
      <c r="AF174" s="79">
        <v>45033.166747685187</v>
      </c>
      <c r="AG174" s="85">
        <v>45033</v>
      </c>
      <c r="AH174" s="81" t="s">
        <v>6018</v>
      </c>
      <c r="AI174" s="77" t="b">
        <v>0</v>
      </c>
      <c r="AJ174" s="77"/>
      <c r="AK174" s="77"/>
      <c r="AL174" s="77"/>
      <c r="AM174" s="77"/>
      <c r="AN174" s="77"/>
      <c r="AO174" s="77"/>
      <c r="AP174" s="77"/>
      <c r="AQ174" s="77"/>
      <c r="AR174" s="77"/>
      <c r="AS174" s="77"/>
      <c r="AT174" s="77"/>
      <c r="AU174" s="77"/>
      <c r="AV174" s="83" t="str">
        <f>HYPERLINK("https://pbs.twimg.com/profile_images/1459857065539686401/3nhbfGvN_normal.jpg")</f>
        <v>https://pbs.twimg.com/profile_images/1459857065539686401/3nhbfGvN_normal.jpg</v>
      </c>
      <c r="AW174" s="81" t="s">
        <v>9452</v>
      </c>
      <c r="AX174" s="81" t="s">
        <v>9452</v>
      </c>
      <c r="AY174" s="77"/>
      <c r="AZ174" s="81" t="s">
        <v>11359</v>
      </c>
      <c r="BA174" s="81" t="s">
        <v>11359</v>
      </c>
      <c r="BB174" s="81" t="s">
        <v>11359</v>
      </c>
      <c r="BC174" s="81" t="s">
        <v>9452</v>
      </c>
      <c r="BD174" s="77">
        <v>116532718</v>
      </c>
      <c r="BE174" s="77"/>
      <c r="BF174" s="77"/>
      <c r="BG174" s="77"/>
      <c r="BH174" s="77"/>
      <c r="BI174" s="77"/>
    </row>
    <row r="175" spans="1:61" x14ac:dyDescent="0.25">
      <c r="A175" s="62" t="s">
        <v>311</v>
      </c>
      <c r="B175" s="62" t="s">
        <v>311</v>
      </c>
      <c r="C175" s="63"/>
      <c r="D175" s="64"/>
      <c r="E175" s="65"/>
      <c r="F175" s="66"/>
      <c r="G175" s="63"/>
      <c r="H175" s="67"/>
      <c r="I175" s="68"/>
      <c r="J175" s="68"/>
      <c r="K175" s="32"/>
      <c r="L175" s="75">
        <v>175</v>
      </c>
      <c r="M175" s="75"/>
      <c r="N175" s="70"/>
      <c r="O175" s="77" t="s">
        <v>179</v>
      </c>
      <c r="P175" s="79">
        <v>45089.004999999997</v>
      </c>
      <c r="Q175" s="77" t="s">
        <v>1132</v>
      </c>
      <c r="R175" s="77">
        <v>0</v>
      </c>
      <c r="S175" s="77">
        <v>0</v>
      </c>
      <c r="T175" s="77">
        <v>0</v>
      </c>
      <c r="U175" s="77">
        <v>0</v>
      </c>
      <c r="V175" s="77">
        <v>4</v>
      </c>
      <c r="W175" s="81" t="s">
        <v>2947</v>
      </c>
      <c r="X175" s="83" t="str">
        <f>HYPERLINK("https://lnkd.in/dW6S7jBj")</f>
        <v>https://lnkd.in/dW6S7jBj</v>
      </c>
      <c r="Y175" s="77" t="s">
        <v>4221</v>
      </c>
      <c r="Z175" s="77"/>
      <c r="AA175" s="77"/>
      <c r="AB175" s="77"/>
      <c r="AC175" s="81" t="s">
        <v>5810</v>
      </c>
      <c r="AD175" s="77" t="s">
        <v>5856</v>
      </c>
      <c r="AE175" s="83" t="str">
        <f>HYPERLINK("https://twitter.com/danielnobregao/status/1668047259987001344")</f>
        <v>https://twitter.com/danielnobregao/status/1668047259987001344</v>
      </c>
      <c r="AF175" s="79">
        <v>45089.004999999997</v>
      </c>
      <c r="AG175" s="85">
        <v>45089</v>
      </c>
      <c r="AH175" s="81" t="s">
        <v>6019</v>
      </c>
      <c r="AI175" s="77" t="b">
        <v>0</v>
      </c>
      <c r="AJ175" s="77"/>
      <c r="AK175" s="77"/>
      <c r="AL175" s="77"/>
      <c r="AM175" s="77"/>
      <c r="AN175" s="77"/>
      <c r="AO175" s="77"/>
      <c r="AP175" s="77"/>
      <c r="AQ175" s="77"/>
      <c r="AR175" s="77"/>
      <c r="AS175" s="77"/>
      <c r="AT175" s="77"/>
      <c r="AU175" s="77"/>
      <c r="AV175" s="83" t="str">
        <f>HYPERLINK("https://pbs.twimg.com/profile_images/1325286871321161735/A1B-g_rq_normal.jpg")</f>
        <v>https://pbs.twimg.com/profile_images/1325286871321161735/A1B-g_rq_normal.jpg</v>
      </c>
      <c r="AW175" s="81" t="s">
        <v>9453</v>
      </c>
      <c r="AX175" s="81" t="s">
        <v>9453</v>
      </c>
      <c r="AY175" s="77"/>
      <c r="AZ175" s="81" t="s">
        <v>11359</v>
      </c>
      <c r="BA175" s="81" t="s">
        <v>11359</v>
      </c>
      <c r="BB175" s="81" t="s">
        <v>11359</v>
      </c>
      <c r="BC175" s="81" t="s">
        <v>9453</v>
      </c>
      <c r="BD175" s="77">
        <v>1373645792</v>
      </c>
      <c r="BE175" s="77"/>
      <c r="BF175" s="77"/>
      <c r="BG175" s="77"/>
      <c r="BH175" s="77"/>
      <c r="BI175" s="77"/>
    </row>
    <row r="176" spans="1:61" x14ac:dyDescent="0.25">
      <c r="A176" s="62" t="s">
        <v>312</v>
      </c>
      <c r="B176" s="62" t="s">
        <v>312</v>
      </c>
      <c r="C176" s="63"/>
      <c r="D176" s="64"/>
      <c r="E176" s="65"/>
      <c r="F176" s="66"/>
      <c r="G176" s="63"/>
      <c r="H176" s="67"/>
      <c r="I176" s="68"/>
      <c r="J176" s="68"/>
      <c r="K176" s="32"/>
      <c r="L176" s="75">
        <v>176</v>
      </c>
      <c r="M176" s="75"/>
      <c r="N176" s="70"/>
      <c r="O176" s="77" t="s">
        <v>179</v>
      </c>
      <c r="P176" s="79">
        <v>45092.778587962966</v>
      </c>
      <c r="Q176" s="77" t="s">
        <v>1133</v>
      </c>
      <c r="R176" s="77">
        <v>494</v>
      </c>
      <c r="S176" s="77">
        <v>388</v>
      </c>
      <c r="T176" s="77">
        <v>64</v>
      </c>
      <c r="U176" s="77">
        <v>24</v>
      </c>
      <c r="V176" s="77">
        <v>68540</v>
      </c>
      <c r="W176" s="81" t="s">
        <v>3057</v>
      </c>
      <c r="X176" s="83" t="str">
        <f>HYPERLINK("https://bit.ly/3CPjikJ")</f>
        <v>https://bit.ly/3CPjikJ</v>
      </c>
      <c r="Y176" s="77" t="s">
        <v>4213</v>
      </c>
      <c r="Z176" s="77"/>
      <c r="AA176" s="77" t="s">
        <v>4489</v>
      </c>
      <c r="AB176" s="77" t="s">
        <v>5795</v>
      </c>
      <c r="AC176" s="81" t="s">
        <v>5818</v>
      </c>
      <c r="AD176" s="77" t="s">
        <v>5850</v>
      </c>
      <c r="AE176" s="83" t="str">
        <f>HYPERLINK("https://twitter.com/lajornadaonline/status/1669414764106137601")</f>
        <v>https://twitter.com/lajornadaonline/status/1669414764106137601</v>
      </c>
      <c r="AF176" s="79">
        <v>45092.778587962966</v>
      </c>
      <c r="AG176" s="85">
        <v>45092</v>
      </c>
      <c r="AH176" s="81" t="s">
        <v>6020</v>
      </c>
      <c r="AI176" s="77" t="b">
        <v>0</v>
      </c>
      <c r="AJ176" s="77"/>
      <c r="AK176" s="77"/>
      <c r="AL176" s="77"/>
      <c r="AM176" s="77"/>
      <c r="AN176" s="77"/>
      <c r="AO176" s="77"/>
      <c r="AP176" s="77"/>
      <c r="AQ176" s="77" t="s">
        <v>7992</v>
      </c>
      <c r="AR176" s="77">
        <v>49015</v>
      </c>
      <c r="AS176" s="77"/>
      <c r="AT176" s="77"/>
      <c r="AU176" s="77"/>
      <c r="AV176" s="83" t="str">
        <f>HYPERLINK("https://pbs.twimg.com/amplify_video_thumb/1669413869951807488/img/t_QuNjTV0OW2_TDT.jpg")</f>
        <v>https://pbs.twimg.com/amplify_video_thumb/1669413869951807488/img/t_QuNjTV0OW2_TDT.jpg</v>
      </c>
      <c r="AW176" s="81" t="s">
        <v>9454</v>
      </c>
      <c r="AX176" s="81" t="s">
        <v>9454</v>
      </c>
      <c r="AY176" s="77"/>
      <c r="AZ176" s="81" t="s">
        <v>11359</v>
      </c>
      <c r="BA176" s="81" t="s">
        <v>11359</v>
      </c>
      <c r="BB176" s="81" t="s">
        <v>11359</v>
      </c>
      <c r="BC176" s="81" t="s">
        <v>9454</v>
      </c>
      <c r="BD176" s="77">
        <v>35977487</v>
      </c>
      <c r="BE176" s="77"/>
      <c r="BF176" s="77"/>
      <c r="BG176" s="77"/>
      <c r="BH176" s="77"/>
      <c r="BI176" s="77"/>
    </row>
    <row r="177" spans="1:61" x14ac:dyDescent="0.25">
      <c r="A177" s="62" t="s">
        <v>312</v>
      </c>
      <c r="B177" s="62" t="s">
        <v>312</v>
      </c>
      <c r="C177" s="63"/>
      <c r="D177" s="64"/>
      <c r="E177" s="65"/>
      <c r="F177" s="66"/>
      <c r="G177" s="63"/>
      <c r="H177" s="67"/>
      <c r="I177" s="68"/>
      <c r="J177" s="68"/>
      <c r="K177" s="32"/>
      <c r="L177" s="75">
        <v>177</v>
      </c>
      <c r="M177" s="75"/>
      <c r="N177" s="70"/>
      <c r="O177" s="77" t="s">
        <v>179</v>
      </c>
      <c r="P177" s="79">
        <v>45131.852835648147</v>
      </c>
      <c r="Q177" s="77" t="s">
        <v>1134</v>
      </c>
      <c r="R177" s="77">
        <v>5</v>
      </c>
      <c r="S177" s="77">
        <v>55</v>
      </c>
      <c r="T177" s="77">
        <v>0</v>
      </c>
      <c r="U177" s="77">
        <v>0</v>
      </c>
      <c r="V177" s="77">
        <v>5230</v>
      </c>
      <c r="W177" s="81" t="s">
        <v>3058</v>
      </c>
      <c r="X177" s="77"/>
      <c r="Y177" s="77"/>
      <c r="Z177" s="77"/>
      <c r="AA177" s="77" t="s">
        <v>4490</v>
      </c>
      <c r="AB177" s="77" t="s">
        <v>5794</v>
      </c>
      <c r="AC177" s="81" t="s">
        <v>5815</v>
      </c>
      <c r="AD177" s="77" t="s">
        <v>5850</v>
      </c>
      <c r="AE177" s="83" t="str">
        <f>HYPERLINK("https://twitter.com/lajornadaonline/status/1683574796213268480")</f>
        <v>https://twitter.com/lajornadaonline/status/1683574796213268480</v>
      </c>
      <c r="AF177" s="79">
        <v>45131.852835648147</v>
      </c>
      <c r="AG177" s="85">
        <v>45131</v>
      </c>
      <c r="AH177" s="81" t="s">
        <v>6021</v>
      </c>
      <c r="AI177" s="77" t="b">
        <v>0</v>
      </c>
      <c r="AJ177" s="77"/>
      <c r="AK177" s="77"/>
      <c r="AL177" s="77"/>
      <c r="AM177" s="77"/>
      <c r="AN177" s="77"/>
      <c r="AO177" s="77"/>
      <c r="AP177" s="77"/>
      <c r="AQ177" s="77" t="s">
        <v>7993</v>
      </c>
      <c r="AR177" s="77"/>
      <c r="AS177" s="77"/>
      <c r="AT177" s="77"/>
      <c r="AU177" s="77"/>
      <c r="AV177" s="83" t="str">
        <f>HYPERLINK("https://pbs.twimg.com/media/F11CEnEWAAEq4HU.jpg")</f>
        <v>https://pbs.twimg.com/media/F11CEnEWAAEq4HU.jpg</v>
      </c>
      <c r="AW177" s="81" t="s">
        <v>9455</v>
      </c>
      <c r="AX177" s="81" t="s">
        <v>9455</v>
      </c>
      <c r="AY177" s="77"/>
      <c r="AZ177" s="81" t="s">
        <v>11359</v>
      </c>
      <c r="BA177" s="81" t="s">
        <v>11359</v>
      </c>
      <c r="BB177" s="81" t="s">
        <v>11359</v>
      </c>
      <c r="BC177" s="81" t="s">
        <v>9455</v>
      </c>
      <c r="BD177" s="77">
        <v>35977487</v>
      </c>
      <c r="BE177" s="77"/>
      <c r="BF177" s="77"/>
      <c r="BG177" s="77"/>
      <c r="BH177" s="77"/>
      <c r="BI177" s="77"/>
    </row>
    <row r="178" spans="1:61" x14ac:dyDescent="0.25">
      <c r="A178" s="62" t="s">
        <v>313</v>
      </c>
      <c r="B178" s="62" t="s">
        <v>313</v>
      </c>
      <c r="C178" s="63"/>
      <c r="D178" s="64"/>
      <c r="E178" s="65"/>
      <c r="F178" s="66"/>
      <c r="G178" s="63"/>
      <c r="H178" s="67"/>
      <c r="I178" s="68"/>
      <c r="J178" s="68"/>
      <c r="K178" s="32"/>
      <c r="L178" s="75">
        <v>178</v>
      </c>
      <c r="M178" s="75"/>
      <c r="N178" s="70"/>
      <c r="O178" s="77" t="s">
        <v>179</v>
      </c>
      <c r="P178" s="79">
        <v>44939.516574074078</v>
      </c>
      <c r="Q178" s="77" t="s">
        <v>1135</v>
      </c>
      <c r="R178" s="77">
        <v>0</v>
      </c>
      <c r="S178" s="77">
        <v>2</v>
      </c>
      <c r="T178" s="77">
        <v>0</v>
      </c>
      <c r="U178" s="77">
        <v>0</v>
      </c>
      <c r="V178" s="77">
        <v>196</v>
      </c>
      <c r="W178" s="81" t="s">
        <v>3059</v>
      </c>
      <c r="X178" s="77"/>
      <c r="Y178" s="77"/>
      <c r="Z178" s="77"/>
      <c r="AA178" s="77" t="s">
        <v>4491</v>
      </c>
      <c r="AB178" s="77" t="s">
        <v>5795</v>
      </c>
      <c r="AC178" s="81" t="s">
        <v>5805</v>
      </c>
      <c r="AD178" s="77" t="s">
        <v>5851</v>
      </c>
      <c r="AE178" s="83" t="str">
        <f>HYPERLINK("https://twitter.com/palmaparafusos/status/1613874470728384512")</f>
        <v>https://twitter.com/palmaparafusos/status/1613874470728384512</v>
      </c>
      <c r="AF178" s="79">
        <v>44939.516574074078</v>
      </c>
      <c r="AG178" s="85">
        <v>44939</v>
      </c>
      <c r="AH178" s="81" t="s">
        <v>6022</v>
      </c>
      <c r="AI178" s="77" t="b">
        <v>0</v>
      </c>
      <c r="AJ178" s="77" t="s">
        <v>7730</v>
      </c>
      <c r="AK178" s="77" t="s">
        <v>7763</v>
      </c>
      <c r="AL178" s="77" t="s">
        <v>7772</v>
      </c>
      <c r="AM178" s="77" t="s">
        <v>7784</v>
      </c>
      <c r="AN178" s="77" t="s">
        <v>7820</v>
      </c>
      <c r="AO178" s="77" t="s">
        <v>7856</v>
      </c>
      <c r="AP178" s="77" t="s">
        <v>7889</v>
      </c>
      <c r="AQ178" s="77" t="s">
        <v>7994</v>
      </c>
      <c r="AR178" s="77">
        <v>33900</v>
      </c>
      <c r="AS178" s="77"/>
      <c r="AT178" s="77"/>
      <c r="AU178" s="77"/>
      <c r="AV178" s="83" t="str">
        <f>HYPERLINK("https://pbs.twimg.com/ext_tw_video_thumb/1613874230138912769/pu/img/WrEQKTdOyh5rfNos.jpg")</f>
        <v>https://pbs.twimg.com/ext_tw_video_thumb/1613874230138912769/pu/img/WrEQKTdOyh5rfNos.jpg</v>
      </c>
      <c r="AW178" s="81" t="s">
        <v>9456</v>
      </c>
      <c r="AX178" s="81" t="s">
        <v>9456</v>
      </c>
      <c r="AY178" s="77"/>
      <c r="AZ178" s="81" t="s">
        <v>11359</v>
      </c>
      <c r="BA178" s="81" t="s">
        <v>11359</v>
      </c>
      <c r="BB178" s="81" t="s">
        <v>11359</v>
      </c>
      <c r="BC178" s="81" t="s">
        <v>9456</v>
      </c>
      <c r="BD178" s="81" t="s">
        <v>11446</v>
      </c>
      <c r="BE178" s="77"/>
      <c r="BF178" s="77"/>
      <c r="BG178" s="77"/>
      <c r="BH178" s="77"/>
      <c r="BI178" s="77"/>
    </row>
    <row r="179" spans="1:61" x14ac:dyDescent="0.25">
      <c r="A179" s="62" t="s">
        <v>314</v>
      </c>
      <c r="B179" s="62" t="s">
        <v>884</v>
      </c>
      <c r="C179" s="63"/>
      <c r="D179" s="64"/>
      <c r="E179" s="65"/>
      <c r="F179" s="66"/>
      <c r="G179" s="63"/>
      <c r="H179" s="67"/>
      <c r="I179" s="68"/>
      <c r="J179" s="68"/>
      <c r="K179" s="32"/>
      <c r="L179" s="75">
        <v>179</v>
      </c>
      <c r="M179" s="75"/>
      <c r="N179" s="70"/>
      <c r="O179" s="77" t="s">
        <v>970</v>
      </c>
      <c r="P179" s="79">
        <v>44953.126261574071</v>
      </c>
      <c r="Q179" s="77" t="s">
        <v>1136</v>
      </c>
      <c r="R179" s="77">
        <v>0</v>
      </c>
      <c r="S179" s="77">
        <v>0</v>
      </c>
      <c r="T179" s="77">
        <v>0</v>
      </c>
      <c r="U179" s="77">
        <v>0</v>
      </c>
      <c r="V179" s="77">
        <v>22</v>
      </c>
      <c r="W179" s="81" t="s">
        <v>2947</v>
      </c>
      <c r="X179" s="77"/>
      <c r="Y179" s="77"/>
      <c r="Z179" s="77" t="s">
        <v>4365</v>
      </c>
      <c r="AA179" s="77"/>
      <c r="AB179" s="77"/>
      <c r="AC179" s="81" t="s">
        <v>5801</v>
      </c>
      <c r="AD179" s="77" t="s">
        <v>5850</v>
      </c>
      <c r="AE179" s="83" t="str">
        <f>HYPERLINK("https://twitter.com/noemi_12mmo/status/1618806453665689602")</f>
        <v>https://twitter.com/noemi_12mmo/status/1618806453665689602</v>
      </c>
      <c r="AF179" s="79">
        <v>44953.126261574071</v>
      </c>
      <c r="AG179" s="85">
        <v>44953</v>
      </c>
      <c r="AH179" s="81" t="s">
        <v>5992</v>
      </c>
      <c r="AI179" s="77"/>
      <c r="AJ179" s="77"/>
      <c r="AK179" s="77"/>
      <c r="AL179" s="77"/>
      <c r="AM179" s="77"/>
      <c r="AN179" s="77"/>
      <c r="AO179" s="77"/>
      <c r="AP179" s="77"/>
      <c r="AQ179" s="77"/>
      <c r="AR179" s="77"/>
      <c r="AS179" s="77"/>
      <c r="AT179" s="77"/>
      <c r="AU179" s="77"/>
      <c r="AV179" s="83" t="str">
        <f>HYPERLINK("https://pbs.twimg.com/profile_images/597622972145397760/oL-1sIWM_normal.jpg")</f>
        <v>https://pbs.twimg.com/profile_images/597622972145397760/oL-1sIWM_normal.jpg</v>
      </c>
      <c r="AW179" s="81" t="s">
        <v>9457</v>
      </c>
      <c r="AX179" s="81" t="s">
        <v>11253</v>
      </c>
      <c r="AY179" s="81" t="s">
        <v>11324</v>
      </c>
      <c r="AZ179" s="81" t="s">
        <v>11253</v>
      </c>
      <c r="BA179" s="81" t="s">
        <v>11359</v>
      </c>
      <c r="BB179" s="81" t="s">
        <v>11359</v>
      </c>
      <c r="BC179" s="81" t="s">
        <v>11253</v>
      </c>
      <c r="BD179" s="77">
        <v>2920803034</v>
      </c>
      <c r="BE179" s="77"/>
      <c r="BF179" s="77"/>
      <c r="BG179" s="77"/>
      <c r="BH179" s="77"/>
      <c r="BI179" s="77"/>
    </row>
    <row r="180" spans="1:61" x14ac:dyDescent="0.25">
      <c r="A180" s="62" t="s">
        <v>314</v>
      </c>
      <c r="B180" s="62" t="s">
        <v>885</v>
      </c>
      <c r="C180" s="63"/>
      <c r="D180" s="64"/>
      <c r="E180" s="65"/>
      <c r="F180" s="66"/>
      <c r="G180" s="63"/>
      <c r="H180" s="67"/>
      <c r="I180" s="68"/>
      <c r="J180" s="68"/>
      <c r="K180" s="32"/>
      <c r="L180" s="75">
        <v>180</v>
      </c>
      <c r="M180" s="75"/>
      <c r="N180" s="70"/>
      <c r="O180" s="77" t="s">
        <v>969</v>
      </c>
      <c r="P180" s="79">
        <v>44953.126261574071</v>
      </c>
      <c r="Q180" s="77" t="s">
        <v>1136</v>
      </c>
      <c r="R180" s="77">
        <v>0</v>
      </c>
      <c r="S180" s="77">
        <v>0</v>
      </c>
      <c r="T180" s="77">
        <v>0</v>
      </c>
      <c r="U180" s="77">
        <v>0</v>
      </c>
      <c r="V180" s="77">
        <v>22</v>
      </c>
      <c r="W180" s="81" t="s">
        <v>2947</v>
      </c>
      <c r="X180" s="77"/>
      <c r="Y180" s="77"/>
      <c r="Z180" s="77" t="s">
        <v>4365</v>
      </c>
      <c r="AA180" s="77"/>
      <c r="AB180" s="77"/>
      <c r="AC180" s="81" t="s">
        <v>5801</v>
      </c>
      <c r="AD180" s="77" t="s">
        <v>5850</v>
      </c>
      <c r="AE180" s="83" t="str">
        <f>HYPERLINK("https://twitter.com/noemi_12mmo/status/1618806453665689602")</f>
        <v>https://twitter.com/noemi_12mmo/status/1618806453665689602</v>
      </c>
      <c r="AF180" s="79">
        <v>44953.126261574071</v>
      </c>
      <c r="AG180" s="85">
        <v>44953</v>
      </c>
      <c r="AH180" s="81" t="s">
        <v>5992</v>
      </c>
      <c r="AI180" s="77"/>
      <c r="AJ180" s="77"/>
      <c r="AK180" s="77"/>
      <c r="AL180" s="77"/>
      <c r="AM180" s="77"/>
      <c r="AN180" s="77"/>
      <c r="AO180" s="77"/>
      <c r="AP180" s="77"/>
      <c r="AQ180" s="77"/>
      <c r="AR180" s="77"/>
      <c r="AS180" s="77"/>
      <c r="AT180" s="77"/>
      <c r="AU180" s="77"/>
      <c r="AV180" s="83" t="str">
        <f>HYPERLINK("https://pbs.twimg.com/profile_images/597622972145397760/oL-1sIWM_normal.jpg")</f>
        <v>https://pbs.twimg.com/profile_images/597622972145397760/oL-1sIWM_normal.jpg</v>
      </c>
      <c r="AW180" s="81" t="s">
        <v>9457</v>
      </c>
      <c r="AX180" s="81" t="s">
        <v>11253</v>
      </c>
      <c r="AY180" s="81" t="s">
        <v>11324</v>
      </c>
      <c r="AZ180" s="81" t="s">
        <v>11253</v>
      </c>
      <c r="BA180" s="81" t="s">
        <v>11359</v>
      </c>
      <c r="BB180" s="81" t="s">
        <v>11359</v>
      </c>
      <c r="BC180" s="81" t="s">
        <v>11253</v>
      </c>
      <c r="BD180" s="77">
        <v>2920803034</v>
      </c>
      <c r="BE180" s="77"/>
      <c r="BF180" s="77"/>
      <c r="BG180" s="77"/>
      <c r="BH180" s="77"/>
      <c r="BI180" s="77"/>
    </row>
    <row r="181" spans="1:61" x14ac:dyDescent="0.25">
      <c r="A181" s="62" t="s">
        <v>315</v>
      </c>
      <c r="B181" s="62" t="s">
        <v>886</v>
      </c>
      <c r="C181" s="63"/>
      <c r="D181" s="64"/>
      <c r="E181" s="65"/>
      <c r="F181" s="66"/>
      <c r="G181" s="63"/>
      <c r="H181" s="67"/>
      <c r="I181" s="68"/>
      <c r="J181" s="68"/>
      <c r="K181" s="32"/>
      <c r="L181" s="75">
        <v>181</v>
      </c>
      <c r="M181" s="75"/>
      <c r="N181" s="70"/>
      <c r="O181" s="77" t="s">
        <v>967</v>
      </c>
      <c r="P181" s="79">
        <v>44934.592916666668</v>
      </c>
      <c r="Q181" s="77" t="s">
        <v>1137</v>
      </c>
      <c r="R181" s="77">
        <v>0</v>
      </c>
      <c r="S181" s="77">
        <v>0</v>
      </c>
      <c r="T181" s="77">
        <v>0</v>
      </c>
      <c r="U181" s="77">
        <v>0</v>
      </c>
      <c r="V181" s="77">
        <v>31</v>
      </c>
      <c r="W181" s="81" t="s">
        <v>3060</v>
      </c>
      <c r="X181" s="83" t="str">
        <f>HYPERLINK("https://www.instagram.com/p/CnKDmtMO14g/?igshid=YTgzYjQ4ZTY=")</f>
        <v>https://www.instagram.com/p/CnKDmtMO14g/?igshid=YTgzYjQ4ZTY=</v>
      </c>
      <c r="Y181" s="77" t="s">
        <v>4215</v>
      </c>
      <c r="Z181" s="77" t="s">
        <v>886</v>
      </c>
      <c r="AA181" s="77"/>
      <c r="AB181" s="77"/>
      <c r="AC181" s="81" t="s">
        <v>5804</v>
      </c>
      <c r="AD181" s="77" t="s">
        <v>5850</v>
      </c>
      <c r="AE181" s="83" t="str">
        <f>HYPERLINK("https://twitter.com/empleadorserial/status/1612090194596880386")</f>
        <v>https://twitter.com/empleadorserial/status/1612090194596880386</v>
      </c>
      <c r="AF181" s="79">
        <v>44934.592916666668</v>
      </c>
      <c r="AG181" s="85">
        <v>44934</v>
      </c>
      <c r="AH181" s="81" t="s">
        <v>6023</v>
      </c>
      <c r="AI181" s="77" t="b">
        <v>0</v>
      </c>
      <c r="AJ181" s="77" t="s">
        <v>7731</v>
      </c>
      <c r="AK181" s="77" t="s">
        <v>7765</v>
      </c>
      <c r="AL181" s="77" t="s">
        <v>7774</v>
      </c>
      <c r="AM181" s="77" t="s">
        <v>7785</v>
      </c>
      <c r="AN181" s="77" t="s">
        <v>7821</v>
      </c>
      <c r="AO181" s="77" t="s">
        <v>7857</v>
      </c>
      <c r="AP181" s="77" t="s">
        <v>7889</v>
      </c>
      <c r="AQ181" s="77"/>
      <c r="AR181" s="77"/>
      <c r="AS181" s="77"/>
      <c r="AT181" s="77"/>
      <c r="AU181" s="77"/>
      <c r="AV181" s="83" t="str">
        <f>HYPERLINK("https://pbs.twimg.com/profile_images/1538630509873479682/WQRMLefD_normal.jpg")</f>
        <v>https://pbs.twimg.com/profile_images/1538630509873479682/WQRMLefD_normal.jpg</v>
      </c>
      <c r="AW181" s="81" t="s">
        <v>9458</v>
      </c>
      <c r="AX181" s="81" t="s">
        <v>9458</v>
      </c>
      <c r="AY181" s="77"/>
      <c r="AZ181" s="81" t="s">
        <v>11359</v>
      </c>
      <c r="BA181" s="81" t="s">
        <v>11359</v>
      </c>
      <c r="BB181" s="81" t="s">
        <v>11359</v>
      </c>
      <c r="BC181" s="81" t="s">
        <v>9458</v>
      </c>
      <c r="BD181" s="77">
        <v>310300954</v>
      </c>
      <c r="BE181" s="77"/>
      <c r="BF181" s="77"/>
      <c r="BG181" s="77"/>
      <c r="BH181" s="77"/>
      <c r="BI181" s="77"/>
    </row>
    <row r="182" spans="1:61" x14ac:dyDescent="0.25">
      <c r="A182" s="62" t="s">
        <v>315</v>
      </c>
      <c r="B182" s="62" t="s">
        <v>315</v>
      </c>
      <c r="C182" s="63"/>
      <c r="D182" s="64"/>
      <c r="E182" s="65"/>
      <c r="F182" s="66"/>
      <c r="G182" s="63"/>
      <c r="H182" s="67"/>
      <c r="I182" s="68"/>
      <c r="J182" s="68"/>
      <c r="K182" s="32"/>
      <c r="L182" s="75">
        <v>182</v>
      </c>
      <c r="M182" s="75"/>
      <c r="N182" s="70"/>
      <c r="O182" s="77" t="s">
        <v>179</v>
      </c>
      <c r="P182" s="79">
        <v>44934.629050925927</v>
      </c>
      <c r="Q182" s="77" t="s">
        <v>1138</v>
      </c>
      <c r="R182" s="77">
        <v>0</v>
      </c>
      <c r="S182" s="77">
        <v>0</v>
      </c>
      <c r="T182" s="77">
        <v>0</v>
      </c>
      <c r="U182" s="77">
        <v>0</v>
      </c>
      <c r="V182" s="77">
        <v>30</v>
      </c>
      <c r="W182" s="81" t="s">
        <v>3060</v>
      </c>
      <c r="X182" s="83" t="str">
        <f>HYPERLINK("https://www.instagram.com/p/CnKJjyrORuG/?igshid=YTgzYjQ4ZTY=")</f>
        <v>https://www.instagram.com/p/CnKJjyrORuG/?igshid=YTgzYjQ4ZTY=</v>
      </c>
      <c r="Y182" s="77" t="s">
        <v>4215</v>
      </c>
      <c r="Z182" s="77"/>
      <c r="AA182" s="77"/>
      <c r="AB182" s="77"/>
      <c r="AC182" s="81" t="s">
        <v>5804</v>
      </c>
      <c r="AD182" s="77" t="s">
        <v>5850</v>
      </c>
      <c r="AE182" s="83" t="str">
        <f>HYPERLINK("https://twitter.com/empleadorserial/status/1612103288476041218")</f>
        <v>https://twitter.com/empleadorserial/status/1612103288476041218</v>
      </c>
      <c r="AF182" s="79">
        <v>44934.629050925927</v>
      </c>
      <c r="AG182" s="85">
        <v>44934</v>
      </c>
      <c r="AH182" s="81" t="s">
        <v>6024</v>
      </c>
      <c r="AI182" s="77" t="b">
        <v>0</v>
      </c>
      <c r="AJ182" s="77"/>
      <c r="AK182" s="77"/>
      <c r="AL182" s="77"/>
      <c r="AM182" s="77"/>
      <c r="AN182" s="77"/>
      <c r="AO182" s="77"/>
      <c r="AP182" s="77"/>
      <c r="AQ182" s="77"/>
      <c r="AR182" s="77"/>
      <c r="AS182" s="77"/>
      <c r="AT182" s="77"/>
      <c r="AU182" s="77"/>
      <c r="AV182" s="83" t="str">
        <f>HYPERLINK("https://pbs.twimg.com/profile_images/1538630509873479682/WQRMLefD_normal.jpg")</f>
        <v>https://pbs.twimg.com/profile_images/1538630509873479682/WQRMLefD_normal.jpg</v>
      </c>
      <c r="AW182" s="81" t="s">
        <v>9459</v>
      </c>
      <c r="AX182" s="81" t="s">
        <v>9459</v>
      </c>
      <c r="AY182" s="77"/>
      <c r="AZ182" s="81" t="s">
        <v>11359</v>
      </c>
      <c r="BA182" s="81" t="s">
        <v>11359</v>
      </c>
      <c r="BB182" s="81" t="s">
        <v>11359</v>
      </c>
      <c r="BC182" s="81" t="s">
        <v>9459</v>
      </c>
      <c r="BD182" s="77">
        <v>310300954</v>
      </c>
      <c r="BE182" s="77"/>
      <c r="BF182" s="77"/>
      <c r="BG182" s="77"/>
      <c r="BH182" s="77"/>
      <c r="BI182" s="77"/>
    </row>
    <row r="183" spans="1:61" x14ac:dyDescent="0.25">
      <c r="A183" s="62" t="s">
        <v>315</v>
      </c>
      <c r="B183" s="62" t="s">
        <v>315</v>
      </c>
      <c r="C183" s="63"/>
      <c r="D183" s="64"/>
      <c r="E183" s="65"/>
      <c r="F183" s="66"/>
      <c r="G183" s="63"/>
      <c r="H183" s="67"/>
      <c r="I183" s="68"/>
      <c r="J183" s="68"/>
      <c r="K183" s="32"/>
      <c r="L183" s="75">
        <v>183</v>
      </c>
      <c r="M183" s="75"/>
      <c r="N183" s="70"/>
      <c r="O183" s="77" t="s">
        <v>179</v>
      </c>
      <c r="P183" s="79">
        <v>44934.625983796293</v>
      </c>
      <c r="Q183" s="77" t="s">
        <v>1139</v>
      </c>
      <c r="R183" s="77">
        <v>0</v>
      </c>
      <c r="S183" s="77">
        <v>0</v>
      </c>
      <c r="T183" s="77">
        <v>0</v>
      </c>
      <c r="U183" s="77">
        <v>0</v>
      </c>
      <c r="V183" s="77">
        <v>49</v>
      </c>
      <c r="W183" s="81" t="s">
        <v>3060</v>
      </c>
      <c r="X183" s="83" t="str">
        <f>HYPERLINK("https://www.instagram.com/p/CnKJDWSu2VK/?igshid=YTgzYjQ4ZTY=")</f>
        <v>https://www.instagram.com/p/CnKJDWSu2VK/?igshid=YTgzYjQ4ZTY=</v>
      </c>
      <c r="Y183" s="77" t="s">
        <v>4215</v>
      </c>
      <c r="Z183" s="77"/>
      <c r="AA183" s="77"/>
      <c r="AB183" s="77"/>
      <c r="AC183" s="81" t="s">
        <v>5804</v>
      </c>
      <c r="AD183" s="77" t="s">
        <v>5850</v>
      </c>
      <c r="AE183" s="83" t="str">
        <f>HYPERLINK("https://twitter.com/empleadorserial/status/1612102179266994183")</f>
        <v>https://twitter.com/empleadorserial/status/1612102179266994183</v>
      </c>
      <c r="AF183" s="79">
        <v>44934.625983796293</v>
      </c>
      <c r="AG183" s="85">
        <v>44934</v>
      </c>
      <c r="AH183" s="81" t="s">
        <v>6025</v>
      </c>
      <c r="AI183" s="77" t="b">
        <v>0</v>
      </c>
      <c r="AJ183" s="77" t="s">
        <v>7731</v>
      </c>
      <c r="AK183" s="77" t="s">
        <v>7765</v>
      </c>
      <c r="AL183" s="77" t="s">
        <v>7774</v>
      </c>
      <c r="AM183" s="77" t="s">
        <v>7785</v>
      </c>
      <c r="AN183" s="77" t="s">
        <v>7821</v>
      </c>
      <c r="AO183" s="77" t="s">
        <v>7857</v>
      </c>
      <c r="AP183" s="77" t="s">
        <v>7889</v>
      </c>
      <c r="AQ183" s="77"/>
      <c r="AR183" s="77"/>
      <c r="AS183" s="77"/>
      <c r="AT183" s="77"/>
      <c r="AU183" s="77"/>
      <c r="AV183" s="83" t="str">
        <f>HYPERLINK("https://pbs.twimg.com/profile_images/1538630509873479682/WQRMLefD_normal.jpg")</f>
        <v>https://pbs.twimg.com/profile_images/1538630509873479682/WQRMLefD_normal.jpg</v>
      </c>
      <c r="AW183" s="81" t="s">
        <v>9460</v>
      </c>
      <c r="AX183" s="81" t="s">
        <v>9460</v>
      </c>
      <c r="AY183" s="77"/>
      <c r="AZ183" s="81" t="s">
        <v>11359</v>
      </c>
      <c r="BA183" s="81" t="s">
        <v>11359</v>
      </c>
      <c r="BB183" s="81" t="s">
        <v>11359</v>
      </c>
      <c r="BC183" s="81" t="s">
        <v>9460</v>
      </c>
      <c r="BD183" s="77">
        <v>310300954</v>
      </c>
      <c r="BE183" s="77"/>
      <c r="BF183" s="77"/>
      <c r="BG183" s="77"/>
      <c r="BH183" s="77"/>
      <c r="BI183" s="77"/>
    </row>
    <row r="184" spans="1:61" x14ac:dyDescent="0.25">
      <c r="A184" s="62" t="s">
        <v>315</v>
      </c>
      <c r="B184" s="62" t="s">
        <v>315</v>
      </c>
      <c r="C184" s="63"/>
      <c r="D184" s="64"/>
      <c r="E184" s="65"/>
      <c r="F184" s="66"/>
      <c r="G184" s="63"/>
      <c r="H184" s="67"/>
      <c r="I184" s="68"/>
      <c r="J184" s="68"/>
      <c r="K184" s="32"/>
      <c r="L184" s="75">
        <v>184</v>
      </c>
      <c r="M184" s="75"/>
      <c r="N184" s="70"/>
      <c r="O184" s="77" t="s">
        <v>179</v>
      </c>
      <c r="P184" s="79">
        <v>44934.622986111113</v>
      </c>
      <c r="Q184" s="77" t="s">
        <v>1140</v>
      </c>
      <c r="R184" s="77">
        <v>0</v>
      </c>
      <c r="S184" s="77">
        <v>0</v>
      </c>
      <c r="T184" s="77">
        <v>0</v>
      </c>
      <c r="U184" s="77">
        <v>0</v>
      </c>
      <c r="V184" s="77">
        <v>44</v>
      </c>
      <c r="W184" s="81" t="s">
        <v>3061</v>
      </c>
      <c r="X184" s="83" t="str">
        <f>HYPERLINK("https://www.instagram.com/p/CnKIjoruLTJ/?igshid=YTgzYjQ4ZTY=")</f>
        <v>https://www.instagram.com/p/CnKIjoruLTJ/?igshid=YTgzYjQ4ZTY=</v>
      </c>
      <c r="Y184" s="77" t="s">
        <v>4215</v>
      </c>
      <c r="Z184" s="77"/>
      <c r="AA184" s="77"/>
      <c r="AB184" s="77"/>
      <c r="AC184" s="81" t="s">
        <v>5804</v>
      </c>
      <c r="AD184" s="77" t="s">
        <v>5850</v>
      </c>
      <c r="AE184" s="83" t="str">
        <f>HYPERLINK("https://twitter.com/empleadorserial/status/1612101094234099712")</f>
        <v>https://twitter.com/empleadorserial/status/1612101094234099712</v>
      </c>
      <c r="AF184" s="79">
        <v>44934.622986111113</v>
      </c>
      <c r="AG184" s="85">
        <v>44934</v>
      </c>
      <c r="AH184" s="81" t="s">
        <v>6026</v>
      </c>
      <c r="AI184" s="77" t="b">
        <v>0</v>
      </c>
      <c r="AJ184" s="77"/>
      <c r="AK184" s="77"/>
      <c r="AL184" s="77"/>
      <c r="AM184" s="77"/>
      <c r="AN184" s="77"/>
      <c r="AO184" s="77"/>
      <c r="AP184" s="77"/>
      <c r="AQ184" s="77"/>
      <c r="AR184" s="77"/>
      <c r="AS184" s="77"/>
      <c r="AT184" s="77"/>
      <c r="AU184" s="77"/>
      <c r="AV184" s="83" t="str">
        <f>HYPERLINK("https://pbs.twimg.com/profile_images/1538630509873479682/WQRMLefD_normal.jpg")</f>
        <v>https://pbs.twimg.com/profile_images/1538630509873479682/WQRMLefD_normal.jpg</v>
      </c>
      <c r="AW184" s="81" t="s">
        <v>9461</v>
      </c>
      <c r="AX184" s="81" t="s">
        <v>9461</v>
      </c>
      <c r="AY184" s="77"/>
      <c r="AZ184" s="81" t="s">
        <v>11359</v>
      </c>
      <c r="BA184" s="81" t="s">
        <v>11359</v>
      </c>
      <c r="BB184" s="81" t="s">
        <v>11359</v>
      </c>
      <c r="BC184" s="81" t="s">
        <v>9461</v>
      </c>
      <c r="BD184" s="77">
        <v>310300954</v>
      </c>
      <c r="BE184" s="77"/>
      <c r="BF184" s="77"/>
      <c r="BG184" s="77"/>
      <c r="BH184" s="77"/>
      <c r="BI184" s="77"/>
    </row>
    <row r="185" spans="1:61" x14ac:dyDescent="0.25">
      <c r="A185" s="62" t="s">
        <v>315</v>
      </c>
      <c r="B185" s="62" t="s">
        <v>315</v>
      </c>
      <c r="C185" s="63"/>
      <c r="D185" s="64"/>
      <c r="E185" s="65"/>
      <c r="F185" s="66"/>
      <c r="G185" s="63"/>
      <c r="H185" s="67"/>
      <c r="I185" s="68"/>
      <c r="J185" s="68"/>
      <c r="K185" s="32"/>
      <c r="L185" s="75">
        <v>185</v>
      </c>
      <c r="M185" s="75"/>
      <c r="N185" s="70"/>
      <c r="O185" s="77" t="s">
        <v>179</v>
      </c>
      <c r="P185" s="79">
        <v>44934.622025462966</v>
      </c>
      <c r="Q185" s="77" t="s">
        <v>1141</v>
      </c>
      <c r="R185" s="77">
        <v>0</v>
      </c>
      <c r="S185" s="77">
        <v>0</v>
      </c>
      <c r="T185" s="77">
        <v>0</v>
      </c>
      <c r="U185" s="77">
        <v>0</v>
      </c>
      <c r="V185" s="77">
        <v>19</v>
      </c>
      <c r="W185" s="81" t="s">
        <v>3062</v>
      </c>
      <c r="X185" s="83" t="str">
        <f>HYPERLINK("https://www.instagram.com/p/CnKIZvcORlo/?igshid=YTgzYjQ4ZTY=")</f>
        <v>https://www.instagram.com/p/CnKIZvcORlo/?igshid=YTgzYjQ4ZTY=</v>
      </c>
      <c r="Y185" s="77" t="s">
        <v>4215</v>
      </c>
      <c r="Z185" s="77"/>
      <c r="AA185" s="77"/>
      <c r="AB185" s="77"/>
      <c r="AC185" s="81" t="s">
        <v>5804</v>
      </c>
      <c r="AD185" s="77" t="s">
        <v>5850</v>
      </c>
      <c r="AE185" s="83" t="str">
        <f>HYPERLINK("https://twitter.com/empleadorserial/status/1612100743602765824")</f>
        <v>https://twitter.com/empleadorserial/status/1612100743602765824</v>
      </c>
      <c r="AF185" s="79">
        <v>44934.622025462966</v>
      </c>
      <c r="AG185" s="85">
        <v>44934</v>
      </c>
      <c r="AH185" s="81" t="s">
        <v>6027</v>
      </c>
      <c r="AI185" s="77" t="b">
        <v>0</v>
      </c>
      <c r="AJ185" s="77"/>
      <c r="AK185" s="77"/>
      <c r="AL185" s="77"/>
      <c r="AM185" s="77"/>
      <c r="AN185" s="77"/>
      <c r="AO185" s="77"/>
      <c r="AP185" s="77"/>
      <c r="AQ185" s="77"/>
      <c r="AR185" s="77"/>
      <c r="AS185" s="77"/>
      <c r="AT185" s="77"/>
      <c r="AU185" s="77"/>
      <c r="AV185" s="83" t="str">
        <f>HYPERLINK("https://pbs.twimg.com/profile_images/1538630509873479682/WQRMLefD_normal.jpg")</f>
        <v>https://pbs.twimg.com/profile_images/1538630509873479682/WQRMLefD_normal.jpg</v>
      </c>
      <c r="AW185" s="81" t="s">
        <v>9462</v>
      </c>
      <c r="AX185" s="81" t="s">
        <v>9462</v>
      </c>
      <c r="AY185" s="77"/>
      <c r="AZ185" s="81" t="s">
        <v>11359</v>
      </c>
      <c r="BA185" s="81" t="s">
        <v>11359</v>
      </c>
      <c r="BB185" s="81" t="s">
        <v>11359</v>
      </c>
      <c r="BC185" s="81" t="s">
        <v>9462</v>
      </c>
      <c r="BD185" s="77">
        <v>310300954</v>
      </c>
      <c r="BE185" s="77"/>
      <c r="BF185" s="77"/>
      <c r="BG185" s="77"/>
      <c r="BH185" s="77"/>
      <c r="BI185" s="77"/>
    </row>
    <row r="186" spans="1:61" x14ac:dyDescent="0.25">
      <c r="A186" s="62" t="s">
        <v>315</v>
      </c>
      <c r="B186" s="62" t="s">
        <v>315</v>
      </c>
      <c r="C186" s="63"/>
      <c r="D186" s="64"/>
      <c r="E186" s="65"/>
      <c r="F186" s="66"/>
      <c r="G186" s="63"/>
      <c r="H186" s="67"/>
      <c r="I186" s="68"/>
      <c r="J186" s="68"/>
      <c r="K186" s="32"/>
      <c r="L186" s="75">
        <v>186</v>
      </c>
      <c r="M186" s="75"/>
      <c r="N186" s="70"/>
      <c r="O186" s="77" t="s">
        <v>179</v>
      </c>
      <c r="P186" s="79">
        <v>44934.611574074072</v>
      </c>
      <c r="Q186" s="77" t="s">
        <v>1142</v>
      </c>
      <c r="R186" s="77">
        <v>0</v>
      </c>
      <c r="S186" s="77">
        <v>0</v>
      </c>
      <c r="T186" s="77">
        <v>0</v>
      </c>
      <c r="U186" s="77">
        <v>0</v>
      </c>
      <c r="V186" s="77">
        <v>44</v>
      </c>
      <c r="W186" s="81" t="s">
        <v>3060</v>
      </c>
      <c r="X186" s="83" t="str">
        <f>HYPERLINK("https://www.instagram.com/p/CnKGrgQuD7c/?igshid=YTgzYjQ4ZTY=")</f>
        <v>https://www.instagram.com/p/CnKGrgQuD7c/?igshid=YTgzYjQ4ZTY=</v>
      </c>
      <c r="Y186" s="77" t="s">
        <v>4215</v>
      </c>
      <c r="Z186" s="77"/>
      <c r="AA186" s="77"/>
      <c r="AB186" s="77"/>
      <c r="AC186" s="81" t="s">
        <v>5804</v>
      </c>
      <c r="AD186" s="77" t="s">
        <v>5850</v>
      </c>
      <c r="AE186" s="83" t="str">
        <f>HYPERLINK("https://twitter.com/empleadorserial/status/1612096957010288640")</f>
        <v>https://twitter.com/empleadorserial/status/1612096957010288640</v>
      </c>
      <c r="AF186" s="79">
        <v>44934.611574074072</v>
      </c>
      <c r="AG186" s="85">
        <v>44934</v>
      </c>
      <c r="AH186" s="81" t="s">
        <v>6028</v>
      </c>
      <c r="AI186" s="77" t="b">
        <v>0</v>
      </c>
      <c r="AJ186" s="77" t="s">
        <v>7732</v>
      </c>
      <c r="AK186" s="77" t="s">
        <v>7765</v>
      </c>
      <c r="AL186" s="77" t="s">
        <v>7774</v>
      </c>
      <c r="AM186" s="77" t="s">
        <v>7786</v>
      </c>
      <c r="AN186" s="77" t="s">
        <v>7822</v>
      </c>
      <c r="AO186" s="77" t="s">
        <v>7858</v>
      </c>
      <c r="AP186" s="77" t="s">
        <v>7889</v>
      </c>
      <c r="AQ186" s="77"/>
      <c r="AR186" s="77"/>
      <c r="AS186" s="77"/>
      <c r="AT186" s="77"/>
      <c r="AU186" s="77"/>
      <c r="AV186" s="83" t="str">
        <f>HYPERLINK("https://pbs.twimg.com/profile_images/1538630509873479682/WQRMLefD_normal.jpg")</f>
        <v>https://pbs.twimg.com/profile_images/1538630509873479682/WQRMLefD_normal.jpg</v>
      </c>
      <c r="AW186" s="81" t="s">
        <v>9463</v>
      </c>
      <c r="AX186" s="81" t="s">
        <v>9463</v>
      </c>
      <c r="AY186" s="77"/>
      <c r="AZ186" s="81" t="s">
        <v>11359</v>
      </c>
      <c r="BA186" s="81" t="s">
        <v>11359</v>
      </c>
      <c r="BB186" s="81" t="s">
        <v>11359</v>
      </c>
      <c r="BC186" s="81" t="s">
        <v>9463</v>
      </c>
      <c r="BD186" s="77">
        <v>310300954</v>
      </c>
      <c r="BE186" s="77"/>
      <c r="BF186" s="77"/>
      <c r="BG186" s="77"/>
      <c r="BH186" s="77"/>
      <c r="BI186" s="77"/>
    </row>
    <row r="187" spans="1:61" x14ac:dyDescent="0.25">
      <c r="A187" s="62" t="s">
        <v>315</v>
      </c>
      <c r="B187" s="62" t="s">
        <v>315</v>
      </c>
      <c r="C187" s="63"/>
      <c r="D187" s="64"/>
      <c r="E187" s="65"/>
      <c r="F187" s="66"/>
      <c r="G187" s="63"/>
      <c r="H187" s="67"/>
      <c r="I187" s="68"/>
      <c r="J187" s="68"/>
      <c r="K187" s="32"/>
      <c r="L187" s="75">
        <v>187</v>
      </c>
      <c r="M187" s="75"/>
      <c r="N187" s="70"/>
      <c r="O187" s="77" t="s">
        <v>179</v>
      </c>
      <c r="P187" s="79">
        <v>44934.601550925923</v>
      </c>
      <c r="Q187" s="77" t="s">
        <v>1143</v>
      </c>
      <c r="R187" s="77">
        <v>0</v>
      </c>
      <c r="S187" s="77">
        <v>0</v>
      </c>
      <c r="T187" s="77">
        <v>0</v>
      </c>
      <c r="U187" s="77">
        <v>0</v>
      </c>
      <c r="V187" s="77">
        <v>13</v>
      </c>
      <c r="W187" s="81" t="s">
        <v>3060</v>
      </c>
      <c r="X187" s="83" t="str">
        <f>HYPERLINK("https://www.instagram.com/p/CnKFBkcutZ6/?igshid=YTgzYjQ4ZTY=")</f>
        <v>https://www.instagram.com/p/CnKFBkcutZ6/?igshid=YTgzYjQ4ZTY=</v>
      </c>
      <c r="Y187" s="77" t="s">
        <v>4215</v>
      </c>
      <c r="Z187" s="77"/>
      <c r="AA187" s="77"/>
      <c r="AB187" s="77"/>
      <c r="AC187" s="81" t="s">
        <v>5804</v>
      </c>
      <c r="AD187" s="77" t="s">
        <v>5850</v>
      </c>
      <c r="AE187" s="83" t="str">
        <f>HYPERLINK("https://twitter.com/empleadorserial/status/1612093322696302593")</f>
        <v>https://twitter.com/empleadorserial/status/1612093322696302593</v>
      </c>
      <c r="AF187" s="79">
        <v>44934.601550925923</v>
      </c>
      <c r="AG187" s="85">
        <v>44934</v>
      </c>
      <c r="AH187" s="81" t="s">
        <v>6029</v>
      </c>
      <c r="AI187" s="77" t="b">
        <v>0</v>
      </c>
      <c r="AJ187" s="77"/>
      <c r="AK187" s="77"/>
      <c r="AL187" s="77"/>
      <c r="AM187" s="77"/>
      <c r="AN187" s="77"/>
      <c r="AO187" s="77"/>
      <c r="AP187" s="77"/>
      <c r="AQ187" s="77"/>
      <c r="AR187" s="77"/>
      <c r="AS187" s="77"/>
      <c r="AT187" s="77"/>
      <c r="AU187" s="77"/>
      <c r="AV187" s="83" t="str">
        <f>HYPERLINK("https://pbs.twimg.com/profile_images/1538630509873479682/WQRMLefD_normal.jpg")</f>
        <v>https://pbs.twimg.com/profile_images/1538630509873479682/WQRMLefD_normal.jpg</v>
      </c>
      <c r="AW187" s="81" t="s">
        <v>9464</v>
      </c>
      <c r="AX187" s="81" t="s">
        <v>9464</v>
      </c>
      <c r="AY187" s="77"/>
      <c r="AZ187" s="81" t="s">
        <v>11359</v>
      </c>
      <c r="BA187" s="81" t="s">
        <v>11359</v>
      </c>
      <c r="BB187" s="81" t="s">
        <v>11359</v>
      </c>
      <c r="BC187" s="81" t="s">
        <v>9464</v>
      </c>
      <c r="BD187" s="77">
        <v>310300954</v>
      </c>
      <c r="BE187" s="77"/>
      <c r="BF187" s="77"/>
      <c r="BG187" s="77"/>
      <c r="BH187" s="77"/>
      <c r="BI187" s="77"/>
    </row>
    <row r="188" spans="1:61" x14ac:dyDescent="0.25">
      <c r="A188" s="62" t="s">
        <v>315</v>
      </c>
      <c r="B188" s="62" t="s">
        <v>315</v>
      </c>
      <c r="C188" s="63"/>
      <c r="D188" s="64"/>
      <c r="E188" s="65"/>
      <c r="F188" s="66"/>
      <c r="G188" s="63"/>
      <c r="H188" s="67"/>
      <c r="I188" s="68"/>
      <c r="J188" s="68"/>
      <c r="K188" s="32"/>
      <c r="L188" s="75">
        <v>188</v>
      </c>
      <c r="M188" s="75"/>
      <c r="N188" s="70"/>
      <c r="O188" s="77" t="s">
        <v>179</v>
      </c>
      <c r="P188" s="79">
        <v>44934.600682870368</v>
      </c>
      <c r="Q188" s="77" t="s">
        <v>1144</v>
      </c>
      <c r="R188" s="77">
        <v>0</v>
      </c>
      <c r="S188" s="77">
        <v>0</v>
      </c>
      <c r="T188" s="77">
        <v>0</v>
      </c>
      <c r="U188" s="77">
        <v>0</v>
      </c>
      <c r="V188" s="77">
        <v>10</v>
      </c>
      <c r="W188" s="81" t="s">
        <v>3060</v>
      </c>
      <c r="X188" s="83" t="str">
        <f>HYPERLINK("https://www.instagram.com/p/CnKE4tuuDpP/?igshid=YTgzYjQ4ZTY=")</f>
        <v>https://www.instagram.com/p/CnKE4tuuDpP/?igshid=YTgzYjQ4ZTY=</v>
      </c>
      <c r="Y188" s="77" t="s">
        <v>4215</v>
      </c>
      <c r="Z188" s="77"/>
      <c r="AA188" s="77"/>
      <c r="AB188" s="77"/>
      <c r="AC188" s="81" t="s">
        <v>5804</v>
      </c>
      <c r="AD188" s="77" t="s">
        <v>5850</v>
      </c>
      <c r="AE188" s="83" t="str">
        <f>HYPERLINK("https://twitter.com/empleadorserial/status/1612093012040876033")</f>
        <v>https://twitter.com/empleadorserial/status/1612093012040876033</v>
      </c>
      <c r="AF188" s="79">
        <v>44934.600682870368</v>
      </c>
      <c r="AG188" s="85">
        <v>44934</v>
      </c>
      <c r="AH188" s="81" t="s">
        <v>6030</v>
      </c>
      <c r="AI188" s="77" t="b">
        <v>0</v>
      </c>
      <c r="AJ188" s="77"/>
      <c r="AK188" s="77"/>
      <c r="AL188" s="77"/>
      <c r="AM188" s="77"/>
      <c r="AN188" s="77"/>
      <c r="AO188" s="77"/>
      <c r="AP188" s="77"/>
      <c r="AQ188" s="77"/>
      <c r="AR188" s="77"/>
      <c r="AS188" s="77"/>
      <c r="AT188" s="77"/>
      <c r="AU188" s="77"/>
      <c r="AV188" s="83" t="str">
        <f>HYPERLINK("https://pbs.twimg.com/profile_images/1538630509873479682/WQRMLefD_normal.jpg")</f>
        <v>https://pbs.twimg.com/profile_images/1538630509873479682/WQRMLefD_normal.jpg</v>
      </c>
      <c r="AW188" s="81" t="s">
        <v>9465</v>
      </c>
      <c r="AX188" s="81" t="s">
        <v>9465</v>
      </c>
      <c r="AY188" s="77"/>
      <c r="AZ188" s="81" t="s">
        <v>11359</v>
      </c>
      <c r="BA188" s="81" t="s">
        <v>11359</v>
      </c>
      <c r="BB188" s="81" t="s">
        <v>11359</v>
      </c>
      <c r="BC188" s="81" t="s">
        <v>9465</v>
      </c>
      <c r="BD188" s="77">
        <v>310300954</v>
      </c>
      <c r="BE188" s="77"/>
      <c r="BF188" s="77"/>
      <c r="BG188" s="77"/>
      <c r="BH188" s="77"/>
      <c r="BI188" s="77"/>
    </row>
    <row r="189" spans="1:61" x14ac:dyDescent="0.25">
      <c r="A189" s="62" t="s">
        <v>315</v>
      </c>
      <c r="B189" s="62" t="s">
        <v>315</v>
      </c>
      <c r="C189" s="63"/>
      <c r="D189" s="64"/>
      <c r="E189" s="65"/>
      <c r="F189" s="66"/>
      <c r="G189" s="63"/>
      <c r="H189" s="67"/>
      <c r="I189" s="68"/>
      <c r="J189" s="68"/>
      <c r="K189" s="32"/>
      <c r="L189" s="75">
        <v>189</v>
      </c>
      <c r="M189" s="75"/>
      <c r="N189" s="70"/>
      <c r="O189" s="77" t="s">
        <v>179</v>
      </c>
      <c r="P189" s="79">
        <v>44934.596701388888</v>
      </c>
      <c r="Q189" s="77" t="s">
        <v>1145</v>
      </c>
      <c r="R189" s="77">
        <v>0</v>
      </c>
      <c r="S189" s="77">
        <v>0</v>
      </c>
      <c r="T189" s="77">
        <v>0</v>
      </c>
      <c r="U189" s="77">
        <v>0</v>
      </c>
      <c r="V189" s="77">
        <v>36</v>
      </c>
      <c r="W189" s="81" t="s">
        <v>3060</v>
      </c>
      <c r="X189" s="83" t="str">
        <f>HYPERLINK("https://www.instagram.com/p/CnKEOg5u75-/?igshid=YTgzYjQ4ZTY=")</f>
        <v>https://www.instagram.com/p/CnKEOg5u75-/?igshid=YTgzYjQ4ZTY=</v>
      </c>
      <c r="Y189" s="77" t="s">
        <v>4215</v>
      </c>
      <c r="Z189" s="77"/>
      <c r="AA189" s="77"/>
      <c r="AB189" s="77"/>
      <c r="AC189" s="81" t="s">
        <v>5804</v>
      </c>
      <c r="AD189" s="77" t="s">
        <v>5850</v>
      </c>
      <c r="AE189" s="83" t="str">
        <f>HYPERLINK("https://twitter.com/empleadorserial/status/1612091565781958661")</f>
        <v>https://twitter.com/empleadorserial/status/1612091565781958661</v>
      </c>
      <c r="AF189" s="79">
        <v>44934.596701388888</v>
      </c>
      <c r="AG189" s="85">
        <v>44934</v>
      </c>
      <c r="AH189" s="81" t="s">
        <v>6031</v>
      </c>
      <c r="AI189" s="77" t="b">
        <v>0</v>
      </c>
      <c r="AJ189" s="77" t="s">
        <v>7731</v>
      </c>
      <c r="AK189" s="77" t="s">
        <v>7765</v>
      </c>
      <c r="AL189" s="77" t="s">
        <v>7774</v>
      </c>
      <c r="AM189" s="77" t="s">
        <v>7785</v>
      </c>
      <c r="AN189" s="77" t="s">
        <v>7821</v>
      </c>
      <c r="AO189" s="77" t="s">
        <v>7857</v>
      </c>
      <c r="AP189" s="77" t="s">
        <v>7889</v>
      </c>
      <c r="AQ189" s="77"/>
      <c r="AR189" s="77"/>
      <c r="AS189" s="77"/>
      <c r="AT189" s="77"/>
      <c r="AU189" s="77"/>
      <c r="AV189" s="83" t="str">
        <f>HYPERLINK("https://pbs.twimg.com/profile_images/1538630509873479682/WQRMLefD_normal.jpg")</f>
        <v>https://pbs.twimg.com/profile_images/1538630509873479682/WQRMLefD_normal.jpg</v>
      </c>
      <c r="AW189" s="81" t="s">
        <v>9466</v>
      </c>
      <c r="AX189" s="81" t="s">
        <v>9466</v>
      </c>
      <c r="AY189" s="77"/>
      <c r="AZ189" s="81" t="s">
        <v>11359</v>
      </c>
      <c r="BA189" s="81" t="s">
        <v>11359</v>
      </c>
      <c r="BB189" s="81" t="s">
        <v>11359</v>
      </c>
      <c r="BC189" s="81" t="s">
        <v>9466</v>
      </c>
      <c r="BD189" s="77">
        <v>310300954</v>
      </c>
      <c r="BE189" s="77"/>
      <c r="BF189" s="77"/>
      <c r="BG189" s="77"/>
      <c r="BH189" s="77"/>
      <c r="BI189" s="77"/>
    </row>
    <row r="190" spans="1:61" x14ac:dyDescent="0.25">
      <c r="A190" s="62" t="s">
        <v>315</v>
      </c>
      <c r="B190" s="62" t="s">
        <v>315</v>
      </c>
      <c r="C190" s="63"/>
      <c r="D190" s="64"/>
      <c r="E190" s="65"/>
      <c r="F190" s="66"/>
      <c r="G190" s="63"/>
      <c r="H190" s="67"/>
      <c r="I190" s="68"/>
      <c r="J190" s="68"/>
      <c r="K190" s="32"/>
      <c r="L190" s="75">
        <v>190</v>
      </c>
      <c r="M190" s="75"/>
      <c r="N190" s="70"/>
      <c r="O190" s="77" t="s">
        <v>179</v>
      </c>
      <c r="P190" s="79">
        <v>44934.588634259257</v>
      </c>
      <c r="Q190" s="77" t="s">
        <v>1146</v>
      </c>
      <c r="R190" s="77">
        <v>0</v>
      </c>
      <c r="S190" s="77">
        <v>0</v>
      </c>
      <c r="T190" s="77">
        <v>0</v>
      </c>
      <c r="U190" s="77">
        <v>0</v>
      </c>
      <c r="V190" s="77">
        <v>27</v>
      </c>
      <c r="W190" s="81" t="s">
        <v>3063</v>
      </c>
      <c r="X190" s="83" t="str">
        <f>HYPERLINK("https://www.instagram.com/p/CnKC5IgOA_U/?igshid=YTgzYjQ4ZTY=")</f>
        <v>https://www.instagram.com/p/CnKC5IgOA_U/?igshid=YTgzYjQ4ZTY=</v>
      </c>
      <c r="Y190" s="77" t="s">
        <v>4215</v>
      </c>
      <c r="Z190" s="77"/>
      <c r="AA190" s="77"/>
      <c r="AB190" s="77"/>
      <c r="AC190" s="81" t="s">
        <v>5804</v>
      </c>
      <c r="AD190" s="77" t="s">
        <v>5850</v>
      </c>
      <c r="AE190" s="83" t="str">
        <f>HYPERLINK("https://twitter.com/empleadorserial/status/1612088641756479488")</f>
        <v>https://twitter.com/empleadorserial/status/1612088641756479488</v>
      </c>
      <c r="AF190" s="79">
        <v>44934.588634259257</v>
      </c>
      <c r="AG190" s="85">
        <v>44934</v>
      </c>
      <c r="AH190" s="81" t="s">
        <v>6032</v>
      </c>
      <c r="AI190" s="77" t="b">
        <v>0</v>
      </c>
      <c r="AJ190" s="77" t="s">
        <v>7731</v>
      </c>
      <c r="AK190" s="77" t="s">
        <v>7765</v>
      </c>
      <c r="AL190" s="77" t="s">
        <v>7774</v>
      </c>
      <c r="AM190" s="77" t="s">
        <v>7785</v>
      </c>
      <c r="AN190" s="77" t="s">
        <v>7821</v>
      </c>
      <c r="AO190" s="77" t="s">
        <v>7857</v>
      </c>
      <c r="AP190" s="77" t="s">
        <v>7889</v>
      </c>
      <c r="AQ190" s="77"/>
      <c r="AR190" s="77"/>
      <c r="AS190" s="77"/>
      <c r="AT190" s="77"/>
      <c r="AU190" s="77"/>
      <c r="AV190" s="83" t="str">
        <f>HYPERLINK("https://pbs.twimg.com/profile_images/1538630509873479682/WQRMLefD_normal.jpg")</f>
        <v>https://pbs.twimg.com/profile_images/1538630509873479682/WQRMLefD_normal.jpg</v>
      </c>
      <c r="AW190" s="81" t="s">
        <v>9467</v>
      </c>
      <c r="AX190" s="81" t="s">
        <v>9467</v>
      </c>
      <c r="AY190" s="77"/>
      <c r="AZ190" s="81" t="s">
        <v>11359</v>
      </c>
      <c r="BA190" s="81" t="s">
        <v>11359</v>
      </c>
      <c r="BB190" s="81" t="s">
        <v>11359</v>
      </c>
      <c r="BC190" s="81" t="s">
        <v>9467</v>
      </c>
      <c r="BD190" s="77">
        <v>310300954</v>
      </c>
      <c r="BE190" s="77"/>
      <c r="BF190" s="77"/>
      <c r="BG190" s="77"/>
      <c r="BH190" s="77"/>
      <c r="BI190" s="77"/>
    </row>
    <row r="191" spans="1:61" x14ac:dyDescent="0.25">
      <c r="A191" s="62" t="s">
        <v>315</v>
      </c>
      <c r="B191" s="62" t="s">
        <v>315</v>
      </c>
      <c r="C191" s="63"/>
      <c r="D191" s="64"/>
      <c r="E191" s="65"/>
      <c r="F191" s="66"/>
      <c r="G191" s="63"/>
      <c r="H191" s="67"/>
      <c r="I191" s="68"/>
      <c r="J191" s="68"/>
      <c r="K191" s="32"/>
      <c r="L191" s="75">
        <v>191</v>
      </c>
      <c r="M191" s="75"/>
      <c r="N191" s="70"/>
      <c r="O191" s="77" t="s">
        <v>179</v>
      </c>
      <c r="P191" s="79">
        <v>44934.583807870367</v>
      </c>
      <c r="Q191" s="77" t="s">
        <v>1147</v>
      </c>
      <c r="R191" s="77">
        <v>0</v>
      </c>
      <c r="S191" s="77">
        <v>0</v>
      </c>
      <c r="T191" s="77">
        <v>0</v>
      </c>
      <c r="U191" s="77">
        <v>0</v>
      </c>
      <c r="V191" s="77">
        <v>11</v>
      </c>
      <c r="W191" s="81" t="s">
        <v>3060</v>
      </c>
      <c r="X191" s="83" t="str">
        <f>HYPERLINK("https://www.instagram.com/p/CnKCGn3Of2b/?igshid=YTgzYjQ4ZTY=")</f>
        <v>https://www.instagram.com/p/CnKCGn3Of2b/?igshid=YTgzYjQ4ZTY=</v>
      </c>
      <c r="Y191" s="77" t="s">
        <v>4215</v>
      </c>
      <c r="Z191" s="77"/>
      <c r="AA191" s="77"/>
      <c r="AB191" s="77"/>
      <c r="AC191" s="81" t="s">
        <v>5804</v>
      </c>
      <c r="AD191" s="77" t="s">
        <v>5850</v>
      </c>
      <c r="AE191" s="83" t="str">
        <f>HYPERLINK("https://twitter.com/empleadorserial/status/1612086892786290690")</f>
        <v>https://twitter.com/empleadorserial/status/1612086892786290690</v>
      </c>
      <c r="AF191" s="79">
        <v>44934.583807870367</v>
      </c>
      <c r="AG191" s="85">
        <v>44934</v>
      </c>
      <c r="AH191" s="81" t="s">
        <v>6033</v>
      </c>
      <c r="AI191" s="77" t="b">
        <v>0</v>
      </c>
      <c r="AJ191" s="77"/>
      <c r="AK191" s="77"/>
      <c r="AL191" s="77"/>
      <c r="AM191" s="77"/>
      <c r="AN191" s="77"/>
      <c r="AO191" s="77"/>
      <c r="AP191" s="77"/>
      <c r="AQ191" s="77"/>
      <c r="AR191" s="77"/>
      <c r="AS191" s="77"/>
      <c r="AT191" s="77"/>
      <c r="AU191" s="77"/>
      <c r="AV191" s="83" t="str">
        <f>HYPERLINK("https://pbs.twimg.com/profile_images/1538630509873479682/WQRMLefD_normal.jpg")</f>
        <v>https://pbs.twimg.com/profile_images/1538630509873479682/WQRMLefD_normal.jpg</v>
      </c>
      <c r="AW191" s="81" t="s">
        <v>9468</v>
      </c>
      <c r="AX191" s="81" t="s">
        <v>9468</v>
      </c>
      <c r="AY191" s="77"/>
      <c r="AZ191" s="81" t="s">
        <v>11359</v>
      </c>
      <c r="BA191" s="81" t="s">
        <v>11359</v>
      </c>
      <c r="BB191" s="81" t="s">
        <v>11359</v>
      </c>
      <c r="BC191" s="81" t="s">
        <v>9468</v>
      </c>
      <c r="BD191" s="77">
        <v>310300954</v>
      </c>
      <c r="BE191" s="77"/>
      <c r="BF191" s="77"/>
      <c r="BG191" s="77"/>
      <c r="BH191" s="77"/>
      <c r="BI191" s="77"/>
    </row>
    <row r="192" spans="1:61" x14ac:dyDescent="0.25">
      <c r="A192" s="62" t="s">
        <v>315</v>
      </c>
      <c r="B192" s="62" t="s">
        <v>315</v>
      </c>
      <c r="C192" s="63"/>
      <c r="D192" s="64"/>
      <c r="E192" s="65"/>
      <c r="F192" s="66"/>
      <c r="G192" s="63"/>
      <c r="H192" s="67"/>
      <c r="I192" s="68"/>
      <c r="J192" s="68"/>
      <c r="K192" s="32"/>
      <c r="L192" s="75">
        <v>192</v>
      </c>
      <c r="M192" s="75"/>
      <c r="N192" s="70"/>
      <c r="O192" s="77" t="s">
        <v>179</v>
      </c>
      <c r="P192" s="79">
        <v>44934.574236111112</v>
      </c>
      <c r="Q192" s="77" t="s">
        <v>1148</v>
      </c>
      <c r="R192" s="77">
        <v>0</v>
      </c>
      <c r="S192" s="77">
        <v>0</v>
      </c>
      <c r="T192" s="77">
        <v>0</v>
      </c>
      <c r="U192" s="77">
        <v>0</v>
      </c>
      <c r="V192" s="77">
        <v>22</v>
      </c>
      <c r="W192" s="81" t="s">
        <v>3064</v>
      </c>
      <c r="X192" s="83" t="str">
        <f>HYPERLINK("https://www.instagram.com/p/CnKAhqNO1iC/?igshid=YTgzYjQ4ZTY=")</f>
        <v>https://www.instagram.com/p/CnKAhqNO1iC/?igshid=YTgzYjQ4ZTY=</v>
      </c>
      <c r="Y192" s="77" t="s">
        <v>4215</v>
      </c>
      <c r="Z192" s="77"/>
      <c r="AA192" s="77"/>
      <c r="AB192" s="77"/>
      <c r="AC192" s="81" t="s">
        <v>5804</v>
      </c>
      <c r="AD192" s="77" t="s">
        <v>5850</v>
      </c>
      <c r="AE192" s="83" t="str">
        <f>HYPERLINK("https://twitter.com/empleadorserial/status/1612083426860883969")</f>
        <v>https://twitter.com/empleadorserial/status/1612083426860883969</v>
      </c>
      <c r="AF192" s="79">
        <v>44934.574236111112</v>
      </c>
      <c r="AG192" s="85">
        <v>44934</v>
      </c>
      <c r="AH192" s="81" t="s">
        <v>6034</v>
      </c>
      <c r="AI192" s="77" t="b">
        <v>0</v>
      </c>
      <c r="AJ192" s="77" t="s">
        <v>7733</v>
      </c>
      <c r="AK192" s="77" t="s">
        <v>7765</v>
      </c>
      <c r="AL192" s="77" t="s">
        <v>7774</v>
      </c>
      <c r="AM192" s="77" t="s">
        <v>7787</v>
      </c>
      <c r="AN192" s="77" t="s">
        <v>7823</v>
      </c>
      <c r="AO192" s="77" t="s">
        <v>7859</v>
      </c>
      <c r="AP192" s="77" t="s">
        <v>7889</v>
      </c>
      <c r="AQ192" s="77"/>
      <c r="AR192" s="77"/>
      <c r="AS192" s="77"/>
      <c r="AT192" s="77"/>
      <c r="AU192" s="77"/>
      <c r="AV192" s="83" t="str">
        <f>HYPERLINK("https://pbs.twimg.com/profile_images/1538630509873479682/WQRMLefD_normal.jpg")</f>
        <v>https://pbs.twimg.com/profile_images/1538630509873479682/WQRMLefD_normal.jpg</v>
      </c>
      <c r="AW192" s="81" t="s">
        <v>9469</v>
      </c>
      <c r="AX192" s="81" t="s">
        <v>9469</v>
      </c>
      <c r="AY192" s="77"/>
      <c r="AZ192" s="81" t="s">
        <v>11359</v>
      </c>
      <c r="BA192" s="81" t="s">
        <v>11359</v>
      </c>
      <c r="BB192" s="81" t="s">
        <v>11359</v>
      </c>
      <c r="BC192" s="81" t="s">
        <v>9469</v>
      </c>
      <c r="BD192" s="77">
        <v>310300954</v>
      </c>
      <c r="BE192" s="77"/>
      <c r="BF192" s="77"/>
      <c r="BG192" s="77"/>
      <c r="BH192" s="77"/>
      <c r="BI192" s="77"/>
    </row>
    <row r="193" spans="1:61" x14ac:dyDescent="0.25">
      <c r="A193" s="62" t="s">
        <v>316</v>
      </c>
      <c r="B193" s="62" t="s">
        <v>316</v>
      </c>
      <c r="C193" s="63"/>
      <c r="D193" s="64"/>
      <c r="E193" s="65"/>
      <c r="F193" s="66"/>
      <c r="G193" s="63"/>
      <c r="H193" s="67"/>
      <c r="I193" s="68"/>
      <c r="J193" s="68"/>
      <c r="K193" s="32"/>
      <c r="L193" s="75">
        <v>193</v>
      </c>
      <c r="M193" s="75"/>
      <c r="N193" s="70"/>
      <c r="O193" s="77" t="s">
        <v>179</v>
      </c>
      <c r="P193" s="79">
        <v>45180.620081018518</v>
      </c>
      <c r="Q193" s="77" t="s">
        <v>1149</v>
      </c>
      <c r="R193" s="77">
        <v>0</v>
      </c>
      <c r="S193" s="77">
        <v>1</v>
      </c>
      <c r="T193" s="77">
        <v>0</v>
      </c>
      <c r="U193" s="77">
        <v>0</v>
      </c>
      <c r="V193" s="77">
        <v>24</v>
      </c>
      <c r="W193" s="81" t="s">
        <v>3065</v>
      </c>
      <c r="X193" s="83" t="str">
        <f>HYPERLINK("https://shre.ink/2EA7")</f>
        <v>https://shre.ink/2EA7</v>
      </c>
      <c r="Y193" s="77" t="s">
        <v>4237</v>
      </c>
      <c r="Z193" s="77"/>
      <c r="AA193" s="77" t="s">
        <v>4492</v>
      </c>
      <c r="AB193" s="77" t="s">
        <v>5794</v>
      </c>
      <c r="AC193" s="81" t="s">
        <v>5805</v>
      </c>
      <c r="AD193" s="77" t="s">
        <v>5850</v>
      </c>
      <c r="AE193" s="83" t="str">
        <f>HYPERLINK("https://twitter.com/transdoctrabajo/status/1701247453532389571")</f>
        <v>https://twitter.com/transdoctrabajo/status/1701247453532389571</v>
      </c>
      <c r="AF193" s="79">
        <v>45180.620081018518</v>
      </c>
      <c r="AG193" s="85">
        <v>45180</v>
      </c>
      <c r="AH193" s="81" t="s">
        <v>6035</v>
      </c>
      <c r="AI193" s="77" t="b">
        <v>0</v>
      </c>
      <c r="AJ193" s="77"/>
      <c r="AK193" s="77"/>
      <c r="AL193" s="77"/>
      <c r="AM193" s="77"/>
      <c r="AN193" s="77"/>
      <c r="AO193" s="77"/>
      <c r="AP193" s="77"/>
      <c r="AQ193" s="77" t="s">
        <v>7995</v>
      </c>
      <c r="AR193" s="77"/>
      <c r="AS193" s="77"/>
      <c r="AT193" s="77"/>
      <c r="AU193" s="77"/>
      <c r="AV193" s="83" t="str">
        <f>HYPERLINK("https://pbs.twimg.com/media/F5wLh5BWgAA_dPF.png")</f>
        <v>https://pbs.twimg.com/media/F5wLh5BWgAA_dPF.png</v>
      </c>
      <c r="AW193" s="81" t="s">
        <v>9470</v>
      </c>
      <c r="AX193" s="81" t="s">
        <v>9470</v>
      </c>
      <c r="AY193" s="77"/>
      <c r="AZ193" s="81" t="s">
        <v>11359</v>
      </c>
      <c r="BA193" s="81" t="s">
        <v>11359</v>
      </c>
      <c r="BB193" s="81" t="s">
        <v>11359</v>
      </c>
      <c r="BC193" s="81" t="s">
        <v>9470</v>
      </c>
      <c r="BD193" s="77">
        <v>40516850</v>
      </c>
      <c r="BE193" s="77"/>
      <c r="BF193" s="77"/>
      <c r="BG193" s="77"/>
      <c r="BH193" s="77"/>
      <c r="BI193" s="77"/>
    </row>
    <row r="194" spans="1:61" x14ac:dyDescent="0.25">
      <c r="A194" s="62" t="s">
        <v>316</v>
      </c>
      <c r="B194" s="62" t="s">
        <v>316</v>
      </c>
      <c r="C194" s="63"/>
      <c r="D194" s="64"/>
      <c r="E194" s="65"/>
      <c r="F194" s="66"/>
      <c r="G194" s="63"/>
      <c r="H194" s="67"/>
      <c r="I194" s="68"/>
      <c r="J194" s="68"/>
      <c r="K194" s="32"/>
      <c r="L194" s="75">
        <v>194</v>
      </c>
      <c r="M194" s="75"/>
      <c r="N194" s="70"/>
      <c r="O194" s="77" t="s">
        <v>179</v>
      </c>
      <c r="P194" s="79">
        <v>45183.7340625</v>
      </c>
      <c r="Q194" s="77" t="s">
        <v>1150</v>
      </c>
      <c r="R194" s="77">
        <v>0</v>
      </c>
      <c r="S194" s="77">
        <v>0</v>
      </c>
      <c r="T194" s="77">
        <v>0</v>
      </c>
      <c r="U194" s="77">
        <v>0</v>
      </c>
      <c r="V194" s="77">
        <v>30</v>
      </c>
      <c r="W194" s="81" t="s">
        <v>3066</v>
      </c>
      <c r="X194" s="83" t="str">
        <f>HYPERLINK("https://shre.ink/2fxR")</f>
        <v>https://shre.ink/2fxR</v>
      </c>
      <c r="Y194" s="77" t="s">
        <v>4237</v>
      </c>
      <c r="Z194" s="77"/>
      <c r="AA194" s="77" t="s">
        <v>4493</v>
      </c>
      <c r="AB194" s="77" t="s">
        <v>5794</v>
      </c>
      <c r="AC194" s="81" t="s">
        <v>5805</v>
      </c>
      <c r="AD194" s="77" t="s">
        <v>5850</v>
      </c>
      <c r="AE194" s="83" t="str">
        <f>HYPERLINK("https://twitter.com/transdoctrabajo/status/1702375921926152290")</f>
        <v>https://twitter.com/transdoctrabajo/status/1702375921926152290</v>
      </c>
      <c r="AF194" s="79">
        <v>45183.7340625</v>
      </c>
      <c r="AG194" s="85">
        <v>45183</v>
      </c>
      <c r="AH194" s="81" t="s">
        <v>6036</v>
      </c>
      <c r="AI194" s="77" t="b">
        <v>0</v>
      </c>
      <c r="AJ194" s="77"/>
      <c r="AK194" s="77"/>
      <c r="AL194" s="77"/>
      <c r="AM194" s="77"/>
      <c r="AN194" s="77"/>
      <c r="AO194" s="77"/>
      <c r="AP194" s="77"/>
      <c r="AQ194" s="77" t="s">
        <v>7996</v>
      </c>
      <c r="AR194" s="77"/>
      <c r="AS194" s="77"/>
      <c r="AT194" s="77"/>
      <c r="AU194" s="77"/>
      <c r="AV194" s="83" t="str">
        <f>HYPERLINK("https://pbs.twimg.com/media/F6AN4CsWcAATUoV.png")</f>
        <v>https://pbs.twimg.com/media/F6AN4CsWcAATUoV.png</v>
      </c>
      <c r="AW194" s="81" t="s">
        <v>9471</v>
      </c>
      <c r="AX194" s="81" t="s">
        <v>9471</v>
      </c>
      <c r="AY194" s="77"/>
      <c r="AZ194" s="81" t="s">
        <v>11359</v>
      </c>
      <c r="BA194" s="81" t="s">
        <v>11359</v>
      </c>
      <c r="BB194" s="81" t="s">
        <v>11359</v>
      </c>
      <c r="BC194" s="81" t="s">
        <v>9471</v>
      </c>
      <c r="BD194" s="77">
        <v>40516850</v>
      </c>
      <c r="BE194" s="77"/>
      <c r="BF194" s="77"/>
      <c r="BG194" s="77"/>
      <c r="BH194" s="77"/>
      <c r="BI194" s="77"/>
    </row>
    <row r="195" spans="1:61" x14ac:dyDescent="0.25">
      <c r="A195" s="62" t="s">
        <v>316</v>
      </c>
      <c r="B195" s="62" t="s">
        <v>316</v>
      </c>
      <c r="C195" s="63"/>
      <c r="D195" s="64"/>
      <c r="E195" s="65"/>
      <c r="F195" s="66"/>
      <c r="G195" s="63"/>
      <c r="H195" s="67"/>
      <c r="I195" s="68"/>
      <c r="J195" s="68"/>
      <c r="K195" s="32"/>
      <c r="L195" s="75">
        <v>195</v>
      </c>
      <c r="M195" s="75"/>
      <c r="N195" s="70"/>
      <c r="O195" s="77" t="s">
        <v>179</v>
      </c>
      <c r="P195" s="79">
        <v>45183.726087962961</v>
      </c>
      <c r="Q195" s="77" t="s">
        <v>1151</v>
      </c>
      <c r="R195" s="77">
        <v>0</v>
      </c>
      <c r="S195" s="77">
        <v>0</v>
      </c>
      <c r="T195" s="77">
        <v>0</v>
      </c>
      <c r="U195" s="77">
        <v>0</v>
      </c>
      <c r="V195" s="77">
        <v>10</v>
      </c>
      <c r="W195" s="81" t="s">
        <v>3067</v>
      </c>
      <c r="X195" s="83" t="str">
        <f>HYPERLINK("https://shre.ink/2fha")</f>
        <v>https://shre.ink/2fha</v>
      </c>
      <c r="Y195" s="77" t="s">
        <v>4237</v>
      </c>
      <c r="Z195" s="77"/>
      <c r="AA195" s="77" t="s">
        <v>4494</v>
      </c>
      <c r="AB195" s="77" t="s">
        <v>5794</v>
      </c>
      <c r="AC195" s="81" t="s">
        <v>5805</v>
      </c>
      <c r="AD195" s="77" t="s">
        <v>5850</v>
      </c>
      <c r="AE195" s="83" t="str">
        <f>HYPERLINK("https://twitter.com/transdoctrabajo/status/1702373034919616628")</f>
        <v>https://twitter.com/transdoctrabajo/status/1702373034919616628</v>
      </c>
      <c r="AF195" s="79">
        <v>45183.726087962961</v>
      </c>
      <c r="AG195" s="85">
        <v>45183</v>
      </c>
      <c r="AH195" s="81" t="s">
        <v>6037</v>
      </c>
      <c r="AI195" s="77" t="b">
        <v>0</v>
      </c>
      <c r="AJ195" s="77"/>
      <c r="AK195" s="77"/>
      <c r="AL195" s="77"/>
      <c r="AM195" s="77"/>
      <c r="AN195" s="77"/>
      <c r="AO195" s="77"/>
      <c r="AP195" s="77"/>
      <c r="AQ195" s="77" t="s">
        <v>7997</v>
      </c>
      <c r="AR195" s="77"/>
      <c r="AS195" s="77"/>
      <c r="AT195" s="77"/>
      <c r="AU195" s="77"/>
      <c r="AV195" s="83" t="str">
        <f>HYPERLINK("https://pbs.twimg.com/media/F6AKwpiXwAAXQ0V.png")</f>
        <v>https://pbs.twimg.com/media/F6AKwpiXwAAXQ0V.png</v>
      </c>
      <c r="AW195" s="81" t="s">
        <v>9472</v>
      </c>
      <c r="AX195" s="81" t="s">
        <v>9472</v>
      </c>
      <c r="AY195" s="77"/>
      <c r="AZ195" s="81" t="s">
        <v>11359</v>
      </c>
      <c r="BA195" s="81" t="s">
        <v>11359</v>
      </c>
      <c r="BB195" s="81" t="s">
        <v>11359</v>
      </c>
      <c r="BC195" s="81" t="s">
        <v>9472</v>
      </c>
      <c r="BD195" s="77">
        <v>40516850</v>
      </c>
      <c r="BE195" s="77"/>
      <c r="BF195" s="77"/>
      <c r="BG195" s="77"/>
      <c r="BH195" s="77"/>
      <c r="BI195" s="77"/>
    </row>
    <row r="196" spans="1:61" x14ac:dyDescent="0.25">
      <c r="A196" s="62" t="s">
        <v>316</v>
      </c>
      <c r="B196" s="62" t="s">
        <v>316</v>
      </c>
      <c r="C196" s="63"/>
      <c r="D196" s="64"/>
      <c r="E196" s="65"/>
      <c r="F196" s="66"/>
      <c r="G196" s="63"/>
      <c r="H196" s="67"/>
      <c r="I196" s="68"/>
      <c r="J196" s="68"/>
      <c r="K196" s="32"/>
      <c r="L196" s="75">
        <v>196</v>
      </c>
      <c r="M196" s="75"/>
      <c r="N196" s="70"/>
      <c r="O196" s="77" t="s">
        <v>179</v>
      </c>
      <c r="P196" s="79">
        <v>45191.669675925928</v>
      </c>
      <c r="Q196" s="77" t="s">
        <v>1152</v>
      </c>
      <c r="R196" s="77">
        <v>0</v>
      </c>
      <c r="S196" s="77">
        <v>0</v>
      </c>
      <c r="T196" s="77">
        <v>0</v>
      </c>
      <c r="U196" s="77">
        <v>0</v>
      </c>
      <c r="V196" s="77">
        <v>21</v>
      </c>
      <c r="W196" s="81" t="s">
        <v>3068</v>
      </c>
      <c r="X196" s="83" t="str">
        <f>HYPERLINK("https://shre.ink/nyDF")</f>
        <v>https://shre.ink/nyDF</v>
      </c>
      <c r="Y196" s="77" t="s">
        <v>4237</v>
      </c>
      <c r="Z196" s="77"/>
      <c r="AA196" s="77" t="s">
        <v>4495</v>
      </c>
      <c r="AB196" s="77" t="s">
        <v>5794</v>
      </c>
      <c r="AC196" s="81" t="s">
        <v>5805</v>
      </c>
      <c r="AD196" s="77" t="s">
        <v>5850</v>
      </c>
      <c r="AE196" s="83" t="str">
        <f>HYPERLINK("https://twitter.com/transdoctrabajo/status/1705251692977988011")</f>
        <v>https://twitter.com/transdoctrabajo/status/1705251692977988011</v>
      </c>
      <c r="AF196" s="79">
        <v>45191.669675925928</v>
      </c>
      <c r="AG196" s="85">
        <v>45191</v>
      </c>
      <c r="AH196" s="81" t="s">
        <v>6038</v>
      </c>
      <c r="AI196" s="77" t="b">
        <v>0</v>
      </c>
      <c r="AJ196" s="77"/>
      <c r="AK196" s="77"/>
      <c r="AL196" s="77"/>
      <c r="AM196" s="77"/>
      <c r="AN196" s="77"/>
      <c r="AO196" s="77"/>
      <c r="AP196" s="77"/>
      <c r="AQ196" s="77" t="s">
        <v>7998</v>
      </c>
      <c r="AR196" s="77"/>
      <c r="AS196" s="77"/>
      <c r="AT196" s="77"/>
      <c r="AU196" s="77"/>
      <c r="AV196" s="83" t="str">
        <f>HYPERLINK("https://pbs.twimg.com/media/F6pFXTfXAAAaqVA.png")</f>
        <v>https://pbs.twimg.com/media/F6pFXTfXAAAaqVA.png</v>
      </c>
      <c r="AW196" s="81" t="s">
        <v>9473</v>
      </c>
      <c r="AX196" s="81" t="s">
        <v>9473</v>
      </c>
      <c r="AY196" s="77"/>
      <c r="AZ196" s="81" t="s">
        <v>11359</v>
      </c>
      <c r="BA196" s="81" t="s">
        <v>11359</v>
      </c>
      <c r="BB196" s="81" t="s">
        <v>11359</v>
      </c>
      <c r="BC196" s="81" t="s">
        <v>9473</v>
      </c>
      <c r="BD196" s="77">
        <v>40516850</v>
      </c>
      <c r="BE196" s="77"/>
      <c r="BF196" s="77"/>
      <c r="BG196" s="77"/>
      <c r="BH196" s="77"/>
      <c r="BI196" s="77"/>
    </row>
    <row r="197" spans="1:61" x14ac:dyDescent="0.25">
      <c r="A197" s="62" t="s">
        <v>316</v>
      </c>
      <c r="B197" s="62" t="s">
        <v>316</v>
      </c>
      <c r="C197" s="63"/>
      <c r="D197" s="64"/>
      <c r="E197" s="65"/>
      <c r="F197" s="66"/>
      <c r="G197" s="63"/>
      <c r="H197" s="67"/>
      <c r="I197" s="68"/>
      <c r="J197" s="68"/>
      <c r="K197" s="32"/>
      <c r="L197" s="75">
        <v>197</v>
      </c>
      <c r="M197" s="75"/>
      <c r="N197" s="70"/>
      <c r="O197" s="77" t="s">
        <v>179</v>
      </c>
      <c r="P197" s="79">
        <v>45191.66914351852</v>
      </c>
      <c r="Q197" s="77" t="s">
        <v>1153</v>
      </c>
      <c r="R197" s="77">
        <v>0</v>
      </c>
      <c r="S197" s="77">
        <v>0</v>
      </c>
      <c r="T197" s="77">
        <v>0</v>
      </c>
      <c r="U197" s="77">
        <v>0</v>
      </c>
      <c r="V197" s="77">
        <v>24</v>
      </c>
      <c r="W197" s="81" t="s">
        <v>3069</v>
      </c>
      <c r="X197" s="83" t="str">
        <f>HYPERLINK("https://shre.ink/nyD5")</f>
        <v>https://shre.ink/nyD5</v>
      </c>
      <c r="Y197" s="77" t="s">
        <v>4237</v>
      </c>
      <c r="Z197" s="77"/>
      <c r="AA197" s="77" t="s">
        <v>4496</v>
      </c>
      <c r="AB197" s="77" t="s">
        <v>5794</v>
      </c>
      <c r="AC197" s="81" t="s">
        <v>5805</v>
      </c>
      <c r="AD197" s="77" t="s">
        <v>5850</v>
      </c>
      <c r="AE197" s="83" t="str">
        <f>HYPERLINK("https://twitter.com/transdoctrabajo/status/1705251502875439203")</f>
        <v>https://twitter.com/transdoctrabajo/status/1705251502875439203</v>
      </c>
      <c r="AF197" s="79">
        <v>45191.66914351852</v>
      </c>
      <c r="AG197" s="85">
        <v>45191</v>
      </c>
      <c r="AH197" s="81" t="s">
        <v>6039</v>
      </c>
      <c r="AI197" s="77" t="b">
        <v>0</v>
      </c>
      <c r="AJ197" s="77"/>
      <c r="AK197" s="77"/>
      <c r="AL197" s="77"/>
      <c r="AM197" s="77"/>
      <c r="AN197" s="77"/>
      <c r="AO197" s="77"/>
      <c r="AP197" s="77"/>
      <c r="AQ197" s="77" t="s">
        <v>7999</v>
      </c>
      <c r="AR197" s="77"/>
      <c r="AS197" s="77"/>
      <c r="AT197" s="77"/>
      <c r="AU197" s="77"/>
      <c r="AV197" s="83" t="str">
        <f>HYPERLINK("https://pbs.twimg.com/media/F6pFMhIXYAEurOs.png")</f>
        <v>https://pbs.twimg.com/media/F6pFMhIXYAEurOs.png</v>
      </c>
      <c r="AW197" s="81" t="s">
        <v>9474</v>
      </c>
      <c r="AX197" s="81" t="s">
        <v>9474</v>
      </c>
      <c r="AY197" s="77"/>
      <c r="AZ197" s="81" t="s">
        <v>11359</v>
      </c>
      <c r="BA197" s="81" t="s">
        <v>11359</v>
      </c>
      <c r="BB197" s="81" t="s">
        <v>11359</v>
      </c>
      <c r="BC197" s="81" t="s">
        <v>9474</v>
      </c>
      <c r="BD197" s="77">
        <v>40516850</v>
      </c>
      <c r="BE197" s="77"/>
      <c r="BF197" s="77"/>
      <c r="BG197" s="77"/>
      <c r="BH197" s="77"/>
      <c r="BI197" s="77"/>
    </row>
    <row r="198" spans="1:61" x14ac:dyDescent="0.25">
      <c r="A198" s="62" t="s">
        <v>316</v>
      </c>
      <c r="B198" s="62" t="s">
        <v>316</v>
      </c>
      <c r="C198" s="63"/>
      <c r="D198" s="64"/>
      <c r="E198" s="65"/>
      <c r="F198" s="66"/>
      <c r="G198" s="63"/>
      <c r="H198" s="67"/>
      <c r="I198" s="68"/>
      <c r="J198" s="68"/>
      <c r="K198" s="32"/>
      <c r="L198" s="75">
        <v>198</v>
      </c>
      <c r="M198" s="75"/>
      <c r="N198" s="70"/>
      <c r="O198" s="77" t="s">
        <v>179</v>
      </c>
      <c r="P198" s="79">
        <v>45145.675983796296</v>
      </c>
      <c r="Q198" s="77" t="s">
        <v>1154</v>
      </c>
      <c r="R198" s="77">
        <v>0</v>
      </c>
      <c r="S198" s="77">
        <v>0</v>
      </c>
      <c r="T198" s="77">
        <v>0</v>
      </c>
      <c r="U198" s="77">
        <v>0</v>
      </c>
      <c r="V198" s="77">
        <v>17</v>
      </c>
      <c r="W198" s="81" t="s">
        <v>3070</v>
      </c>
      <c r="X198" s="83" t="str">
        <f>HYPERLINK("https://shre.ink/aMOR")</f>
        <v>https://shre.ink/aMOR</v>
      </c>
      <c r="Y198" s="77" t="s">
        <v>4237</v>
      </c>
      <c r="Z198" s="77"/>
      <c r="AA198" s="77" t="s">
        <v>4497</v>
      </c>
      <c r="AB198" s="77" t="s">
        <v>5794</v>
      </c>
      <c r="AC198" s="81" t="s">
        <v>5805</v>
      </c>
      <c r="AD198" s="77" t="s">
        <v>5850</v>
      </c>
      <c r="AE198" s="83" t="str">
        <f>HYPERLINK("https://twitter.com/transdoctrabajo/status/1688584136976482304")</f>
        <v>https://twitter.com/transdoctrabajo/status/1688584136976482304</v>
      </c>
      <c r="AF198" s="79">
        <v>45145.675983796296</v>
      </c>
      <c r="AG198" s="85">
        <v>45145</v>
      </c>
      <c r="AH198" s="81" t="s">
        <v>6040</v>
      </c>
      <c r="AI198" s="77" t="b">
        <v>0</v>
      </c>
      <c r="AJ198" s="77"/>
      <c r="AK198" s="77"/>
      <c r="AL198" s="77"/>
      <c r="AM198" s="77"/>
      <c r="AN198" s="77"/>
      <c r="AO198" s="77"/>
      <c r="AP198" s="77"/>
      <c r="AQ198" s="77" t="s">
        <v>8000</v>
      </c>
      <c r="AR198" s="77"/>
      <c r="AS198" s="77"/>
      <c r="AT198" s="77"/>
      <c r="AU198" s="77"/>
      <c r="AV198" s="83" t="str">
        <f>HYPERLINK("https://pbs.twimg.com/media/F28OTtDWwAAP8n2.png")</f>
        <v>https://pbs.twimg.com/media/F28OTtDWwAAP8n2.png</v>
      </c>
      <c r="AW198" s="81" t="s">
        <v>9475</v>
      </c>
      <c r="AX198" s="81" t="s">
        <v>9475</v>
      </c>
      <c r="AY198" s="77"/>
      <c r="AZ198" s="81" t="s">
        <v>11359</v>
      </c>
      <c r="BA198" s="81" t="s">
        <v>11359</v>
      </c>
      <c r="BB198" s="81" t="s">
        <v>11359</v>
      </c>
      <c r="BC198" s="81" t="s">
        <v>9475</v>
      </c>
      <c r="BD198" s="77">
        <v>40516850</v>
      </c>
      <c r="BE198" s="77"/>
      <c r="BF198" s="77"/>
      <c r="BG198" s="77"/>
      <c r="BH198" s="77"/>
      <c r="BI198" s="77"/>
    </row>
    <row r="199" spans="1:61" x14ac:dyDescent="0.25">
      <c r="A199" s="62" t="s">
        <v>317</v>
      </c>
      <c r="B199" s="62" t="s">
        <v>317</v>
      </c>
      <c r="C199" s="63"/>
      <c r="D199" s="64"/>
      <c r="E199" s="65"/>
      <c r="F199" s="66"/>
      <c r="G199" s="63"/>
      <c r="H199" s="67"/>
      <c r="I199" s="68"/>
      <c r="J199" s="68"/>
      <c r="K199" s="32"/>
      <c r="L199" s="75">
        <v>199</v>
      </c>
      <c r="M199" s="75"/>
      <c r="N199" s="70"/>
      <c r="O199" s="77" t="s">
        <v>179</v>
      </c>
      <c r="P199" s="79">
        <v>44998.569305555553</v>
      </c>
      <c r="Q199" s="77" t="s">
        <v>1155</v>
      </c>
      <c r="R199" s="77">
        <v>0</v>
      </c>
      <c r="S199" s="77">
        <v>0</v>
      </c>
      <c r="T199" s="77">
        <v>0</v>
      </c>
      <c r="U199" s="77">
        <v>0</v>
      </c>
      <c r="V199" s="77">
        <v>17</v>
      </c>
      <c r="W199" s="81" t="s">
        <v>3071</v>
      </c>
      <c r="X199" s="83" t="str">
        <f>HYPERLINK("https://www.instagram.com/p/CpuylvlsdXd/?igshid=YTgzYjQ4ZTY=")</f>
        <v>https://www.instagram.com/p/CpuylvlsdXd/?igshid=YTgzYjQ4ZTY=</v>
      </c>
      <c r="Y199" s="77" t="s">
        <v>4215</v>
      </c>
      <c r="Z199" s="77"/>
      <c r="AA199" s="77"/>
      <c r="AB199" s="77"/>
      <c r="AC199" s="81" t="s">
        <v>5804</v>
      </c>
      <c r="AD199" s="77" t="s">
        <v>5851</v>
      </c>
      <c r="AE199" s="83" t="str">
        <f>HYPERLINK("https://twitter.com/azojca/status/1635274463658020866")</f>
        <v>https://twitter.com/azojca/status/1635274463658020866</v>
      </c>
      <c r="AF199" s="79">
        <v>44998.569305555553</v>
      </c>
      <c r="AG199" s="85">
        <v>44998</v>
      </c>
      <c r="AH199" s="81" t="s">
        <v>6041</v>
      </c>
      <c r="AI199" s="77" t="b">
        <v>0</v>
      </c>
      <c r="AJ199" s="77"/>
      <c r="AK199" s="77"/>
      <c r="AL199" s="77"/>
      <c r="AM199" s="77"/>
      <c r="AN199" s="77"/>
      <c r="AO199" s="77"/>
      <c r="AP199" s="77"/>
      <c r="AQ199" s="77"/>
      <c r="AR199" s="77"/>
      <c r="AS199" s="77"/>
      <c r="AT199" s="77"/>
      <c r="AU199" s="77"/>
      <c r="AV199" s="83" t="str">
        <f>HYPERLINK("https://pbs.twimg.com/profile_images/1612940916150394892/8vihF-AC_normal.jpg")</f>
        <v>https://pbs.twimg.com/profile_images/1612940916150394892/8vihF-AC_normal.jpg</v>
      </c>
      <c r="AW199" s="81" t="s">
        <v>9476</v>
      </c>
      <c r="AX199" s="81" t="s">
        <v>9476</v>
      </c>
      <c r="AY199" s="77"/>
      <c r="AZ199" s="81" t="s">
        <v>11359</v>
      </c>
      <c r="BA199" s="81" t="s">
        <v>11359</v>
      </c>
      <c r="BB199" s="81" t="s">
        <v>11359</v>
      </c>
      <c r="BC199" s="81" t="s">
        <v>9476</v>
      </c>
      <c r="BD199" s="81" t="s">
        <v>11447</v>
      </c>
      <c r="BE199" s="77"/>
      <c r="BF199" s="77"/>
      <c r="BG199" s="77"/>
      <c r="BH199" s="77"/>
      <c r="BI199" s="77"/>
    </row>
    <row r="200" spans="1:61" x14ac:dyDescent="0.25">
      <c r="A200" s="62" t="s">
        <v>318</v>
      </c>
      <c r="B200" s="62" t="s">
        <v>318</v>
      </c>
      <c r="C200" s="63"/>
      <c r="D200" s="64"/>
      <c r="E200" s="65"/>
      <c r="F200" s="66"/>
      <c r="G200" s="63"/>
      <c r="H200" s="67"/>
      <c r="I200" s="68"/>
      <c r="J200" s="68"/>
      <c r="K200" s="32"/>
      <c r="L200" s="75">
        <v>200</v>
      </c>
      <c r="M200" s="75"/>
      <c r="N200" s="70"/>
      <c r="O200" s="77" t="s">
        <v>179</v>
      </c>
      <c r="P200" s="79">
        <v>45138.667083333334</v>
      </c>
      <c r="Q200" s="77" t="s">
        <v>1156</v>
      </c>
      <c r="R200" s="77">
        <v>0</v>
      </c>
      <c r="S200" s="77">
        <v>0</v>
      </c>
      <c r="T200" s="77">
        <v>0</v>
      </c>
      <c r="U200" s="77">
        <v>0</v>
      </c>
      <c r="V200" s="77">
        <v>17</v>
      </c>
      <c r="W200" s="81" t="s">
        <v>3072</v>
      </c>
      <c r="X200" s="83" t="str">
        <f>HYPERLINK("https://hubs.la/Q01YqNlP0")</f>
        <v>https://hubs.la/Q01YqNlP0</v>
      </c>
      <c r="Y200" s="77" t="s">
        <v>4238</v>
      </c>
      <c r="Z200" s="77"/>
      <c r="AA200" s="77" t="s">
        <v>4498</v>
      </c>
      <c r="AB200" s="77" t="s">
        <v>5795</v>
      </c>
      <c r="AC200" s="81" t="s">
        <v>5807</v>
      </c>
      <c r="AD200" s="77" t="s">
        <v>5850</v>
      </c>
      <c r="AE200" s="83" t="str">
        <f>HYPERLINK("https://twitter.com/erpsolmex/status/1686044197877354496")</f>
        <v>https://twitter.com/erpsolmex/status/1686044197877354496</v>
      </c>
      <c r="AF200" s="79">
        <v>45138.667083333334</v>
      </c>
      <c r="AG200" s="85">
        <v>45138</v>
      </c>
      <c r="AH200" s="81" t="s">
        <v>6042</v>
      </c>
      <c r="AI200" s="77" t="b">
        <v>0</v>
      </c>
      <c r="AJ200" s="77"/>
      <c r="AK200" s="77"/>
      <c r="AL200" s="77"/>
      <c r="AM200" s="77"/>
      <c r="AN200" s="77"/>
      <c r="AO200" s="77"/>
      <c r="AP200" s="77"/>
      <c r="AQ200" s="77" t="s">
        <v>8001</v>
      </c>
      <c r="AR200" s="77">
        <v>25050</v>
      </c>
      <c r="AS200" s="77"/>
      <c r="AT200" s="77"/>
      <c r="AU200" s="77"/>
      <c r="AV200" s="83" t="str">
        <f>HYPERLINK("https://pbs.twimg.com/ext_tw_video_thumb/1686044144366456833/pu/img/EV1Tis1AFBpiRz0_.jpg")</f>
        <v>https://pbs.twimg.com/ext_tw_video_thumb/1686044144366456833/pu/img/EV1Tis1AFBpiRz0_.jpg</v>
      </c>
      <c r="AW200" s="81" t="s">
        <v>9477</v>
      </c>
      <c r="AX200" s="81" t="s">
        <v>9477</v>
      </c>
      <c r="AY200" s="77"/>
      <c r="AZ200" s="81" t="s">
        <v>11359</v>
      </c>
      <c r="BA200" s="81" t="s">
        <v>11359</v>
      </c>
      <c r="BB200" s="81" t="s">
        <v>11359</v>
      </c>
      <c r="BC200" s="81" t="s">
        <v>9477</v>
      </c>
      <c r="BD200" s="81" t="s">
        <v>11448</v>
      </c>
      <c r="BE200" s="77"/>
      <c r="BF200" s="77"/>
      <c r="BG200" s="77"/>
      <c r="BH200" s="77"/>
      <c r="BI200" s="77"/>
    </row>
    <row r="201" spans="1:61" x14ac:dyDescent="0.25">
      <c r="A201" s="62" t="s">
        <v>319</v>
      </c>
      <c r="B201" s="62" t="s">
        <v>319</v>
      </c>
      <c r="C201" s="63"/>
      <c r="D201" s="64"/>
      <c r="E201" s="65"/>
      <c r="F201" s="66"/>
      <c r="G201" s="63"/>
      <c r="H201" s="67"/>
      <c r="I201" s="68"/>
      <c r="J201" s="68"/>
      <c r="K201" s="32"/>
      <c r="L201" s="75">
        <v>201</v>
      </c>
      <c r="M201" s="75"/>
      <c r="N201" s="70"/>
      <c r="O201" s="77" t="s">
        <v>179</v>
      </c>
      <c r="P201" s="79">
        <v>45111.37809027778</v>
      </c>
      <c r="Q201" s="77" t="s">
        <v>1157</v>
      </c>
      <c r="R201" s="77">
        <v>0</v>
      </c>
      <c r="S201" s="77">
        <v>0</v>
      </c>
      <c r="T201" s="77">
        <v>0</v>
      </c>
      <c r="U201" s="77">
        <v>0</v>
      </c>
      <c r="V201" s="77">
        <v>63</v>
      </c>
      <c r="W201" s="81" t="s">
        <v>3073</v>
      </c>
      <c r="X201" s="83" t="str">
        <f>HYPERLINK("https://www.linkedin.com/jobs/view/3639908769")</f>
        <v>https://www.linkedin.com/jobs/view/3639908769</v>
      </c>
      <c r="Y201" s="77" t="s">
        <v>4218</v>
      </c>
      <c r="Z201" s="77"/>
      <c r="AA201" s="77"/>
      <c r="AB201" s="77"/>
      <c r="AC201" s="81" t="s">
        <v>5801</v>
      </c>
      <c r="AD201" s="77" t="s">
        <v>5850</v>
      </c>
      <c r="AE201" s="83" t="str">
        <f>HYPERLINK("https://twitter.com/mercedesnuru/status/1676154995991879680")</f>
        <v>https://twitter.com/mercedesnuru/status/1676154995991879680</v>
      </c>
      <c r="AF201" s="79">
        <v>45111.37809027778</v>
      </c>
      <c r="AG201" s="85">
        <v>45111</v>
      </c>
      <c r="AH201" s="81" t="s">
        <v>6043</v>
      </c>
      <c r="AI201" s="77" t="b">
        <v>0</v>
      </c>
      <c r="AJ201" s="77"/>
      <c r="AK201" s="77"/>
      <c r="AL201" s="77"/>
      <c r="AM201" s="77"/>
      <c r="AN201" s="77"/>
      <c r="AO201" s="77"/>
      <c r="AP201" s="77"/>
      <c r="AQ201" s="77"/>
      <c r="AR201" s="77"/>
      <c r="AS201" s="77"/>
      <c r="AT201" s="77"/>
      <c r="AU201" s="77"/>
      <c r="AV201" s="83" t="str">
        <f>HYPERLINK("https://pbs.twimg.com/profile_images/1098680335989129217/hq2QDm1g_normal.jpg")</f>
        <v>https://pbs.twimg.com/profile_images/1098680335989129217/hq2QDm1g_normal.jpg</v>
      </c>
      <c r="AW201" s="81" t="s">
        <v>9478</v>
      </c>
      <c r="AX201" s="81" t="s">
        <v>9478</v>
      </c>
      <c r="AY201" s="77"/>
      <c r="AZ201" s="81" t="s">
        <v>11359</v>
      </c>
      <c r="BA201" s="81" t="s">
        <v>11359</v>
      </c>
      <c r="BB201" s="81" t="s">
        <v>11359</v>
      </c>
      <c r="BC201" s="81" t="s">
        <v>9478</v>
      </c>
      <c r="BD201" s="81" t="s">
        <v>11449</v>
      </c>
      <c r="BE201" s="77"/>
      <c r="BF201" s="77"/>
      <c r="BG201" s="77"/>
      <c r="BH201" s="77"/>
      <c r="BI201" s="77"/>
    </row>
    <row r="202" spans="1:61" x14ac:dyDescent="0.25">
      <c r="A202" s="62" t="s">
        <v>320</v>
      </c>
      <c r="B202" s="62" t="s">
        <v>320</v>
      </c>
      <c r="C202" s="63"/>
      <c r="D202" s="64"/>
      <c r="E202" s="65"/>
      <c r="F202" s="66"/>
      <c r="G202" s="63"/>
      <c r="H202" s="67"/>
      <c r="I202" s="68"/>
      <c r="J202" s="68"/>
      <c r="K202" s="32"/>
      <c r="L202" s="75">
        <v>202</v>
      </c>
      <c r="M202" s="75"/>
      <c r="N202" s="70"/>
      <c r="O202" s="77" t="s">
        <v>179</v>
      </c>
      <c r="P202" s="79">
        <v>44937.581562500003</v>
      </c>
      <c r="Q202" s="77" t="s">
        <v>1158</v>
      </c>
      <c r="R202" s="77">
        <v>0</v>
      </c>
      <c r="S202" s="77">
        <v>0</v>
      </c>
      <c r="T202" s="77">
        <v>0</v>
      </c>
      <c r="U202" s="77">
        <v>0</v>
      </c>
      <c r="V202" s="77">
        <v>6</v>
      </c>
      <c r="W202" s="81" t="s">
        <v>3074</v>
      </c>
      <c r="X202" s="83" t="str">
        <f>HYPERLINK("https://frameticket.com.br/blog/por-que-ter-controle-de-vendas/")</f>
        <v>https://frameticket.com.br/blog/por-que-ter-controle-de-vendas/</v>
      </c>
      <c r="Y202" s="77" t="s">
        <v>4223</v>
      </c>
      <c r="Z202" s="77"/>
      <c r="AA202" s="77" t="s">
        <v>4499</v>
      </c>
      <c r="AB202" s="77" t="s">
        <v>5794</v>
      </c>
      <c r="AC202" s="81" t="s">
        <v>5805</v>
      </c>
      <c r="AD202" s="77" t="s">
        <v>5851</v>
      </c>
      <c r="AE202" s="83" t="str">
        <f>HYPERLINK("https://twitter.com/frameticket/status/1613173245326376960")</f>
        <v>https://twitter.com/frameticket/status/1613173245326376960</v>
      </c>
      <c r="AF202" s="79">
        <v>44937.581562500003</v>
      </c>
      <c r="AG202" s="85">
        <v>44937</v>
      </c>
      <c r="AH202" s="81" t="s">
        <v>6044</v>
      </c>
      <c r="AI202" s="77" t="b">
        <v>0</v>
      </c>
      <c r="AJ202" s="77"/>
      <c r="AK202" s="77"/>
      <c r="AL202" s="77"/>
      <c r="AM202" s="77"/>
      <c r="AN202" s="77"/>
      <c r="AO202" s="77"/>
      <c r="AP202" s="77"/>
      <c r="AQ202" s="77" t="s">
        <v>8002</v>
      </c>
      <c r="AR202" s="77"/>
      <c r="AS202" s="77"/>
      <c r="AT202" s="77"/>
      <c r="AU202" s="77"/>
      <c r="AV202" s="83" t="str">
        <f>HYPERLINK("https://pbs.twimg.com/media/FmMkgk7WAAE9V7R.jpg")</f>
        <v>https://pbs.twimg.com/media/FmMkgk7WAAE9V7R.jpg</v>
      </c>
      <c r="AW202" s="81" t="s">
        <v>9479</v>
      </c>
      <c r="AX202" s="81" t="s">
        <v>9479</v>
      </c>
      <c r="AY202" s="77"/>
      <c r="AZ202" s="81" t="s">
        <v>11359</v>
      </c>
      <c r="BA202" s="81" t="s">
        <v>11359</v>
      </c>
      <c r="BB202" s="81" t="s">
        <v>11359</v>
      </c>
      <c r="BC202" s="81" t="s">
        <v>9479</v>
      </c>
      <c r="BD202" s="81" t="s">
        <v>11450</v>
      </c>
      <c r="BE202" s="77"/>
      <c r="BF202" s="77"/>
      <c r="BG202" s="77"/>
      <c r="BH202" s="77"/>
      <c r="BI202" s="77"/>
    </row>
    <row r="203" spans="1:61" x14ac:dyDescent="0.25">
      <c r="A203" s="62" t="s">
        <v>320</v>
      </c>
      <c r="B203" s="62" t="s">
        <v>320</v>
      </c>
      <c r="C203" s="63"/>
      <c r="D203" s="64"/>
      <c r="E203" s="65"/>
      <c r="F203" s="66"/>
      <c r="G203" s="63"/>
      <c r="H203" s="67"/>
      <c r="I203" s="68"/>
      <c r="J203" s="68"/>
      <c r="K203" s="32"/>
      <c r="L203" s="75">
        <v>203</v>
      </c>
      <c r="M203" s="75"/>
      <c r="N203" s="70"/>
      <c r="O203" s="77" t="s">
        <v>179</v>
      </c>
      <c r="P203" s="79">
        <v>44972.790914351855</v>
      </c>
      <c r="Q203" s="77" t="s">
        <v>1159</v>
      </c>
      <c r="R203" s="77">
        <v>0</v>
      </c>
      <c r="S203" s="77">
        <v>0</v>
      </c>
      <c r="T203" s="77">
        <v>0</v>
      </c>
      <c r="U203" s="77">
        <v>0</v>
      </c>
      <c r="V203" s="77">
        <v>8</v>
      </c>
      <c r="W203" s="81" t="s">
        <v>3075</v>
      </c>
      <c r="X203" s="83" t="str">
        <f>HYPERLINK("https://frameticket.com.br/blog/historia-de-sucesso-como-ter-mais-controle-indicadores-e-gestao/")</f>
        <v>https://frameticket.com.br/blog/historia-de-sucesso-como-ter-mais-controle-indicadores-e-gestao/</v>
      </c>
      <c r="Y203" s="77" t="s">
        <v>4223</v>
      </c>
      <c r="Z203" s="77"/>
      <c r="AA203" s="77" t="s">
        <v>4500</v>
      </c>
      <c r="AB203" s="77" t="s">
        <v>5794</v>
      </c>
      <c r="AC203" s="81" t="s">
        <v>5805</v>
      </c>
      <c r="AD203" s="77" t="s">
        <v>5851</v>
      </c>
      <c r="AE203" s="83" t="str">
        <f>HYPERLINK("https://twitter.com/frameticket/status/1625932688057040897")</f>
        <v>https://twitter.com/frameticket/status/1625932688057040897</v>
      </c>
      <c r="AF203" s="79">
        <v>44972.790914351855</v>
      </c>
      <c r="AG203" s="85">
        <v>44972</v>
      </c>
      <c r="AH203" s="81" t="s">
        <v>6045</v>
      </c>
      <c r="AI203" s="77" t="b">
        <v>0</v>
      </c>
      <c r="AJ203" s="77"/>
      <c r="AK203" s="77"/>
      <c r="AL203" s="77"/>
      <c r="AM203" s="77"/>
      <c r="AN203" s="77"/>
      <c r="AO203" s="77"/>
      <c r="AP203" s="77"/>
      <c r="AQ203" s="77" t="s">
        <v>8003</v>
      </c>
      <c r="AR203" s="77"/>
      <c r="AS203" s="77"/>
      <c r="AT203" s="77"/>
      <c r="AU203" s="77"/>
      <c r="AV203" s="83" t="str">
        <f>HYPERLINK("https://pbs.twimg.com/media/FpB5J5QWAAUkpnU.jpg")</f>
        <v>https://pbs.twimg.com/media/FpB5J5QWAAUkpnU.jpg</v>
      </c>
      <c r="AW203" s="81" t="s">
        <v>9480</v>
      </c>
      <c r="AX203" s="81" t="s">
        <v>9480</v>
      </c>
      <c r="AY203" s="77"/>
      <c r="AZ203" s="81" t="s">
        <v>11359</v>
      </c>
      <c r="BA203" s="81" t="s">
        <v>11359</v>
      </c>
      <c r="BB203" s="81" t="s">
        <v>11359</v>
      </c>
      <c r="BC203" s="81" t="s">
        <v>9480</v>
      </c>
      <c r="BD203" s="81" t="s">
        <v>11450</v>
      </c>
      <c r="BE203" s="77"/>
      <c r="BF203" s="77"/>
      <c r="BG203" s="77"/>
      <c r="BH203" s="77"/>
      <c r="BI203" s="77"/>
    </row>
    <row r="204" spans="1:61" x14ac:dyDescent="0.25">
      <c r="A204" s="62" t="s">
        <v>321</v>
      </c>
      <c r="B204" s="62" t="s">
        <v>321</v>
      </c>
      <c r="C204" s="63"/>
      <c r="D204" s="64"/>
      <c r="E204" s="65"/>
      <c r="F204" s="66"/>
      <c r="G204" s="63"/>
      <c r="H204" s="67"/>
      <c r="I204" s="68"/>
      <c r="J204" s="68"/>
      <c r="K204" s="32"/>
      <c r="L204" s="75">
        <v>204</v>
      </c>
      <c r="M204" s="75"/>
      <c r="N204" s="70"/>
      <c r="O204" s="77" t="s">
        <v>179</v>
      </c>
      <c r="P204" s="79">
        <v>45076.709826388891</v>
      </c>
      <c r="Q204" s="77" t="s">
        <v>1160</v>
      </c>
      <c r="R204" s="77">
        <v>0</v>
      </c>
      <c r="S204" s="77">
        <v>0</v>
      </c>
      <c r="T204" s="77">
        <v>0</v>
      </c>
      <c r="U204" s="77">
        <v>0</v>
      </c>
      <c r="V204" s="77">
        <v>17</v>
      </c>
      <c r="W204" s="81" t="s">
        <v>3076</v>
      </c>
      <c r="X204" s="77"/>
      <c r="Y204" s="77"/>
      <c r="Z204" s="77"/>
      <c r="AA204" s="77" t="s">
        <v>4501</v>
      </c>
      <c r="AB204" s="77" t="s">
        <v>5795</v>
      </c>
      <c r="AC204" s="81" t="s">
        <v>5803</v>
      </c>
      <c r="AD204" s="77" t="s">
        <v>5850</v>
      </c>
      <c r="AE204" s="83" t="str">
        <f>HYPERLINK("https://twitter.com/calzatodos/status/1663591639682564096")</f>
        <v>https://twitter.com/calzatodos/status/1663591639682564096</v>
      </c>
      <c r="AF204" s="79">
        <v>45076.709826388891</v>
      </c>
      <c r="AG204" s="85">
        <v>45076</v>
      </c>
      <c r="AH204" s="81" t="s">
        <v>6046</v>
      </c>
      <c r="AI204" s="77" t="b">
        <v>0</v>
      </c>
      <c r="AJ204" s="77"/>
      <c r="AK204" s="77"/>
      <c r="AL204" s="77"/>
      <c r="AM204" s="77"/>
      <c r="AN204" s="77"/>
      <c r="AO204" s="77"/>
      <c r="AP204" s="77"/>
      <c r="AQ204" s="77" t="s">
        <v>8004</v>
      </c>
      <c r="AR204" s="77">
        <v>15233</v>
      </c>
      <c r="AS204" s="77"/>
      <c r="AT204" s="77"/>
      <c r="AU204" s="77"/>
      <c r="AV204" s="83" t="str">
        <f>HYPERLINK("https://pbs.twimg.com/ext_tw_video_thumb/1663591547143585818/pu/img/78nPnme8o6Mx5CcN.jpg")</f>
        <v>https://pbs.twimg.com/ext_tw_video_thumb/1663591547143585818/pu/img/78nPnme8o6Mx5CcN.jpg</v>
      </c>
      <c r="AW204" s="81" t="s">
        <v>9481</v>
      </c>
      <c r="AX204" s="81" t="s">
        <v>9481</v>
      </c>
      <c r="AY204" s="77"/>
      <c r="AZ204" s="81" t="s">
        <v>11359</v>
      </c>
      <c r="BA204" s="81" t="s">
        <v>11359</v>
      </c>
      <c r="BB204" s="81" t="s">
        <v>11359</v>
      </c>
      <c r="BC204" s="81" t="s">
        <v>9481</v>
      </c>
      <c r="BD204" s="81" t="s">
        <v>11451</v>
      </c>
      <c r="BE204" s="77"/>
      <c r="BF204" s="77"/>
      <c r="BG204" s="77"/>
      <c r="BH204" s="77"/>
      <c r="BI204" s="77"/>
    </row>
    <row r="205" spans="1:61" x14ac:dyDescent="0.25">
      <c r="A205" s="62" t="s">
        <v>322</v>
      </c>
      <c r="B205" s="62" t="s">
        <v>322</v>
      </c>
      <c r="C205" s="63"/>
      <c r="D205" s="64"/>
      <c r="E205" s="65"/>
      <c r="F205" s="66"/>
      <c r="G205" s="63"/>
      <c r="H205" s="67"/>
      <c r="I205" s="68"/>
      <c r="J205" s="68"/>
      <c r="K205" s="32"/>
      <c r="L205" s="75">
        <v>205</v>
      </c>
      <c r="M205" s="75"/>
      <c r="N205" s="70"/>
      <c r="O205" s="77" t="s">
        <v>969</v>
      </c>
      <c r="P205" s="79">
        <v>45105.854571759257</v>
      </c>
      <c r="Q205" s="77" t="s">
        <v>1161</v>
      </c>
      <c r="R205" s="77">
        <v>0</v>
      </c>
      <c r="S205" s="77">
        <v>0</v>
      </c>
      <c r="T205" s="77">
        <v>0</v>
      </c>
      <c r="U205" s="77">
        <v>0</v>
      </c>
      <c r="V205" s="77">
        <v>65</v>
      </c>
      <c r="W205" s="81" t="s">
        <v>3077</v>
      </c>
      <c r="X205" s="77"/>
      <c r="Y205" s="77"/>
      <c r="Z205" s="77"/>
      <c r="AA205" s="77"/>
      <c r="AB205" s="77"/>
      <c r="AC205" s="81" t="s">
        <v>5801</v>
      </c>
      <c r="AD205" s="77" t="s">
        <v>5851</v>
      </c>
      <c r="AE205" s="83" t="str">
        <f>HYPERLINK("https://twitter.com/destino_em_maos/status/1674153341528469506")</f>
        <v>https://twitter.com/destino_em_maos/status/1674153341528469506</v>
      </c>
      <c r="AF205" s="79">
        <v>45105.854571759257</v>
      </c>
      <c r="AG205" s="85">
        <v>45105</v>
      </c>
      <c r="AH205" s="81" t="s">
        <v>6047</v>
      </c>
      <c r="AI205" s="77"/>
      <c r="AJ205" s="77"/>
      <c r="AK205" s="77"/>
      <c r="AL205" s="77"/>
      <c r="AM205" s="77"/>
      <c r="AN205" s="77"/>
      <c r="AO205" s="77"/>
      <c r="AP205" s="77"/>
      <c r="AQ205" s="77"/>
      <c r="AR205" s="77"/>
      <c r="AS205" s="77"/>
      <c r="AT205" s="77"/>
      <c r="AU205" s="77"/>
      <c r="AV205" s="83" t="str">
        <f>HYPERLINK("https://pbs.twimg.com/profile_images/1516561709263200256/StJe-hp2_normal.jpg")</f>
        <v>https://pbs.twimg.com/profile_images/1516561709263200256/StJe-hp2_normal.jpg</v>
      </c>
      <c r="AW205" s="81" t="s">
        <v>9482</v>
      </c>
      <c r="AX205" s="81" t="s">
        <v>11254</v>
      </c>
      <c r="AY205" s="81" t="s">
        <v>11325</v>
      </c>
      <c r="AZ205" s="81" t="s">
        <v>11254</v>
      </c>
      <c r="BA205" s="81" t="s">
        <v>11359</v>
      </c>
      <c r="BB205" s="81" t="s">
        <v>11359</v>
      </c>
      <c r="BC205" s="81" t="s">
        <v>11254</v>
      </c>
      <c r="BD205" s="81" t="s">
        <v>11325</v>
      </c>
      <c r="BE205" s="77"/>
      <c r="BF205" s="77"/>
      <c r="BG205" s="77"/>
      <c r="BH205" s="77"/>
      <c r="BI205" s="77"/>
    </row>
    <row r="206" spans="1:61" x14ac:dyDescent="0.25">
      <c r="A206" s="62" t="s">
        <v>323</v>
      </c>
      <c r="B206" s="62" t="s">
        <v>887</v>
      </c>
      <c r="C206" s="63"/>
      <c r="D206" s="64"/>
      <c r="E206" s="65"/>
      <c r="F206" s="66"/>
      <c r="G206" s="63"/>
      <c r="H206" s="67"/>
      <c r="I206" s="68"/>
      <c r="J206" s="68"/>
      <c r="K206" s="32"/>
      <c r="L206" s="75">
        <v>206</v>
      </c>
      <c r="M206" s="75"/>
      <c r="N206" s="70"/>
      <c r="O206" s="77" t="s">
        <v>967</v>
      </c>
      <c r="P206" s="79">
        <v>45100.387395833335</v>
      </c>
      <c r="Q206" s="77" t="s">
        <v>1162</v>
      </c>
      <c r="R206" s="77">
        <v>0</v>
      </c>
      <c r="S206" s="77">
        <v>2</v>
      </c>
      <c r="T206" s="77">
        <v>0</v>
      </c>
      <c r="U206" s="77">
        <v>0</v>
      </c>
      <c r="V206" s="77">
        <v>22</v>
      </c>
      <c r="W206" s="81" t="s">
        <v>3078</v>
      </c>
      <c r="X206" s="83" t="str">
        <f>HYPERLINK("https://www.masenweb.com/blog/traduccion-libre-ventas/")</f>
        <v>https://www.masenweb.com/blog/traduccion-libre-ventas/</v>
      </c>
      <c r="Y206" s="77" t="s">
        <v>4239</v>
      </c>
      <c r="Z206" s="77" t="s">
        <v>887</v>
      </c>
      <c r="AA206" s="77" t="s">
        <v>4502</v>
      </c>
      <c r="AB206" s="77" t="s">
        <v>5796</v>
      </c>
      <c r="AC206" s="81" t="s">
        <v>5805</v>
      </c>
      <c r="AD206" s="77" t="s">
        <v>5850</v>
      </c>
      <c r="AE206" s="83" t="str">
        <f>HYPERLINK("https://twitter.com/maround_sports/status/1672172102194016257")</f>
        <v>https://twitter.com/maround_sports/status/1672172102194016257</v>
      </c>
      <c r="AF206" s="79">
        <v>45100.387395833335</v>
      </c>
      <c r="AG206" s="85">
        <v>45100</v>
      </c>
      <c r="AH206" s="81" t="s">
        <v>6048</v>
      </c>
      <c r="AI206" s="77" t="b">
        <v>0</v>
      </c>
      <c r="AJ206" s="77"/>
      <c r="AK206" s="77"/>
      <c r="AL206" s="77"/>
      <c r="AM206" s="77"/>
      <c r="AN206" s="77"/>
      <c r="AO206" s="77"/>
      <c r="AP206" s="77"/>
      <c r="AQ206" s="77" t="s">
        <v>8005</v>
      </c>
      <c r="AR206" s="77"/>
      <c r="AS206" s="77"/>
      <c r="AT206" s="77"/>
      <c r="AU206" s="77"/>
      <c r="AV206" s="83" t="str">
        <f>HYPERLINK("https://pbs.twimg.com/tweet_video_thumb/FzS_qQwWcAE00bC.jpg")</f>
        <v>https://pbs.twimg.com/tweet_video_thumb/FzS_qQwWcAE00bC.jpg</v>
      </c>
      <c r="AW206" s="81" t="s">
        <v>9483</v>
      </c>
      <c r="AX206" s="81" t="s">
        <v>9483</v>
      </c>
      <c r="AY206" s="77"/>
      <c r="AZ206" s="81" t="s">
        <v>11359</v>
      </c>
      <c r="BA206" s="81" t="s">
        <v>11359</v>
      </c>
      <c r="BB206" s="81" t="s">
        <v>11359</v>
      </c>
      <c r="BC206" s="81" t="s">
        <v>9483</v>
      </c>
      <c r="BD206" s="81" t="s">
        <v>11452</v>
      </c>
      <c r="BE206" s="77"/>
      <c r="BF206" s="77"/>
      <c r="BG206" s="77"/>
      <c r="BH206" s="77"/>
      <c r="BI206" s="77"/>
    </row>
    <row r="207" spans="1:61" x14ac:dyDescent="0.25">
      <c r="A207" s="62" t="s">
        <v>324</v>
      </c>
      <c r="B207" s="62" t="s">
        <v>324</v>
      </c>
      <c r="C207" s="63"/>
      <c r="D207" s="64"/>
      <c r="E207" s="65"/>
      <c r="F207" s="66"/>
      <c r="G207" s="63"/>
      <c r="H207" s="67"/>
      <c r="I207" s="68"/>
      <c r="J207" s="68"/>
      <c r="K207" s="32"/>
      <c r="L207" s="75">
        <v>207</v>
      </c>
      <c r="M207" s="75"/>
      <c r="N207" s="70"/>
      <c r="O207" s="77" t="s">
        <v>179</v>
      </c>
      <c r="P207" s="79">
        <v>44956.972488425927</v>
      </c>
      <c r="Q207" s="77" t="s">
        <v>1163</v>
      </c>
      <c r="R207" s="77">
        <v>0</v>
      </c>
      <c r="S207" s="77">
        <v>2</v>
      </c>
      <c r="T207" s="77">
        <v>0</v>
      </c>
      <c r="U207" s="77">
        <v>0</v>
      </c>
      <c r="V207" s="77">
        <v>9</v>
      </c>
      <c r="W207" s="81" t="s">
        <v>3079</v>
      </c>
      <c r="X207" s="83" t="str">
        <f>HYPERLINK("https://pay.kiwify.com.br/vOyHRRG")</f>
        <v>https://pay.kiwify.com.br/vOyHRRG</v>
      </c>
      <c r="Y207" s="77" t="s">
        <v>4223</v>
      </c>
      <c r="Z207" s="77"/>
      <c r="AA207" s="77"/>
      <c r="AB207" s="77"/>
      <c r="AC207" s="81" t="s">
        <v>5803</v>
      </c>
      <c r="AD207" s="77" t="s">
        <v>5851</v>
      </c>
      <c r="AE207" s="83" t="str">
        <f>HYPERLINK("https://twitter.com/adrianod_rafael/status/1620200280553037828")</f>
        <v>https://twitter.com/adrianod_rafael/status/1620200280553037828</v>
      </c>
      <c r="AF207" s="79">
        <v>44956.972488425927</v>
      </c>
      <c r="AG207" s="85">
        <v>44956</v>
      </c>
      <c r="AH207" s="81" t="s">
        <v>6049</v>
      </c>
      <c r="AI207" s="77" t="b">
        <v>0</v>
      </c>
      <c r="AJ207" s="77"/>
      <c r="AK207" s="77"/>
      <c r="AL207" s="77"/>
      <c r="AM207" s="77"/>
      <c r="AN207" s="77"/>
      <c r="AO207" s="77"/>
      <c r="AP207" s="77"/>
      <c r="AQ207" s="77"/>
      <c r="AR207" s="77"/>
      <c r="AS207" s="77"/>
      <c r="AT207" s="77"/>
      <c r="AU207" s="77"/>
      <c r="AV207" s="83" t="str">
        <f>HYPERLINK("https://pbs.twimg.com/profile_images/1585760065390350339/mhdhECu5_normal.jpg")</f>
        <v>https://pbs.twimg.com/profile_images/1585760065390350339/mhdhECu5_normal.jpg</v>
      </c>
      <c r="AW207" s="81" t="s">
        <v>9484</v>
      </c>
      <c r="AX207" s="81" t="s">
        <v>9484</v>
      </c>
      <c r="AY207" s="77"/>
      <c r="AZ207" s="81" t="s">
        <v>11359</v>
      </c>
      <c r="BA207" s="81" t="s">
        <v>11359</v>
      </c>
      <c r="BB207" s="81" t="s">
        <v>11359</v>
      </c>
      <c r="BC207" s="81" t="s">
        <v>9484</v>
      </c>
      <c r="BD207" s="77">
        <v>1513550102</v>
      </c>
      <c r="BE207" s="77"/>
      <c r="BF207" s="77"/>
      <c r="BG207" s="77"/>
      <c r="BH207" s="77"/>
      <c r="BI207" s="77"/>
    </row>
    <row r="208" spans="1:61" x14ac:dyDescent="0.25">
      <c r="A208" s="62" t="s">
        <v>325</v>
      </c>
      <c r="B208" s="62" t="s">
        <v>325</v>
      </c>
      <c r="C208" s="63"/>
      <c r="D208" s="64"/>
      <c r="E208" s="65"/>
      <c r="F208" s="66"/>
      <c r="G208" s="63"/>
      <c r="H208" s="67"/>
      <c r="I208" s="68"/>
      <c r="J208" s="68"/>
      <c r="K208" s="32"/>
      <c r="L208" s="75">
        <v>208</v>
      </c>
      <c r="M208" s="75"/>
      <c r="N208" s="70"/>
      <c r="O208" s="77" t="s">
        <v>179</v>
      </c>
      <c r="P208" s="79">
        <v>44934.756747685184</v>
      </c>
      <c r="Q208" s="77" t="s">
        <v>1164</v>
      </c>
      <c r="R208" s="77">
        <v>0</v>
      </c>
      <c r="S208" s="77">
        <v>0</v>
      </c>
      <c r="T208" s="77">
        <v>0</v>
      </c>
      <c r="U208" s="77">
        <v>0</v>
      </c>
      <c r="V208" s="77">
        <v>62</v>
      </c>
      <c r="W208" s="81" t="s">
        <v>3080</v>
      </c>
      <c r="X208" s="83" t="str">
        <f>HYPERLINK("http://bit.ly/3vmyi5R")</f>
        <v>http://bit.ly/3vmyi5R</v>
      </c>
      <c r="Y208" s="77" t="s">
        <v>4213</v>
      </c>
      <c r="Z208" s="77"/>
      <c r="AA208" s="77" t="s">
        <v>4503</v>
      </c>
      <c r="AB208" s="77" t="s">
        <v>5795</v>
      </c>
      <c r="AC208" s="81" t="s">
        <v>5801</v>
      </c>
      <c r="AD208" s="77" t="s">
        <v>5850</v>
      </c>
      <c r="AE208" s="83" t="str">
        <f>HYPERLINK("https://twitter.com/desdela3cuerda/status/1612149564806406144")</f>
        <v>https://twitter.com/desdela3cuerda/status/1612149564806406144</v>
      </c>
      <c r="AF208" s="79">
        <v>44934.756747685184</v>
      </c>
      <c r="AG208" s="85">
        <v>44934</v>
      </c>
      <c r="AH208" s="81" t="s">
        <v>6050</v>
      </c>
      <c r="AI208" s="77" t="b">
        <v>0</v>
      </c>
      <c r="AJ208" s="77"/>
      <c r="AK208" s="77"/>
      <c r="AL208" s="77"/>
      <c r="AM208" s="77"/>
      <c r="AN208" s="77"/>
      <c r="AO208" s="77"/>
      <c r="AP208" s="77"/>
      <c r="AQ208" s="77" t="s">
        <v>8006</v>
      </c>
      <c r="AR208" s="77">
        <v>17514</v>
      </c>
      <c r="AS208" s="77"/>
      <c r="AT208" s="77"/>
      <c r="AU208" s="77"/>
      <c r="AV208" s="83" t="str">
        <f>HYPERLINK("https://pbs.twimg.com/ext_tw_video_thumb/1612149227483811840/pu/img/0C-CDGQKTV57BCIP.jpg")</f>
        <v>https://pbs.twimg.com/ext_tw_video_thumb/1612149227483811840/pu/img/0C-CDGQKTV57BCIP.jpg</v>
      </c>
      <c r="AW208" s="81" t="s">
        <v>9485</v>
      </c>
      <c r="AX208" s="81" t="s">
        <v>9485</v>
      </c>
      <c r="AY208" s="77"/>
      <c r="AZ208" s="81" t="s">
        <v>11359</v>
      </c>
      <c r="BA208" s="81" t="s">
        <v>11359</v>
      </c>
      <c r="BB208" s="81" t="s">
        <v>11359</v>
      </c>
      <c r="BC208" s="81" t="s">
        <v>9485</v>
      </c>
      <c r="BD208" s="77">
        <v>141254528</v>
      </c>
      <c r="BE208" s="77"/>
      <c r="BF208" s="77"/>
      <c r="BG208" s="77"/>
      <c r="BH208" s="77"/>
      <c r="BI208" s="77"/>
    </row>
    <row r="209" spans="1:61" x14ac:dyDescent="0.25">
      <c r="A209" s="62" t="s">
        <v>326</v>
      </c>
      <c r="B209" s="62" t="s">
        <v>326</v>
      </c>
      <c r="C209" s="63"/>
      <c r="D209" s="64"/>
      <c r="E209" s="65"/>
      <c r="F209" s="66"/>
      <c r="G209" s="63"/>
      <c r="H209" s="67"/>
      <c r="I209" s="68"/>
      <c r="J209" s="68"/>
      <c r="K209" s="32"/>
      <c r="L209" s="75">
        <v>209</v>
      </c>
      <c r="M209" s="75"/>
      <c r="N209" s="70"/>
      <c r="O209" s="77" t="s">
        <v>179</v>
      </c>
      <c r="P209" s="79">
        <v>44949.983113425929</v>
      </c>
      <c r="Q209" s="77" t="s">
        <v>1165</v>
      </c>
      <c r="R209" s="77">
        <v>0</v>
      </c>
      <c r="S209" s="77">
        <v>0</v>
      </c>
      <c r="T209" s="77">
        <v>0</v>
      </c>
      <c r="U209" s="77">
        <v>0</v>
      </c>
      <c r="V209" s="77">
        <v>73</v>
      </c>
      <c r="W209" s="81" t="s">
        <v>3081</v>
      </c>
      <c r="X209" s="83" t="str">
        <f>HYPERLINK("http://usereserva.com/?bl_pr=RSV4576")</f>
        <v>http://usereserva.com/?bl_pr=RSV4576</v>
      </c>
      <c r="Y209" s="77" t="s">
        <v>4240</v>
      </c>
      <c r="Z209" s="77"/>
      <c r="AA209" s="77" t="s">
        <v>4504</v>
      </c>
      <c r="AB209" s="77" t="s">
        <v>5794</v>
      </c>
      <c r="AC209" s="81" t="s">
        <v>5803</v>
      </c>
      <c r="AD209" s="77" t="s">
        <v>5851</v>
      </c>
      <c r="AE209" s="83" t="str">
        <f>HYPERLINK("https://twitter.com/reserva_isadora/status/1617667416003338243")</f>
        <v>https://twitter.com/reserva_isadora/status/1617667416003338243</v>
      </c>
      <c r="AF209" s="79">
        <v>44949.983113425929</v>
      </c>
      <c r="AG209" s="85">
        <v>44949</v>
      </c>
      <c r="AH209" s="81" t="s">
        <v>6051</v>
      </c>
      <c r="AI209" s="77" t="b">
        <v>0</v>
      </c>
      <c r="AJ209" s="77"/>
      <c r="AK209" s="77"/>
      <c r="AL209" s="77"/>
      <c r="AM209" s="77"/>
      <c r="AN209" s="77"/>
      <c r="AO209" s="77"/>
      <c r="AP209" s="77"/>
      <c r="AQ209" s="77" t="s">
        <v>8007</v>
      </c>
      <c r="AR209" s="77"/>
      <c r="AS209" s="77"/>
      <c r="AT209" s="77"/>
      <c r="AU209" s="77"/>
      <c r="AV209" s="83" t="str">
        <f>HYPERLINK("https://pbs.twimg.com/media/FnMb8JWWQAEwUOG.jpg")</f>
        <v>https://pbs.twimg.com/media/FnMb8JWWQAEwUOG.jpg</v>
      </c>
      <c r="AW209" s="81" t="s">
        <v>9486</v>
      </c>
      <c r="AX209" s="81" t="s">
        <v>9486</v>
      </c>
      <c r="AY209" s="77"/>
      <c r="AZ209" s="81" t="s">
        <v>11359</v>
      </c>
      <c r="BA209" s="81" t="s">
        <v>11359</v>
      </c>
      <c r="BB209" s="81" t="s">
        <v>11359</v>
      </c>
      <c r="BC209" s="81" t="s">
        <v>9486</v>
      </c>
      <c r="BD209" s="81" t="s">
        <v>11453</v>
      </c>
      <c r="BE209" s="77"/>
      <c r="BF209" s="77"/>
      <c r="BG209" s="77"/>
      <c r="BH209" s="77"/>
      <c r="BI209" s="77"/>
    </row>
    <row r="210" spans="1:61" x14ac:dyDescent="0.25">
      <c r="A210" s="62" t="s">
        <v>327</v>
      </c>
      <c r="B210" s="62" t="s">
        <v>327</v>
      </c>
      <c r="C210" s="63"/>
      <c r="D210" s="64"/>
      <c r="E210" s="65"/>
      <c r="F210" s="66"/>
      <c r="G210" s="63"/>
      <c r="H210" s="67"/>
      <c r="I210" s="68"/>
      <c r="J210" s="68"/>
      <c r="K210" s="32"/>
      <c r="L210" s="75">
        <v>210</v>
      </c>
      <c r="M210" s="75"/>
      <c r="N210" s="70"/>
      <c r="O210" s="77" t="s">
        <v>179</v>
      </c>
      <c r="P210" s="79">
        <v>45194.735300925924</v>
      </c>
      <c r="Q210" s="77" t="s">
        <v>1166</v>
      </c>
      <c r="R210" s="77">
        <v>0</v>
      </c>
      <c r="S210" s="77">
        <v>0</v>
      </c>
      <c r="T210" s="77">
        <v>0</v>
      </c>
      <c r="U210" s="77">
        <v>0</v>
      </c>
      <c r="V210" s="77">
        <v>1</v>
      </c>
      <c r="W210" s="81" t="s">
        <v>3082</v>
      </c>
      <c r="X210" s="77"/>
      <c r="Y210" s="77"/>
      <c r="Z210" s="77"/>
      <c r="AA210" s="77" t="s">
        <v>4505</v>
      </c>
      <c r="AB210" s="77" t="s">
        <v>5794</v>
      </c>
      <c r="AC210" s="81" t="s">
        <v>5801</v>
      </c>
      <c r="AD210" s="77" t="s">
        <v>5853</v>
      </c>
      <c r="AE210" s="83" t="str">
        <f>HYPERLINK("https://twitter.com/markusdesigner/status/1706362640837083326")</f>
        <v>https://twitter.com/markusdesigner/status/1706362640837083326</v>
      </c>
      <c r="AF210" s="79">
        <v>45194.735300925924</v>
      </c>
      <c r="AG210" s="85">
        <v>45194</v>
      </c>
      <c r="AH210" s="81" t="s">
        <v>6052</v>
      </c>
      <c r="AI210" s="77" t="b">
        <v>0</v>
      </c>
      <c r="AJ210" s="77" t="s">
        <v>7734</v>
      </c>
      <c r="AK210" s="77" t="s">
        <v>7763</v>
      </c>
      <c r="AL210" s="77" t="s">
        <v>7772</v>
      </c>
      <c r="AM210" s="77" t="s">
        <v>7788</v>
      </c>
      <c r="AN210" s="77" t="s">
        <v>7824</v>
      </c>
      <c r="AO210" s="77" t="s">
        <v>7860</v>
      </c>
      <c r="AP210" s="77" t="s">
        <v>7891</v>
      </c>
      <c r="AQ210" s="77" t="s">
        <v>8008</v>
      </c>
      <c r="AR210" s="77"/>
      <c r="AS210" s="77"/>
      <c r="AT210" s="77"/>
      <c r="AU210" s="77"/>
      <c r="AV210" s="83" t="str">
        <f>HYPERLINK("https://pbs.twimg.com/media/F643x0mW8AAFc8t.jpg")</f>
        <v>https://pbs.twimg.com/media/F643x0mW8AAFc8t.jpg</v>
      </c>
      <c r="AW210" s="81" t="s">
        <v>9487</v>
      </c>
      <c r="AX210" s="81" t="s">
        <v>9487</v>
      </c>
      <c r="AY210" s="77"/>
      <c r="AZ210" s="81" t="s">
        <v>11359</v>
      </c>
      <c r="BA210" s="81" t="s">
        <v>11359</v>
      </c>
      <c r="BB210" s="81" t="s">
        <v>11359</v>
      </c>
      <c r="BC210" s="81" t="s">
        <v>9487</v>
      </c>
      <c r="BD210" s="81" t="s">
        <v>11454</v>
      </c>
      <c r="BE210" s="77"/>
      <c r="BF210" s="77"/>
      <c r="BG210" s="77"/>
      <c r="BH210" s="77"/>
      <c r="BI210" s="77"/>
    </row>
    <row r="211" spans="1:61" x14ac:dyDescent="0.25">
      <c r="A211" s="62" t="s">
        <v>328</v>
      </c>
      <c r="B211" s="62" t="s">
        <v>328</v>
      </c>
      <c r="C211" s="63"/>
      <c r="D211" s="64"/>
      <c r="E211" s="65"/>
      <c r="F211" s="66"/>
      <c r="G211" s="63"/>
      <c r="H211" s="67"/>
      <c r="I211" s="68"/>
      <c r="J211" s="68"/>
      <c r="K211" s="32"/>
      <c r="L211" s="75">
        <v>211</v>
      </c>
      <c r="M211" s="75"/>
      <c r="N211" s="70"/>
      <c r="O211" s="77" t="s">
        <v>179</v>
      </c>
      <c r="P211" s="79">
        <v>44947.50141203704</v>
      </c>
      <c r="Q211" s="77" t="s">
        <v>1167</v>
      </c>
      <c r="R211" s="77">
        <v>0</v>
      </c>
      <c r="S211" s="77">
        <v>0</v>
      </c>
      <c r="T211" s="77">
        <v>0</v>
      </c>
      <c r="U211" s="77">
        <v>0</v>
      </c>
      <c r="V211" s="77">
        <v>18</v>
      </c>
      <c r="W211" s="81" t="s">
        <v>3083</v>
      </c>
      <c r="X211" s="83" t="str">
        <f>HYPERLINK("https://www.instagram.com/p/CnrS21HgtC9/?igshid=YTgzYjQ4ZTY=")</f>
        <v>https://www.instagram.com/p/CnrS21HgtC9/?igshid=YTgzYjQ4ZTY=</v>
      </c>
      <c r="Y211" s="77" t="s">
        <v>4215</v>
      </c>
      <c r="Z211" s="77"/>
      <c r="AA211" s="77"/>
      <c r="AB211" s="77"/>
      <c r="AC211" s="81" t="s">
        <v>5804</v>
      </c>
      <c r="AD211" s="77" t="s">
        <v>5851</v>
      </c>
      <c r="AE211" s="83" t="str">
        <f>HYPERLINK("https://twitter.com/mislenetbrito/status/1616768078351859714")</f>
        <v>https://twitter.com/mislenetbrito/status/1616768078351859714</v>
      </c>
      <c r="AF211" s="79">
        <v>44947.50141203704</v>
      </c>
      <c r="AG211" s="85">
        <v>44947</v>
      </c>
      <c r="AH211" s="81" t="s">
        <v>6053</v>
      </c>
      <c r="AI211" s="77" t="b">
        <v>0</v>
      </c>
      <c r="AJ211" s="77" t="s">
        <v>7735</v>
      </c>
      <c r="AK211" s="77" t="s">
        <v>7763</v>
      </c>
      <c r="AL211" s="77" t="s">
        <v>7772</v>
      </c>
      <c r="AM211" s="77" t="s">
        <v>7789</v>
      </c>
      <c r="AN211" s="77" t="s">
        <v>7825</v>
      </c>
      <c r="AO211" s="77" t="s">
        <v>7861</v>
      </c>
      <c r="AP211" s="77" t="s">
        <v>7889</v>
      </c>
      <c r="AQ211" s="77"/>
      <c r="AR211" s="77"/>
      <c r="AS211" s="77"/>
      <c r="AT211" s="77"/>
      <c r="AU211" s="77"/>
      <c r="AV211" s="83" t="str">
        <f>HYPERLINK("https://pbs.twimg.com/profile_images/1587107992117383177/eILzOorf_normal.jpg")</f>
        <v>https://pbs.twimg.com/profile_images/1587107992117383177/eILzOorf_normal.jpg</v>
      </c>
      <c r="AW211" s="81" t="s">
        <v>9488</v>
      </c>
      <c r="AX211" s="81" t="s">
        <v>9488</v>
      </c>
      <c r="AY211" s="77"/>
      <c r="AZ211" s="81" t="s">
        <v>11359</v>
      </c>
      <c r="BA211" s="81" t="s">
        <v>11359</v>
      </c>
      <c r="BB211" s="81" t="s">
        <v>11359</v>
      </c>
      <c r="BC211" s="81" t="s">
        <v>9488</v>
      </c>
      <c r="BD211" s="81" t="s">
        <v>11455</v>
      </c>
      <c r="BE211" s="77"/>
      <c r="BF211" s="77"/>
      <c r="BG211" s="77"/>
      <c r="BH211" s="77"/>
      <c r="BI211" s="77"/>
    </row>
    <row r="212" spans="1:61" x14ac:dyDescent="0.25">
      <c r="A212" s="62" t="s">
        <v>328</v>
      </c>
      <c r="B212" s="62" t="s">
        <v>328</v>
      </c>
      <c r="C212" s="63"/>
      <c r="D212" s="64"/>
      <c r="E212" s="65"/>
      <c r="F212" s="66"/>
      <c r="G212" s="63"/>
      <c r="H212" s="67"/>
      <c r="I212" s="68"/>
      <c r="J212" s="68"/>
      <c r="K212" s="32"/>
      <c r="L212" s="75">
        <v>212</v>
      </c>
      <c r="M212" s="75"/>
      <c r="N212" s="70"/>
      <c r="O212" s="77" t="s">
        <v>179</v>
      </c>
      <c r="P212" s="79">
        <v>44932.63181712963</v>
      </c>
      <c r="Q212" s="77" t="s">
        <v>1168</v>
      </c>
      <c r="R212" s="77">
        <v>0</v>
      </c>
      <c r="S212" s="77">
        <v>0</v>
      </c>
      <c r="T212" s="77">
        <v>0</v>
      </c>
      <c r="U212" s="77">
        <v>0</v>
      </c>
      <c r="V212" s="77">
        <v>7</v>
      </c>
      <c r="W212" s="81" t="s">
        <v>3084</v>
      </c>
      <c r="X212" s="83" t="str">
        <f>HYPERLINK("https://www.instagram.com/p/CnFAa_PrXrQ/?igshid=YTgzYjQ4ZTY=")</f>
        <v>https://www.instagram.com/p/CnFAa_PrXrQ/?igshid=YTgzYjQ4ZTY=</v>
      </c>
      <c r="Y212" s="77" t="s">
        <v>4215</v>
      </c>
      <c r="Z212" s="77"/>
      <c r="AA212" s="77"/>
      <c r="AB212" s="77"/>
      <c r="AC212" s="81" t="s">
        <v>5804</v>
      </c>
      <c r="AD212" s="77" t="s">
        <v>5851</v>
      </c>
      <c r="AE212" s="83" t="str">
        <f>HYPERLINK("https://twitter.com/mislenetbrito/status/1611379517875945479")</f>
        <v>https://twitter.com/mislenetbrito/status/1611379517875945479</v>
      </c>
      <c r="AF212" s="79">
        <v>44932.63181712963</v>
      </c>
      <c r="AG212" s="85">
        <v>44932</v>
      </c>
      <c r="AH212" s="81" t="s">
        <v>6054</v>
      </c>
      <c r="AI212" s="77" t="b">
        <v>0</v>
      </c>
      <c r="AJ212" s="77" t="s">
        <v>7735</v>
      </c>
      <c r="AK212" s="77" t="s">
        <v>7763</v>
      </c>
      <c r="AL212" s="77" t="s">
        <v>7772</v>
      </c>
      <c r="AM212" s="77" t="s">
        <v>7789</v>
      </c>
      <c r="AN212" s="77" t="s">
        <v>7825</v>
      </c>
      <c r="AO212" s="77" t="s">
        <v>7861</v>
      </c>
      <c r="AP212" s="77" t="s">
        <v>7889</v>
      </c>
      <c r="AQ212" s="77"/>
      <c r="AR212" s="77"/>
      <c r="AS212" s="77"/>
      <c r="AT212" s="77"/>
      <c r="AU212" s="77"/>
      <c r="AV212" s="83" t="str">
        <f>HYPERLINK("https://pbs.twimg.com/profile_images/1587107992117383177/eILzOorf_normal.jpg")</f>
        <v>https://pbs.twimg.com/profile_images/1587107992117383177/eILzOorf_normal.jpg</v>
      </c>
      <c r="AW212" s="81" t="s">
        <v>9489</v>
      </c>
      <c r="AX212" s="81" t="s">
        <v>9489</v>
      </c>
      <c r="AY212" s="77"/>
      <c r="AZ212" s="81" t="s">
        <v>11359</v>
      </c>
      <c r="BA212" s="81" t="s">
        <v>11359</v>
      </c>
      <c r="BB212" s="81" t="s">
        <v>11359</v>
      </c>
      <c r="BC212" s="81" t="s">
        <v>9489</v>
      </c>
      <c r="BD212" s="81" t="s">
        <v>11455</v>
      </c>
      <c r="BE212" s="77"/>
      <c r="BF212" s="77"/>
      <c r="BG212" s="77"/>
      <c r="BH212" s="77"/>
      <c r="BI212" s="77"/>
    </row>
    <row r="213" spans="1:61" x14ac:dyDescent="0.25">
      <c r="A213" s="62" t="s">
        <v>329</v>
      </c>
      <c r="B213" s="62" t="s">
        <v>888</v>
      </c>
      <c r="C213" s="63"/>
      <c r="D213" s="64"/>
      <c r="E213" s="65"/>
      <c r="F213" s="66"/>
      <c r="G213" s="63"/>
      <c r="H213" s="67"/>
      <c r="I213" s="68"/>
      <c r="J213" s="68"/>
      <c r="K213" s="32"/>
      <c r="L213" s="75">
        <v>213</v>
      </c>
      <c r="M213" s="75"/>
      <c r="N213" s="70"/>
      <c r="O213" s="77" t="s">
        <v>967</v>
      </c>
      <c r="P213" s="79">
        <v>45120.447280092594</v>
      </c>
      <c r="Q213" s="77" t="s">
        <v>1169</v>
      </c>
      <c r="R213" s="77">
        <v>0</v>
      </c>
      <c r="S213" s="77">
        <v>2</v>
      </c>
      <c r="T213" s="77">
        <v>0</v>
      </c>
      <c r="U213" s="77">
        <v>0</v>
      </c>
      <c r="V213" s="77">
        <v>58</v>
      </c>
      <c r="W213" s="81" t="s">
        <v>3085</v>
      </c>
      <c r="X213" s="83" t="str">
        <f>HYPERLINK("https://www.todostuslibros.com/libros/el-metodo-kibitza_978-84-18492-49-5")</f>
        <v>https://www.todostuslibros.com/libros/el-metodo-kibitza_978-84-18492-49-5</v>
      </c>
      <c r="Y213" s="77" t="s">
        <v>4241</v>
      </c>
      <c r="Z213" s="77" t="s">
        <v>4366</v>
      </c>
      <c r="AA213" s="77" t="s">
        <v>4506</v>
      </c>
      <c r="AB213" s="77" t="s">
        <v>5794</v>
      </c>
      <c r="AC213" s="81" t="s">
        <v>5805</v>
      </c>
      <c r="AD213" s="77" t="s">
        <v>5850</v>
      </c>
      <c r="AE213" s="83" t="str">
        <f>HYPERLINK("https://twitter.com/edultimalinea/status/1679441561661087744")</f>
        <v>https://twitter.com/edultimalinea/status/1679441561661087744</v>
      </c>
      <c r="AF213" s="79">
        <v>45120.447280092594</v>
      </c>
      <c r="AG213" s="85">
        <v>45120</v>
      </c>
      <c r="AH213" s="81" t="s">
        <v>6055</v>
      </c>
      <c r="AI213" s="77" t="b">
        <v>0</v>
      </c>
      <c r="AJ213" s="77"/>
      <c r="AK213" s="77"/>
      <c r="AL213" s="77"/>
      <c r="AM213" s="77"/>
      <c r="AN213" s="77"/>
      <c r="AO213" s="77"/>
      <c r="AP213" s="77"/>
      <c r="AQ213" s="77" t="s">
        <v>8009</v>
      </c>
      <c r="AR213" s="77"/>
      <c r="AS213" s="77"/>
      <c r="AT213" s="77"/>
      <c r="AU213" s="77"/>
      <c r="AV213" s="83" t="str">
        <f>HYPERLINK("https://pbs.twimg.com/media/F06SvssWAAEMLcw.jpg")</f>
        <v>https://pbs.twimg.com/media/F06SvssWAAEMLcw.jpg</v>
      </c>
      <c r="AW213" s="81" t="s">
        <v>9490</v>
      </c>
      <c r="AX213" s="81" t="s">
        <v>9490</v>
      </c>
      <c r="AY213" s="77"/>
      <c r="AZ213" s="81" t="s">
        <v>11359</v>
      </c>
      <c r="BA213" s="81" t="s">
        <v>11359</v>
      </c>
      <c r="BB213" s="81" t="s">
        <v>11359</v>
      </c>
      <c r="BC213" s="81" t="s">
        <v>9490</v>
      </c>
      <c r="BD213" s="77">
        <v>2331579193</v>
      </c>
      <c r="BE213" s="77"/>
      <c r="BF213" s="77"/>
      <c r="BG213" s="77"/>
      <c r="BH213" s="77"/>
      <c r="BI213" s="77"/>
    </row>
    <row r="214" spans="1:61" x14ac:dyDescent="0.25">
      <c r="A214" s="62" t="s">
        <v>329</v>
      </c>
      <c r="B214" s="62" t="s">
        <v>889</v>
      </c>
      <c r="C214" s="63"/>
      <c r="D214" s="64"/>
      <c r="E214" s="65"/>
      <c r="F214" s="66"/>
      <c r="G214" s="63"/>
      <c r="H214" s="67"/>
      <c r="I214" s="68"/>
      <c r="J214" s="68"/>
      <c r="K214" s="32"/>
      <c r="L214" s="75">
        <v>214</v>
      </c>
      <c r="M214" s="75"/>
      <c r="N214" s="70"/>
      <c r="O214" s="77" t="s">
        <v>967</v>
      </c>
      <c r="P214" s="79">
        <v>45120.447280092594</v>
      </c>
      <c r="Q214" s="77" t="s">
        <v>1169</v>
      </c>
      <c r="R214" s="77">
        <v>0</v>
      </c>
      <c r="S214" s="77">
        <v>2</v>
      </c>
      <c r="T214" s="77">
        <v>0</v>
      </c>
      <c r="U214" s="77">
        <v>0</v>
      </c>
      <c r="V214" s="77">
        <v>58</v>
      </c>
      <c r="W214" s="81" t="s">
        <v>3085</v>
      </c>
      <c r="X214" s="83" t="str">
        <f>HYPERLINK("https://www.todostuslibros.com/libros/el-metodo-kibitza_978-84-18492-49-5")</f>
        <v>https://www.todostuslibros.com/libros/el-metodo-kibitza_978-84-18492-49-5</v>
      </c>
      <c r="Y214" s="77" t="s">
        <v>4241</v>
      </c>
      <c r="Z214" s="77" t="s">
        <v>4366</v>
      </c>
      <c r="AA214" s="77" t="s">
        <v>4506</v>
      </c>
      <c r="AB214" s="77" t="s">
        <v>5794</v>
      </c>
      <c r="AC214" s="81" t="s">
        <v>5805</v>
      </c>
      <c r="AD214" s="77" t="s">
        <v>5850</v>
      </c>
      <c r="AE214" s="83" t="str">
        <f>HYPERLINK("https://twitter.com/edultimalinea/status/1679441561661087744")</f>
        <v>https://twitter.com/edultimalinea/status/1679441561661087744</v>
      </c>
      <c r="AF214" s="79">
        <v>45120.447280092594</v>
      </c>
      <c r="AG214" s="85">
        <v>45120</v>
      </c>
      <c r="AH214" s="81" t="s">
        <v>6055</v>
      </c>
      <c r="AI214" s="77" t="b">
        <v>0</v>
      </c>
      <c r="AJ214" s="77"/>
      <c r="AK214" s="77"/>
      <c r="AL214" s="77"/>
      <c r="AM214" s="77"/>
      <c r="AN214" s="77"/>
      <c r="AO214" s="77"/>
      <c r="AP214" s="77"/>
      <c r="AQ214" s="77" t="s">
        <v>8009</v>
      </c>
      <c r="AR214" s="77"/>
      <c r="AS214" s="77"/>
      <c r="AT214" s="77"/>
      <c r="AU214" s="77"/>
      <c r="AV214" s="83" t="str">
        <f>HYPERLINK("https://pbs.twimg.com/media/F06SvssWAAEMLcw.jpg")</f>
        <v>https://pbs.twimg.com/media/F06SvssWAAEMLcw.jpg</v>
      </c>
      <c r="AW214" s="81" t="s">
        <v>9490</v>
      </c>
      <c r="AX214" s="81" t="s">
        <v>9490</v>
      </c>
      <c r="AY214" s="77"/>
      <c r="AZ214" s="81" t="s">
        <v>11359</v>
      </c>
      <c r="BA214" s="81" t="s">
        <v>11359</v>
      </c>
      <c r="BB214" s="81" t="s">
        <v>11359</v>
      </c>
      <c r="BC214" s="81" t="s">
        <v>9490</v>
      </c>
      <c r="BD214" s="77">
        <v>2331579193</v>
      </c>
      <c r="BE214" s="77"/>
      <c r="BF214" s="77"/>
      <c r="BG214" s="77"/>
      <c r="BH214" s="77"/>
      <c r="BI214" s="77"/>
    </row>
    <row r="215" spans="1:61" x14ac:dyDescent="0.25">
      <c r="A215" s="62" t="s">
        <v>329</v>
      </c>
      <c r="B215" s="62" t="s">
        <v>890</v>
      </c>
      <c r="C215" s="63"/>
      <c r="D215" s="64"/>
      <c r="E215" s="65"/>
      <c r="F215" s="66"/>
      <c r="G215" s="63"/>
      <c r="H215" s="67"/>
      <c r="I215" s="68"/>
      <c r="J215" s="68"/>
      <c r="K215" s="32"/>
      <c r="L215" s="75">
        <v>215</v>
      </c>
      <c r="M215" s="75"/>
      <c r="N215" s="70"/>
      <c r="O215" s="77" t="s">
        <v>967</v>
      </c>
      <c r="P215" s="79">
        <v>45120.447280092594</v>
      </c>
      <c r="Q215" s="77" t="s">
        <v>1169</v>
      </c>
      <c r="R215" s="77">
        <v>0</v>
      </c>
      <c r="S215" s="77">
        <v>2</v>
      </c>
      <c r="T215" s="77">
        <v>0</v>
      </c>
      <c r="U215" s="77">
        <v>0</v>
      </c>
      <c r="V215" s="77">
        <v>58</v>
      </c>
      <c r="W215" s="81" t="s">
        <v>3085</v>
      </c>
      <c r="X215" s="83" t="str">
        <f>HYPERLINK("https://www.todostuslibros.com/libros/el-metodo-kibitza_978-84-18492-49-5")</f>
        <v>https://www.todostuslibros.com/libros/el-metodo-kibitza_978-84-18492-49-5</v>
      </c>
      <c r="Y215" s="77" t="s">
        <v>4241</v>
      </c>
      <c r="Z215" s="77" t="s">
        <v>4366</v>
      </c>
      <c r="AA215" s="77" t="s">
        <v>4506</v>
      </c>
      <c r="AB215" s="77" t="s">
        <v>5794</v>
      </c>
      <c r="AC215" s="81" t="s">
        <v>5805</v>
      </c>
      <c r="AD215" s="77" t="s">
        <v>5850</v>
      </c>
      <c r="AE215" s="83" t="str">
        <f>HYPERLINK("https://twitter.com/edultimalinea/status/1679441561661087744")</f>
        <v>https://twitter.com/edultimalinea/status/1679441561661087744</v>
      </c>
      <c r="AF215" s="79">
        <v>45120.447280092594</v>
      </c>
      <c r="AG215" s="85">
        <v>45120</v>
      </c>
      <c r="AH215" s="81" t="s">
        <v>6055</v>
      </c>
      <c r="AI215" s="77" t="b">
        <v>0</v>
      </c>
      <c r="AJ215" s="77"/>
      <c r="AK215" s="77"/>
      <c r="AL215" s="77"/>
      <c r="AM215" s="77"/>
      <c r="AN215" s="77"/>
      <c r="AO215" s="77"/>
      <c r="AP215" s="77"/>
      <c r="AQ215" s="77" t="s">
        <v>8009</v>
      </c>
      <c r="AR215" s="77"/>
      <c r="AS215" s="77"/>
      <c r="AT215" s="77"/>
      <c r="AU215" s="77"/>
      <c r="AV215" s="83" t="str">
        <f>HYPERLINK("https://pbs.twimg.com/media/F06SvssWAAEMLcw.jpg")</f>
        <v>https://pbs.twimg.com/media/F06SvssWAAEMLcw.jpg</v>
      </c>
      <c r="AW215" s="81" t="s">
        <v>9490</v>
      </c>
      <c r="AX215" s="81" t="s">
        <v>9490</v>
      </c>
      <c r="AY215" s="77"/>
      <c r="AZ215" s="81" t="s">
        <v>11359</v>
      </c>
      <c r="BA215" s="81" t="s">
        <v>11359</v>
      </c>
      <c r="BB215" s="81" t="s">
        <v>11359</v>
      </c>
      <c r="BC215" s="81" t="s">
        <v>9490</v>
      </c>
      <c r="BD215" s="77">
        <v>2331579193</v>
      </c>
      <c r="BE215" s="77"/>
      <c r="BF215" s="77"/>
      <c r="BG215" s="77"/>
      <c r="BH215" s="77"/>
      <c r="BI215" s="77"/>
    </row>
    <row r="216" spans="1:61" x14ac:dyDescent="0.25">
      <c r="A216" s="62" t="s">
        <v>329</v>
      </c>
      <c r="B216" s="62" t="s">
        <v>891</v>
      </c>
      <c r="C216" s="63"/>
      <c r="D216" s="64"/>
      <c r="E216" s="65"/>
      <c r="F216" s="66"/>
      <c r="G216" s="63"/>
      <c r="H216" s="67"/>
      <c r="I216" s="68"/>
      <c r="J216" s="68"/>
      <c r="K216" s="32"/>
      <c r="L216" s="75">
        <v>216</v>
      </c>
      <c r="M216" s="75"/>
      <c r="N216" s="70"/>
      <c r="O216" s="77" t="s">
        <v>967</v>
      </c>
      <c r="P216" s="79">
        <v>45120.447280092594</v>
      </c>
      <c r="Q216" s="77" t="s">
        <v>1169</v>
      </c>
      <c r="R216" s="77">
        <v>0</v>
      </c>
      <c r="S216" s="77">
        <v>2</v>
      </c>
      <c r="T216" s="77">
        <v>0</v>
      </c>
      <c r="U216" s="77">
        <v>0</v>
      </c>
      <c r="V216" s="77">
        <v>58</v>
      </c>
      <c r="W216" s="81" t="s">
        <v>3085</v>
      </c>
      <c r="X216" s="83" t="str">
        <f>HYPERLINK("https://www.todostuslibros.com/libros/el-metodo-kibitza_978-84-18492-49-5")</f>
        <v>https://www.todostuslibros.com/libros/el-metodo-kibitza_978-84-18492-49-5</v>
      </c>
      <c r="Y216" s="77" t="s">
        <v>4241</v>
      </c>
      <c r="Z216" s="77" t="s">
        <v>4366</v>
      </c>
      <c r="AA216" s="77" t="s">
        <v>4506</v>
      </c>
      <c r="AB216" s="77" t="s">
        <v>5794</v>
      </c>
      <c r="AC216" s="81" t="s">
        <v>5805</v>
      </c>
      <c r="AD216" s="77" t="s">
        <v>5850</v>
      </c>
      <c r="AE216" s="83" t="str">
        <f>HYPERLINK("https://twitter.com/edultimalinea/status/1679441561661087744")</f>
        <v>https://twitter.com/edultimalinea/status/1679441561661087744</v>
      </c>
      <c r="AF216" s="79">
        <v>45120.447280092594</v>
      </c>
      <c r="AG216" s="85">
        <v>45120</v>
      </c>
      <c r="AH216" s="81" t="s">
        <v>6055</v>
      </c>
      <c r="AI216" s="77" t="b">
        <v>0</v>
      </c>
      <c r="AJ216" s="77"/>
      <c r="AK216" s="77"/>
      <c r="AL216" s="77"/>
      <c r="AM216" s="77"/>
      <c r="AN216" s="77"/>
      <c r="AO216" s="77"/>
      <c r="AP216" s="77"/>
      <c r="AQ216" s="77" t="s">
        <v>8009</v>
      </c>
      <c r="AR216" s="77"/>
      <c r="AS216" s="77"/>
      <c r="AT216" s="77"/>
      <c r="AU216" s="77"/>
      <c r="AV216" s="83" t="str">
        <f>HYPERLINK("https://pbs.twimg.com/media/F06SvssWAAEMLcw.jpg")</f>
        <v>https://pbs.twimg.com/media/F06SvssWAAEMLcw.jpg</v>
      </c>
      <c r="AW216" s="81" t="s">
        <v>9490</v>
      </c>
      <c r="AX216" s="81" t="s">
        <v>9490</v>
      </c>
      <c r="AY216" s="77"/>
      <c r="AZ216" s="81" t="s">
        <v>11359</v>
      </c>
      <c r="BA216" s="81" t="s">
        <v>11359</v>
      </c>
      <c r="BB216" s="81" t="s">
        <v>11359</v>
      </c>
      <c r="BC216" s="81" t="s">
        <v>9490</v>
      </c>
      <c r="BD216" s="77">
        <v>2331579193</v>
      </c>
      <c r="BE216" s="77"/>
      <c r="BF216" s="77"/>
      <c r="BG216" s="77"/>
      <c r="BH216" s="77"/>
      <c r="BI216" s="77"/>
    </row>
    <row r="217" spans="1:61" x14ac:dyDescent="0.25">
      <c r="A217" s="62" t="s">
        <v>329</v>
      </c>
      <c r="B217" s="62" t="s">
        <v>892</v>
      </c>
      <c r="C217" s="63"/>
      <c r="D217" s="64"/>
      <c r="E217" s="65"/>
      <c r="F217" s="66"/>
      <c r="G217" s="63"/>
      <c r="H217" s="67"/>
      <c r="I217" s="68"/>
      <c r="J217" s="68"/>
      <c r="K217" s="32"/>
      <c r="L217" s="75">
        <v>217</v>
      </c>
      <c r="M217" s="75"/>
      <c r="N217" s="70"/>
      <c r="O217" s="77" t="s">
        <v>967</v>
      </c>
      <c r="P217" s="79">
        <v>45120.447280092594</v>
      </c>
      <c r="Q217" s="77" t="s">
        <v>1169</v>
      </c>
      <c r="R217" s="77">
        <v>0</v>
      </c>
      <c r="S217" s="77">
        <v>2</v>
      </c>
      <c r="T217" s="77">
        <v>0</v>
      </c>
      <c r="U217" s="77">
        <v>0</v>
      </c>
      <c r="V217" s="77">
        <v>58</v>
      </c>
      <c r="W217" s="81" t="s">
        <v>3085</v>
      </c>
      <c r="X217" s="83" t="str">
        <f>HYPERLINK("https://www.todostuslibros.com/libros/el-metodo-kibitza_978-84-18492-49-5")</f>
        <v>https://www.todostuslibros.com/libros/el-metodo-kibitza_978-84-18492-49-5</v>
      </c>
      <c r="Y217" s="77" t="s">
        <v>4241</v>
      </c>
      <c r="Z217" s="77" t="s">
        <v>4366</v>
      </c>
      <c r="AA217" s="77" t="s">
        <v>4506</v>
      </c>
      <c r="AB217" s="77" t="s">
        <v>5794</v>
      </c>
      <c r="AC217" s="81" t="s">
        <v>5805</v>
      </c>
      <c r="AD217" s="77" t="s">
        <v>5850</v>
      </c>
      <c r="AE217" s="83" t="str">
        <f>HYPERLINK("https://twitter.com/edultimalinea/status/1679441561661087744")</f>
        <v>https://twitter.com/edultimalinea/status/1679441561661087744</v>
      </c>
      <c r="AF217" s="79">
        <v>45120.447280092594</v>
      </c>
      <c r="AG217" s="85">
        <v>45120</v>
      </c>
      <c r="AH217" s="81" t="s">
        <v>6055</v>
      </c>
      <c r="AI217" s="77" t="b">
        <v>0</v>
      </c>
      <c r="AJ217" s="77"/>
      <c r="AK217" s="77"/>
      <c r="AL217" s="77"/>
      <c r="AM217" s="77"/>
      <c r="AN217" s="77"/>
      <c r="AO217" s="77"/>
      <c r="AP217" s="77"/>
      <c r="AQ217" s="77" t="s">
        <v>8009</v>
      </c>
      <c r="AR217" s="77"/>
      <c r="AS217" s="77"/>
      <c r="AT217" s="77"/>
      <c r="AU217" s="77"/>
      <c r="AV217" s="83" t="str">
        <f>HYPERLINK("https://pbs.twimg.com/media/F06SvssWAAEMLcw.jpg")</f>
        <v>https://pbs.twimg.com/media/F06SvssWAAEMLcw.jpg</v>
      </c>
      <c r="AW217" s="81" t="s">
        <v>9490</v>
      </c>
      <c r="AX217" s="81" t="s">
        <v>9490</v>
      </c>
      <c r="AY217" s="77"/>
      <c r="AZ217" s="81" t="s">
        <v>11359</v>
      </c>
      <c r="BA217" s="81" t="s">
        <v>11359</v>
      </c>
      <c r="BB217" s="81" t="s">
        <v>11359</v>
      </c>
      <c r="BC217" s="81" t="s">
        <v>9490</v>
      </c>
      <c r="BD217" s="77">
        <v>2331579193</v>
      </c>
      <c r="BE217" s="77"/>
      <c r="BF217" s="77"/>
      <c r="BG217" s="77"/>
      <c r="BH217" s="77"/>
      <c r="BI217" s="77"/>
    </row>
    <row r="218" spans="1:61" x14ac:dyDescent="0.25">
      <c r="A218" s="62" t="s">
        <v>329</v>
      </c>
      <c r="B218" s="62" t="s">
        <v>893</v>
      </c>
      <c r="C218" s="63"/>
      <c r="D218" s="64"/>
      <c r="E218" s="65"/>
      <c r="F218" s="66"/>
      <c r="G218" s="63"/>
      <c r="H218" s="67"/>
      <c r="I218" s="68"/>
      <c r="J218" s="68"/>
      <c r="K218" s="32"/>
      <c r="L218" s="75">
        <v>218</v>
      </c>
      <c r="M218" s="75"/>
      <c r="N218" s="70"/>
      <c r="O218" s="77" t="s">
        <v>967</v>
      </c>
      <c r="P218" s="79">
        <v>45120.447280092594</v>
      </c>
      <c r="Q218" s="77" t="s">
        <v>1169</v>
      </c>
      <c r="R218" s="77">
        <v>0</v>
      </c>
      <c r="S218" s="77">
        <v>2</v>
      </c>
      <c r="T218" s="77">
        <v>0</v>
      </c>
      <c r="U218" s="77">
        <v>0</v>
      </c>
      <c r="V218" s="77">
        <v>58</v>
      </c>
      <c r="W218" s="81" t="s">
        <v>3085</v>
      </c>
      <c r="X218" s="83" t="str">
        <f>HYPERLINK("https://www.todostuslibros.com/libros/el-metodo-kibitza_978-84-18492-49-5")</f>
        <v>https://www.todostuslibros.com/libros/el-metodo-kibitza_978-84-18492-49-5</v>
      </c>
      <c r="Y218" s="77" t="s">
        <v>4241</v>
      </c>
      <c r="Z218" s="77" t="s">
        <v>4366</v>
      </c>
      <c r="AA218" s="77" t="s">
        <v>4506</v>
      </c>
      <c r="AB218" s="77" t="s">
        <v>5794</v>
      </c>
      <c r="AC218" s="81" t="s">
        <v>5805</v>
      </c>
      <c r="AD218" s="77" t="s">
        <v>5850</v>
      </c>
      <c r="AE218" s="83" t="str">
        <f>HYPERLINK("https://twitter.com/edultimalinea/status/1679441561661087744")</f>
        <v>https://twitter.com/edultimalinea/status/1679441561661087744</v>
      </c>
      <c r="AF218" s="79">
        <v>45120.447280092594</v>
      </c>
      <c r="AG218" s="85">
        <v>45120</v>
      </c>
      <c r="AH218" s="81" t="s">
        <v>6055</v>
      </c>
      <c r="AI218" s="77" t="b">
        <v>0</v>
      </c>
      <c r="AJ218" s="77"/>
      <c r="AK218" s="77"/>
      <c r="AL218" s="77"/>
      <c r="AM218" s="77"/>
      <c r="AN218" s="77"/>
      <c r="AO218" s="77"/>
      <c r="AP218" s="77"/>
      <c r="AQ218" s="77" t="s">
        <v>8009</v>
      </c>
      <c r="AR218" s="77"/>
      <c r="AS218" s="77"/>
      <c r="AT218" s="77"/>
      <c r="AU218" s="77"/>
      <c r="AV218" s="83" t="str">
        <f>HYPERLINK("https://pbs.twimg.com/media/F06SvssWAAEMLcw.jpg")</f>
        <v>https://pbs.twimg.com/media/F06SvssWAAEMLcw.jpg</v>
      </c>
      <c r="AW218" s="81" t="s">
        <v>9490</v>
      </c>
      <c r="AX218" s="81" t="s">
        <v>9490</v>
      </c>
      <c r="AY218" s="77"/>
      <c r="AZ218" s="81" t="s">
        <v>11359</v>
      </c>
      <c r="BA218" s="81" t="s">
        <v>11359</v>
      </c>
      <c r="BB218" s="81" t="s">
        <v>11359</v>
      </c>
      <c r="BC218" s="81" t="s">
        <v>9490</v>
      </c>
      <c r="BD218" s="77">
        <v>2331579193</v>
      </c>
      <c r="BE218" s="77"/>
      <c r="BF218" s="77"/>
      <c r="BG218" s="77"/>
      <c r="BH218" s="77"/>
      <c r="BI218" s="77"/>
    </row>
    <row r="219" spans="1:61" x14ac:dyDescent="0.25">
      <c r="A219" s="62" t="s">
        <v>330</v>
      </c>
      <c r="B219" s="62" t="s">
        <v>330</v>
      </c>
      <c r="C219" s="63"/>
      <c r="D219" s="64"/>
      <c r="E219" s="65"/>
      <c r="F219" s="66"/>
      <c r="G219" s="63"/>
      <c r="H219" s="67"/>
      <c r="I219" s="68"/>
      <c r="J219" s="68"/>
      <c r="K219" s="32"/>
      <c r="L219" s="75">
        <v>219</v>
      </c>
      <c r="M219" s="75"/>
      <c r="N219" s="70"/>
      <c r="O219" s="77" t="s">
        <v>179</v>
      </c>
      <c r="P219" s="79">
        <v>45135.979780092595</v>
      </c>
      <c r="Q219" s="77" t="s">
        <v>1170</v>
      </c>
      <c r="R219" s="77">
        <v>0</v>
      </c>
      <c r="S219" s="77">
        <v>0</v>
      </c>
      <c r="T219" s="77">
        <v>0</v>
      </c>
      <c r="U219" s="77">
        <v>0</v>
      </c>
      <c r="V219" s="77">
        <v>17</v>
      </c>
      <c r="W219" s="81" t="s">
        <v>3086</v>
      </c>
      <c r="X219" s="77"/>
      <c r="Y219" s="77"/>
      <c r="Z219" s="77"/>
      <c r="AA219" s="77" t="s">
        <v>4507</v>
      </c>
      <c r="AB219" s="77" t="s">
        <v>5795</v>
      </c>
      <c r="AC219" s="81" t="s">
        <v>5803</v>
      </c>
      <c r="AD219" s="77" t="s">
        <v>5851</v>
      </c>
      <c r="AE219" s="83" t="str">
        <f>HYPERLINK("https://twitter.com/joaormilanezi/status/1685070353347813376")</f>
        <v>https://twitter.com/joaormilanezi/status/1685070353347813376</v>
      </c>
      <c r="AF219" s="79">
        <v>45135.979780092595</v>
      </c>
      <c r="AG219" s="85">
        <v>45135</v>
      </c>
      <c r="AH219" s="81" t="s">
        <v>6056</v>
      </c>
      <c r="AI219" s="77" t="b">
        <v>0</v>
      </c>
      <c r="AJ219" s="77"/>
      <c r="AK219" s="77"/>
      <c r="AL219" s="77"/>
      <c r="AM219" s="77"/>
      <c r="AN219" s="77"/>
      <c r="AO219" s="77"/>
      <c r="AP219" s="77"/>
      <c r="AQ219" s="77" t="s">
        <v>8010</v>
      </c>
      <c r="AR219" s="77">
        <v>78900</v>
      </c>
      <c r="AS219" s="77"/>
      <c r="AT219" s="77"/>
      <c r="AU219" s="77"/>
      <c r="AV219" s="83" t="str">
        <f>HYPERLINK("https://pbs.twimg.com/ext_tw_video_thumb/1685070305901842432/pu/img/yFs6xgZWW3I-UWkT.jpg")</f>
        <v>https://pbs.twimg.com/ext_tw_video_thumb/1685070305901842432/pu/img/yFs6xgZWW3I-UWkT.jpg</v>
      </c>
      <c r="AW219" s="81" t="s">
        <v>9491</v>
      </c>
      <c r="AX219" s="81" t="s">
        <v>9491</v>
      </c>
      <c r="AY219" s="77"/>
      <c r="AZ219" s="81" t="s">
        <v>11359</v>
      </c>
      <c r="BA219" s="81" t="s">
        <v>11359</v>
      </c>
      <c r="BB219" s="81" t="s">
        <v>11359</v>
      </c>
      <c r="BC219" s="81" t="s">
        <v>9491</v>
      </c>
      <c r="BD219" s="81" t="s">
        <v>11456</v>
      </c>
      <c r="BE219" s="77"/>
      <c r="BF219" s="77"/>
      <c r="BG219" s="77"/>
      <c r="BH219" s="77"/>
      <c r="BI219" s="77"/>
    </row>
    <row r="220" spans="1:61" x14ac:dyDescent="0.25">
      <c r="A220" s="62" t="s">
        <v>331</v>
      </c>
      <c r="B220" s="62" t="s">
        <v>331</v>
      </c>
      <c r="C220" s="63"/>
      <c r="D220" s="64"/>
      <c r="E220" s="65"/>
      <c r="F220" s="66"/>
      <c r="G220" s="63"/>
      <c r="H220" s="67"/>
      <c r="I220" s="68"/>
      <c r="J220" s="68"/>
      <c r="K220" s="32"/>
      <c r="L220" s="75">
        <v>220</v>
      </c>
      <c r="M220" s="75"/>
      <c r="N220" s="70"/>
      <c r="O220" s="77" t="s">
        <v>179</v>
      </c>
      <c r="P220" s="79">
        <v>44987.422222222223</v>
      </c>
      <c r="Q220" s="77" t="s">
        <v>1171</v>
      </c>
      <c r="R220" s="77">
        <v>0</v>
      </c>
      <c r="S220" s="77">
        <v>0</v>
      </c>
      <c r="T220" s="77">
        <v>0</v>
      </c>
      <c r="U220" s="77">
        <v>0</v>
      </c>
      <c r="V220" s="77">
        <v>16</v>
      </c>
      <c r="W220" s="81" t="s">
        <v>3087</v>
      </c>
      <c r="X220" s="83" t="str">
        <f>HYPERLINK("https://bit.ly/3J8INyW")</f>
        <v>https://bit.ly/3J8INyW</v>
      </c>
      <c r="Y220" s="77" t="s">
        <v>4213</v>
      </c>
      <c r="Z220" s="77"/>
      <c r="AA220" s="77" t="s">
        <v>4508</v>
      </c>
      <c r="AB220" s="77" t="s">
        <v>5794</v>
      </c>
      <c r="AC220" s="81" t="s">
        <v>5819</v>
      </c>
      <c r="AD220" s="77" t="s">
        <v>5850</v>
      </c>
      <c r="AE220" s="83" t="str">
        <f>HYPERLINK("https://twitter.com/mpmsoftware/status/1631234893316345856")</f>
        <v>https://twitter.com/mpmsoftware/status/1631234893316345856</v>
      </c>
      <c r="AF220" s="79">
        <v>44987.422222222223</v>
      </c>
      <c r="AG220" s="85">
        <v>44987</v>
      </c>
      <c r="AH220" s="81" t="s">
        <v>6057</v>
      </c>
      <c r="AI220" s="77" t="b">
        <v>0</v>
      </c>
      <c r="AJ220" s="77"/>
      <c r="AK220" s="77"/>
      <c r="AL220" s="77"/>
      <c r="AM220" s="77"/>
      <c r="AN220" s="77"/>
      <c r="AO220" s="77"/>
      <c r="AP220" s="77"/>
      <c r="AQ220" s="77" t="s">
        <v>8011</v>
      </c>
      <c r="AR220" s="77"/>
      <c r="AS220" s="77"/>
      <c r="AT220" s="77"/>
      <c r="AU220" s="77"/>
      <c r="AV220" s="83" t="str">
        <f>HYPERLINK("https://pbs.twimg.com/media/FqNBzw7XwAE2xVP.jpg")</f>
        <v>https://pbs.twimg.com/media/FqNBzw7XwAE2xVP.jpg</v>
      </c>
      <c r="AW220" s="81" t="s">
        <v>9492</v>
      </c>
      <c r="AX220" s="81" t="s">
        <v>9492</v>
      </c>
      <c r="AY220" s="77"/>
      <c r="AZ220" s="81" t="s">
        <v>11359</v>
      </c>
      <c r="BA220" s="81" t="s">
        <v>11359</v>
      </c>
      <c r="BB220" s="81" t="s">
        <v>11359</v>
      </c>
      <c r="BC220" s="81" t="s">
        <v>9492</v>
      </c>
      <c r="BD220" s="77">
        <v>115608265</v>
      </c>
      <c r="BE220" s="77"/>
      <c r="BF220" s="77"/>
      <c r="BG220" s="77"/>
      <c r="BH220" s="77"/>
      <c r="BI220" s="77"/>
    </row>
    <row r="221" spans="1:61" x14ac:dyDescent="0.25">
      <c r="A221" s="62" t="s">
        <v>331</v>
      </c>
      <c r="B221" s="62" t="s">
        <v>331</v>
      </c>
      <c r="C221" s="63"/>
      <c r="D221" s="64"/>
      <c r="E221" s="65"/>
      <c r="F221" s="66"/>
      <c r="G221" s="63"/>
      <c r="H221" s="67"/>
      <c r="I221" s="68"/>
      <c r="J221" s="68"/>
      <c r="K221" s="32"/>
      <c r="L221" s="75">
        <v>221</v>
      </c>
      <c r="M221" s="75"/>
      <c r="N221" s="70"/>
      <c r="O221" s="77" t="s">
        <v>179</v>
      </c>
      <c r="P221" s="79">
        <v>45015.422222222223</v>
      </c>
      <c r="Q221" s="77" t="s">
        <v>1172</v>
      </c>
      <c r="R221" s="77">
        <v>0</v>
      </c>
      <c r="S221" s="77">
        <v>0</v>
      </c>
      <c r="T221" s="77">
        <v>0</v>
      </c>
      <c r="U221" s="77">
        <v>0</v>
      </c>
      <c r="V221" s="77">
        <v>15</v>
      </c>
      <c r="W221" s="81" t="s">
        <v>3087</v>
      </c>
      <c r="X221" s="83" t="str">
        <f>HYPERLINK("https://bit.ly/3J8INyW")</f>
        <v>https://bit.ly/3J8INyW</v>
      </c>
      <c r="Y221" s="77" t="s">
        <v>4213</v>
      </c>
      <c r="Z221" s="77"/>
      <c r="AA221" s="77" t="s">
        <v>4509</v>
      </c>
      <c r="AB221" s="77" t="s">
        <v>5794</v>
      </c>
      <c r="AC221" s="81" t="s">
        <v>5819</v>
      </c>
      <c r="AD221" s="77" t="s">
        <v>5850</v>
      </c>
      <c r="AE221" s="83" t="str">
        <f>HYPERLINK("https://twitter.com/mpmsoftware/status/1641381753632829440")</f>
        <v>https://twitter.com/mpmsoftware/status/1641381753632829440</v>
      </c>
      <c r="AF221" s="79">
        <v>45015.422222222223</v>
      </c>
      <c r="AG221" s="85">
        <v>45015</v>
      </c>
      <c r="AH221" s="81" t="s">
        <v>6057</v>
      </c>
      <c r="AI221" s="77" t="b">
        <v>0</v>
      </c>
      <c r="AJ221" s="77"/>
      <c r="AK221" s="77"/>
      <c r="AL221" s="77"/>
      <c r="AM221" s="77"/>
      <c r="AN221" s="77"/>
      <c r="AO221" s="77"/>
      <c r="AP221" s="77"/>
      <c r="AQ221" s="77" t="s">
        <v>8012</v>
      </c>
      <c r="AR221" s="77"/>
      <c r="AS221" s="77"/>
      <c r="AT221" s="77"/>
      <c r="AU221" s="77"/>
      <c r="AV221" s="83" t="str">
        <f>HYPERLINK("https://pbs.twimg.com/media/FsdORohXwAMgZEV.jpg")</f>
        <v>https://pbs.twimg.com/media/FsdORohXwAMgZEV.jpg</v>
      </c>
      <c r="AW221" s="81" t="s">
        <v>9493</v>
      </c>
      <c r="AX221" s="81" t="s">
        <v>9493</v>
      </c>
      <c r="AY221" s="77"/>
      <c r="AZ221" s="81" t="s">
        <v>11359</v>
      </c>
      <c r="BA221" s="81" t="s">
        <v>11359</v>
      </c>
      <c r="BB221" s="81" t="s">
        <v>11359</v>
      </c>
      <c r="BC221" s="81" t="s">
        <v>9493</v>
      </c>
      <c r="BD221" s="77">
        <v>115608265</v>
      </c>
      <c r="BE221" s="77"/>
      <c r="BF221" s="77"/>
      <c r="BG221" s="77"/>
      <c r="BH221" s="77"/>
      <c r="BI221" s="77"/>
    </row>
    <row r="222" spans="1:61" x14ac:dyDescent="0.25">
      <c r="A222" s="62" t="s">
        <v>331</v>
      </c>
      <c r="B222" s="62" t="s">
        <v>331</v>
      </c>
      <c r="C222" s="63"/>
      <c r="D222" s="64"/>
      <c r="E222" s="65"/>
      <c r="F222" s="66"/>
      <c r="G222" s="63"/>
      <c r="H222" s="67"/>
      <c r="I222" s="68"/>
      <c r="J222" s="68"/>
      <c r="K222" s="32"/>
      <c r="L222" s="75">
        <v>222</v>
      </c>
      <c r="M222" s="75"/>
      <c r="N222" s="70"/>
      <c r="O222" s="77" t="s">
        <v>179</v>
      </c>
      <c r="P222" s="79">
        <v>45099.422222222223</v>
      </c>
      <c r="Q222" s="77" t="s">
        <v>1173</v>
      </c>
      <c r="R222" s="77">
        <v>0</v>
      </c>
      <c r="S222" s="77">
        <v>0</v>
      </c>
      <c r="T222" s="77">
        <v>0</v>
      </c>
      <c r="U222" s="77">
        <v>0</v>
      </c>
      <c r="V222" s="77">
        <v>40</v>
      </c>
      <c r="W222" s="81" t="s">
        <v>3087</v>
      </c>
      <c r="X222" s="83" t="str">
        <f>HYPERLINK("https://bit.ly/3J8INyW")</f>
        <v>https://bit.ly/3J8INyW</v>
      </c>
      <c r="Y222" s="77" t="s">
        <v>4213</v>
      </c>
      <c r="Z222" s="77"/>
      <c r="AA222" s="77" t="s">
        <v>4510</v>
      </c>
      <c r="AB222" s="77" t="s">
        <v>5794</v>
      </c>
      <c r="AC222" s="81" t="s">
        <v>5819</v>
      </c>
      <c r="AD222" s="77" t="s">
        <v>5850</v>
      </c>
      <c r="AE222" s="83" t="str">
        <f>HYPERLINK("https://twitter.com/mpmsoftware/status/1671822334217338880")</f>
        <v>https://twitter.com/mpmsoftware/status/1671822334217338880</v>
      </c>
      <c r="AF222" s="79">
        <v>45099.422222222223</v>
      </c>
      <c r="AG222" s="85">
        <v>45099</v>
      </c>
      <c r="AH222" s="81" t="s">
        <v>6057</v>
      </c>
      <c r="AI222" s="77" t="b">
        <v>0</v>
      </c>
      <c r="AJ222" s="77"/>
      <c r="AK222" s="77"/>
      <c r="AL222" s="77"/>
      <c r="AM222" s="77"/>
      <c r="AN222" s="77"/>
      <c r="AO222" s="77"/>
      <c r="AP222" s="77"/>
      <c r="AQ222" s="77" t="s">
        <v>8013</v>
      </c>
      <c r="AR222" s="77"/>
      <c r="AS222" s="77"/>
      <c r="AT222" s="77"/>
      <c r="AU222" s="77"/>
      <c r="AV222" s="83" t="str">
        <f>HYPERLINK("https://pbs.twimg.com/media/FzNz0oyXsAICDxy.jpg")</f>
        <v>https://pbs.twimg.com/media/FzNz0oyXsAICDxy.jpg</v>
      </c>
      <c r="AW222" s="81" t="s">
        <v>9494</v>
      </c>
      <c r="AX222" s="81" t="s">
        <v>9494</v>
      </c>
      <c r="AY222" s="77"/>
      <c r="AZ222" s="81" t="s">
        <v>11359</v>
      </c>
      <c r="BA222" s="81" t="s">
        <v>11359</v>
      </c>
      <c r="BB222" s="81" t="s">
        <v>11359</v>
      </c>
      <c r="BC222" s="81" t="s">
        <v>9494</v>
      </c>
      <c r="BD222" s="77">
        <v>115608265</v>
      </c>
      <c r="BE222" s="77"/>
      <c r="BF222" s="77"/>
      <c r="BG222" s="77"/>
      <c r="BH222" s="77"/>
      <c r="BI222" s="77"/>
    </row>
    <row r="223" spans="1:61" x14ac:dyDescent="0.25">
      <c r="A223" s="62" t="s">
        <v>331</v>
      </c>
      <c r="B223" s="62" t="s">
        <v>331</v>
      </c>
      <c r="C223" s="63"/>
      <c r="D223" s="64"/>
      <c r="E223" s="65"/>
      <c r="F223" s="66"/>
      <c r="G223" s="63"/>
      <c r="H223" s="67"/>
      <c r="I223" s="68"/>
      <c r="J223" s="68"/>
      <c r="K223" s="32"/>
      <c r="L223" s="75">
        <v>223</v>
      </c>
      <c r="M223" s="75"/>
      <c r="N223" s="70"/>
      <c r="O223" s="77" t="s">
        <v>179</v>
      </c>
      <c r="P223" s="79">
        <v>45043.422222222223</v>
      </c>
      <c r="Q223" s="77" t="s">
        <v>1174</v>
      </c>
      <c r="R223" s="77">
        <v>0</v>
      </c>
      <c r="S223" s="77">
        <v>0</v>
      </c>
      <c r="T223" s="77">
        <v>0</v>
      </c>
      <c r="U223" s="77">
        <v>0</v>
      </c>
      <c r="V223" s="77">
        <v>17</v>
      </c>
      <c r="W223" s="81" t="s">
        <v>3087</v>
      </c>
      <c r="X223" s="83" t="str">
        <f>HYPERLINK("https://bit.ly/3J8INyW")</f>
        <v>https://bit.ly/3J8INyW</v>
      </c>
      <c r="Y223" s="77" t="s">
        <v>4213</v>
      </c>
      <c r="Z223" s="77"/>
      <c r="AA223" s="77" t="s">
        <v>4511</v>
      </c>
      <c r="AB223" s="77" t="s">
        <v>5794</v>
      </c>
      <c r="AC223" s="81" t="s">
        <v>5819</v>
      </c>
      <c r="AD223" s="77" t="s">
        <v>5850</v>
      </c>
      <c r="AE223" s="83" t="str">
        <f>HYPERLINK("https://twitter.com/mpmsoftware/status/1651528614066761729")</f>
        <v>https://twitter.com/mpmsoftware/status/1651528614066761729</v>
      </c>
      <c r="AF223" s="79">
        <v>45043.422222222223</v>
      </c>
      <c r="AG223" s="85">
        <v>45043</v>
      </c>
      <c r="AH223" s="81" t="s">
        <v>6057</v>
      </c>
      <c r="AI223" s="77" t="b">
        <v>0</v>
      </c>
      <c r="AJ223" s="77"/>
      <c r="AK223" s="77"/>
      <c r="AL223" s="77"/>
      <c r="AM223" s="77"/>
      <c r="AN223" s="77"/>
      <c r="AO223" s="77"/>
      <c r="AP223" s="77"/>
      <c r="AQ223" s="77" t="s">
        <v>8014</v>
      </c>
      <c r="AR223" s="77"/>
      <c r="AS223" s="77"/>
      <c r="AT223" s="77"/>
      <c r="AU223" s="77"/>
      <c r="AV223" s="83" t="str">
        <f>HYPERLINK("https://pbs.twimg.com/media/FutaypCWYAAfBvI.jpg")</f>
        <v>https://pbs.twimg.com/media/FutaypCWYAAfBvI.jpg</v>
      </c>
      <c r="AW223" s="81" t="s">
        <v>9495</v>
      </c>
      <c r="AX223" s="81" t="s">
        <v>9495</v>
      </c>
      <c r="AY223" s="77"/>
      <c r="AZ223" s="81" t="s">
        <v>11359</v>
      </c>
      <c r="BA223" s="81" t="s">
        <v>11359</v>
      </c>
      <c r="BB223" s="81" t="s">
        <v>11359</v>
      </c>
      <c r="BC223" s="81" t="s">
        <v>9495</v>
      </c>
      <c r="BD223" s="77">
        <v>115608265</v>
      </c>
      <c r="BE223" s="77"/>
      <c r="BF223" s="77"/>
      <c r="BG223" s="77"/>
      <c r="BH223" s="77"/>
      <c r="BI223" s="77"/>
    </row>
    <row r="224" spans="1:61" x14ac:dyDescent="0.25">
      <c r="A224" s="62" t="s">
        <v>331</v>
      </c>
      <c r="B224" s="62" t="s">
        <v>331</v>
      </c>
      <c r="C224" s="63"/>
      <c r="D224" s="64"/>
      <c r="E224" s="65"/>
      <c r="F224" s="66"/>
      <c r="G224" s="63"/>
      <c r="H224" s="67"/>
      <c r="I224" s="68"/>
      <c r="J224" s="68"/>
      <c r="K224" s="32"/>
      <c r="L224" s="75">
        <v>224</v>
      </c>
      <c r="M224" s="75"/>
      <c r="N224" s="70"/>
      <c r="O224" s="77" t="s">
        <v>179</v>
      </c>
      <c r="P224" s="79">
        <v>45127.422222222223</v>
      </c>
      <c r="Q224" s="77" t="s">
        <v>1175</v>
      </c>
      <c r="R224" s="77">
        <v>0</v>
      </c>
      <c r="S224" s="77">
        <v>0</v>
      </c>
      <c r="T224" s="77">
        <v>0</v>
      </c>
      <c r="U224" s="77">
        <v>0</v>
      </c>
      <c r="V224" s="77">
        <v>21</v>
      </c>
      <c r="W224" s="81" t="s">
        <v>3087</v>
      </c>
      <c r="X224" s="83" t="str">
        <f>HYPERLINK("https://bit.ly/3J8INyW")</f>
        <v>https://bit.ly/3J8INyW</v>
      </c>
      <c r="Y224" s="77" t="s">
        <v>4213</v>
      </c>
      <c r="Z224" s="77"/>
      <c r="AA224" s="77" t="s">
        <v>4512</v>
      </c>
      <c r="AB224" s="77" t="s">
        <v>5794</v>
      </c>
      <c r="AC224" s="81" t="s">
        <v>5819</v>
      </c>
      <c r="AD224" s="77" t="s">
        <v>5850</v>
      </c>
      <c r="AE224" s="83" t="str">
        <f>HYPERLINK("https://twitter.com/mpmsoftware/status/1681969194449924096")</f>
        <v>https://twitter.com/mpmsoftware/status/1681969194449924096</v>
      </c>
      <c r="AF224" s="79">
        <v>45127.422222222223</v>
      </c>
      <c r="AG224" s="85">
        <v>45127</v>
      </c>
      <c r="AH224" s="81" t="s">
        <v>6057</v>
      </c>
      <c r="AI224" s="77" t="b">
        <v>0</v>
      </c>
      <c r="AJ224" s="77"/>
      <c r="AK224" s="77"/>
      <c r="AL224" s="77"/>
      <c r="AM224" s="77"/>
      <c r="AN224" s="77"/>
      <c r="AO224" s="77"/>
      <c r="AP224" s="77"/>
      <c r="AQ224" s="77" t="s">
        <v>8015</v>
      </c>
      <c r="AR224" s="77"/>
      <c r="AS224" s="77"/>
      <c r="AT224" s="77"/>
      <c r="AU224" s="77"/>
      <c r="AV224" s="83" t="str">
        <f>HYPERLINK("https://pbs.twimg.com/media/F1eAVo6X0AAqe-b.jpg")</f>
        <v>https://pbs.twimg.com/media/F1eAVo6X0AAqe-b.jpg</v>
      </c>
      <c r="AW224" s="81" t="s">
        <v>9496</v>
      </c>
      <c r="AX224" s="81" t="s">
        <v>9496</v>
      </c>
      <c r="AY224" s="77"/>
      <c r="AZ224" s="81" t="s">
        <v>11359</v>
      </c>
      <c r="BA224" s="81" t="s">
        <v>11359</v>
      </c>
      <c r="BB224" s="81" t="s">
        <v>11359</v>
      </c>
      <c r="BC224" s="81" t="s">
        <v>9496</v>
      </c>
      <c r="BD224" s="77">
        <v>115608265</v>
      </c>
      <c r="BE224" s="77"/>
      <c r="BF224" s="77"/>
      <c r="BG224" s="77"/>
      <c r="BH224" s="77"/>
      <c r="BI224" s="77"/>
    </row>
    <row r="225" spans="1:61" x14ac:dyDescent="0.25">
      <c r="A225" s="62" t="s">
        <v>331</v>
      </c>
      <c r="B225" s="62" t="s">
        <v>331</v>
      </c>
      <c r="C225" s="63"/>
      <c r="D225" s="64"/>
      <c r="E225" s="65"/>
      <c r="F225" s="66"/>
      <c r="G225" s="63"/>
      <c r="H225" s="67"/>
      <c r="I225" s="68"/>
      <c r="J225" s="68"/>
      <c r="K225" s="32"/>
      <c r="L225" s="75">
        <v>225</v>
      </c>
      <c r="M225" s="75"/>
      <c r="N225" s="70"/>
      <c r="O225" s="77" t="s">
        <v>179</v>
      </c>
      <c r="P225" s="79">
        <v>44959.422233796293</v>
      </c>
      <c r="Q225" s="77" t="s">
        <v>1176</v>
      </c>
      <c r="R225" s="77">
        <v>0</v>
      </c>
      <c r="S225" s="77">
        <v>0</v>
      </c>
      <c r="T225" s="77">
        <v>0</v>
      </c>
      <c r="U225" s="77">
        <v>0</v>
      </c>
      <c r="V225" s="77">
        <v>25</v>
      </c>
      <c r="W225" s="81" t="s">
        <v>3087</v>
      </c>
      <c r="X225" s="83" t="str">
        <f>HYPERLINK("https://bit.ly/3J8INyW")</f>
        <v>https://bit.ly/3J8INyW</v>
      </c>
      <c r="Y225" s="77" t="s">
        <v>4213</v>
      </c>
      <c r="Z225" s="77"/>
      <c r="AA225" s="77" t="s">
        <v>4513</v>
      </c>
      <c r="AB225" s="77" t="s">
        <v>5794</v>
      </c>
      <c r="AC225" s="81" t="s">
        <v>5819</v>
      </c>
      <c r="AD225" s="77" t="s">
        <v>5850</v>
      </c>
      <c r="AE225" s="83" t="str">
        <f>HYPERLINK("https://twitter.com/mpmsoftware/status/1621088040033681411")</f>
        <v>https://twitter.com/mpmsoftware/status/1621088040033681411</v>
      </c>
      <c r="AF225" s="79">
        <v>44959.422233796293</v>
      </c>
      <c r="AG225" s="85">
        <v>44959</v>
      </c>
      <c r="AH225" s="81" t="s">
        <v>6058</v>
      </c>
      <c r="AI225" s="77" t="b">
        <v>0</v>
      </c>
      <c r="AJ225" s="77"/>
      <c r="AK225" s="77"/>
      <c r="AL225" s="77"/>
      <c r="AM225" s="77"/>
      <c r="AN225" s="77"/>
      <c r="AO225" s="77"/>
      <c r="AP225" s="77"/>
      <c r="AQ225" s="77" t="s">
        <v>8016</v>
      </c>
      <c r="AR225" s="77"/>
      <c r="AS225" s="77"/>
      <c r="AT225" s="77"/>
      <c r="AU225" s="77"/>
      <c r="AV225" s="83" t="str">
        <f>HYPERLINK("https://pbs.twimg.com/media/Fn81iAOXgAAtpr3.jpg")</f>
        <v>https://pbs.twimg.com/media/Fn81iAOXgAAtpr3.jpg</v>
      </c>
      <c r="AW225" s="81" t="s">
        <v>9497</v>
      </c>
      <c r="AX225" s="81" t="s">
        <v>9497</v>
      </c>
      <c r="AY225" s="77"/>
      <c r="AZ225" s="81" t="s">
        <v>11359</v>
      </c>
      <c r="BA225" s="81" t="s">
        <v>11359</v>
      </c>
      <c r="BB225" s="81" t="s">
        <v>11359</v>
      </c>
      <c r="BC225" s="81" t="s">
        <v>9497</v>
      </c>
      <c r="BD225" s="77">
        <v>115608265</v>
      </c>
      <c r="BE225" s="77"/>
      <c r="BF225" s="77"/>
      <c r="BG225" s="77"/>
      <c r="BH225" s="77"/>
      <c r="BI225" s="77"/>
    </row>
    <row r="226" spans="1:61" x14ac:dyDescent="0.25">
      <c r="A226" s="62" t="s">
        <v>331</v>
      </c>
      <c r="B226" s="62" t="s">
        <v>331</v>
      </c>
      <c r="C226" s="63"/>
      <c r="D226" s="64"/>
      <c r="E226" s="65"/>
      <c r="F226" s="66"/>
      <c r="G226" s="63"/>
      <c r="H226" s="67"/>
      <c r="I226" s="68"/>
      <c r="J226" s="68"/>
      <c r="K226" s="32"/>
      <c r="L226" s="75">
        <v>226</v>
      </c>
      <c r="M226" s="75"/>
      <c r="N226" s="70"/>
      <c r="O226" s="77" t="s">
        <v>179</v>
      </c>
      <c r="P226" s="79">
        <v>45183.422222222223</v>
      </c>
      <c r="Q226" s="77" t="s">
        <v>1177</v>
      </c>
      <c r="R226" s="77">
        <v>0</v>
      </c>
      <c r="S226" s="77">
        <v>0</v>
      </c>
      <c r="T226" s="77">
        <v>0</v>
      </c>
      <c r="U226" s="77">
        <v>0</v>
      </c>
      <c r="V226" s="77">
        <v>23</v>
      </c>
      <c r="W226" s="81" t="s">
        <v>3087</v>
      </c>
      <c r="X226" s="83" t="str">
        <f>HYPERLINK("https://bit.ly/3J8INyW")</f>
        <v>https://bit.ly/3J8INyW</v>
      </c>
      <c r="Y226" s="77" t="s">
        <v>4213</v>
      </c>
      <c r="Z226" s="77"/>
      <c r="AA226" s="77" t="s">
        <v>4514</v>
      </c>
      <c r="AB226" s="77" t="s">
        <v>5794</v>
      </c>
      <c r="AC226" s="81" t="s">
        <v>5819</v>
      </c>
      <c r="AD226" s="77" t="s">
        <v>5850</v>
      </c>
      <c r="AE226" s="83" t="str">
        <f>HYPERLINK("https://twitter.com/mpmsoftware/status/1702262915053552112")</f>
        <v>https://twitter.com/mpmsoftware/status/1702262915053552112</v>
      </c>
      <c r="AF226" s="79">
        <v>45183.422222222223</v>
      </c>
      <c r="AG226" s="85">
        <v>45183</v>
      </c>
      <c r="AH226" s="81" t="s">
        <v>6057</v>
      </c>
      <c r="AI226" s="77" t="b">
        <v>0</v>
      </c>
      <c r="AJ226" s="77"/>
      <c r="AK226" s="77"/>
      <c r="AL226" s="77"/>
      <c r="AM226" s="77"/>
      <c r="AN226" s="77"/>
      <c r="AO226" s="77"/>
      <c r="AP226" s="77"/>
      <c r="AQ226" s="77" t="s">
        <v>8017</v>
      </c>
      <c r="AR226" s="77"/>
      <c r="AS226" s="77"/>
      <c r="AT226" s="77"/>
      <c r="AU226" s="77"/>
      <c r="AV226" s="83" t="str">
        <f>HYPERLINK("https://pbs.twimg.com/media/F5-ZXorXgAAJiuf.jpg")</f>
        <v>https://pbs.twimg.com/media/F5-ZXorXgAAJiuf.jpg</v>
      </c>
      <c r="AW226" s="81" t="s">
        <v>9498</v>
      </c>
      <c r="AX226" s="81" t="s">
        <v>9498</v>
      </c>
      <c r="AY226" s="77"/>
      <c r="AZ226" s="81" t="s">
        <v>11359</v>
      </c>
      <c r="BA226" s="81" t="s">
        <v>11359</v>
      </c>
      <c r="BB226" s="81" t="s">
        <v>11359</v>
      </c>
      <c r="BC226" s="81" t="s">
        <v>9498</v>
      </c>
      <c r="BD226" s="77">
        <v>115608265</v>
      </c>
      <c r="BE226" s="77"/>
      <c r="BF226" s="77"/>
      <c r="BG226" s="77"/>
      <c r="BH226" s="77"/>
      <c r="BI226" s="77"/>
    </row>
    <row r="227" spans="1:61" x14ac:dyDescent="0.25">
      <c r="A227" s="62" t="s">
        <v>331</v>
      </c>
      <c r="B227" s="62" t="s">
        <v>331</v>
      </c>
      <c r="C227" s="63"/>
      <c r="D227" s="64"/>
      <c r="E227" s="65"/>
      <c r="F227" s="66"/>
      <c r="G227" s="63"/>
      <c r="H227" s="67"/>
      <c r="I227" s="68"/>
      <c r="J227" s="68"/>
      <c r="K227" s="32"/>
      <c r="L227" s="75">
        <v>227</v>
      </c>
      <c r="M227" s="75"/>
      <c r="N227" s="70"/>
      <c r="O227" s="77" t="s">
        <v>179</v>
      </c>
      <c r="P227" s="79">
        <v>45155.422222222223</v>
      </c>
      <c r="Q227" s="77" t="s">
        <v>1178</v>
      </c>
      <c r="R227" s="77">
        <v>0</v>
      </c>
      <c r="S227" s="77">
        <v>0</v>
      </c>
      <c r="T227" s="77">
        <v>0</v>
      </c>
      <c r="U227" s="77">
        <v>0</v>
      </c>
      <c r="V227" s="77">
        <v>34</v>
      </c>
      <c r="W227" s="81" t="s">
        <v>3087</v>
      </c>
      <c r="X227" s="83" t="str">
        <f>HYPERLINK("https://bit.ly/3J8INyW")</f>
        <v>https://bit.ly/3J8INyW</v>
      </c>
      <c r="Y227" s="77" t="s">
        <v>4213</v>
      </c>
      <c r="Z227" s="77"/>
      <c r="AA227" s="77" t="s">
        <v>4515</v>
      </c>
      <c r="AB227" s="77" t="s">
        <v>5794</v>
      </c>
      <c r="AC227" s="81" t="s">
        <v>5819</v>
      </c>
      <c r="AD227" s="77" t="s">
        <v>5850</v>
      </c>
      <c r="AE227" s="83" t="str">
        <f>HYPERLINK("https://twitter.com/mpmsoftware/status/1692116054674211113")</f>
        <v>https://twitter.com/mpmsoftware/status/1692116054674211113</v>
      </c>
      <c r="AF227" s="79">
        <v>45155.422222222223</v>
      </c>
      <c r="AG227" s="85">
        <v>45155</v>
      </c>
      <c r="AH227" s="81" t="s">
        <v>6057</v>
      </c>
      <c r="AI227" s="77" t="b">
        <v>0</v>
      </c>
      <c r="AJ227" s="77"/>
      <c r="AK227" s="77"/>
      <c r="AL227" s="77"/>
      <c r="AM227" s="77"/>
      <c r="AN227" s="77"/>
      <c r="AO227" s="77"/>
      <c r="AP227" s="77"/>
      <c r="AQ227" s="77" t="s">
        <v>8018</v>
      </c>
      <c r="AR227" s="77"/>
      <c r="AS227" s="77"/>
      <c r="AT227" s="77"/>
      <c r="AU227" s="77"/>
      <c r="AV227" s="83" t="str">
        <f>HYPERLINK("https://pbs.twimg.com/media/F3uM2oIWIAA756M.jpg")</f>
        <v>https://pbs.twimg.com/media/F3uM2oIWIAA756M.jpg</v>
      </c>
      <c r="AW227" s="81" t="s">
        <v>9499</v>
      </c>
      <c r="AX227" s="81" t="s">
        <v>9499</v>
      </c>
      <c r="AY227" s="77"/>
      <c r="AZ227" s="81" t="s">
        <v>11359</v>
      </c>
      <c r="BA227" s="81" t="s">
        <v>11359</v>
      </c>
      <c r="BB227" s="81" t="s">
        <v>11359</v>
      </c>
      <c r="BC227" s="81" t="s">
        <v>9499</v>
      </c>
      <c r="BD227" s="77">
        <v>115608265</v>
      </c>
      <c r="BE227" s="77"/>
      <c r="BF227" s="77"/>
      <c r="BG227" s="77"/>
      <c r="BH227" s="77"/>
      <c r="BI227" s="77"/>
    </row>
    <row r="228" spans="1:61" x14ac:dyDescent="0.25">
      <c r="A228" s="62" t="s">
        <v>331</v>
      </c>
      <c r="B228" s="62" t="s">
        <v>331</v>
      </c>
      <c r="C228" s="63"/>
      <c r="D228" s="64"/>
      <c r="E228" s="65"/>
      <c r="F228" s="66"/>
      <c r="G228" s="63"/>
      <c r="H228" s="67"/>
      <c r="I228" s="68"/>
      <c r="J228" s="68"/>
      <c r="K228" s="32"/>
      <c r="L228" s="75">
        <v>228</v>
      </c>
      <c r="M228" s="75"/>
      <c r="N228" s="70"/>
      <c r="O228" s="77" t="s">
        <v>179</v>
      </c>
      <c r="P228" s="79">
        <v>45071.422222222223</v>
      </c>
      <c r="Q228" s="77" t="s">
        <v>1179</v>
      </c>
      <c r="R228" s="77">
        <v>0</v>
      </c>
      <c r="S228" s="77">
        <v>0</v>
      </c>
      <c r="T228" s="77">
        <v>0</v>
      </c>
      <c r="U228" s="77">
        <v>0</v>
      </c>
      <c r="V228" s="77">
        <v>26</v>
      </c>
      <c r="W228" s="81" t="s">
        <v>3087</v>
      </c>
      <c r="X228" s="83" t="str">
        <f>HYPERLINK("https://bit.ly/3J8INyW")</f>
        <v>https://bit.ly/3J8INyW</v>
      </c>
      <c r="Y228" s="77" t="s">
        <v>4213</v>
      </c>
      <c r="Z228" s="77"/>
      <c r="AA228" s="77" t="s">
        <v>4516</v>
      </c>
      <c r="AB228" s="77" t="s">
        <v>5794</v>
      </c>
      <c r="AC228" s="81" t="s">
        <v>5819</v>
      </c>
      <c r="AD228" s="77" t="s">
        <v>5850</v>
      </c>
      <c r="AE228" s="83" t="str">
        <f>HYPERLINK("https://twitter.com/mpmsoftware/status/1661675474244841473")</f>
        <v>https://twitter.com/mpmsoftware/status/1661675474244841473</v>
      </c>
      <c r="AF228" s="79">
        <v>45071.422222222223</v>
      </c>
      <c r="AG228" s="85">
        <v>45071</v>
      </c>
      <c r="AH228" s="81" t="s">
        <v>6057</v>
      </c>
      <c r="AI228" s="77" t="b">
        <v>0</v>
      </c>
      <c r="AJ228" s="77"/>
      <c r="AK228" s="77"/>
      <c r="AL228" s="77"/>
      <c r="AM228" s="77"/>
      <c r="AN228" s="77"/>
      <c r="AO228" s="77"/>
      <c r="AP228" s="77"/>
      <c r="AQ228" s="77" t="s">
        <v>8019</v>
      </c>
      <c r="AR228" s="77"/>
      <c r="AS228" s="77"/>
      <c r="AT228" s="77"/>
      <c r="AU228" s="77"/>
      <c r="AV228" s="83" t="str">
        <f>HYPERLINK("https://pbs.twimg.com/media/Fw9nTpFWIAAhrE4.jpg")</f>
        <v>https://pbs.twimg.com/media/Fw9nTpFWIAAhrE4.jpg</v>
      </c>
      <c r="AW228" s="81" t="s">
        <v>9500</v>
      </c>
      <c r="AX228" s="81" t="s">
        <v>9500</v>
      </c>
      <c r="AY228" s="77"/>
      <c r="AZ228" s="81" t="s">
        <v>11359</v>
      </c>
      <c r="BA228" s="81" t="s">
        <v>11359</v>
      </c>
      <c r="BB228" s="81" t="s">
        <v>11359</v>
      </c>
      <c r="BC228" s="81" t="s">
        <v>9500</v>
      </c>
      <c r="BD228" s="77">
        <v>115608265</v>
      </c>
      <c r="BE228" s="77"/>
      <c r="BF228" s="77"/>
      <c r="BG228" s="77"/>
      <c r="BH228" s="77"/>
      <c r="BI228" s="77"/>
    </row>
    <row r="229" spans="1:61" x14ac:dyDescent="0.25">
      <c r="A229" s="62" t="s">
        <v>332</v>
      </c>
      <c r="B229" s="62" t="s">
        <v>332</v>
      </c>
      <c r="C229" s="63"/>
      <c r="D229" s="64"/>
      <c r="E229" s="65"/>
      <c r="F229" s="66"/>
      <c r="G229" s="63"/>
      <c r="H229" s="67"/>
      <c r="I229" s="68"/>
      <c r="J229" s="68"/>
      <c r="K229" s="32"/>
      <c r="L229" s="75">
        <v>229</v>
      </c>
      <c r="M229" s="75"/>
      <c r="N229" s="70"/>
      <c r="O229" s="77" t="s">
        <v>179</v>
      </c>
      <c r="P229" s="79">
        <v>45069.586608796293</v>
      </c>
      <c r="Q229" s="77" t="s">
        <v>1180</v>
      </c>
      <c r="R229" s="77">
        <v>0</v>
      </c>
      <c r="S229" s="77">
        <v>0</v>
      </c>
      <c r="T229" s="77">
        <v>0</v>
      </c>
      <c r="U229" s="77">
        <v>0</v>
      </c>
      <c r="V229" s="77">
        <v>9</v>
      </c>
      <c r="W229" s="81" t="s">
        <v>3088</v>
      </c>
      <c r="X229" s="83" t="str">
        <f>HYPERLINK("https://www.sympla.com.br/palestra-online---como-vender-mais-com-inteligencia-emocional__1997498")</f>
        <v>https://www.sympla.com.br/palestra-online---como-vender-mais-com-inteligencia-emocional__1997498</v>
      </c>
      <c r="Y229" s="77" t="s">
        <v>4223</v>
      </c>
      <c r="Z229" s="77"/>
      <c r="AA229" s="77"/>
      <c r="AB229" s="77"/>
      <c r="AC229" s="81" t="s">
        <v>5805</v>
      </c>
      <c r="AD229" s="77" t="s">
        <v>5851</v>
      </c>
      <c r="AE229" s="83" t="str">
        <f>HYPERLINK("https://twitter.com/rogermar/status/1661010270339358720")</f>
        <v>https://twitter.com/rogermar/status/1661010270339358720</v>
      </c>
      <c r="AF229" s="79">
        <v>45069.586608796293</v>
      </c>
      <c r="AG229" s="85">
        <v>45069</v>
      </c>
      <c r="AH229" s="81" t="s">
        <v>6059</v>
      </c>
      <c r="AI229" s="77" t="b">
        <v>0</v>
      </c>
      <c r="AJ229" s="77"/>
      <c r="AK229" s="77"/>
      <c r="AL229" s="77"/>
      <c r="AM229" s="77"/>
      <c r="AN229" s="77"/>
      <c r="AO229" s="77"/>
      <c r="AP229" s="77"/>
      <c r="AQ229" s="77"/>
      <c r="AR229" s="77"/>
      <c r="AS229" s="77"/>
      <c r="AT229" s="77"/>
      <c r="AU229" s="77"/>
      <c r="AV229" s="83" t="str">
        <f>HYPERLINK("https://pbs.twimg.com/profile_images/1283722360168882178/u1Vms7bj_normal.jpg")</f>
        <v>https://pbs.twimg.com/profile_images/1283722360168882178/u1Vms7bj_normal.jpg</v>
      </c>
      <c r="AW229" s="81" t="s">
        <v>9501</v>
      </c>
      <c r="AX229" s="81" t="s">
        <v>9501</v>
      </c>
      <c r="AY229" s="77"/>
      <c r="AZ229" s="81" t="s">
        <v>11359</v>
      </c>
      <c r="BA229" s="81" t="s">
        <v>11359</v>
      </c>
      <c r="BB229" s="81" t="s">
        <v>11359</v>
      </c>
      <c r="BC229" s="81" t="s">
        <v>9501</v>
      </c>
      <c r="BD229" s="77">
        <v>19712873</v>
      </c>
      <c r="BE229" s="77"/>
      <c r="BF229" s="77"/>
      <c r="BG229" s="77"/>
      <c r="BH229" s="77"/>
      <c r="BI229" s="77"/>
    </row>
    <row r="230" spans="1:61" x14ac:dyDescent="0.25">
      <c r="A230" s="62" t="s">
        <v>333</v>
      </c>
      <c r="B230" s="62" t="s">
        <v>333</v>
      </c>
      <c r="C230" s="63"/>
      <c r="D230" s="64"/>
      <c r="E230" s="65"/>
      <c r="F230" s="66"/>
      <c r="G230" s="63"/>
      <c r="H230" s="67"/>
      <c r="I230" s="68"/>
      <c r="J230" s="68"/>
      <c r="K230" s="32"/>
      <c r="L230" s="75">
        <v>230</v>
      </c>
      <c r="M230" s="75"/>
      <c r="N230" s="70"/>
      <c r="O230" s="77" t="s">
        <v>179</v>
      </c>
      <c r="P230" s="79">
        <v>45141.799039351848</v>
      </c>
      <c r="Q230" s="77" t="s">
        <v>1181</v>
      </c>
      <c r="R230" s="77">
        <v>0</v>
      </c>
      <c r="S230" s="77">
        <v>0</v>
      </c>
      <c r="T230" s="77">
        <v>0</v>
      </c>
      <c r="U230" s="77">
        <v>0</v>
      </c>
      <c r="V230" s="77">
        <v>88</v>
      </c>
      <c r="W230" s="81" t="s">
        <v>3089</v>
      </c>
      <c r="X230" s="77"/>
      <c r="Y230" s="77"/>
      <c r="Z230" s="77"/>
      <c r="AA230" s="77" t="s">
        <v>4517</v>
      </c>
      <c r="AB230" s="77" t="s">
        <v>5794</v>
      </c>
      <c r="AC230" s="81" t="s">
        <v>5801</v>
      </c>
      <c r="AD230" s="77" t="s">
        <v>5850</v>
      </c>
      <c r="AE230" s="83" t="str">
        <f>HYPERLINK("https://twitter.com/umancolombia/status/1687179179094073344")</f>
        <v>https://twitter.com/umancolombia/status/1687179179094073344</v>
      </c>
      <c r="AF230" s="79">
        <v>45141.799039351848</v>
      </c>
      <c r="AG230" s="85">
        <v>45141</v>
      </c>
      <c r="AH230" s="81" t="s">
        <v>6060</v>
      </c>
      <c r="AI230" s="77" t="b">
        <v>0</v>
      </c>
      <c r="AJ230" s="77"/>
      <c r="AK230" s="77"/>
      <c r="AL230" s="77"/>
      <c r="AM230" s="77"/>
      <c r="AN230" s="77"/>
      <c r="AO230" s="77"/>
      <c r="AP230" s="77"/>
      <c r="AQ230" s="77" t="s">
        <v>8020</v>
      </c>
      <c r="AR230" s="77"/>
      <c r="AS230" s="77"/>
      <c r="AT230" s="77"/>
      <c r="AU230" s="77"/>
      <c r="AV230" s="83" t="str">
        <f>HYPERLINK("https://pbs.twimg.com/media/F2oQhbfWwAAFJ-f.jpg")</f>
        <v>https://pbs.twimg.com/media/F2oQhbfWwAAFJ-f.jpg</v>
      </c>
      <c r="AW230" s="81" t="s">
        <v>9502</v>
      </c>
      <c r="AX230" s="81" t="s">
        <v>9502</v>
      </c>
      <c r="AY230" s="77"/>
      <c r="AZ230" s="81" t="s">
        <v>11359</v>
      </c>
      <c r="BA230" s="81" t="s">
        <v>11359</v>
      </c>
      <c r="BB230" s="81" t="s">
        <v>11359</v>
      </c>
      <c r="BC230" s="81" t="s">
        <v>9502</v>
      </c>
      <c r="BD230" s="81" t="s">
        <v>11457</v>
      </c>
      <c r="BE230" s="77"/>
      <c r="BF230" s="77"/>
      <c r="BG230" s="77"/>
      <c r="BH230" s="77"/>
      <c r="BI230" s="77"/>
    </row>
    <row r="231" spans="1:61" x14ac:dyDescent="0.25">
      <c r="A231" s="62" t="s">
        <v>334</v>
      </c>
      <c r="B231" s="62" t="s">
        <v>334</v>
      </c>
      <c r="C231" s="63"/>
      <c r="D231" s="64"/>
      <c r="E231" s="65"/>
      <c r="F231" s="66"/>
      <c r="G231" s="63"/>
      <c r="H231" s="67"/>
      <c r="I231" s="68"/>
      <c r="J231" s="68"/>
      <c r="K231" s="32"/>
      <c r="L231" s="75">
        <v>231</v>
      </c>
      <c r="M231" s="75"/>
      <c r="N231" s="70"/>
      <c r="O231" s="77" t="s">
        <v>179</v>
      </c>
      <c r="P231" s="79">
        <v>44979.66673611111</v>
      </c>
      <c r="Q231" s="77" t="s">
        <v>1182</v>
      </c>
      <c r="R231" s="77">
        <v>0</v>
      </c>
      <c r="S231" s="77">
        <v>0</v>
      </c>
      <c r="T231" s="77">
        <v>0</v>
      </c>
      <c r="U231" s="77">
        <v>0</v>
      </c>
      <c r="V231" s="77">
        <v>4</v>
      </c>
      <c r="W231" s="81" t="s">
        <v>3090</v>
      </c>
      <c r="X231" s="83" t="str">
        <f>HYPERLINK("http://blgs.co/r7ZW-O")</f>
        <v>http://blgs.co/r7ZW-O</v>
      </c>
      <c r="Y231" s="77" t="s">
        <v>4242</v>
      </c>
      <c r="Z231" s="77"/>
      <c r="AA231" s="77" t="s">
        <v>4518</v>
      </c>
      <c r="AB231" s="77" t="s">
        <v>5794</v>
      </c>
      <c r="AC231" s="81" t="s">
        <v>5820</v>
      </c>
      <c r="AD231" s="77" t="s">
        <v>5850</v>
      </c>
      <c r="AE231" s="83" t="str">
        <f>HYPERLINK("https://twitter.com/zorbash/status/1628424402168688640")</f>
        <v>https://twitter.com/zorbash/status/1628424402168688640</v>
      </c>
      <c r="AF231" s="79">
        <v>44979.66673611111</v>
      </c>
      <c r="AG231" s="85">
        <v>44979</v>
      </c>
      <c r="AH231" s="81" t="s">
        <v>6061</v>
      </c>
      <c r="AI231" s="77" t="b">
        <v>0</v>
      </c>
      <c r="AJ231" s="77"/>
      <c r="AK231" s="77"/>
      <c r="AL231" s="77"/>
      <c r="AM231" s="77"/>
      <c r="AN231" s="77"/>
      <c r="AO231" s="77"/>
      <c r="AP231" s="77"/>
      <c r="AQ231" s="77" t="s">
        <v>8021</v>
      </c>
      <c r="AR231" s="77"/>
      <c r="AS231" s="77"/>
      <c r="AT231" s="77"/>
      <c r="AU231" s="77"/>
      <c r="AV231" s="83" t="str">
        <f>HYPERLINK("https://pbs.twimg.com/media/FplTXU5XwAU9g5E.jpg")</f>
        <v>https://pbs.twimg.com/media/FplTXU5XwAU9g5E.jpg</v>
      </c>
      <c r="AW231" s="81" t="s">
        <v>9503</v>
      </c>
      <c r="AX231" s="81" t="s">
        <v>9503</v>
      </c>
      <c r="AY231" s="77"/>
      <c r="AZ231" s="81" t="s">
        <v>11359</v>
      </c>
      <c r="BA231" s="81" t="s">
        <v>11359</v>
      </c>
      <c r="BB231" s="81" t="s">
        <v>11359</v>
      </c>
      <c r="BC231" s="81" t="s">
        <v>9503</v>
      </c>
      <c r="BD231" s="77">
        <v>129378941</v>
      </c>
      <c r="BE231" s="77"/>
      <c r="BF231" s="77"/>
      <c r="BG231" s="77"/>
      <c r="BH231" s="77"/>
      <c r="BI231" s="77"/>
    </row>
    <row r="232" spans="1:61" x14ac:dyDescent="0.25">
      <c r="A232" s="62" t="s">
        <v>334</v>
      </c>
      <c r="B232" s="62" t="s">
        <v>334</v>
      </c>
      <c r="C232" s="63"/>
      <c r="D232" s="64"/>
      <c r="E232" s="65"/>
      <c r="F232" s="66"/>
      <c r="G232" s="63"/>
      <c r="H232" s="67"/>
      <c r="I232" s="68"/>
      <c r="J232" s="68"/>
      <c r="K232" s="32"/>
      <c r="L232" s="75">
        <v>232</v>
      </c>
      <c r="M232" s="75"/>
      <c r="N232" s="70"/>
      <c r="O232" s="77" t="s">
        <v>179</v>
      </c>
      <c r="P232" s="79">
        <v>45010.947939814818</v>
      </c>
      <c r="Q232" s="77" t="s">
        <v>1183</v>
      </c>
      <c r="R232" s="77">
        <v>0</v>
      </c>
      <c r="S232" s="77">
        <v>0</v>
      </c>
      <c r="T232" s="77">
        <v>0</v>
      </c>
      <c r="U232" s="77">
        <v>0</v>
      </c>
      <c r="V232" s="77"/>
      <c r="W232" s="81" t="s">
        <v>2947</v>
      </c>
      <c r="X232" s="83" t="str">
        <f>HYPERLINK("http://blgs.co/nkK79R")</f>
        <v>http://blgs.co/nkK79R</v>
      </c>
      <c r="Y232" s="77" t="s">
        <v>4242</v>
      </c>
      <c r="Z232" s="77"/>
      <c r="AA232" s="77"/>
      <c r="AB232" s="77"/>
      <c r="AC232" s="81" t="s">
        <v>5820</v>
      </c>
      <c r="AD232" s="77" t="s">
        <v>5850</v>
      </c>
      <c r="AE232" s="83" t="str">
        <f>HYPERLINK("https://twitter.com/zorbash/status/1639760328291483648")</f>
        <v>https://twitter.com/zorbash/status/1639760328291483648</v>
      </c>
      <c r="AF232" s="79">
        <v>45010.947939814818</v>
      </c>
      <c r="AG232" s="85">
        <v>45010</v>
      </c>
      <c r="AH232" s="81" t="s">
        <v>6062</v>
      </c>
      <c r="AI232" s="77" t="b">
        <v>0</v>
      </c>
      <c r="AJ232" s="77"/>
      <c r="AK232" s="77"/>
      <c r="AL232" s="77"/>
      <c r="AM232" s="77"/>
      <c r="AN232" s="77"/>
      <c r="AO232" s="77"/>
      <c r="AP232" s="77"/>
      <c r="AQ232" s="77"/>
      <c r="AR232" s="77"/>
      <c r="AS232" s="77"/>
      <c r="AT232" s="77"/>
      <c r="AU232" s="77"/>
      <c r="AV232" s="83" t="str">
        <f>HYPERLINK("https://pbs.twimg.com/profile_images/1486151902702321665/mLE6Okwn_normal.jpg")</f>
        <v>https://pbs.twimg.com/profile_images/1486151902702321665/mLE6Okwn_normal.jpg</v>
      </c>
      <c r="AW232" s="81" t="s">
        <v>9504</v>
      </c>
      <c r="AX232" s="81" t="s">
        <v>9504</v>
      </c>
      <c r="AY232" s="77"/>
      <c r="AZ232" s="81" t="s">
        <v>11359</v>
      </c>
      <c r="BA232" s="81" t="s">
        <v>11359</v>
      </c>
      <c r="BB232" s="81" t="s">
        <v>11359</v>
      </c>
      <c r="BC232" s="81" t="s">
        <v>9504</v>
      </c>
      <c r="BD232" s="77">
        <v>129378941</v>
      </c>
      <c r="BE232" s="77"/>
      <c r="BF232" s="77"/>
      <c r="BG232" s="77"/>
      <c r="BH232" s="77"/>
      <c r="BI232" s="77"/>
    </row>
    <row r="233" spans="1:61" x14ac:dyDescent="0.25">
      <c r="A233" s="62" t="s">
        <v>335</v>
      </c>
      <c r="B233" s="62" t="s">
        <v>335</v>
      </c>
      <c r="C233" s="63"/>
      <c r="D233" s="64"/>
      <c r="E233" s="65"/>
      <c r="F233" s="66"/>
      <c r="G233" s="63"/>
      <c r="H233" s="67"/>
      <c r="I233" s="68"/>
      <c r="J233" s="68"/>
      <c r="K233" s="32"/>
      <c r="L233" s="75">
        <v>233</v>
      </c>
      <c r="M233" s="75"/>
      <c r="N233" s="70"/>
      <c r="O233" s="77" t="s">
        <v>179</v>
      </c>
      <c r="P233" s="79">
        <v>45178.751597222225</v>
      </c>
      <c r="Q233" s="77" t="s">
        <v>1184</v>
      </c>
      <c r="R233" s="77">
        <v>0</v>
      </c>
      <c r="S233" s="77">
        <v>0</v>
      </c>
      <c r="T233" s="77">
        <v>0</v>
      </c>
      <c r="U233" s="77">
        <v>0</v>
      </c>
      <c r="V233" s="77">
        <v>126</v>
      </c>
      <c r="W233" s="81" t="s">
        <v>3091</v>
      </c>
      <c r="X233" s="77"/>
      <c r="Y233" s="77"/>
      <c r="Z233" s="77"/>
      <c r="AA233" s="77" t="s">
        <v>4519</v>
      </c>
      <c r="AB233" s="77" t="s">
        <v>5795</v>
      </c>
      <c r="AC233" s="81" t="s">
        <v>5805</v>
      </c>
      <c r="AD233" s="77" t="s">
        <v>5851</v>
      </c>
      <c r="AE233" s="83" t="str">
        <f>HYPERLINK("https://twitter.com/nicolassalesadv/status/1700570340416434491")</f>
        <v>https://twitter.com/nicolassalesadv/status/1700570340416434491</v>
      </c>
      <c r="AF233" s="79">
        <v>45178.751597222225</v>
      </c>
      <c r="AG233" s="85">
        <v>45178</v>
      </c>
      <c r="AH233" s="81" t="s">
        <v>6063</v>
      </c>
      <c r="AI233" s="77" t="b">
        <v>0</v>
      </c>
      <c r="AJ233" s="77"/>
      <c r="AK233" s="77"/>
      <c r="AL233" s="77"/>
      <c r="AM233" s="77"/>
      <c r="AN233" s="77"/>
      <c r="AO233" s="77"/>
      <c r="AP233" s="77"/>
      <c r="AQ233" s="77" t="s">
        <v>8022</v>
      </c>
      <c r="AR233" s="77">
        <v>97430</v>
      </c>
      <c r="AS233" s="77"/>
      <c r="AT233" s="77"/>
      <c r="AU233" s="77"/>
      <c r="AV233" s="83" t="str">
        <f>HYPERLINK("https://pbs.twimg.com/ext_tw_video_thumb/1700570100749791232/pu/img/Z13ZmIMrgSDJg4UW.jpg")</f>
        <v>https://pbs.twimg.com/ext_tw_video_thumb/1700570100749791232/pu/img/Z13ZmIMrgSDJg4UW.jpg</v>
      </c>
      <c r="AW233" s="81" t="s">
        <v>9505</v>
      </c>
      <c r="AX233" s="81" t="s">
        <v>9505</v>
      </c>
      <c r="AY233" s="77"/>
      <c r="AZ233" s="81" t="s">
        <v>11359</v>
      </c>
      <c r="BA233" s="81" t="s">
        <v>11359</v>
      </c>
      <c r="BB233" s="81" t="s">
        <v>11359</v>
      </c>
      <c r="BC233" s="81" t="s">
        <v>9505</v>
      </c>
      <c r="BD233" s="81" t="s">
        <v>11458</v>
      </c>
      <c r="BE233" s="77"/>
      <c r="BF233" s="77"/>
      <c r="BG233" s="77"/>
      <c r="BH233" s="77"/>
      <c r="BI233" s="77"/>
    </row>
    <row r="234" spans="1:61" x14ac:dyDescent="0.25">
      <c r="A234" s="62" t="s">
        <v>336</v>
      </c>
      <c r="B234" s="62" t="s">
        <v>336</v>
      </c>
      <c r="C234" s="63"/>
      <c r="D234" s="64"/>
      <c r="E234" s="65"/>
      <c r="F234" s="66"/>
      <c r="G234" s="63"/>
      <c r="H234" s="67"/>
      <c r="I234" s="68"/>
      <c r="J234" s="68"/>
      <c r="K234" s="32"/>
      <c r="L234" s="75">
        <v>234</v>
      </c>
      <c r="M234" s="75"/>
      <c r="N234" s="70"/>
      <c r="O234" s="77" t="s">
        <v>179</v>
      </c>
      <c r="P234" s="79">
        <v>45110.437291666669</v>
      </c>
      <c r="Q234" s="77" t="s">
        <v>1185</v>
      </c>
      <c r="R234" s="77">
        <v>0</v>
      </c>
      <c r="S234" s="77">
        <v>0</v>
      </c>
      <c r="T234" s="77">
        <v>0</v>
      </c>
      <c r="U234" s="77">
        <v>0</v>
      </c>
      <c r="V234" s="77">
        <v>4</v>
      </c>
      <c r="W234" s="81" t="s">
        <v>3092</v>
      </c>
      <c r="X234" s="83" t="str">
        <f>HYPERLINK("http://Lek.ai")</f>
        <v>http://Lek.ai</v>
      </c>
      <c r="Y234" s="77" t="s">
        <v>4243</v>
      </c>
      <c r="Z234" s="77"/>
      <c r="AA234" s="77"/>
      <c r="AB234" s="77"/>
      <c r="AC234" s="81" t="s">
        <v>5801</v>
      </c>
      <c r="AD234" s="77" t="s">
        <v>5850</v>
      </c>
      <c r="AE234" s="83" t="str">
        <f>HYPERLINK("https://twitter.com/alexbru65408321/status/1675814063190712321")</f>
        <v>https://twitter.com/alexbru65408321/status/1675814063190712321</v>
      </c>
      <c r="AF234" s="79">
        <v>45110.437291666669</v>
      </c>
      <c r="AG234" s="85">
        <v>45110</v>
      </c>
      <c r="AH234" s="81" t="s">
        <v>6064</v>
      </c>
      <c r="AI234" s="77" t="b">
        <v>0</v>
      </c>
      <c r="AJ234" s="77"/>
      <c r="AK234" s="77"/>
      <c r="AL234" s="77"/>
      <c r="AM234" s="77"/>
      <c r="AN234" s="77"/>
      <c r="AO234" s="77"/>
      <c r="AP234" s="77"/>
      <c r="AQ234" s="77"/>
      <c r="AR234" s="77"/>
      <c r="AS234" s="77"/>
      <c r="AT234" s="77"/>
      <c r="AU234" s="77"/>
      <c r="AV234" s="83" t="str">
        <f>HYPERLINK("https://pbs.twimg.com/profile_images/1627786259073576960/O4IF-Ik2_normal.png")</f>
        <v>https://pbs.twimg.com/profile_images/1627786259073576960/O4IF-Ik2_normal.png</v>
      </c>
      <c r="AW234" s="81" t="s">
        <v>9506</v>
      </c>
      <c r="AX234" s="81" t="s">
        <v>9506</v>
      </c>
      <c r="AY234" s="77"/>
      <c r="AZ234" s="81" t="s">
        <v>11359</v>
      </c>
      <c r="BA234" s="81" t="s">
        <v>11359</v>
      </c>
      <c r="BB234" s="81" t="s">
        <v>11359</v>
      </c>
      <c r="BC234" s="81" t="s">
        <v>9506</v>
      </c>
      <c r="BD234" s="81" t="s">
        <v>11459</v>
      </c>
      <c r="BE234" s="77"/>
      <c r="BF234" s="77"/>
      <c r="BG234" s="77"/>
      <c r="BH234" s="77"/>
      <c r="BI234" s="77"/>
    </row>
    <row r="235" spans="1:61" x14ac:dyDescent="0.25">
      <c r="A235" s="62" t="s">
        <v>337</v>
      </c>
      <c r="B235" s="62" t="s">
        <v>337</v>
      </c>
      <c r="C235" s="63"/>
      <c r="D235" s="64"/>
      <c r="E235" s="65"/>
      <c r="F235" s="66"/>
      <c r="G235" s="63"/>
      <c r="H235" s="67"/>
      <c r="I235" s="68"/>
      <c r="J235" s="68"/>
      <c r="K235" s="32"/>
      <c r="L235" s="75">
        <v>235</v>
      </c>
      <c r="M235" s="75"/>
      <c r="N235" s="70"/>
      <c r="O235" s="77" t="s">
        <v>179</v>
      </c>
      <c r="P235" s="79">
        <v>44935.868506944447</v>
      </c>
      <c r="Q235" s="77" t="s">
        <v>1186</v>
      </c>
      <c r="R235" s="77">
        <v>0</v>
      </c>
      <c r="S235" s="77">
        <v>0</v>
      </c>
      <c r="T235" s="77">
        <v>0</v>
      </c>
      <c r="U235" s="77">
        <v>0</v>
      </c>
      <c r="V235" s="77">
        <v>25</v>
      </c>
      <c r="W235" s="81" t="s">
        <v>3093</v>
      </c>
      <c r="X235" s="83" t="str">
        <f>HYPERLINK("https://www.samirnews.com/2023/01/anuncio-falso-de-ps5-barato-da-prejuizo.html")</f>
        <v>https://www.samirnews.com/2023/01/anuncio-falso-de-ps5-barato-da-prejuizo.html</v>
      </c>
      <c r="Y235" s="77" t="s">
        <v>4244</v>
      </c>
      <c r="Z235" s="77"/>
      <c r="AA235" s="77"/>
      <c r="AB235" s="77"/>
      <c r="AC235" s="81" t="s">
        <v>5821</v>
      </c>
      <c r="AD235" s="77" t="s">
        <v>5851</v>
      </c>
      <c r="AE235" s="83" t="str">
        <f>HYPERLINK("https://twitter.com/canalfs0ciety/status/1612552454666592263")</f>
        <v>https://twitter.com/canalfs0ciety/status/1612552454666592263</v>
      </c>
      <c r="AF235" s="79">
        <v>44935.868506944447</v>
      </c>
      <c r="AG235" s="85">
        <v>44935</v>
      </c>
      <c r="AH235" s="81" t="s">
        <v>6065</v>
      </c>
      <c r="AI235" s="77" t="b">
        <v>0</v>
      </c>
      <c r="AJ235" s="77"/>
      <c r="AK235" s="77"/>
      <c r="AL235" s="77"/>
      <c r="AM235" s="77"/>
      <c r="AN235" s="77"/>
      <c r="AO235" s="77"/>
      <c r="AP235" s="77"/>
      <c r="AQ235" s="77"/>
      <c r="AR235" s="77"/>
      <c r="AS235" s="77"/>
      <c r="AT235" s="77"/>
      <c r="AU235" s="77"/>
      <c r="AV235" s="83" t="str">
        <f>HYPERLINK("https://pbs.twimg.com/profile_images/1445853333302890497/_g428Fz1_normal.jpg")</f>
        <v>https://pbs.twimg.com/profile_images/1445853333302890497/_g428Fz1_normal.jpg</v>
      </c>
      <c r="AW235" s="81" t="s">
        <v>9507</v>
      </c>
      <c r="AX235" s="81" t="s">
        <v>9507</v>
      </c>
      <c r="AY235" s="77"/>
      <c r="AZ235" s="81" t="s">
        <v>11359</v>
      </c>
      <c r="BA235" s="81" t="s">
        <v>11359</v>
      </c>
      <c r="BB235" s="81" t="s">
        <v>11359</v>
      </c>
      <c r="BC235" s="81" t="s">
        <v>9507</v>
      </c>
      <c r="BD235" s="81" t="s">
        <v>11460</v>
      </c>
      <c r="BE235" s="77"/>
      <c r="BF235" s="77"/>
      <c r="BG235" s="77"/>
      <c r="BH235" s="77"/>
      <c r="BI235" s="77"/>
    </row>
    <row r="236" spans="1:61" x14ac:dyDescent="0.25">
      <c r="A236" s="62" t="s">
        <v>337</v>
      </c>
      <c r="B236" s="62" t="s">
        <v>337</v>
      </c>
      <c r="C236" s="63"/>
      <c r="D236" s="64"/>
      <c r="E236" s="65"/>
      <c r="F236" s="66"/>
      <c r="G236" s="63"/>
      <c r="H236" s="67"/>
      <c r="I236" s="68"/>
      <c r="J236" s="68"/>
      <c r="K236" s="32"/>
      <c r="L236" s="75">
        <v>236</v>
      </c>
      <c r="M236" s="75"/>
      <c r="N236" s="70"/>
      <c r="O236" s="77" t="s">
        <v>179</v>
      </c>
      <c r="P236" s="79">
        <v>44931.976157407407</v>
      </c>
      <c r="Q236" s="77" t="s">
        <v>1187</v>
      </c>
      <c r="R236" s="77">
        <v>0</v>
      </c>
      <c r="S236" s="77">
        <v>0</v>
      </c>
      <c r="T236" s="77">
        <v>0</v>
      </c>
      <c r="U236" s="77">
        <v>0</v>
      </c>
      <c r="V236" s="77">
        <v>20</v>
      </c>
      <c r="W236" s="81" t="s">
        <v>3094</v>
      </c>
      <c r="X236" s="83" t="str">
        <f>HYPERLINK("https://www.samirnews.com/2023/01/vendedor-do-mercadolivre-e-hackeado-e.html")</f>
        <v>https://www.samirnews.com/2023/01/vendedor-do-mercadolivre-e-hackeado-e.html</v>
      </c>
      <c r="Y236" s="77" t="s">
        <v>4244</v>
      </c>
      <c r="Z236" s="77"/>
      <c r="AA236" s="77"/>
      <c r="AB236" s="77"/>
      <c r="AC236" s="81" t="s">
        <v>5821</v>
      </c>
      <c r="AD236" s="77" t="s">
        <v>5851</v>
      </c>
      <c r="AE236" s="83" t="str">
        <f>HYPERLINK("https://twitter.com/canalfs0ciety/status/1611141914627031044")</f>
        <v>https://twitter.com/canalfs0ciety/status/1611141914627031044</v>
      </c>
      <c r="AF236" s="79">
        <v>44931.976157407407</v>
      </c>
      <c r="AG236" s="85">
        <v>44931</v>
      </c>
      <c r="AH236" s="81" t="s">
        <v>6066</v>
      </c>
      <c r="AI236" s="77" t="b">
        <v>0</v>
      </c>
      <c r="AJ236" s="77"/>
      <c r="AK236" s="77"/>
      <c r="AL236" s="77"/>
      <c r="AM236" s="77"/>
      <c r="AN236" s="77"/>
      <c r="AO236" s="77"/>
      <c r="AP236" s="77"/>
      <c r="AQ236" s="77"/>
      <c r="AR236" s="77"/>
      <c r="AS236" s="77"/>
      <c r="AT236" s="77"/>
      <c r="AU236" s="77"/>
      <c r="AV236" s="83" t="str">
        <f>HYPERLINK("https://pbs.twimg.com/profile_images/1445853333302890497/_g428Fz1_normal.jpg")</f>
        <v>https://pbs.twimg.com/profile_images/1445853333302890497/_g428Fz1_normal.jpg</v>
      </c>
      <c r="AW236" s="81" t="s">
        <v>9508</v>
      </c>
      <c r="AX236" s="81" t="s">
        <v>9508</v>
      </c>
      <c r="AY236" s="77"/>
      <c r="AZ236" s="81" t="s">
        <v>11359</v>
      </c>
      <c r="BA236" s="81" t="s">
        <v>11359</v>
      </c>
      <c r="BB236" s="81" t="s">
        <v>11359</v>
      </c>
      <c r="BC236" s="81" t="s">
        <v>9508</v>
      </c>
      <c r="BD236" s="81" t="s">
        <v>11460</v>
      </c>
      <c r="BE236" s="77"/>
      <c r="BF236" s="77"/>
      <c r="BG236" s="77"/>
      <c r="BH236" s="77"/>
      <c r="BI236" s="77"/>
    </row>
    <row r="237" spans="1:61" x14ac:dyDescent="0.25">
      <c r="A237" s="62" t="s">
        <v>338</v>
      </c>
      <c r="B237" s="62" t="s">
        <v>338</v>
      </c>
      <c r="C237" s="63"/>
      <c r="D237" s="64"/>
      <c r="E237" s="65"/>
      <c r="F237" s="66"/>
      <c r="G237" s="63"/>
      <c r="H237" s="67"/>
      <c r="I237" s="68"/>
      <c r="J237" s="68"/>
      <c r="K237" s="32"/>
      <c r="L237" s="75">
        <v>237</v>
      </c>
      <c r="M237" s="75"/>
      <c r="N237" s="70"/>
      <c r="O237" s="77" t="s">
        <v>179</v>
      </c>
      <c r="P237" s="79">
        <v>45042.914768518516</v>
      </c>
      <c r="Q237" s="77" t="s">
        <v>1188</v>
      </c>
      <c r="R237" s="77">
        <v>0</v>
      </c>
      <c r="S237" s="77">
        <v>0</v>
      </c>
      <c r="T237" s="77">
        <v>0</v>
      </c>
      <c r="U237" s="77">
        <v>0</v>
      </c>
      <c r="V237" s="77">
        <v>9</v>
      </c>
      <c r="W237" s="81" t="s">
        <v>2947</v>
      </c>
      <c r="X237" s="83" t="str">
        <f>HYPERLINK("https://lado.mx/n.php?id=12979155")</f>
        <v>https://lado.mx/n.php?id=12979155</v>
      </c>
      <c r="Y237" s="77" t="s">
        <v>4245</v>
      </c>
      <c r="Z237" s="77"/>
      <c r="AA237" s="77"/>
      <c r="AB237" s="77"/>
      <c r="AC237" s="81" t="s">
        <v>5822</v>
      </c>
      <c r="AD237" s="77" t="s">
        <v>5850</v>
      </c>
      <c r="AE237" s="83" t="str">
        <f>HYPERLINK("https://twitter.com/lado_mx/status/1651344718414872576")</f>
        <v>https://twitter.com/lado_mx/status/1651344718414872576</v>
      </c>
      <c r="AF237" s="79">
        <v>45042.914768518516</v>
      </c>
      <c r="AG237" s="85">
        <v>45042</v>
      </c>
      <c r="AH237" s="81" t="s">
        <v>6067</v>
      </c>
      <c r="AI237" s="77" t="b">
        <v>1</v>
      </c>
      <c r="AJ237" s="77"/>
      <c r="AK237" s="77"/>
      <c r="AL237" s="77"/>
      <c r="AM237" s="77"/>
      <c r="AN237" s="77"/>
      <c r="AO237" s="77"/>
      <c r="AP237" s="77"/>
      <c r="AQ237" s="77"/>
      <c r="AR237" s="77"/>
      <c r="AS237" s="77"/>
      <c r="AT237" s="77"/>
      <c r="AU237" s="77"/>
      <c r="AV237" s="83" t="str">
        <f>HYPERLINK("https://pbs.twimg.com/profile_images/483835142784286721/qfznLNQ0_normal.png")</f>
        <v>https://pbs.twimg.com/profile_images/483835142784286721/qfznLNQ0_normal.png</v>
      </c>
      <c r="AW237" s="81" t="s">
        <v>9509</v>
      </c>
      <c r="AX237" s="81" t="s">
        <v>9509</v>
      </c>
      <c r="AY237" s="77"/>
      <c r="AZ237" s="81" t="s">
        <v>11359</v>
      </c>
      <c r="BA237" s="81" t="s">
        <v>11359</v>
      </c>
      <c r="BB237" s="81" t="s">
        <v>11359</v>
      </c>
      <c r="BC237" s="81" t="s">
        <v>9509</v>
      </c>
      <c r="BD237" s="77">
        <v>92356864</v>
      </c>
      <c r="BE237" s="77"/>
      <c r="BF237" s="77"/>
      <c r="BG237" s="77"/>
      <c r="BH237" s="77"/>
      <c r="BI237" s="77"/>
    </row>
    <row r="238" spans="1:61" x14ac:dyDescent="0.25">
      <c r="A238" s="62" t="s">
        <v>339</v>
      </c>
      <c r="B238" s="62" t="s">
        <v>339</v>
      </c>
      <c r="C238" s="63"/>
      <c r="D238" s="64"/>
      <c r="E238" s="65"/>
      <c r="F238" s="66"/>
      <c r="G238" s="63"/>
      <c r="H238" s="67"/>
      <c r="I238" s="68"/>
      <c r="J238" s="68"/>
      <c r="K238" s="32"/>
      <c r="L238" s="75">
        <v>238</v>
      </c>
      <c r="M238" s="75"/>
      <c r="N238" s="70"/>
      <c r="O238" s="77" t="s">
        <v>179</v>
      </c>
      <c r="P238" s="79">
        <v>44977.919861111113</v>
      </c>
      <c r="Q238" s="77" t="s">
        <v>1189</v>
      </c>
      <c r="R238" s="77">
        <v>0</v>
      </c>
      <c r="S238" s="77">
        <v>0</v>
      </c>
      <c r="T238" s="77">
        <v>0</v>
      </c>
      <c r="U238" s="77">
        <v>0</v>
      </c>
      <c r="V238" s="77">
        <v>145</v>
      </c>
      <c r="W238" s="81" t="s">
        <v>2947</v>
      </c>
      <c r="X238" s="77"/>
      <c r="Y238" s="77"/>
      <c r="Z238" s="77"/>
      <c r="AA238" s="77"/>
      <c r="AB238" s="77"/>
      <c r="AC238" s="81" t="s">
        <v>5803</v>
      </c>
      <c r="AD238" s="77" t="s">
        <v>5853</v>
      </c>
      <c r="AE238" s="83" t="str">
        <f>HYPERLINK("https://twitter.com/dudiinhass/status/1627791352728616960")</f>
        <v>https://twitter.com/dudiinhass/status/1627791352728616960</v>
      </c>
      <c r="AF238" s="79">
        <v>44977.919861111113</v>
      </c>
      <c r="AG238" s="85">
        <v>44977</v>
      </c>
      <c r="AH238" s="81" t="s">
        <v>6068</v>
      </c>
      <c r="AI238" s="77"/>
      <c r="AJ238" s="77"/>
      <c r="AK238" s="77"/>
      <c r="AL238" s="77"/>
      <c r="AM238" s="77"/>
      <c r="AN238" s="77"/>
      <c r="AO238" s="77"/>
      <c r="AP238" s="77"/>
      <c r="AQ238" s="77"/>
      <c r="AR238" s="77"/>
      <c r="AS238" s="77"/>
      <c r="AT238" s="77"/>
      <c r="AU238" s="77"/>
      <c r="AV238" s="83" t="str">
        <f>HYPERLINK("https://pbs.twimg.com/profile_images/1703530732428144641/vNmdPvyK_normal.jpg")</f>
        <v>https://pbs.twimg.com/profile_images/1703530732428144641/vNmdPvyK_normal.jpg</v>
      </c>
      <c r="AW238" s="81" t="s">
        <v>9510</v>
      </c>
      <c r="AX238" s="81" t="s">
        <v>11255</v>
      </c>
      <c r="AY238" s="77"/>
      <c r="AZ238" s="81" t="s">
        <v>11359</v>
      </c>
      <c r="BA238" s="81" t="s">
        <v>11359</v>
      </c>
      <c r="BB238" s="81" t="s">
        <v>11359</v>
      </c>
      <c r="BC238" s="81" t="s">
        <v>9510</v>
      </c>
      <c r="BD238" s="81" t="s">
        <v>11461</v>
      </c>
      <c r="BE238" s="77"/>
      <c r="BF238" s="77"/>
      <c r="BG238" s="77"/>
      <c r="BH238" s="77"/>
      <c r="BI238" s="77"/>
    </row>
    <row r="239" spans="1:61" x14ac:dyDescent="0.25">
      <c r="A239" s="62" t="s">
        <v>340</v>
      </c>
      <c r="B239" s="62" t="s">
        <v>340</v>
      </c>
      <c r="C239" s="63"/>
      <c r="D239" s="64"/>
      <c r="E239" s="65"/>
      <c r="F239" s="66"/>
      <c r="G239" s="63"/>
      <c r="H239" s="67"/>
      <c r="I239" s="68"/>
      <c r="J239" s="68"/>
      <c r="K239" s="32"/>
      <c r="L239" s="75">
        <v>239</v>
      </c>
      <c r="M239" s="75"/>
      <c r="N239" s="70"/>
      <c r="O239" s="77" t="s">
        <v>179</v>
      </c>
      <c r="P239" s="79">
        <v>44938.631608796299</v>
      </c>
      <c r="Q239" s="77" t="s">
        <v>1190</v>
      </c>
      <c r="R239" s="77">
        <v>0</v>
      </c>
      <c r="S239" s="77">
        <v>0</v>
      </c>
      <c r="T239" s="77">
        <v>0</v>
      </c>
      <c r="U239" s="77">
        <v>0</v>
      </c>
      <c r="V239" s="77">
        <v>19</v>
      </c>
      <c r="W239" s="81" t="s">
        <v>3095</v>
      </c>
      <c r="X239" s="77"/>
      <c r="Y239" s="77"/>
      <c r="Z239" s="77"/>
      <c r="AA239" s="77"/>
      <c r="AB239" s="77"/>
      <c r="AC239" s="81" t="s">
        <v>5801</v>
      </c>
      <c r="AD239" s="77" t="s">
        <v>5850</v>
      </c>
      <c r="AE239" s="83" t="str">
        <f>HYPERLINK("https://twitter.com/leomigdal/status/1613553767546490882")</f>
        <v>https://twitter.com/leomigdal/status/1613553767546490882</v>
      </c>
      <c r="AF239" s="79">
        <v>44938.631608796299</v>
      </c>
      <c r="AG239" s="85">
        <v>44938</v>
      </c>
      <c r="AH239" s="81" t="s">
        <v>6069</v>
      </c>
      <c r="AI239" s="77"/>
      <c r="AJ239" s="77"/>
      <c r="AK239" s="77"/>
      <c r="AL239" s="77"/>
      <c r="AM239" s="77"/>
      <c r="AN239" s="77"/>
      <c r="AO239" s="77"/>
      <c r="AP239" s="77"/>
      <c r="AQ239" s="77"/>
      <c r="AR239" s="77"/>
      <c r="AS239" s="77"/>
      <c r="AT239" s="77"/>
      <c r="AU239" s="77"/>
      <c r="AV239" s="83" t="str">
        <f>HYPERLINK("https://pbs.twimg.com/profile_images/1212713219133001728/scaMivNm_normal.jpg")</f>
        <v>https://pbs.twimg.com/profile_images/1212713219133001728/scaMivNm_normal.jpg</v>
      </c>
      <c r="AW239" s="81" t="s">
        <v>9511</v>
      </c>
      <c r="AX239" s="81" t="s">
        <v>9511</v>
      </c>
      <c r="AY239" s="77"/>
      <c r="AZ239" s="81" t="s">
        <v>11359</v>
      </c>
      <c r="BA239" s="81" t="s">
        <v>11359</v>
      </c>
      <c r="BB239" s="81" t="s">
        <v>11359</v>
      </c>
      <c r="BC239" s="81" t="s">
        <v>9511</v>
      </c>
      <c r="BD239" s="81" t="s">
        <v>11462</v>
      </c>
      <c r="BE239" s="77"/>
      <c r="BF239" s="77"/>
      <c r="BG239" s="77"/>
      <c r="BH239" s="77"/>
      <c r="BI239" s="77"/>
    </row>
    <row r="240" spans="1:61" x14ac:dyDescent="0.25">
      <c r="A240" s="62" t="s">
        <v>340</v>
      </c>
      <c r="B240" s="62" t="s">
        <v>340</v>
      </c>
      <c r="C240" s="63"/>
      <c r="D240" s="64"/>
      <c r="E240" s="65"/>
      <c r="F240" s="66"/>
      <c r="G240" s="63"/>
      <c r="H240" s="67"/>
      <c r="I240" s="68"/>
      <c r="J240" s="68"/>
      <c r="K240" s="32"/>
      <c r="L240" s="75">
        <v>240</v>
      </c>
      <c r="M240" s="75"/>
      <c r="N240" s="70"/>
      <c r="O240" s="77" t="s">
        <v>179</v>
      </c>
      <c r="P240" s="79">
        <v>44946.659756944442</v>
      </c>
      <c r="Q240" s="77" t="s">
        <v>1191</v>
      </c>
      <c r="R240" s="77">
        <v>0</v>
      </c>
      <c r="S240" s="77">
        <v>1</v>
      </c>
      <c r="T240" s="77">
        <v>0</v>
      </c>
      <c r="U240" s="77">
        <v>0</v>
      </c>
      <c r="V240" s="77">
        <v>23</v>
      </c>
      <c r="W240" s="81" t="s">
        <v>3096</v>
      </c>
      <c r="X240" s="77"/>
      <c r="Y240" s="77"/>
      <c r="Z240" s="77"/>
      <c r="AA240" s="77"/>
      <c r="AB240" s="77"/>
      <c r="AC240" s="81" t="s">
        <v>5801</v>
      </c>
      <c r="AD240" s="77" t="s">
        <v>5850</v>
      </c>
      <c r="AE240" s="83" t="str">
        <f>HYPERLINK("https://twitter.com/leomigdal/status/1616463072511524870")</f>
        <v>https://twitter.com/leomigdal/status/1616463072511524870</v>
      </c>
      <c r="AF240" s="79">
        <v>44946.659756944442</v>
      </c>
      <c r="AG240" s="85">
        <v>44946</v>
      </c>
      <c r="AH240" s="81" t="s">
        <v>6070</v>
      </c>
      <c r="AI240" s="77"/>
      <c r="AJ240" s="77"/>
      <c r="AK240" s="77"/>
      <c r="AL240" s="77"/>
      <c r="AM240" s="77"/>
      <c r="AN240" s="77"/>
      <c r="AO240" s="77"/>
      <c r="AP240" s="77"/>
      <c r="AQ240" s="77"/>
      <c r="AR240" s="77"/>
      <c r="AS240" s="77"/>
      <c r="AT240" s="77"/>
      <c r="AU240" s="77"/>
      <c r="AV240" s="83" t="str">
        <f>HYPERLINK("https://pbs.twimg.com/profile_images/1212713219133001728/scaMivNm_normal.jpg")</f>
        <v>https://pbs.twimg.com/profile_images/1212713219133001728/scaMivNm_normal.jpg</v>
      </c>
      <c r="AW240" s="81" t="s">
        <v>9512</v>
      </c>
      <c r="AX240" s="81" t="s">
        <v>9512</v>
      </c>
      <c r="AY240" s="77"/>
      <c r="AZ240" s="81" t="s">
        <v>11359</v>
      </c>
      <c r="BA240" s="81" t="s">
        <v>11359</v>
      </c>
      <c r="BB240" s="81" t="s">
        <v>11359</v>
      </c>
      <c r="BC240" s="81" t="s">
        <v>9512</v>
      </c>
      <c r="BD240" s="81" t="s">
        <v>11462</v>
      </c>
      <c r="BE240" s="77"/>
      <c r="BF240" s="77"/>
      <c r="BG240" s="77"/>
      <c r="BH240" s="77"/>
      <c r="BI240" s="77"/>
    </row>
    <row r="241" spans="1:61" x14ac:dyDescent="0.25">
      <c r="A241" s="62" t="s">
        <v>340</v>
      </c>
      <c r="B241" s="62" t="s">
        <v>340</v>
      </c>
      <c r="C241" s="63"/>
      <c r="D241" s="64"/>
      <c r="E241" s="65"/>
      <c r="F241" s="66"/>
      <c r="G241" s="63"/>
      <c r="H241" s="67"/>
      <c r="I241" s="68"/>
      <c r="J241" s="68"/>
      <c r="K241" s="32"/>
      <c r="L241" s="75">
        <v>241</v>
      </c>
      <c r="M241" s="75"/>
      <c r="N241" s="70"/>
      <c r="O241" s="77" t="s">
        <v>179</v>
      </c>
      <c r="P241" s="79">
        <v>44953.709988425922</v>
      </c>
      <c r="Q241" s="77" t="s">
        <v>1192</v>
      </c>
      <c r="R241" s="77">
        <v>0</v>
      </c>
      <c r="S241" s="77">
        <v>0</v>
      </c>
      <c r="T241" s="77">
        <v>0</v>
      </c>
      <c r="U241" s="77">
        <v>0</v>
      </c>
      <c r="V241" s="77">
        <v>22</v>
      </c>
      <c r="W241" s="81" t="s">
        <v>3097</v>
      </c>
      <c r="X241" s="77"/>
      <c r="Y241" s="77"/>
      <c r="Z241" s="77"/>
      <c r="AA241" s="77"/>
      <c r="AB241" s="77"/>
      <c r="AC241" s="81" t="s">
        <v>5801</v>
      </c>
      <c r="AD241" s="77" t="s">
        <v>5850</v>
      </c>
      <c r="AE241" s="83" t="str">
        <f>HYPERLINK("https://twitter.com/leomigdal/status/1619017992624545792")</f>
        <v>https://twitter.com/leomigdal/status/1619017992624545792</v>
      </c>
      <c r="AF241" s="79">
        <v>44953.709988425922</v>
      </c>
      <c r="AG241" s="85">
        <v>44953</v>
      </c>
      <c r="AH241" s="81" t="s">
        <v>6071</v>
      </c>
      <c r="AI241" s="77"/>
      <c r="AJ241" s="77"/>
      <c r="AK241" s="77"/>
      <c r="AL241" s="77"/>
      <c r="AM241" s="77"/>
      <c r="AN241" s="77"/>
      <c r="AO241" s="77"/>
      <c r="AP241" s="77"/>
      <c r="AQ241" s="77"/>
      <c r="AR241" s="77"/>
      <c r="AS241" s="77"/>
      <c r="AT241" s="77"/>
      <c r="AU241" s="77"/>
      <c r="AV241" s="83" t="str">
        <f>HYPERLINK("https://pbs.twimg.com/profile_images/1212713219133001728/scaMivNm_normal.jpg")</f>
        <v>https://pbs.twimg.com/profile_images/1212713219133001728/scaMivNm_normal.jpg</v>
      </c>
      <c r="AW241" s="81" t="s">
        <v>9513</v>
      </c>
      <c r="AX241" s="81" t="s">
        <v>9513</v>
      </c>
      <c r="AY241" s="77"/>
      <c r="AZ241" s="81" t="s">
        <v>11359</v>
      </c>
      <c r="BA241" s="81" t="s">
        <v>11359</v>
      </c>
      <c r="BB241" s="81" t="s">
        <v>11359</v>
      </c>
      <c r="BC241" s="81" t="s">
        <v>9513</v>
      </c>
      <c r="BD241" s="81" t="s">
        <v>11462</v>
      </c>
      <c r="BE241" s="77"/>
      <c r="BF241" s="77"/>
      <c r="BG241" s="77"/>
      <c r="BH241" s="77"/>
      <c r="BI241" s="77"/>
    </row>
    <row r="242" spans="1:61" x14ac:dyDescent="0.25">
      <c r="A242" s="62" t="s">
        <v>340</v>
      </c>
      <c r="B242" s="62" t="s">
        <v>340</v>
      </c>
      <c r="C242" s="63"/>
      <c r="D242" s="64"/>
      <c r="E242" s="65"/>
      <c r="F242" s="66"/>
      <c r="G242" s="63"/>
      <c r="H242" s="67"/>
      <c r="I242" s="68"/>
      <c r="J242" s="68"/>
      <c r="K242" s="32"/>
      <c r="L242" s="75">
        <v>242</v>
      </c>
      <c r="M242" s="75"/>
      <c r="N242" s="70"/>
      <c r="O242" s="77" t="s">
        <v>179</v>
      </c>
      <c r="P242" s="79">
        <v>45009.834745370368</v>
      </c>
      <c r="Q242" s="77" t="s">
        <v>1193</v>
      </c>
      <c r="R242" s="77">
        <v>0</v>
      </c>
      <c r="S242" s="77">
        <v>0</v>
      </c>
      <c r="T242" s="77">
        <v>0</v>
      </c>
      <c r="U242" s="77">
        <v>0</v>
      </c>
      <c r="V242" s="77">
        <v>14</v>
      </c>
      <c r="W242" s="81" t="s">
        <v>3098</v>
      </c>
      <c r="X242" s="77"/>
      <c r="Y242" s="77"/>
      <c r="Z242" s="77"/>
      <c r="AA242" s="77"/>
      <c r="AB242" s="77"/>
      <c r="AC242" s="81" t="s">
        <v>5801</v>
      </c>
      <c r="AD242" s="77" t="s">
        <v>5850</v>
      </c>
      <c r="AE242" s="83" t="str">
        <f>HYPERLINK("https://twitter.com/leomigdal/status/1639356922678632451")</f>
        <v>https://twitter.com/leomigdal/status/1639356922678632451</v>
      </c>
      <c r="AF242" s="79">
        <v>45009.834745370368</v>
      </c>
      <c r="AG242" s="85">
        <v>45009</v>
      </c>
      <c r="AH242" s="81" t="s">
        <v>6072</v>
      </c>
      <c r="AI242" s="77"/>
      <c r="AJ242" s="77"/>
      <c r="AK242" s="77"/>
      <c r="AL242" s="77"/>
      <c r="AM242" s="77"/>
      <c r="AN242" s="77"/>
      <c r="AO242" s="77"/>
      <c r="AP242" s="77"/>
      <c r="AQ242" s="77"/>
      <c r="AR242" s="77"/>
      <c r="AS242" s="77"/>
      <c r="AT242" s="77"/>
      <c r="AU242" s="77"/>
      <c r="AV242" s="83" t="str">
        <f>HYPERLINK("https://pbs.twimg.com/profile_images/1212713219133001728/scaMivNm_normal.jpg")</f>
        <v>https://pbs.twimg.com/profile_images/1212713219133001728/scaMivNm_normal.jpg</v>
      </c>
      <c r="AW242" s="81" t="s">
        <v>9514</v>
      </c>
      <c r="AX242" s="81" t="s">
        <v>9514</v>
      </c>
      <c r="AY242" s="77"/>
      <c r="AZ242" s="81" t="s">
        <v>11359</v>
      </c>
      <c r="BA242" s="81" t="s">
        <v>11359</v>
      </c>
      <c r="BB242" s="81" t="s">
        <v>11359</v>
      </c>
      <c r="BC242" s="81" t="s">
        <v>9514</v>
      </c>
      <c r="BD242" s="81" t="s">
        <v>11462</v>
      </c>
      <c r="BE242" s="77"/>
      <c r="BF242" s="77"/>
      <c r="BG242" s="77"/>
      <c r="BH242" s="77"/>
      <c r="BI242" s="77"/>
    </row>
    <row r="243" spans="1:61" x14ac:dyDescent="0.25">
      <c r="A243" s="62" t="s">
        <v>340</v>
      </c>
      <c r="B243" s="62" t="s">
        <v>340</v>
      </c>
      <c r="C243" s="63"/>
      <c r="D243" s="64"/>
      <c r="E243" s="65"/>
      <c r="F243" s="66"/>
      <c r="G243" s="63"/>
      <c r="H243" s="67"/>
      <c r="I243" s="68"/>
      <c r="J243" s="68"/>
      <c r="K243" s="32"/>
      <c r="L243" s="75">
        <v>243</v>
      </c>
      <c r="M243" s="75"/>
      <c r="N243" s="70"/>
      <c r="O243" s="77" t="s">
        <v>179</v>
      </c>
      <c r="P243" s="79">
        <v>44937.664131944446</v>
      </c>
      <c r="Q243" s="77" t="s">
        <v>1194</v>
      </c>
      <c r="R243" s="77">
        <v>0</v>
      </c>
      <c r="S243" s="77">
        <v>0</v>
      </c>
      <c r="T243" s="77">
        <v>0</v>
      </c>
      <c r="U243" s="77">
        <v>0</v>
      </c>
      <c r="V243" s="77">
        <v>22</v>
      </c>
      <c r="W243" s="81" t="s">
        <v>3099</v>
      </c>
      <c r="X243" s="77"/>
      <c r="Y243" s="77"/>
      <c r="Z243" s="77"/>
      <c r="AA243" s="77"/>
      <c r="AB243" s="77"/>
      <c r="AC243" s="81" t="s">
        <v>5801</v>
      </c>
      <c r="AD243" s="77" t="s">
        <v>5850</v>
      </c>
      <c r="AE243" s="83" t="str">
        <f>HYPERLINK("https://twitter.com/leomigdal/status/1613203165750644736")</f>
        <v>https://twitter.com/leomigdal/status/1613203165750644736</v>
      </c>
      <c r="AF243" s="79">
        <v>44937.664131944446</v>
      </c>
      <c r="AG243" s="85">
        <v>44937</v>
      </c>
      <c r="AH243" s="81" t="s">
        <v>6073</v>
      </c>
      <c r="AI243" s="77"/>
      <c r="AJ243" s="77"/>
      <c r="AK243" s="77"/>
      <c r="AL243" s="77"/>
      <c r="AM243" s="77"/>
      <c r="AN243" s="77"/>
      <c r="AO243" s="77"/>
      <c r="AP243" s="77"/>
      <c r="AQ243" s="77"/>
      <c r="AR243" s="77"/>
      <c r="AS243" s="77"/>
      <c r="AT243" s="77"/>
      <c r="AU243" s="77"/>
      <c r="AV243" s="83" t="str">
        <f>HYPERLINK("https://pbs.twimg.com/profile_images/1212713219133001728/scaMivNm_normal.jpg")</f>
        <v>https://pbs.twimg.com/profile_images/1212713219133001728/scaMivNm_normal.jpg</v>
      </c>
      <c r="AW243" s="81" t="s">
        <v>9515</v>
      </c>
      <c r="AX243" s="81" t="s">
        <v>9515</v>
      </c>
      <c r="AY243" s="77"/>
      <c r="AZ243" s="81" t="s">
        <v>11359</v>
      </c>
      <c r="BA243" s="81" t="s">
        <v>11359</v>
      </c>
      <c r="BB243" s="81" t="s">
        <v>11359</v>
      </c>
      <c r="BC243" s="81" t="s">
        <v>9515</v>
      </c>
      <c r="BD243" s="81" t="s">
        <v>11462</v>
      </c>
      <c r="BE243" s="77"/>
      <c r="BF243" s="77"/>
      <c r="BG243" s="77"/>
      <c r="BH243" s="77"/>
      <c r="BI243" s="77"/>
    </row>
    <row r="244" spans="1:61" x14ac:dyDescent="0.25">
      <c r="A244" s="62" t="s">
        <v>340</v>
      </c>
      <c r="B244" s="62" t="s">
        <v>340</v>
      </c>
      <c r="C244" s="63"/>
      <c r="D244" s="64"/>
      <c r="E244" s="65"/>
      <c r="F244" s="66"/>
      <c r="G244" s="63"/>
      <c r="H244" s="67"/>
      <c r="I244" s="68"/>
      <c r="J244" s="68"/>
      <c r="K244" s="32"/>
      <c r="L244" s="75">
        <v>244</v>
      </c>
      <c r="M244" s="75"/>
      <c r="N244" s="70"/>
      <c r="O244" s="77" t="s">
        <v>179</v>
      </c>
      <c r="P244" s="79">
        <v>44935.516516203701</v>
      </c>
      <c r="Q244" s="77" t="s">
        <v>1195</v>
      </c>
      <c r="R244" s="77">
        <v>0</v>
      </c>
      <c r="S244" s="77">
        <v>0</v>
      </c>
      <c r="T244" s="77">
        <v>0</v>
      </c>
      <c r="U244" s="77">
        <v>0</v>
      </c>
      <c r="V244" s="77">
        <v>33</v>
      </c>
      <c r="W244" s="81" t="s">
        <v>3100</v>
      </c>
      <c r="X244" s="77"/>
      <c r="Y244" s="77"/>
      <c r="Z244" s="77"/>
      <c r="AA244" s="77"/>
      <c r="AB244" s="77"/>
      <c r="AC244" s="81" t="s">
        <v>5801</v>
      </c>
      <c r="AD244" s="77" t="s">
        <v>5850</v>
      </c>
      <c r="AE244" s="83" t="str">
        <f>HYPERLINK("https://twitter.com/leomigdal/status/1612424897237770243")</f>
        <v>https://twitter.com/leomigdal/status/1612424897237770243</v>
      </c>
      <c r="AF244" s="79">
        <v>44935.516516203701</v>
      </c>
      <c r="AG244" s="85">
        <v>44935</v>
      </c>
      <c r="AH244" s="81" t="s">
        <v>6074</v>
      </c>
      <c r="AI244" s="77"/>
      <c r="AJ244" s="77"/>
      <c r="AK244" s="77"/>
      <c r="AL244" s="77"/>
      <c r="AM244" s="77"/>
      <c r="AN244" s="77"/>
      <c r="AO244" s="77"/>
      <c r="AP244" s="77"/>
      <c r="AQ244" s="77"/>
      <c r="AR244" s="77"/>
      <c r="AS244" s="77"/>
      <c r="AT244" s="77"/>
      <c r="AU244" s="77"/>
      <c r="AV244" s="83" t="str">
        <f>HYPERLINK("https://pbs.twimg.com/profile_images/1212713219133001728/scaMivNm_normal.jpg")</f>
        <v>https://pbs.twimg.com/profile_images/1212713219133001728/scaMivNm_normal.jpg</v>
      </c>
      <c r="AW244" s="81" t="s">
        <v>9516</v>
      </c>
      <c r="AX244" s="81" t="s">
        <v>9516</v>
      </c>
      <c r="AY244" s="77"/>
      <c r="AZ244" s="81" t="s">
        <v>11359</v>
      </c>
      <c r="BA244" s="81" t="s">
        <v>11359</v>
      </c>
      <c r="BB244" s="81" t="s">
        <v>11359</v>
      </c>
      <c r="BC244" s="81" t="s">
        <v>9516</v>
      </c>
      <c r="BD244" s="81" t="s">
        <v>11462</v>
      </c>
      <c r="BE244" s="77"/>
      <c r="BF244" s="77"/>
      <c r="BG244" s="77"/>
      <c r="BH244" s="77"/>
      <c r="BI244" s="77"/>
    </row>
    <row r="245" spans="1:61" x14ac:dyDescent="0.25">
      <c r="A245" s="62" t="s">
        <v>340</v>
      </c>
      <c r="B245" s="62" t="s">
        <v>340</v>
      </c>
      <c r="C245" s="63"/>
      <c r="D245" s="64"/>
      <c r="E245" s="65"/>
      <c r="F245" s="66"/>
      <c r="G245" s="63"/>
      <c r="H245" s="67"/>
      <c r="I245" s="68"/>
      <c r="J245" s="68"/>
      <c r="K245" s="32"/>
      <c r="L245" s="75">
        <v>245</v>
      </c>
      <c r="M245" s="75"/>
      <c r="N245" s="70"/>
      <c r="O245" s="77" t="s">
        <v>179</v>
      </c>
      <c r="P245" s="79">
        <v>45029.194652777776</v>
      </c>
      <c r="Q245" s="77" t="s">
        <v>1196</v>
      </c>
      <c r="R245" s="77">
        <v>0</v>
      </c>
      <c r="S245" s="77">
        <v>1</v>
      </c>
      <c r="T245" s="77">
        <v>0</v>
      </c>
      <c r="U245" s="77">
        <v>0</v>
      </c>
      <c r="V245" s="77">
        <v>19</v>
      </c>
      <c r="W245" s="81" t="s">
        <v>3101</v>
      </c>
      <c r="X245" s="77"/>
      <c r="Y245" s="77"/>
      <c r="Z245" s="77"/>
      <c r="AA245" s="77"/>
      <c r="AB245" s="77"/>
      <c r="AC245" s="81" t="s">
        <v>5801</v>
      </c>
      <c r="AD245" s="77" t="s">
        <v>5850</v>
      </c>
      <c r="AE245" s="83" t="str">
        <f>HYPERLINK("https://twitter.com/leomigdal/status/1646372715450777601")</f>
        <v>https://twitter.com/leomigdal/status/1646372715450777601</v>
      </c>
      <c r="AF245" s="79">
        <v>45029.194652777776</v>
      </c>
      <c r="AG245" s="85">
        <v>45029</v>
      </c>
      <c r="AH245" s="81" t="s">
        <v>6075</v>
      </c>
      <c r="AI245" s="77"/>
      <c r="AJ245" s="77"/>
      <c r="AK245" s="77"/>
      <c r="AL245" s="77"/>
      <c r="AM245" s="77"/>
      <c r="AN245" s="77"/>
      <c r="AO245" s="77"/>
      <c r="AP245" s="77"/>
      <c r="AQ245" s="77"/>
      <c r="AR245" s="77"/>
      <c r="AS245" s="77"/>
      <c r="AT245" s="77"/>
      <c r="AU245" s="77"/>
      <c r="AV245" s="83" t="str">
        <f>HYPERLINK("https://pbs.twimg.com/profile_images/1212713219133001728/scaMivNm_normal.jpg")</f>
        <v>https://pbs.twimg.com/profile_images/1212713219133001728/scaMivNm_normal.jpg</v>
      </c>
      <c r="AW245" s="81" t="s">
        <v>9517</v>
      </c>
      <c r="AX245" s="81" t="s">
        <v>9517</v>
      </c>
      <c r="AY245" s="77"/>
      <c r="AZ245" s="81" t="s">
        <v>11359</v>
      </c>
      <c r="BA245" s="81" t="s">
        <v>11359</v>
      </c>
      <c r="BB245" s="81" t="s">
        <v>11359</v>
      </c>
      <c r="BC245" s="81" t="s">
        <v>9517</v>
      </c>
      <c r="BD245" s="81" t="s">
        <v>11462</v>
      </c>
      <c r="BE245" s="77"/>
      <c r="BF245" s="77"/>
      <c r="BG245" s="77"/>
      <c r="BH245" s="77"/>
      <c r="BI245" s="77"/>
    </row>
    <row r="246" spans="1:61" x14ac:dyDescent="0.25">
      <c r="A246" s="62" t="s">
        <v>340</v>
      </c>
      <c r="B246" s="62" t="s">
        <v>340</v>
      </c>
      <c r="C246" s="63"/>
      <c r="D246" s="64"/>
      <c r="E246" s="65"/>
      <c r="F246" s="66"/>
      <c r="G246" s="63"/>
      <c r="H246" s="67"/>
      <c r="I246" s="68"/>
      <c r="J246" s="68"/>
      <c r="K246" s="32"/>
      <c r="L246" s="75">
        <v>246</v>
      </c>
      <c r="M246" s="75"/>
      <c r="N246" s="70"/>
      <c r="O246" s="77" t="s">
        <v>179</v>
      </c>
      <c r="P246" s="79">
        <v>44963.73709490741</v>
      </c>
      <c r="Q246" s="77" t="s">
        <v>1197</v>
      </c>
      <c r="R246" s="77">
        <v>0</v>
      </c>
      <c r="S246" s="77">
        <v>1</v>
      </c>
      <c r="T246" s="77">
        <v>0</v>
      </c>
      <c r="U246" s="77">
        <v>0</v>
      </c>
      <c r="V246" s="77">
        <v>34</v>
      </c>
      <c r="W246" s="81" t="s">
        <v>3102</v>
      </c>
      <c r="X246" s="77"/>
      <c r="Y246" s="77"/>
      <c r="Z246" s="77"/>
      <c r="AA246" s="77"/>
      <c r="AB246" s="77"/>
      <c r="AC246" s="81" t="s">
        <v>5801</v>
      </c>
      <c r="AD246" s="77" t="s">
        <v>5850</v>
      </c>
      <c r="AE246" s="83" t="str">
        <f>HYPERLINK("https://twitter.com/leomigdal/status/1622651690389233665")</f>
        <v>https://twitter.com/leomigdal/status/1622651690389233665</v>
      </c>
      <c r="AF246" s="79">
        <v>44963.73709490741</v>
      </c>
      <c r="AG246" s="85">
        <v>44963</v>
      </c>
      <c r="AH246" s="81" t="s">
        <v>6076</v>
      </c>
      <c r="AI246" s="77"/>
      <c r="AJ246" s="77"/>
      <c r="AK246" s="77"/>
      <c r="AL246" s="77"/>
      <c r="AM246" s="77"/>
      <c r="AN246" s="77"/>
      <c r="AO246" s="77"/>
      <c r="AP246" s="77"/>
      <c r="AQ246" s="77"/>
      <c r="AR246" s="77"/>
      <c r="AS246" s="77"/>
      <c r="AT246" s="77"/>
      <c r="AU246" s="77"/>
      <c r="AV246" s="83" t="str">
        <f>HYPERLINK("https://pbs.twimg.com/profile_images/1212713219133001728/scaMivNm_normal.jpg")</f>
        <v>https://pbs.twimg.com/profile_images/1212713219133001728/scaMivNm_normal.jpg</v>
      </c>
      <c r="AW246" s="81" t="s">
        <v>9518</v>
      </c>
      <c r="AX246" s="81" t="s">
        <v>9518</v>
      </c>
      <c r="AY246" s="77"/>
      <c r="AZ246" s="81" t="s">
        <v>11359</v>
      </c>
      <c r="BA246" s="81" t="s">
        <v>11359</v>
      </c>
      <c r="BB246" s="81" t="s">
        <v>11359</v>
      </c>
      <c r="BC246" s="81" t="s">
        <v>9518</v>
      </c>
      <c r="BD246" s="81" t="s">
        <v>11462</v>
      </c>
      <c r="BE246" s="77"/>
      <c r="BF246" s="77"/>
      <c r="BG246" s="77"/>
      <c r="BH246" s="77"/>
      <c r="BI246" s="77"/>
    </row>
    <row r="247" spans="1:61" x14ac:dyDescent="0.25">
      <c r="A247" s="62" t="s">
        <v>340</v>
      </c>
      <c r="B247" s="62" t="s">
        <v>340</v>
      </c>
      <c r="C247" s="63"/>
      <c r="D247" s="64"/>
      <c r="E247" s="65"/>
      <c r="F247" s="66"/>
      <c r="G247" s="63"/>
      <c r="H247" s="67"/>
      <c r="I247" s="68"/>
      <c r="J247" s="68"/>
      <c r="K247" s="32"/>
      <c r="L247" s="75">
        <v>247</v>
      </c>
      <c r="M247" s="75"/>
      <c r="N247" s="70"/>
      <c r="O247" s="77" t="s">
        <v>179</v>
      </c>
      <c r="P247" s="79">
        <v>44960.837372685186</v>
      </c>
      <c r="Q247" s="77" t="s">
        <v>1198</v>
      </c>
      <c r="R247" s="77">
        <v>0</v>
      </c>
      <c r="S247" s="77">
        <v>0</v>
      </c>
      <c r="T247" s="77">
        <v>0</v>
      </c>
      <c r="U247" s="77">
        <v>0</v>
      </c>
      <c r="V247" s="77">
        <v>39</v>
      </c>
      <c r="W247" s="81" t="s">
        <v>3095</v>
      </c>
      <c r="X247" s="77"/>
      <c r="Y247" s="77"/>
      <c r="Z247" s="77"/>
      <c r="AA247" s="77"/>
      <c r="AB247" s="77"/>
      <c r="AC247" s="81" t="s">
        <v>5801</v>
      </c>
      <c r="AD247" s="77" t="s">
        <v>5850</v>
      </c>
      <c r="AE247" s="83" t="str">
        <f>HYPERLINK("https://twitter.com/leomigdal/status/1621600869543288833")</f>
        <v>https://twitter.com/leomigdal/status/1621600869543288833</v>
      </c>
      <c r="AF247" s="79">
        <v>44960.837372685186</v>
      </c>
      <c r="AG247" s="85">
        <v>44960</v>
      </c>
      <c r="AH247" s="81" t="s">
        <v>6077</v>
      </c>
      <c r="AI247" s="77"/>
      <c r="AJ247" s="77"/>
      <c r="AK247" s="77"/>
      <c r="AL247" s="77"/>
      <c r="AM247" s="77"/>
      <c r="AN247" s="77"/>
      <c r="AO247" s="77"/>
      <c r="AP247" s="77"/>
      <c r="AQ247" s="77"/>
      <c r="AR247" s="77"/>
      <c r="AS247" s="77"/>
      <c r="AT247" s="77"/>
      <c r="AU247" s="77"/>
      <c r="AV247" s="83" t="str">
        <f>HYPERLINK("https://pbs.twimg.com/profile_images/1212713219133001728/scaMivNm_normal.jpg")</f>
        <v>https://pbs.twimg.com/profile_images/1212713219133001728/scaMivNm_normal.jpg</v>
      </c>
      <c r="AW247" s="81" t="s">
        <v>9519</v>
      </c>
      <c r="AX247" s="81" t="s">
        <v>9519</v>
      </c>
      <c r="AY247" s="77"/>
      <c r="AZ247" s="81" t="s">
        <v>11359</v>
      </c>
      <c r="BA247" s="81" t="s">
        <v>11359</v>
      </c>
      <c r="BB247" s="81" t="s">
        <v>11359</v>
      </c>
      <c r="BC247" s="81" t="s">
        <v>9519</v>
      </c>
      <c r="BD247" s="81" t="s">
        <v>11462</v>
      </c>
      <c r="BE247" s="77"/>
      <c r="BF247" s="77"/>
      <c r="BG247" s="77"/>
      <c r="BH247" s="77"/>
      <c r="BI247" s="77"/>
    </row>
    <row r="248" spans="1:61" x14ac:dyDescent="0.25">
      <c r="A248" s="62" t="s">
        <v>340</v>
      </c>
      <c r="B248" s="62" t="s">
        <v>340</v>
      </c>
      <c r="C248" s="63"/>
      <c r="D248" s="64"/>
      <c r="E248" s="65"/>
      <c r="F248" s="66"/>
      <c r="G248" s="63"/>
      <c r="H248" s="67"/>
      <c r="I248" s="68"/>
      <c r="J248" s="68"/>
      <c r="K248" s="32"/>
      <c r="L248" s="75">
        <v>248</v>
      </c>
      <c r="M248" s="75"/>
      <c r="N248" s="70"/>
      <c r="O248" s="77" t="s">
        <v>179</v>
      </c>
      <c r="P248" s="79">
        <v>44958.730243055557</v>
      </c>
      <c r="Q248" s="77" t="s">
        <v>1199</v>
      </c>
      <c r="R248" s="77">
        <v>0</v>
      </c>
      <c r="S248" s="77">
        <v>0</v>
      </c>
      <c r="T248" s="77">
        <v>0</v>
      </c>
      <c r="U248" s="77">
        <v>0</v>
      </c>
      <c r="V248" s="77">
        <v>40</v>
      </c>
      <c r="W248" s="81" t="s">
        <v>3103</v>
      </c>
      <c r="X248" s="77"/>
      <c r="Y248" s="77"/>
      <c r="Z248" s="77"/>
      <c r="AA248" s="77"/>
      <c r="AB248" s="77"/>
      <c r="AC248" s="81" t="s">
        <v>5801</v>
      </c>
      <c r="AD248" s="77" t="s">
        <v>5850</v>
      </c>
      <c r="AE248" s="83" t="str">
        <f>HYPERLINK("https://twitter.com/leomigdal/status/1620837271330226176")</f>
        <v>https://twitter.com/leomigdal/status/1620837271330226176</v>
      </c>
      <c r="AF248" s="79">
        <v>44958.730243055557</v>
      </c>
      <c r="AG248" s="85">
        <v>44958</v>
      </c>
      <c r="AH248" s="81" t="s">
        <v>6078</v>
      </c>
      <c r="AI248" s="77"/>
      <c r="AJ248" s="77"/>
      <c r="AK248" s="77"/>
      <c r="AL248" s="77"/>
      <c r="AM248" s="77"/>
      <c r="AN248" s="77"/>
      <c r="AO248" s="77"/>
      <c r="AP248" s="77"/>
      <c r="AQ248" s="77"/>
      <c r="AR248" s="77"/>
      <c r="AS248" s="77"/>
      <c r="AT248" s="77"/>
      <c r="AU248" s="77"/>
      <c r="AV248" s="83" t="str">
        <f>HYPERLINK("https://pbs.twimg.com/profile_images/1212713219133001728/scaMivNm_normal.jpg")</f>
        <v>https://pbs.twimg.com/profile_images/1212713219133001728/scaMivNm_normal.jpg</v>
      </c>
      <c r="AW248" s="81" t="s">
        <v>9520</v>
      </c>
      <c r="AX248" s="81" t="s">
        <v>9520</v>
      </c>
      <c r="AY248" s="77"/>
      <c r="AZ248" s="81" t="s">
        <v>11359</v>
      </c>
      <c r="BA248" s="81" t="s">
        <v>11359</v>
      </c>
      <c r="BB248" s="81" t="s">
        <v>11359</v>
      </c>
      <c r="BC248" s="81" t="s">
        <v>9520</v>
      </c>
      <c r="BD248" s="81" t="s">
        <v>11462</v>
      </c>
      <c r="BE248" s="77"/>
      <c r="BF248" s="77"/>
      <c r="BG248" s="77"/>
      <c r="BH248" s="77"/>
      <c r="BI248" s="77"/>
    </row>
    <row r="249" spans="1:61" x14ac:dyDescent="0.25">
      <c r="A249" s="62" t="s">
        <v>340</v>
      </c>
      <c r="B249" s="62" t="s">
        <v>340</v>
      </c>
      <c r="C249" s="63"/>
      <c r="D249" s="64"/>
      <c r="E249" s="65"/>
      <c r="F249" s="66"/>
      <c r="G249" s="63"/>
      <c r="H249" s="67"/>
      <c r="I249" s="68"/>
      <c r="J249" s="68"/>
      <c r="K249" s="32"/>
      <c r="L249" s="75">
        <v>249</v>
      </c>
      <c r="M249" s="75"/>
      <c r="N249" s="70"/>
      <c r="O249" s="77" t="s">
        <v>179</v>
      </c>
      <c r="P249" s="79">
        <v>45044.658460648148</v>
      </c>
      <c r="Q249" s="77" t="s">
        <v>1200</v>
      </c>
      <c r="R249" s="77">
        <v>0</v>
      </c>
      <c r="S249" s="77">
        <v>0</v>
      </c>
      <c r="T249" s="77">
        <v>0</v>
      </c>
      <c r="U249" s="77">
        <v>0</v>
      </c>
      <c r="V249" s="77">
        <v>16</v>
      </c>
      <c r="W249" s="81" t="s">
        <v>3104</v>
      </c>
      <c r="X249" s="77"/>
      <c r="Y249" s="77"/>
      <c r="Z249" s="77"/>
      <c r="AA249" s="77"/>
      <c r="AB249" s="77"/>
      <c r="AC249" s="81" t="s">
        <v>5801</v>
      </c>
      <c r="AD249" s="77" t="s">
        <v>5850</v>
      </c>
      <c r="AE249" s="83" t="str">
        <f>HYPERLINK("https://twitter.com/leomigdal/status/1651976613427281921")</f>
        <v>https://twitter.com/leomigdal/status/1651976613427281921</v>
      </c>
      <c r="AF249" s="79">
        <v>45044.658460648148</v>
      </c>
      <c r="AG249" s="85">
        <v>45044</v>
      </c>
      <c r="AH249" s="81" t="s">
        <v>6079</v>
      </c>
      <c r="AI249" s="77"/>
      <c r="AJ249" s="77"/>
      <c r="AK249" s="77"/>
      <c r="AL249" s="77"/>
      <c r="AM249" s="77"/>
      <c r="AN249" s="77"/>
      <c r="AO249" s="77"/>
      <c r="AP249" s="77"/>
      <c r="AQ249" s="77"/>
      <c r="AR249" s="77"/>
      <c r="AS249" s="77"/>
      <c r="AT249" s="77"/>
      <c r="AU249" s="77"/>
      <c r="AV249" s="83" t="str">
        <f>HYPERLINK("https://pbs.twimg.com/profile_images/1212713219133001728/scaMivNm_normal.jpg")</f>
        <v>https://pbs.twimg.com/profile_images/1212713219133001728/scaMivNm_normal.jpg</v>
      </c>
      <c r="AW249" s="81" t="s">
        <v>9521</v>
      </c>
      <c r="AX249" s="81" t="s">
        <v>9521</v>
      </c>
      <c r="AY249" s="77"/>
      <c r="AZ249" s="81" t="s">
        <v>11359</v>
      </c>
      <c r="BA249" s="81" t="s">
        <v>11359</v>
      </c>
      <c r="BB249" s="81" t="s">
        <v>11359</v>
      </c>
      <c r="BC249" s="81" t="s">
        <v>9521</v>
      </c>
      <c r="BD249" s="81" t="s">
        <v>11462</v>
      </c>
      <c r="BE249" s="77"/>
      <c r="BF249" s="77"/>
      <c r="BG249" s="77"/>
      <c r="BH249" s="77"/>
      <c r="BI249" s="77"/>
    </row>
    <row r="250" spans="1:61" x14ac:dyDescent="0.25">
      <c r="A250" s="62" t="s">
        <v>340</v>
      </c>
      <c r="B250" s="62" t="s">
        <v>340</v>
      </c>
      <c r="C250" s="63"/>
      <c r="D250" s="64"/>
      <c r="E250" s="65"/>
      <c r="F250" s="66"/>
      <c r="G250" s="63"/>
      <c r="H250" s="67"/>
      <c r="I250" s="68"/>
      <c r="J250" s="68"/>
      <c r="K250" s="32"/>
      <c r="L250" s="75">
        <v>250</v>
      </c>
      <c r="M250" s="75"/>
      <c r="N250" s="70"/>
      <c r="O250" s="77" t="s">
        <v>179</v>
      </c>
      <c r="P250" s="79">
        <v>45005.641446759262</v>
      </c>
      <c r="Q250" s="77" t="s">
        <v>1201</v>
      </c>
      <c r="R250" s="77">
        <v>0</v>
      </c>
      <c r="S250" s="77">
        <v>0</v>
      </c>
      <c r="T250" s="77">
        <v>0</v>
      </c>
      <c r="U250" s="77">
        <v>0</v>
      </c>
      <c r="V250" s="77">
        <v>17</v>
      </c>
      <c r="W250" s="81" t="s">
        <v>3105</v>
      </c>
      <c r="X250" s="77"/>
      <c r="Y250" s="77"/>
      <c r="Z250" s="77"/>
      <c r="AA250" s="77"/>
      <c r="AB250" s="77"/>
      <c r="AC250" s="81" t="s">
        <v>5801</v>
      </c>
      <c r="AD250" s="77" t="s">
        <v>5850</v>
      </c>
      <c r="AE250" s="83" t="str">
        <f>HYPERLINK("https://twitter.com/leomigdal/status/1637837320064827393")</f>
        <v>https://twitter.com/leomigdal/status/1637837320064827393</v>
      </c>
      <c r="AF250" s="79">
        <v>45005.641446759262</v>
      </c>
      <c r="AG250" s="85">
        <v>45005</v>
      </c>
      <c r="AH250" s="81" t="s">
        <v>6080</v>
      </c>
      <c r="AI250" s="77"/>
      <c r="AJ250" s="77"/>
      <c r="AK250" s="77"/>
      <c r="AL250" s="77"/>
      <c r="AM250" s="77"/>
      <c r="AN250" s="77"/>
      <c r="AO250" s="77"/>
      <c r="AP250" s="77"/>
      <c r="AQ250" s="77"/>
      <c r="AR250" s="77"/>
      <c r="AS250" s="77"/>
      <c r="AT250" s="77"/>
      <c r="AU250" s="77"/>
      <c r="AV250" s="83" t="str">
        <f>HYPERLINK("https://pbs.twimg.com/profile_images/1212713219133001728/scaMivNm_normal.jpg")</f>
        <v>https://pbs.twimg.com/profile_images/1212713219133001728/scaMivNm_normal.jpg</v>
      </c>
      <c r="AW250" s="81" t="s">
        <v>9522</v>
      </c>
      <c r="AX250" s="81" t="s">
        <v>9522</v>
      </c>
      <c r="AY250" s="77"/>
      <c r="AZ250" s="81" t="s">
        <v>11359</v>
      </c>
      <c r="BA250" s="81" t="s">
        <v>11359</v>
      </c>
      <c r="BB250" s="81" t="s">
        <v>11359</v>
      </c>
      <c r="BC250" s="81" t="s">
        <v>9522</v>
      </c>
      <c r="BD250" s="81" t="s">
        <v>11462</v>
      </c>
      <c r="BE250" s="77"/>
      <c r="BF250" s="77"/>
      <c r="BG250" s="77"/>
      <c r="BH250" s="77"/>
      <c r="BI250" s="77"/>
    </row>
    <row r="251" spans="1:61" x14ac:dyDescent="0.25">
      <c r="A251" s="62" t="s">
        <v>340</v>
      </c>
      <c r="B251" s="62" t="s">
        <v>340</v>
      </c>
      <c r="C251" s="63"/>
      <c r="D251" s="64"/>
      <c r="E251" s="65"/>
      <c r="F251" s="66"/>
      <c r="G251" s="63"/>
      <c r="H251" s="67"/>
      <c r="I251" s="68"/>
      <c r="J251" s="68"/>
      <c r="K251" s="32"/>
      <c r="L251" s="75">
        <v>251</v>
      </c>
      <c r="M251" s="75"/>
      <c r="N251" s="70"/>
      <c r="O251" s="77" t="s">
        <v>179</v>
      </c>
      <c r="P251" s="79">
        <v>44970.661249999997</v>
      </c>
      <c r="Q251" s="77" t="s">
        <v>1202</v>
      </c>
      <c r="R251" s="77">
        <v>0</v>
      </c>
      <c r="S251" s="77">
        <v>0</v>
      </c>
      <c r="T251" s="77">
        <v>0</v>
      </c>
      <c r="U251" s="77">
        <v>0</v>
      </c>
      <c r="V251" s="77">
        <v>30</v>
      </c>
      <c r="W251" s="81" t="s">
        <v>3095</v>
      </c>
      <c r="X251" s="77"/>
      <c r="Y251" s="77"/>
      <c r="Z251" s="77"/>
      <c r="AA251" s="77"/>
      <c r="AB251" s="77"/>
      <c r="AC251" s="81" t="s">
        <v>5801</v>
      </c>
      <c r="AD251" s="77" t="s">
        <v>5850</v>
      </c>
      <c r="AE251" s="83" t="str">
        <f>HYPERLINK("https://twitter.com/leomigdal/status/1625160922753912836")</f>
        <v>https://twitter.com/leomigdal/status/1625160922753912836</v>
      </c>
      <c r="AF251" s="79">
        <v>44970.661249999997</v>
      </c>
      <c r="AG251" s="85">
        <v>44970</v>
      </c>
      <c r="AH251" s="81" t="s">
        <v>6081</v>
      </c>
      <c r="AI251" s="77"/>
      <c r="AJ251" s="77"/>
      <c r="AK251" s="77"/>
      <c r="AL251" s="77"/>
      <c r="AM251" s="77"/>
      <c r="AN251" s="77"/>
      <c r="AO251" s="77"/>
      <c r="AP251" s="77"/>
      <c r="AQ251" s="77"/>
      <c r="AR251" s="77"/>
      <c r="AS251" s="77"/>
      <c r="AT251" s="77"/>
      <c r="AU251" s="77"/>
      <c r="AV251" s="83" t="str">
        <f>HYPERLINK("https://pbs.twimg.com/profile_images/1212713219133001728/scaMivNm_normal.jpg")</f>
        <v>https://pbs.twimg.com/profile_images/1212713219133001728/scaMivNm_normal.jpg</v>
      </c>
      <c r="AW251" s="81" t="s">
        <v>9523</v>
      </c>
      <c r="AX251" s="81" t="s">
        <v>9523</v>
      </c>
      <c r="AY251" s="77"/>
      <c r="AZ251" s="81" t="s">
        <v>11359</v>
      </c>
      <c r="BA251" s="81" t="s">
        <v>11359</v>
      </c>
      <c r="BB251" s="81" t="s">
        <v>11359</v>
      </c>
      <c r="BC251" s="81" t="s">
        <v>9523</v>
      </c>
      <c r="BD251" s="81" t="s">
        <v>11462</v>
      </c>
      <c r="BE251" s="77"/>
      <c r="BF251" s="77"/>
      <c r="BG251" s="77"/>
      <c r="BH251" s="77"/>
      <c r="BI251" s="77"/>
    </row>
    <row r="252" spans="1:61" x14ac:dyDescent="0.25">
      <c r="A252" s="62" t="s">
        <v>340</v>
      </c>
      <c r="B252" s="62" t="s">
        <v>340</v>
      </c>
      <c r="C252" s="63"/>
      <c r="D252" s="64"/>
      <c r="E252" s="65"/>
      <c r="F252" s="66"/>
      <c r="G252" s="63"/>
      <c r="H252" s="67"/>
      <c r="I252" s="68"/>
      <c r="J252" s="68"/>
      <c r="K252" s="32"/>
      <c r="L252" s="75">
        <v>252</v>
      </c>
      <c r="M252" s="75"/>
      <c r="N252" s="70"/>
      <c r="O252" s="77" t="s">
        <v>179</v>
      </c>
      <c r="P252" s="79">
        <v>44967.764606481483</v>
      </c>
      <c r="Q252" s="77" t="s">
        <v>1203</v>
      </c>
      <c r="R252" s="77">
        <v>0</v>
      </c>
      <c r="S252" s="77">
        <v>1</v>
      </c>
      <c r="T252" s="77">
        <v>0</v>
      </c>
      <c r="U252" s="77">
        <v>0</v>
      </c>
      <c r="V252" s="77">
        <v>16</v>
      </c>
      <c r="W252" s="81" t="s">
        <v>3106</v>
      </c>
      <c r="X252" s="77"/>
      <c r="Y252" s="77"/>
      <c r="Z252" s="77"/>
      <c r="AA252" s="77"/>
      <c r="AB252" s="77"/>
      <c r="AC252" s="81" t="s">
        <v>5801</v>
      </c>
      <c r="AD252" s="77" t="s">
        <v>5850</v>
      </c>
      <c r="AE252" s="83" t="str">
        <f>HYPERLINK("https://twitter.com/leomigdal/status/1624111211900960792")</f>
        <v>https://twitter.com/leomigdal/status/1624111211900960792</v>
      </c>
      <c r="AF252" s="79">
        <v>44967.764606481483</v>
      </c>
      <c r="AG252" s="85">
        <v>44967</v>
      </c>
      <c r="AH252" s="81" t="s">
        <v>6082</v>
      </c>
      <c r="AI252" s="77"/>
      <c r="AJ252" s="77"/>
      <c r="AK252" s="77"/>
      <c r="AL252" s="77"/>
      <c r="AM252" s="77"/>
      <c r="AN252" s="77"/>
      <c r="AO252" s="77"/>
      <c r="AP252" s="77"/>
      <c r="AQ252" s="77"/>
      <c r="AR252" s="77"/>
      <c r="AS252" s="77"/>
      <c r="AT252" s="77"/>
      <c r="AU252" s="77"/>
      <c r="AV252" s="83" t="str">
        <f>HYPERLINK("https://pbs.twimg.com/profile_images/1212713219133001728/scaMivNm_normal.jpg")</f>
        <v>https://pbs.twimg.com/profile_images/1212713219133001728/scaMivNm_normal.jpg</v>
      </c>
      <c r="AW252" s="81" t="s">
        <v>9524</v>
      </c>
      <c r="AX252" s="81" t="s">
        <v>9524</v>
      </c>
      <c r="AY252" s="77"/>
      <c r="AZ252" s="81" t="s">
        <v>11359</v>
      </c>
      <c r="BA252" s="81" t="s">
        <v>11359</v>
      </c>
      <c r="BB252" s="81" t="s">
        <v>11359</v>
      </c>
      <c r="BC252" s="81" t="s">
        <v>9524</v>
      </c>
      <c r="BD252" s="81" t="s">
        <v>11462</v>
      </c>
      <c r="BE252" s="77"/>
      <c r="BF252" s="77"/>
      <c r="BG252" s="77"/>
      <c r="BH252" s="77"/>
      <c r="BI252" s="77"/>
    </row>
    <row r="253" spans="1:61" x14ac:dyDescent="0.25">
      <c r="A253" s="62" t="s">
        <v>340</v>
      </c>
      <c r="B253" s="62" t="s">
        <v>340</v>
      </c>
      <c r="C253" s="63"/>
      <c r="D253" s="64"/>
      <c r="E253" s="65"/>
      <c r="F253" s="66"/>
      <c r="G253" s="63"/>
      <c r="H253" s="67"/>
      <c r="I253" s="68"/>
      <c r="J253" s="68"/>
      <c r="K253" s="32"/>
      <c r="L253" s="75">
        <v>253</v>
      </c>
      <c r="M253" s="75"/>
      <c r="N253" s="70"/>
      <c r="O253" s="77" t="s">
        <v>179</v>
      </c>
      <c r="P253" s="79">
        <v>44928.789895833332</v>
      </c>
      <c r="Q253" s="77" t="s">
        <v>1204</v>
      </c>
      <c r="R253" s="77">
        <v>0</v>
      </c>
      <c r="S253" s="77">
        <v>0</v>
      </c>
      <c r="T253" s="77">
        <v>0</v>
      </c>
      <c r="U253" s="77">
        <v>0</v>
      </c>
      <c r="V253" s="77">
        <v>36</v>
      </c>
      <c r="W253" s="81" t="s">
        <v>3107</v>
      </c>
      <c r="X253" s="77"/>
      <c r="Y253" s="77"/>
      <c r="Z253" s="77"/>
      <c r="AA253" s="77"/>
      <c r="AB253" s="77"/>
      <c r="AC253" s="81" t="s">
        <v>5801</v>
      </c>
      <c r="AD253" s="77" t="s">
        <v>5850</v>
      </c>
      <c r="AE253" s="83" t="str">
        <f>HYPERLINK("https://twitter.com/leomigdal/status/1609987251202662400")</f>
        <v>https://twitter.com/leomigdal/status/1609987251202662400</v>
      </c>
      <c r="AF253" s="79">
        <v>44928.789895833332</v>
      </c>
      <c r="AG253" s="85">
        <v>44928</v>
      </c>
      <c r="AH253" s="81" t="s">
        <v>6083</v>
      </c>
      <c r="AI253" s="77"/>
      <c r="AJ253" s="77"/>
      <c r="AK253" s="77"/>
      <c r="AL253" s="77"/>
      <c r="AM253" s="77"/>
      <c r="AN253" s="77"/>
      <c r="AO253" s="77"/>
      <c r="AP253" s="77"/>
      <c r="AQ253" s="77"/>
      <c r="AR253" s="77"/>
      <c r="AS253" s="77"/>
      <c r="AT253" s="77"/>
      <c r="AU253" s="77"/>
      <c r="AV253" s="83" t="str">
        <f>HYPERLINK("https://pbs.twimg.com/profile_images/1212713219133001728/scaMivNm_normal.jpg")</f>
        <v>https://pbs.twimg.com/profile_images/1212713219133001728/scaMivNm_normal.jpg</v>
      </c>
      <c r="AW253" s="81" t="s">
        <v>9525</v>
      </c>
      <c r="AX253" s="81" t="s">
        <v>9525</v>
      </c>
      <c r="AY253" s="77"/>
      <c r="AZ253" s="81" t="s">
        <v>11359</v>
      </c>
      <c r="BA253" s="81" t="s">
        <v>11359</v>
      </c>
      <c r="BB253" s="81" t="s">
        <v>11359</v>
      </c>
      <c r="BC253" s="81" t="s">
        <v>9525</v>
      </c>
      <c r="BD253" s="81" t="s">
        <v>11462</v>
      </c>
      <c r="BE253" s="77"/>
      <c r="BF253" s="77"/>
      <c r="BG253" s="77"/>
      <c r="BH253" s="77"/>
      <c r="BI253" s="77"/>
    </row>
    <row r="254" spans="1:61" x14ac:dyDescent="0.25">
      <c r="A254" s="62" t="s">
        <v>340</v>
      </c>
      <c r="B254" s="62" t="s">
        <v>340</v>
      </c>
      <c r="C254" s="63"/>
      <c r="D254" s="64"/>
      <c r="E254" s="65"/>
      <c r="F254" s="66"/>
      <c r="G254" s="63"/>
      <c r="H254" s="67"/>
      <c r="I254" s="68"/>
      <c r="J254" s="68"/>
      <c r="K254" s="32"/>
      <c r="L254" s="75">
        <v>254</v>
      </c>
      <c r="M254" s="75"/>
      <c r="N254" s="70"/>
      <c r="O254" s="77" t="s">
        <v>179</v>
      </c>
      <c r="P254" s="79">
        <v>45082.697129629632</v>
      </c>
      <c r="Q254" s="77" t="s">
        <v>1205</v>
      </c>
      <c r="R254" s="77">
        <v>0</v>
      </c>
      <c r="S254" s="77">
        <v>0</v>
      </c>
      <c r="T254" s="77">
        <v>0</v>
      </c>
      <c r="U254" s="77">
        <v>0</v>
      </c>
      <c r="V254" s="77">
        <v>13</v>
      </c>
      <c r="W254" s="81" t="s">
        <v>3102</v>
      </c>
      <c r="X254" s="77"/>
      <c r="Y254" s="77"/>
      <c r="Z254" s="77"/>
      <c r="AA254" s="77"/>
      <c r="AB254" s="77"/>
      <c r="AC254" s="81" t="s">
        <v>5801</v>
      </c>
      <c r="AD254" s="77" t="s">
        <v>5850</v>
      </c>
      <c r="AE254" s="83" t="str">
        <f>HYPERLINK("https://twitter.com/leomigdal/status/1665761365145813005")</f>
        <v>https://twitter.com/leomigdal/status/1665761365145813005</v>
      </c>
      <c r="AF254" s="79">
        <v>45082.697129629632</v>
      </c>
      <c r="AG254" s="85">
        <v>45082</v>
      </c>
      <c r="AH254" s="81" t="s">
        <v>6084</v>
      </c>
      <c r="AI254" s="77"/>
      <c r="AJ254" s="77"/>
      <c r="AK254" s="77"/>
      <c r="AL254" s="77"/>
      <c r="AM254" s="77"/>
      <c r="AN254" s="77"/>
      <c r="AO254" s="77"/>
      <c r="AP254" s="77"/>
      <c r="AQ254" s="77"/>
      <c r="AR254" s="77"/>
      <c r="AS254" s="77"/>
      <c r="AT254" s="77"/>
      <c r="AU254" s="77"/>
      <c r="AV254" s="83" t="str">
        <f>HYPERLINK("https://pbs.twimg.com/profile_images/1212713219133001728/scaMivNm_normal.jpg")</f>
        <v>https://pbs.twimg.com/profile_images/1212713219133001728/scaMivNm_normal.jpg</v>
      </c>
      <c r="AW254" s="81" t="s">
        <v>9526</v>
      </c>
      <c r="AX254" s="81" t="s">
        <v>9526</v>
      </c>
      <c r="AY254" s="77"/>
      <c r="AZ254" s="81" t="s">
        <v>11359</v>
      </c>
      <c r="BA254" s="81" t="s">
        <v>11359</v>
      </c>
      <c r="BB254" s="81" t="s">
        <v>11359</v>
      </c>
      <c r="BC254" s="81" t="s">
        <v>9526</v>
      </c>
      <c r="BD254" s="81" t="s">
        <v>11462</v>
      </c>
      <c r="BE254" s="77"/>
      <c r="BF254" s="77"/>
      <c r="BG254" s="77"/>
      <c r="BH254" s="77"/>
      <c r="BI254" s="77"/>
    </row>
    <row r="255" spans="1:61" x14ac:dyDescent="0.25">
      <c r="A255" s="62" t="s">
        <v>340</v>
      </c>
      <c r="B255" s="62" t="s">
        <v>340</v>
      </c>
      <c r="C255" s="63"/>
      <c r="D255" s="64"/>
      <c r="E255" s="65"/>
      <c r="F255" s="66"/>
      <c r="G255" s="63"/>
      <c r="H255" s="67"/>
      <c r="I255" s="68"/>
      <c r="J255" s="68"/>
      <c r="K255" s="32"/>
      <c r="L255" s="75">
        <v>255</v>
      </c>
      <c r="M255" s="75"/>
      <c r="N255" s="70"/>
      <c r="O255" s="77" t="s">
        <v>179</v>
      </c>
      <c r="P255" s="79">
        <v>45033.696215277778</v>
      </c>
      <c r="Q255" s="77" t="s">
        <v>1206</v>
      </c>
      <c r="R255" s="77">
        <v>0</v>
      </c>
      <c r="S255" s="77">
        <v>0</v>
      </c>
      <c r="T255" s="77">
        <v>0</v>
      </c>
      <c r="U255" s="77">
        <v>0</v>
      </c>
      <c r="V255" s="77">
        <v>13</v>
      </c>
      <c r="W255" s="81" t="s">
        <v>3108</v>
      </c>
      <c r="X255" s="77"/>
      <c r="Y255" s="77"/>
      <c r="Z255" s="77"/>
      <c r="AA255" s="77"/>
      <c r="AB255" s="77"/>
      <c r="AC255" s="81" t="s">
        <v>5801</v>
      </c>
      <c r="AD255" s="77" t="s">
        <v>5850</v>
      </c>
      <c r="AE255" s="83" t="str">
        <f>HYPERLINK("https://twitter.com/leomigdal/status/1648004027802681344")</f>
        <v>https://twitter.com/leomigdal/status/1648004027802681344</v>
      </c>
      <c r="AF255" s="79">
        <v>45033.696215277778</v>
      </c>
      <c r="AG255" s="85">
        <v>45033</v>
      </c>
      <c r="AH255" s="81" t="s">
        <v>6085</v>
      </c>
      <c r="AI255" s="77"/>
      <c r="AJ255" s="77"/>
      <c r="AK255" s="77"/>
      <c r="AL255" s="77"/>
      <c r="AM255" s="77"/>
      <c r="AN255" s="77"/>
      <c r="AO255" s="77"/>
      <c r="AP255" s="77"/>
      <c r="AQ255" s="77"/>
      <c r="AR255" s="77"/>
      <c r="AS255" s="77"/>
      <c r="AT255" s="77"/>
      <c r="AU255" s="77"/>
      <c r="AV255" s="83" t="str">
        <f>HYPERLINK("https://pbs.twimg.com/profile_images/1212713219133001728/scaMivNm_normal.jpg")</f>
        <v>https://pbs.twimg.com/profile_images/1212713219133001728/scaMivNm_normal.jpg</v>
      </c>
      <c r="AW255" s="81" t="s">
        <v>9527</v>
      </c>
      <c r="AX255" s="81" t="s">
        <v>9527</v>
      </c>
      <c r="AY255" s="77"/>
      <c r="AZ255" s="81" t="s">
        <v>11359</v>
      </c>
      <c r="BA255" s="81" t="s">
        <v>11359</v>
      </c>
      <c r="BB255" s="81" t="s">
        <v>11359</v>
      </c>
      <c r="BC255" s="81" t="s">
        <v>9527</v>
      </c>
      <c r="BD255" s="81" t="s">
        <v>11462</v>
      </c>
      <c r="BE255" s="77"/>
      <c r="BF255" s="77"/>
      <c r="BG255" s="77"/>
      <c r="BH255" s="77"/>
      <c r="BI255" s="77"/>
    </row>
    <row r="256" spans="1:61" x14ac:dyDescent="0.25">
      <c r="A256" s="62" t="s">
        <v>340</v>
      </c>
      <c r="B256" s="62" t="s">
        <v>340</v>
      </c>
      <c r="C256" s="63"/>
      <c r="D256" s="64"/>
      <c r="E256" s="65"/>
      <c r="F256" s="66"/>
      <c r="G256" s="63"/>
      <c r="H256" s="67"/>
      <c r="I256" s="68"/>
      <c r="J256" s="68"/>
      <c r="K256" s="32"/>
      <c r="L256" s="75">
        <v>256</v>
      </c>
      <c r="M256" s="75"/>
      <c r="N256" s="70"/>
      <c r="O256" s="77" t="s">
        <v>179</v>
      </c>
      <c r="P256" s="79">
        <v>44998.71465277778</v>
      </c>
      <c r="Q256" s="77" t="s">
        <v>1207</v>
      </c>
      <c r="R256" s="77">
        <v>0</v>
      </c>
      <c r="S256" s="77">
        <v>1</v>
      </c>
      <c r="T256" s="77">
        <v>0</v>
      </c>
      <c r="U256" s="77">
        <v>0</v>
      </c>
      <c r="V256" s="77">
        <v>17</v>
      </c>
      <c r="W256" s="81" t="s">
        <v>3109</v>
      </c>
      <c r="X256" s="77"/>
      <c r="Y256" s="77"/>
      <c r="Z256" s="77"/>
      <c r="AA256" s="77"/>
      <c r="AB256" s="77"/>
      <c r="AC256" s="81" t="s">
        <v>5801</v>
      </c>
      <c r="AD256" s="77" t="s">
        <v>5850</v>
      </c>
      <c r="AE256" s="83" t="str">
        <f>HYPERLINK("https://twitter.com/leomigdal/status/1635327134255439873")</f>
        <v>https://twitter.com/leomigdal/status/1635327134255439873</v>
      </c>
      <c r="AF256" s="79">
        <v>44998.71465277778</v>
      </c>
      <c r="AG256" s="85">
        <v>44998</v>
      </c>
      <c r="AH256" s="81" t="s">
        <v>6086</v>
      </c>
      <c r="AI256" s="77"/>
      <c r="AJ256" s="77"/>
      <c r="AK256" s="77"/>
      <c r="AL256" s="77"/>
      <c r="AM256" s="77"/>
      <c r="AN256" s="77"/>
      <c r="AO256" s="77"/>
      <c r="AP256" s="77"/>
      <c r="AQ256" s="77"/>
      <c r="AR256" s="77"/>
      <c r="AS256" s="77"/>
      <c r="AT256" s="77"/>
      <c r="AU256" s="77"/>
      <c r="AV256" s="83" t="str">
        <f>HYPERLINK("https://pbs.twimg.com/profile_images/1212713219133001728/scaMivNm_normal.jpg")</f>
        <v>https://pbs.twimg.com/profile_images/1212713219133001728/scaMivNm_normal.jpg</v>
      </c>
      <c r="AW256" s="81" t="s">
        <v>9528</v>
      </c>
      <c r="AX256" s="81" t="s">
        <v>9528</v>
      </c>
      <c r="AY256" s="77"/>
      <c r="AZ256" s="81" t="s">
        <v>11359</v>
      </c>
      <c r="BA256" s="81" t="s">
        <v>11359</v>
      </c>
      <c r="BB256" s="81" t="s">
        <v>11359</v>
      </c>
      <c r="BC256" s="81" t="s">
        <v>9528</v>
      </c>
      <c r="BD256" s="81" t="s">
        <v>11462</v>
      </c>
      <c r="BE256" s="77"/>
      <c r="BF256" s="77"/>
      <c r="BG256" s="77"/>
      <c r="BH256" s="77"/>
      <c r="BI256" s="77"/>
    </row>
    <row r="257" spans="1:61" x14ac:dyDescent="0.25">
      <c r="A257" s="62" t="s">
        <v>340</v>
      </c>
      <c r="B257" s="62" t="s">
        <v>340</v>
      </c>
      <c r="C257" s="63"/>
      <c r="D257" s="64"/>
      <c r="E257" s="65"/>
      <c r="F257" s="66"/>
      <c r="G257" s="63"/>
      <c r="H257" s="67"/>
      <c r="I257" s="68"/>
      <c r="J257" s="68"/>
      <c r="K257" s="32"/>
      <c r="L257" s="75">
        <v>257</v>
      </c>
      <c r="M257" s="75"/>
      <c r="N257" s="70"/>
      <c r="O257" s="77" t="s">
        <v>179</v>
      </c>
      <c r="P257" s="79">
        <v>44965.734236111108</v>
      </c>
      <c r="Q257" s="77" t="s">
        <v>1208</v>
      </c>
      <c r="R257" s="77">
        <v>0</v>
      </c>
      <c r="S257" s="77">
        <v>1</v>
      </c>
      <c r="T257" s="77">
        <v>0</v>
      </c>
      <c r="U257" s="77">
        <v>0</v>
      </c>
      <c r="V257" s="77">
        <v>32</v>
      </c>
      <c r="W257" s="81" t="s">
        <v>3110</v>
      </c>
      <c r="X257" s="77"/>
      <c r="Y257" s="77"/>
      <c r="Z257" s="77"/>
      <c r="AA257" s="77"/>
      <c r="AB257" s="77"/>
      <c r="AC257" s="81" t="s">
        <v>5801</v>
      </c>
      <c r="AD257" s="77" t="s">
        <v>5850</v>
      </c>
      <c r="AE257" s="83" t="str">
        <f>HYPERLINK("https://twitter.com/leomigdal/status/1623375432941768738")</f>
        <v>https://twitter.com/leomigdal/status/1623375432941768738</v>
      </c>
      <c r="AF257" s="79">
        <v>44965.734236111108</v>
      </c>
      <c r="AG257" s="85">
        <v>44965</v>
      </c>
      <c r="AH257" s="81" t="s">
        <v>6087</v>
      </c>
      <c r="AI257" s="77"/>
      <c r="AJ257" s="77"/>
      <c r="AK257" s="77"/>
      <c r="AL257" s="77"/>
      <c r="AM257" s="77"/>
      <c r="AN257" s="77"/>
      <c r="AO257" s="77"/>
      <c r="AP257" s="77"/>
      <c r="AQ257" s="77"/>
      <c r="AR257" s="77"/>
      <c r="AS257" s="77"/>
      <c r="AT257" s="77"/>
      <c r="AU257" s="77"/>
      <c r="AV257" s="83" t="str">
        <f>HYPERLINK("https://pbs.twimg.com/profile_images/1212713219133001728/scaMivNm_normal.jpg")</f>
        <v>https://pbs.twimg.com/profile_images/1212713219133001728/scaMivNm_normal.jpg</v>
      </c>
      <c r="AW257" s="81" t="s">
        <v>9529</v>
      </c>
      <c r="AX257" s="81" t="s">
        <v>9529</v>
      </c>
      <c r="AY257" s="77"/>
      <c r="AZ257" s="81" t="s">
        <v>11359</v>
      </c>
      <c r="BA257" s="81" t="s">
        <v>11359</v>
      </c>
      <c r="BB257" s="81" t="s">
        <v>11359</v>
      </c>
      <c r="BC257" s="81" t="s">
        <v>9529</v>
      </c>
      <c r="BD257" s="81" t="s">
        <v>11462</v>
      </c>
      <c r="BE257" s="77"/>
      <c r="BF257" s="77"/>
      <c r="BG257" s="77"/>
      <c r="BH257" s="77"/>
      <c r="BI257" s="77"/>
    </row>
    <row r="258" spans="1:61" x14ac:dyDescent="0.25">
      <c r="A258" s="62" t="s">
        <v>341</v>
      </c>
      <c r="B258" s="62" t="s">
        <v>341</v>
      </c>
      <c r="C258" s="63"/>
      <c r="D258" s="64"/>
      <c r="E258" s="65"/>
      <c r="F258" s="66"/>
      <c r="G258" s="63"/>
      <c r="H258" s="67"/>
      <c r="I258" s="68"/>
      <c r="J258" s="68"/>
      <c r="K258" s="32"/>
      <c r="L258" s="75">
        <v>258</v>
      </c>
      <c r="M258" s="75"/>
      <c r="N258" s="70"/>
      <c r="O258" s="77" t="s">
        <v>179</v>
      </c>
      <c r="P258" s="79">
        <v>44971.887557870374</v>
      </c>
      <c r="Q258" s="77" t="s">
        <v>1209</v>
      </c>
      <c r="R258" s="77">
        <v>0</v>
      </c>
      <c r="S258" s="77">
        <v>0</v>
      </c>
      <c r="T258" s="77">
        <v>0</v>
      </c>
      <c r="U258" s="77">
        <v>0</v>
      </c>
      <c r="V258" s="77">
        <v>36</v>
      </c>
      <c r="W258" s="81" t="s">
        <v>3111</v>
      </c>
      <c r="X258" s="83" t="str">
        <f>HYPERLINK("https://bit.ly/3aEOhVH")</f>
        <v>https://bit.ly/3aEOhVH</v>
      </c>
      <c r="Y258" s="77" t="s">
        <v>4213</v>
      </c>
      <c r="Z258" s="77"/>
      <c r="AA258" s="77" t="s">
        <v>4520</v>
      </c>
      <c r="AB258" s="77" t="s">
        <v>5794</v>
      </c>
      <c r="AC258" s="81" t="s">
        <v>5823</v>
      </c>
      <c r="AD258" s="77" t="s">
        <v>5850</v>
      </c>
      <c r="AE258" s="83" t="str">
        <f>HYPERLINK("https://twitter.com/pmurphy_ar/status/1625605322202050560")</f>
        <v>https://twitter.com/pmurphy_ar/status/1625605322202050560</v>
      </c>
      <c r="AF258" s="79">
        <v>44971.887557870374</v>
      </c>
      <c r="AG258" s="85">
        <v>44971</v>
      </c>
      <c r="AH258" s="81" t="s">
        <v>6088</v>
      </c>
      <c r="AI258" s="77" t="b">
        <v>0</v>
      </c>
      <c r="AJ258" s="77"/>
      <c r="AK258" s="77"/>
      <c r="AL258" s="77"/>
      <c r="AM258" s="77"/>
      <c r="AN258" s="77"/>
      <c r="AO258" s="77"/>
      <c r="AP258" s="77"/>
      <c r="AQ258" s="77" t="s">
        <v>8023</v>
      </c>
      <c r="AR258" s="77"/>
      <c r="AS258" s="77"/>
      <c r="AT258" s="77"/>
      <c r="AU258" s="77"/>
      <c r="AV258" s="83" t="str">
        <f>HYPERLINK("https://pbs.twimg.com/media/Fo9PbTGWIAEnWzg.png")</f>
        <v>https://pbs.twimg.com/media/Fo9PbTGWIAEnWzg.png</v>
      </c>
      <c r="AW258" s="81" t="s">
        <v>9530</v>
      </c>
      <c r="AX258" s="81" t="s">
        <v>9530</v>
      </c>
      <c r="AY258" s="77"/>
      <c r="AZ258" s="81" t="s">
        <v>11359</v>
      </c>
      <c r="BA258" s="81" t="s">
        <v>11359</v>
      </c>
      <c r="BB258" s="81" t="s">
        <v>11359</v>
      </c>
      <c r="BC258" s="81" t="s">
        <v>9530</v>
      </c>
      <c r="BD258" s="77">
        <v>144326499</v>
      </c>
      <c r="BE258" s="77"/>
      <c r="BF258" s="77"/>
      <c r="BG258" s="77"/>
      <c r="BH258" s="77"/>
      <c r="BI258" s="77"/>
    </row>
    <row r="259" spans="1:61" x14ac:dyDescent="0.25">
      <c r="A259" s="62" t="s">
        <v>341</v>
      </c>
      <c r="B259" s="62" t="s">
        <v>341</v>
      </c>
      <c r="C259" s="63"/>
      <c r="D259" s="64"/>
      <c r="E259" s="65"/>
      <c r="F259" s="66"/>
      <c r="G259" s="63"/>
      <c r="H259" s="67"/>
      <c r="I259" s="68"/>
      <c r="J259" s="68"/>
      <c r="K259" s="32"/>
      <c r="L259" s="75">
        <v>259</v>
      </c>
      <c r="M259" s="75"/>
      <c r="N259" s="70"/>
      <c r="O259" s="77" t="s">
        <v>179</v>
      </c>
      <c r="P259" s="79">
        <v>44977.894479166665</v>
      </c>
      <c r="Q259" s="77" t="s">
        <v>1210</v>
      </c>
      <c r="R259" s="77">
        <v>0</v>
      </c>
      <c r="S259" s="77">
        <v>0</v>
      </c>
      <c r="T259" s="77">
        <v>0</v>
      </c>
      <c r="U259" s="77">
        <v>0</v>
      </c>
      <c r="V259" s="77">
        <v>43</v>
      </c>
      <c r="W259" s="81" t="s">
        <v>3111</v>
      </c>
      <c r="X259" s="83" t="str">
        <f>HYPERLINK("https://bit.ly/3aEOhVH")</f>
        <v>https://bit.ly/3aEOhVH</v>
      </c>
      <c r="Y259" s="77" t="s">
        <v>4213</v>
      </c>
      <c r="Z259" s="77"/>
      <c r="AA259" s="77" t="s">
        <v>4521</v>
      </c>
      <c r="AB259" s="77" t="s">
        <v>5794</v>
      </c>
      <c r="AC259" s="81" t="s">
        <v>5823</v>
      </c>
      <c r="AD259" s="77" t="s">
        <v>5850</v>
      </c>
      <c r="AE259" s="83" t="str">
        <f>HYPERLINK("https://twitter.com/pmurphy_ar/status/1627782156280905731")</f>
        <v>https://twitter.com/pmurphy_ar/status/1627782156280905731</v>
      </c>
      <c r="AF259" s="79">
        <v>44977.894479166665</v>
      </c>
      <c r="AG259" s="85">
        <v>44977</v>
      </c>
      <c r="AH259" s="81" t="s">
        <v>6089</v>
      </c>
      <c r="AI259" s="77" t="b">
        <v>0</v>
      </c>
      <c r="AJ259" s="77"/>
      <c r="AK259" s="77"/>
      <c r="AL259" s="77"/>
      <c r="AM259" s="77"/>
      <c r="AN259" s="77"/>
      <c r="AO259" s="77"/>
      <c r="AP259" s="77"/>
      <c r="AQ259" s="77" t="s">
        <v>8024</v>
      </c>
      <c r="AR259" s="77"/>
      <c r="AS259" s="77"/>
      <c r="AT259" s="77"/>
      <c r="AU259" s="77"/>
      <c r="AV259" s="83" t="str">
        <f>HYPERLINK("https://pbs.twimg.com/media/FpcLPtbXEAEuqg7.png")</f>
        <v>https://pbs.twimg.com/media/FpcLPtbXEAEuqg7.png</v>
      </c>
      <c r="AW259" s="81" t="s">
        <v>9531</v>
      </c>
      <c r="AX259" s="81" t="s">
        <v>9531</v>
      </c>
      <c r="AY259" s="77"/>
      <c r="AZ259" s="81" t="s">
        <v>11359</v>
      </c>
      <c r="BA259" s="81" t="s">
        <v>11359</v>
      </c>
      <c r="BB259" s="81" t="s">
        <v>11359</v>
      </c>
      <c r="BC259" s="81" t="s">
        <v>9531</v>
      </c>
      <c r="BD259" s="77">
        <v>144326499</v>
      </c>
      <c r="BE259" s="77"/>
      <c r="BF259" s="77"/>
      <c r="BG259" s="77"/>
      <c r="BH259" s="77"/>
      <c r="BI259" s="77"/>
    </row>
    <row r="260" spans="1:61" x14ac:dyDescent="0.25">
      <c r="A260" s="62" t="s">
        <v>341</v>
      </c>
      <c r="B260" s="62" t="s">
        <v>341</v>
      </c>
      <c r="C260" s="63"/>
      <c r="D260" s="64"/>
      <c r="E260" s="65"/>
      <c r="F260" s="66"/>
      <c r="G260" s="63"/>
      <c r="H260" s="67"/>
      <c r="I260" s="68"/>
      <c r="J260" s="68"/>
      <c r="K260" s="32"/>
      <c r="L260" s="75">
        <v>260</v>
      </c>
      <c r="M260" s="75"/>
      <c r="N260" s="70"/>
      <c r="O260" s="77" t="s">
        <v>179</v>
      </c>
      <c r="P260" s="79">
        <v>44936.634097222224</v>
      </c>
      <c r="Q260" s="77" t="s">
        <v>1211</v>
      </c>
      <c r="R260" s="77">
        <v>0</v>
      </c>
      <c r="S260" s="77">
        <v>0</v>
      </c>
      <c r="T260" s="77">
        <v>0</v>
      </c>
      <c r="U260" s="77">
        <v>0</v>
      </c>
      <c r="V260" s="77">
        <v>46</v>
      </c>
      <c r="W260" s="81" t="s">
        <v>3111</v>
      </c>
      <c r="X260" s="83" t="str">
        <f>HYPERLINK("https://bit.ly/3aEOhVH")</f>
        <v>https://bit.ly/3aEOhVH</v>
      </c>
      <c r="Y260" s="77" t="s">
        <v>4213</v>
      </c>
      <c r="Z260" s="77"/>
      <c r="AA260" s="77" t="s">
        <v>4522</v>
      </c>
      <c r="AB260" s="77" t="s">
        <v>5794</v>
      </c>
      <c r="AC260" s="81" t="s">
        <v>5823</v>
      </c>
      <c r="AD260" s="77" t="s">
        <v>5850</v>
      </c>
      <c r="AE260" s="83" t="str">
        <f>HYPERLINK("https://twitter.com/pmurphy_ar/status/1612829895863816194")</f>
        <v>https://twitter.com/pmurphy_ar/status/1612829895863816194</v>
      </c>
      <c r="AF260" s="79">
        <v>44936.634097222224</v>
      </c>
      <c r="AG260" s="85">
        <v>44936</v>
      </c>
      <c r="AH260" s="81" t="s">
        <v>6090</v>
      </c>
      <c r="AI260" s="77" t="b">
        <v>0</v>
      </c>
      <c r="AJ260" s="77"/>
      <c r="AK260" s="77"/>
      <c r="AL260" s="77"/>
      <c r="AM260" s="77"/>
      <c r="AN260" s="77"/>
      <c r="AO260" s="77"/>
      <c r="AP260" s="77"/>
      <c r="AQ260" s="77" t="s">
        <v>8025</v>
      </c>
      <c r="AR260" s="77"/>
      <c r="AS260" s="77"/>
      <c r="AT260" s="77"/>
      <c r="AU260" s="77"/>
      <c r="AV260" s="83" t="str">
        <f>HYPERLINK("https://pbs.twimg.com/media/FmHsPlTXEAEFCwg.png")</f>
        <v>https://pbs.twimg.com/media/FmHsPlTXEAEFCwg.png</v>
      </c>
      <c r="AW260" s="81" t="s">
        <v>9532</v>
      </c>
      <c r="AX260" s="81" t="s">
        <v>9532</v>
      </c>
      <c r="AY260" s="77"/>
      <c r="AZ260" s="81" t="s">
        <v>11359</v>
      </c>
      <c r="BA260" s="81" t="s">
        <v>11359</v>
      </c>
      <c r="BB260" s="81" t="s">
        <v>11359</v>
      </c>
      <c r="BC260" s="81" t="s">
        <v>9532</v>
      </c>
      <c r="BD260" s="77">
        <v>144326499</v>
      </c>
      <c r="BE260" s="77"/>
      <c r="BF260" s="77"/>
      <c r="BG260" s="77"/>
      <c r="BH260" s="77"/>
      <c r="BI260" s="77"/>
    </row>
    <row r="261" spans="1:61" x14ac:dyDescent="0.25">
      <c r="A261" s="62" t="s">
        <v>341</v>
      </c>
      <c r="B261" s="62" t="s">
        <v>341</v>
      </c>
      <c r="C261" s="63"/>
      <c r="D261" s="64"/>
      <c r="E261" s="65"/>
      <c r="F261" s="66"/>
      <c r="G261" s="63"/>
      <c r="H261" s="67"/>
      <c r="I261" s="68"/>
      <c r="J261" s="68"/>
      <c r="K261" s="32"/>
      <c r="L261" s="75">
        <v>261</v>
      </c>
      <c r="M261" s="75"/>
      <c r="N261" s="70"/>
      <c r="O261" s="77" t="s">
        <v>179</v>
      </c>
      <c r="P261" s="79">
        <v>45020.750381944446</v>
      </c>
      <c r="Q261" s="77" t="s">
        <v>1212</v>
      </c>
      <c r="R261" s="77">
        <v>0</v>
      </c>
      <c r="S261" s="77">
        <v>0</v>
      </c>
      <c r="T261" s="77">
        <v>0</v>
      </c>
      <c r="U261" s="77">
        <v>0</v>
      </c>
      <c r="V261" s="77">
        <v>45</v>
      </c>
      <c r="W261" s="81" t="s">
        <v>3112</v>
      </c>
      <c r="X261" s="83" t="str">
        <f>HYPERLINK("https://patriciamurphy.com.ar/ofertas/713/detail/")</f>
        <v>https://patriciamurphy.com.ar/ofertas/713/detail/</v>
      </c>
      <c r="Y261" s="77" t="s">
        <v>4231</v>
      </c>
      <c r="Z261" s="77"/>
      <c r="AA261" s="77" t="s">
        <v>4523</v>
      </c>
      <c r="AB261" s="77" t="s">
        <v>5794</v>
      </c>
      <c r="AC261" s="81" t="s">
        <v>5805</v>
      </c>
      <c r="AD261" s="77" t="s">
        <v>5850</v>
      </c>
      <c r="AE261" s="83" t="str">
        <f>HYPERLINK("https://twitter.com/pmurphy_ar/status/1643312614120857600")</f>
        <v>https://twitter.com/pmurphy_ar/status/1643312614120857600</v>
      </c>
      <c r="AF261" s="79">
        <v>45020.750381944446</v>
      </c>
      <c r="AG261" s="85">
        <v>45020</v>
      </c>
      <c r="AH261" s="81" t="s">
        <v>6091</v>
      </c>
      <c r="AI261" s="77" t="b">
        <v>0</v>
      </c>
      <c r="AJ261" s="77"/>
      <c r="AK261" s="77"/>
      <c r="AL261" s="77"/>
      <c r="AM261" s="77"/>
      <c r="AN261" s="77"/>
      <c r="AO261" s="77"/>
      <c r="AP261" s="77"/>
      <c r="AQ261" s="77" t="s">
        <v>8026</v>
      </c>
      <c r="AR261" s="77"/>
      <c r="AS261" s="77"/>
      <c r="AT261" s="77"/>
      <c r="AU261" s="77"/>
      <c r="AV261" s="83" t="str">
        <f>HYPERLINK("https://pbs.twimg.com/media/Fs4mNToWcAAEBWW.jpg")</f>
        <v>https://pbs.twimg.com/media/Fs4mNToWcAAEBWW.jpg</v>
      </c>
      <c r="AW261" s="81" t="s">
        <v>9533</v>
      </c>
      <c r="AX261" s="81" t="s">
        <v>9533</v>
      </c>
      <c r="AY261" s="77"/>
      <c r="AZ261" s="81" t="s">
        <v>11359</v>
      </c>
      <c r="BA261" s="81" t="s">
        <v>11359</v>
      </c>
      <c r="BB261" s="81" t="s">
        <v>11359</v>
      </c>
      <c r="BC261" s="81" t="s">
        <v>9533</v>
      </c>
      <c r="BD261" s="77">
        <v>144326499</v>
      </c>
      <c r="BE261" s="77"/>
      <c r="BF261" s="77"/>
      <c r="BG261" s="77"/>
      <c r="BH261" s="77"/>
      <c r="BI261" s="77"/>
    </row>
    <row r="262" spans="1:61" x14ac:dyDescent="0.25">
      <c r="A262" s="62" t="s">
        <v>341</v>
      </c>
      <c r="B262" s="62" t="s">
        <v>341</v>
      </c>
      <c r="C262" s="63"/>
      <c r="D262" s="64"/>
      <c r="E262" s="65"/>
      <c r="F262" s="66"/>
      <c r="G262" s="63"/>
      <c r="H262" s="67"/>
      <c r="I262" s="68"/>
      <c r="J262" s="68"/>
      <c r="K262" s="32"/>
      <c r="L262" s="75">
        <v>262</v>
      </c>
      <c r="M262" s="75"/>
      <c r="N262" s="70"/>
      <c r="O262" s="77" t="s">
        <v>179</v>
      </c>
      <c r="P262" s="79">
        <v>44978.641030092593</v>
      </c>
      <c r="Q262" s="77" t="s">
        <v>1213</v>
      </c>
      <c r="R262" s="77">
        <v>0</v>
      </c>
      <c r="S262" s="77">
        <v>0</v>
      </c>
      <c r="T262" s="77">
        <v>0</v>
      </c>
      <c r="U262" s="77">
        <v>0</v>
      </c>
      <c r="V262" s="77">
        <v>35</v>
      </c>
      <c r="W262" s="81" t="s">
        <v>3111</v>
      </c>
      <c r="X262" s="83" t="str">
        <f>HYPERLINK("https://bit.ly/3aEOhVH")</f>
        <v>https://bit.ly/3aEOhVH</v>
      </c>
      <c r="Y262" s="77" t="s">
        <v>4213</v>
      </c>
      <c r="Z262" s="77"/>
      <c r="AA262" s="77" t="s">
        <v>4524</v>
      </c>
      <c r="AB262" s="77" t="s">
        <v>5794</v>
      </c>
      <c r="AC262" s="81" t="s">
        <v>5823</v>
      </c>
      <c r="AD262" s="77" t="s">
        <v>5850</v>
      </c>
      <c r="AE262" s="83" t="str">
        <f>HYPERLINK("https://twitter.com/pmurphy_ar/status/1628052696182685699")</f>
        <v>https://twitter.com/pmurphy_ar/status/1628052696182685699</v>
      </c>
      <c r="AF262" s="79">
        <v>44978.641030092593</v>
      </c>
      <c r="AG262" s="85">
        <v>44978</v>
      </c>
      <c r="AH262" s="81" t="s">
        <v>6092</v>
      </c>
      <c r="AI262" s="77" t="b">
        <v>0</v>
      </c>
      <c r="AJ262" s="77"/>
      <c r="AK262" s="77"/>
      <c r="AL262" s="77"/>
      <c r="AM262" s="77"/>
      <c r="AN262" s="77"/>
      <c r="AO262" s="77"/>
      <c r="AP262" s="77"/>
      <c r="AQ262" s="77" t="s">
        <v>8027</v>
      </c>
      <c r="AR262" s="77"/>
      <c r="AS262" s="77"/>
      <c r="AT262" s="77"/>
      <c r="AU262" s="77"/>
      <c r="AV262" s="83" t="str">
        <f>HYPERLINK("https://pbs.twimg.com/media/FpgBTKmXsAAKkqi.png")</f>
        <v>https://pbs.twimg.com/media/FpgBTKmXsAAKkqi.png</v>
      </c>
      <c r="AW262" s="81" t="s">
        <v>9534</v>
      </c>
      <c r="AX262" s="81" t="s">
        <v>9534</v>
      </c>
      <c r="AY262" s="77"/>
      <c r="AZ262" s="81" t="s">
        <v>11359</v>
      </c>
      <c r="BA262" s="81" t="s">
        <v>11359</v>
      </c>
      <c r="BB262" s="81" t="s">
        <v>11359</v>
      </c>
      <c r="BC262" s="81" t="s">
        <v>9534</v>
      </c>
      <c r="BD262" s="77">
        <v>144326499</v>
      </c>
      <c r="BE262" s="77"/>
      <c r="BF262" s="77"/>
      <c r="BG262" s="77"/>
      <c r="BH262" s="77"/>
      <c r="BI262" s="77"/>
    </row>
    <row r="263" spans="1:61" x14ac:dyDescent="0.25">
      <c r="A263" s="62" t="s">
        <v>341</v>
      </c>
      <c r="B263" s="62" t="s">
        <v>341</v>
      </c>
      <c r="C263" s="63"/>
      <c r="D263" s="64"/>
      <c r="E263" s="65"/>
      <c r="F263" s="66"/>
      <c r="G263" s="63"/>
      <c r="H263" s="67"/>
      <c r="I263" s="68"/>
      <c r="J263" s="68"/>
      <c r="K263" s="32"/>
      <c r="L263" s="75">
        <v>263</v>
      </c>
      <c r="M263" s="75"/>
      <c r="N263" s="70"/>
      <c r="O263" s="77" t="s">
        <v>179</v>
      </c>
      <c r="P263" s="79">
        <v>44944.887569444443</v>
      </c>
      <c r="Q263" s="77" t="s">
        <v>1214</v>
      </c>
      <c r="R263" s="77">
        <v>0</v>
      </c>
      <c r="S263" s="77">
        <v>0</v>
      </c>
      <c r="T263" s="77">
        <v>0</v>
      </c>
      <c r="U263" s="77">
        <v>0</v>
      </c>
      <c r="V263" s="77">
        <v>45</v>
      </c>
      <c r="W263" s="81" t="s">
        <v>3111</v>
      </c>
      <c r="X263" s="83" t="str">
        <f>HYPERLINK("https://bit.ly/3aEOhVH")</f>
        <v>https://bit.ly/3aEOhVH</v>
      </c>
      <c r="Y263" s="77" t="s">
        <v>4213</v>
      </c>
      <c r="Z263" s="77"/>
      <c r="AA263" s="77" t="s">
        <v>4525</v>
      </c>
      <c r="AB263" s="77" t="s">
        <v>5794</v>
      </c>
      <c r="AC263" s="81" t="s">
        <v>5823</v>
      </c>
      <c r="AD263" s="77" t="s">
        <v>5850</v>
      </c>
      <c r="AE263" s="83" t="str">
        <f>HYPERLINK("https://twitter.com/pmurphy_ar/status/1615820853366734848")</f>
        <v>https://twitter.com/pmurphy_ar/status/1615820853366734848</v>
      </c>
      <c r="AF263" s="79">
        <v>44944.887569444443</v>
      </c>
      <c r="AG263" s="85">
        <v>44944</v>
      </c>
      <c r="AH263" s="81" t="s">
        <v>6093</v>
      </c>
      <c r="AI263" s="77" t="b">
        <v>0</v>
      </c>
      <c r="AJ263" s="77"/>
      <c r="AK263" s="77"/>
      <c r="AL263" s="77"/>
      <c r="AM263" s="77"/>
      <c r="AN263" s="77"/>
      <c r="AO263" s="77"/>
      <c r="AP263" s="77"/>
      <c r="AQ263" s="77" t="s">
        <v>8028</v>
      </c>
      <c r="AR263" s="77"/>
      <c r="AS263" s="77"/>
      <c r="AT263" s="77"/>
      <c r="AU263" s="77"/>
      <c r="AV263" s="83" t="str">
        <f>HYPERLINK("https://pbs.twimg.com/media/FmyMgPPWQAMaS8M.png")</f>
        <v>https://pbs.twimg.com/media/FmyMgPPWQAMaS8M.png</v>
      </c>
      <c r="AW263" s="81" t="s">
        <v>9535</v>
      </c>
      <c r="AX263" s="81" t="s">
        <v>9535</v>
      </c>
      <c r="AY263" s="77"/>
      <c r="AZ263" s="81" t="s">
        <v>11359</v>
      </c>
      <c r="BA263" s="81" t="s">
        <v>11359</v>
      </c>
      <c r="BB263" s="81" t="s">
        <v>11359</v>
      </c>
      <c r="BC263" s="81" t="s">
        <v>9535</v>
      </c>
      <c r="BD263" s="77">
        <v>144326499</v>
      </c>
      <c r="BE263" s="77"/>
      <c r="BF263" s="77"/>
      <c r="BG263" s="77"/>
      <c r="BH263" s="77"/>
      <c r="BI263" s="77"/>
    </row>
    <row r="264" spans="1:61" x14ac:dyDescent="0.25">
      <c r="A264" s="62" t="s">
        <v>341</v>
      </c>
      <c r="B264" s="62" t="s">
        <v>341</v>
      </c>
      <c r="C264" s="63"/>
      <c r="D264" s="64"/>
      <c r="E264" s="65"/>
      <c r="F264" s="66"/>
      <c r="G264" s="63"/>
      <c r="H264" s="67"/>
      <c r="I264" s="68"/>
      <c r="J264" s="68"/>
      <c r="K264" s="32"/>
      <c r="L264" s="75">
        <v>264</v>
      </c>
      <c r="M264" s="75"/>
      <c r="N264" s="70"/>
      <c r="O264" s="77" t="s">
        <v>179</v>
      </c>
      <c r="P264" s="79">
        <v>45037.904918981483</v>
      </c>
      <c r="Q264" s="77" t="s">
        <v>1215</v>
      </c>
      <c r="R264" s="77">
        <v>0</v>
      </c>
      <c r="S264" s="77">
        <v>0</v>
      </c>
      <c r="T264" s="77">
        <v>0</v>
      </c>
      <c r="U264" s="77">
        <v>0</v>
      </c>
      <c r="V264" s="77">
        <v>18</v>
      </c>
      <c r="W264" s="81" t="s">
        <v>3111</v>
      </c>
      <c r="X264" s="83" t="str">
        <f>HYPERLINK("https://patriciamurphy.com.ar/ofertas/636/detail/")</f>
        <v>https://patriciamurphy.com.ar/ofertas/636/detail/</v>
      </c>
      <c r="Y264" s="77" t="s">
        <v>4231</v>
      </c>
      <c r="Z264" s="77"/>
      <c r="AA264" s="77" t="s">
        <v>4526</v>
      </c>
      <c r="AB264" s="77" t="s">
        <v>5794</v>
      </c>
      <c r="AC264" s="81" t="s">
        <v>5823</v>
      </c>
      <c r="AD264" s="77" t="s">
        <v>5850</v>
      </c>
      <c r="AE264" s="83" t="str">
        <f>HYPERLINK("https://twitter.com/pmurphy_ar/status/1649529211218976768")</f>
        <v>https://twitter.com/pmurphy_ar/status/1649529211218976768</v>
      </c>
      <c r="AF264" s="79">
        <v>45037.904918981483</v>
      </c>
      <c r="AG264" s="85">
        <v>45037</v>
      </c>
      <c r="AH264" s="81" t="s">
        <v>6094</v>
      </c>
      <c r="AI264" s="77" t="b">
        <v>0</v>
      </c>
      <c r="AJ264" s="77"/>
      <c r="AK264" s="77"/>
      <c r="AL264" s="77"/>
      <c r="AM264" s="77"/>
      <c r="AN264" s="77"/>
      <c r="AO264" s="77"/>
      <c r="AP264" s="77"/>
      <c r="AQ264" s="77" t="s">
        <v>8029</v>
      </c>
      <c r="AR264" s="77"/>
      <c r="AS264" s="77"/>
      <c r="AT264" s="77"/>
      <c r="AU264" s="77"/>
      <c r="AV264" s="83" t="str">
        <f>HYPERLINK("https://pbs.twimg.com/media/FuROE63WIAYVnvX.png")</f>
        <v>https://pbs.twimg.com/media/FuROE63WIAYVnvX.png</v>
      </c>
      <c r="AW264" s="81" t="s">
        <v>9536</v>
      </c>
      <c r="AX264" s="81" t="s">
        <v>9536</v>
      </c>
      <c r="AY264" s="77"/>
      <c r="AZ264" s="81" t="s">
        <v>11359</v>
      </c>
      <c r="BA264" s="81" t="s">
        <v>11359</v>
      </c>
      <c r="BB264" s="81" t="s">
        <v>11359</v>
      </c>
      <c r="BC264" s="81" t="s">
        <v>9536</v>
      </c>
      <c r="BD264" s="77">
        <v>144326499</v>
      </c>
      <c r="BE264" s="77"/>
      <c r="BF264" s="77"/>
      <c r="BG264" s="77"/>
      <c r="BH264" s="77"/>
      <c r="BI264" s="77"/>
    </row>
    <row r="265" spans="1:61" x14ac:dyDescent="0.25">
      <c r="A265" s="62" t="s">
        <v>341</v>
      </c>
      <c r="B265" s="62" t="s">
        <v>341</v>
      </c>
      <c r="C265" s="63"/>
      <c r="D265" s="64"/>
      <c r="E265" s="65"/>
      <c r="F265" s="66"/>
      <c r="G265" s="63"/>
      <c r="H265" s="67"/>
      <c r="I265" s="68"/>
      <c r="J265" s="68"/>
      <c r="K265" s="32"/>
      <c r="L265" s="75">
        <v>265</v>
      </c>
      <c r="M265" s="75"/>
      <c r="N265" s="70"/>
      <c r="O265" s="77" t="s">
        <v>179</v>
      </c>
      <c r="P265" s="79">
        <v>45036.891018518516</v>
      </c>
      <c r="Q265" s="77" t="s">
        <v>1216</v>
      </c>
      <c r="R265" s="77">
        <v>0</v>
      </c>
      <c r="S265" s="77">
        <v>0</v>
      </c>
      <c r="T265" s="77">
        <v>0</v>
      </c>
      <c r="U265" s="77">
        <v>0</v>
      </c>
      <c r="V265" s="77">
        <v>50</v>
      </c>
      <c r="W265" s="81" t="s">
        <v>3113</v>
      </c>
      <c r="X265" s="83" t="str">
        <f>HYPERLINK("https://patriciamurphy.com.ar/ofertas/706/detail/")</f>
        <v>https://patriciamurphy.com.ar/ofertas/706/detail/</v>
      </c>
      <c r="Y265" s="77" t="s">
        <v>4231</v>
      </c>
      <c r="Z265" s="77"/>
      <c r="AA265" s="77" t="s">
        <v>4527</v>
      </c>
      <c r="AB265" s="77" t="s">
        <v>5794</v>
      </c>
      <c r="AC265" s="81" t="s">
        <v>5823</v>
      </c>
      <c r="AD265" s="77" t="s">
        <v>5850</v>
      </c>
      <c r="AE265" s="83" t="str">
        <f>HYPERLINK("https://twitter.com/pmurphy_ar/status/1649161787147800577")</f>
        <v>https://twitter.com/pmurphy_ar/status/1649161787147800577</v>
      </c>
      <c r="AF265" s="79">
        <v>45036.891018518516</v>
      </c>
      <c r="AG265" s="85">
        <v>45036</v>
      </c>
      <c r="AH265" s="81" t="s">
        <v>6095</v>
      </c>
      <c r="AI265" s="77" t="b">
        <v>0</v>
      </c>
      <c r="AJ265" s="77"/>
      <c r="AK265" s="77"/>
      <c r="AL265" s="77"/>
      <c r="AM265" s="77"/>
      <c r="AN265" s="77"/>
      <c r="AO265" s="77"/>
      <c r="AP265" s="77"/>
      <c r="AQ265" s="77" t="s">
        <v>8030</v>
      </c>
      <c r="AR265" s="77"/>
      <c r="AS265" s="77"/>
      <c r="AT265" s="77"/>
      <c r="AU265" s="77"/>
      <c r="AV265" s="83" t="str">
        <f>HYPERLINK("https://pbs.twimg.com/media/FuL_51gXgAI5Tg3.jpg")</f>
        <v>https://pbs.twimg.com/media/FuL_51gXgAI5Tg3.jpg</v>
      </c>
      <c r="AW265" s="81" t="s">
        <v>9537</v>
      </c>
      <c r="AX265" s="81" t="s">
        <v>9537</v>
      </c>
      <c r="AY265" s="77"/>
      <c r="AZ265" s="81" t="s">
        <v>11359</v>
      </c>
      <c r="BA265" s="81" t="s">
        <v>11359</v>
      </c>
      <c r="BB265" s="81" t="s">
        <v>11359</v>
      </c>
      <c r="BC265" s="81" t="s">
        <v>9537</v>
      </c>
      <c r="BD265" s="77">
        <v>144326499</v>
      </c>
      <c r="BE265" s="77"/>
      <c r="BF265" s="77"/>
      <c r="BG265" s="77"/>
      <c r="BH265" s="77"/>
      <c r="BI265" s="77"/>
    </row>
    <row r="266" spans="1:61" x14ac:dyDescent="0.25">
      <c r="A266" s="62" t="s">
        <v>341</v>
      </c>
      <c r="B266" s="62" t="s">
        <v>341</v>
      </c>
      <c r="C266" s="63"/>
      <c r="D266" s="64"/>
      <c r="E266" s="65"/>
      <c r="F266" s="66"/>
      <c r="G266" s="63"/>
      <c r="H266" s="67"/>
      <c r="I266" s="68"/>
      <c r="J266" s="68"/>
      <c r="K266" s="32"/>
      <c r="L266" s="75">
        <v>266</v>
      </c>
      <c r="M266" s="75"/>
      <c r="N266" s="70"/>
      <c r="O266" s="77" t="s">
        <v>179</v>
      </c>
      <c r="P266" s="79">
        <v>44990.887557870374</v>
      </c>
      <c r="Q266" s="77" t="s">
        <v>1217</v>
      </c>
      <c r="R266" s="77">
        <v>0</v>
      </c>
      <c r="S266" s="77">
        <v>0</v>
      </c>
      <c r="T266" s="77">
        <v>0</v>
      </c>
      <c r="U266" s="77">
        <v>0</v>
      </c>
      <c r="V266" s="77">
        <v>22</v>
      </c>
      <c r="W266" s="81" t="s">
        <v>3111</v>
      </c>
      <c r="X266" s="83" t="str">
        <f>HYPERLINK("https://patriciamurphy.com.ar/ofertas/636/detail/")</f>
        <v>https://patriciamurphy.com.ar/ofertas/636/detail/</v>
      </c>
      <c r="Y266" s="77" t="s">
        <v>4231</v>
      </c>
      <c r="Z266" s="77"/>
      <c r="AA266" s="77" t="s">
        <v>4528</v>
      </c>
      <c r="AB266" s="77" t="s">
        <v>5794</v>
      </c>
      <c r="AC266" s="81" t="s">
        <v>5823</v>
      </c>
      <c r="AD266" s="77" t="s">
        <v>5850</v>
      </c>
      <c r="AE266" s="83" t="str">
        <f>HYPERLINK("https://twitter.com/pmurphy_ar/status/1632490690599944192")</f>
        <v>https://twitter.com/pmurphy_ar/status/1632490690599944192</v>
      </c>
      <c r="AF266" s="79">
        <v>44990.887557870374</v>
      </c>
      <c r="AG266" s="85">
        <v>44990</v>
      </c>
      <c r="AH266" s="81" t="s">
        <v>6088</v>
      </c>
      <c r="AI266" s="77" t="b">
        <v>0</v>
      </c>
      <c r="AJ266" s="77"/>
      <c r="AK266" s="77"/>
      <c r="AL266" s="77"/>
      <c r="AM266" s="77"/>
      <c r="AN266" s="77"/>
      <c r="AO266" s="77"/>
      <c r="AP266" s="77"/>
      <c r="AQ266" s="77" t="s">
        <v>8031</v>
      </c>
      <c r="AR266" s="77"/>
      <c r="AS266" s="77"/>
      <c r="AT266" s="77"/>
      <c r="AU266" s="77"/>
      <c r="AV266" s="83" t="str">
        <f>HYPERLINK("https://pbs.twimg.com/media/FqfFoeoWIAIch-A.png")</f>
        <v>https://pbs.twimg.com/media/FqfFoeoWIAIch-A.png</v>
      </c>
      <c r="AW266" s="81" t="s">
        <v>9538</v>
      </c>
      <c r="AX266" s="81" t="s">
        <v>9538</v>
      </c>
      <c r="AY266" s="77"/>
      <c r="AZ266" s="81" t="s">
        <v>11359</v>
      </c>
      <c r="BA266" s="81" t="s">
        <v>11359</v>
      </c>
      <c r="BB266" s="81" t="s">
        <v>11359</v>
      </c>
      <c r="BC266" s="81" t="s">
        <v>9538</v>
      </c>
      <c r="BD266" s="77">
        <v>144326499</v>
      </c>
      <c r="BE266" s="77"/>
      <c r="BF266" s="77"/>
      <c r="BG266" s="77"/>
      <c r="BH266" s="77"/>
      <c r="BI266" s="77"/>
    </row>
    <row r="267" spans="1:61" x14ac:dyDescent="0.25">
      <c r="A267" s="62" t="s">
        <v>341</v>
      </c>
      <c r="B267" s="62" t="s">
        <v>341</v>
      </c>
      <c r="C267" s="63"/>
      <c r="D267" s="64"/>
      <c r="E267" s="65"/>
      <c r="F267" s="66"/>
      <c r="G267" s="63"/>
      <c r="H267" s="67"/>
      <c r="I267" s="68"/>
      <c r="J267" s="68"/>
      <c r="K267" s="32"/>
      <c r="L267" s="75">
        <v>267</v>
      </c>
      <c r="M267" s="75"/>
      <c r="N267" s="70"/>
      <c r="O267" s="77" t="s">
        <v>179</v>
      </c>
      <c r="P267" s="79">
        <v>45043.887557870374</v>
      </c>
      <c r="Q267" s="77" t="s">
        <v>1218</v>
      </c>
      <c r="R267" s="77">
        <v>0</v>
      </c>
      <c r="S267" s="77">
        <v>0</v>
      </c>
      <c r="T267" s="77">
        <v>0</v>
      </c>
      <c r="U267" s="77">
        <v>0</v>
      </c>
      <c r="V267" s="77">
        <v>65</v>
      </c>
      <c r="W267" s="81" t="s">
        <v>3113</v>
      </c>
      <c r="X267" s="83" t="str">
        <f>HYPERLINK("https://patriciamurphy.com.ar/ofertas/706/detail/")</f>
        <v>https://patriciamurphy.com.ar/ofertas/706/detail/</v>
      </c>
      <c r="Y267" s="77" t="s">
        <v>4231</v>
      </c>
      <c r="Z267" s="77"/>
      <c r="AA267" s="77" t="s">
        <v>4529</v>
      </c>
      <c r="AB267" s="77" t="s">
        <v>5794</v>
      </c>
      <c r="AC267" s="81" t="s">
        <v>5823</v>
      </c>
      <c r="AD267" s="77" t="s">
        <v>5850</v>
      </c>
      <c r="AE267" s="83" t="str">
        <f>HYPERLINK("https://twitter.com/pmurphy_ar/status/1651697248974123013")</f>
        <v>https://twitter.com/pmurphy_ar/status/1651697248974123013</v>
      </c>
      <c r="AF267" s="79">
        <v>45043.887557870374</v>
      </c>
      <c r="AG267" s="85">
        <v>45043</v>
      </c>
      <c r="AH267" s="81" t="s">
        <v>6088</v>
      </c>
      <c r="AI267" s="77" t="b">
        <v>0</v>
      </c>
      <c r="AJ267" s="77"/>
      <c r="AK267" s="77"/>
      <c r="AL267" s="77"/>
      <c r="AM267" s="77"/>
      <c r="AN267" s="77"/>
      <c r="AO267" s="77"/>
      <c r="AP267" s="77"/>
      <c r="AQ267" s="77" t="s">
        <v>8032</v>
      </c>
      <c r="AR267" s="77"/>
      <c r="AS267" s="77"/>
      <c r="AT267" s="77"/>
      <c r="AU267" s="77"/>
      <c r="AV267" s="83" t="str">
        <f>HYPERLINK("https://pbs.twimg.com/media/FuwB5PfXgAAF5ys.jpg")</f>
        <v>https://pbs.twimg.com/media/FuwB5PfXgAAF5ys.jpg</v>
      </c>
      <c r="AW267" s="81" t="s">
        <v>9539</v>
      </c>
      <c r="AX267" s="81" t="s">
        <v>9539</v>
      </c>
      <c r="AY267" s="77"/>
      <c r="AZ267" s="81" t="s">
        <v>11359</v>
      </c>
      <c r="BA267" s="81" t="s">
        <v>11359</v>
      </c>
      <c r="BB267" s="81" t="s">
        <v>11359</v>
      </c>
      <c r="BC267" s="81" t="s">
        <v>9539</v>
      </c>
      <c r="BD267" s="77">
        <v>144326499</v>
      </c>
      <c r="BE267" s="77"/>
      <c r="BF267" s="77"/>
      <c r="BG267" s="77"/>
      <c r="BH267" s="77"/>
      <c r="BI267" s="77"/>
    </row>
    <row r="268" spans="1:61" x14ac:dyDescent="0.25">
      <c r="A268" s="62" t="s">
        <v>341</v>
      </c>
      <c r="B268" s="62" t="s">
        <v>341</v>
      </c>
      <c r="C268" s="63"/>
      <c r="D268" s="64"/>
      <c r="E268" s="65"/>
      <c r="F268" s="66"/>
      <c r="G268" s="63"/>
      <c r="H268" s="67"/>
      <c r="I268" s="68"/>
      <c r="J268" s="68"/>
      <c r="K268" s="32"/>
      <c r="L268" s="75">
        <v>268</v>
      </c>
      <c r="M268" s="75"/>
      <c r="N268" s="70"/>
      <c r="O268" s="77" t="s">
        <v>179</v>
      </c>
      <c r="P268" s="79">
        <v>45006.898148148146</v>
      </c>
      <c r="Q268" s="77" t="s">
        <v>1219</v>
      </c>
      <c r="R268" s="77">
        <v>0</v>
      </c>
      <c r="S268" s="77">
        <v>0</v>
      </c>
      <c r="T268" s="77">
        <v>0</v>
      </c>
      <c r="U268" s="77">
        <v>0</v>
      </c>
      <c r="V268" s="77">
        <v>40</v>
      </c>
      <c r="W268" s="81" t="s">
        <v>3111</v>
      </c>
      <c r="X268" s="83" t="str">
        <f>HYPERLINK("https://patriciamurphy.com.ar/ofertas/636/detail/")</f>
        <v>https://patriciamurphy.com.ar/ofertas/636/detail/</v>
      </c>
      <c r="Y268" s="77" t="s">
        <v>4231</v>
      </c>
      <c r="Z268" s="77"/>
      <c r="AA268" s="77" t="s">
        <v>4530</v>
      </c>
      <c r="AB268" s="77" t="s">
        <v>5794</v>
      </c>
      <c r="AC268" s="81" t="s">
        <v>5823</v>
      </c>
      <c r="AD268" s="77" t="s">
        <v>5850</v>
      </c>
      <c r="AE268" s="83" t="str">
        <f>HYPERLINK("https://twitter.com/pmurphy_ar/status/1638292734724259841")</f>
        <v>https://twitter.com/pmurphy_ar/status/1638292734724259841</v>
      </c>
      <c r="AF268" s="79">
        <v>45006.898148148146</v>
      </c>
      <c r="AG268" s="85">
        <v>45006</v>
      </c>
      <c r="AH268" s="81" t="s">
        <v>6096</v>
      </c>
      <c r="AI268" s="77" t="b">
        <v>0</v>
      </c>
      <c r="AJ268" s="77"/>
      <c r="AK268" s="77"/>
      <c r="AL268" s="77"/>
      <c r="AM268" s="77"/>
      <c r="AN268" s="77"/>
      <c r="AO268" s="77"/>
      <c r="AP268" s="77"/>
      <c r="AQ268" s="77" t="s">
        <v>8033</v>
      </c>
      <c r="AR268" s="77"/>
      <c r="AS268" s="77"/>
      <c r="AT268" s="77"/>
      <c r="AU268" s="77"/>
      <c r="AV268" s="83" t="str">
        <f>HYPERLINK("https://pbs.twimg.com/media/Frxij51X0AcmzCH.png")</f>
        <v>https://pbs.twimg.com/media/Frxij51X0AcmzCH.png</v>
      </c>
      <c r="AW268" s="81" t="s">
        <v>9540</v>
      </c>
      <c r="AX268" s="81" t="s">
        <v>9540</v>
      </c>
      <c r="AY268" s="77"/>
      <c r="AZ268" s="81" t="s">
        <v>11359</v>
      </c>
      <c r="BA268" s="81" t="s">
        <v>11359</v>
      </c>
      <c r="BB268" s="81" t="s">
        <v>11359</v>
      </c>
      <c r="BC268" s="81" t="s">
        <v>9540</v>
      </c>
      <c r="BD268" s="77">
        <v>144326499</v>
      </c>
      <c r="BE268" s="77"/>
      <c r="BF268" s="77"/>
      <c r="BG268" s="77"/>
      <c r="BH268" s="77"/>
      <c r="BI268" s="77"/>
    </row>
    <row r="269" spans="1:61" x14ac:dyDescent="0.25">
      <c r="A269" s="62" t="s">
        <v>341</v>
      </c>
      <c r="B269" s="62" t="s">
        <v>341</v>
      </c>
      <c r="C269" s="63"/>
      <c r="D269" s="64"/>
      <c r="E269" s="65"/>
      <c r="F269" s="66"/>
      <c r="G269" s="63"/>
      <c r="H269" s="67"/>
      <c r="I269" s="68"/>
      <c r="J269" s="68"/>
      <c r="K269" s="32"/>
      <c r="L269" s="75">
        <v>269</v>
      </c>
      <c r="M269" s="75"/>
      <c r="N269" s="70"/>
      <c r="O269" s="77" t="s">
        <v>179</v>
      </c>
      <c r="P269" s="79">
        <v>45006.891053240739</v>
      </c>
      <c r="Q269" s="77" t="s">
        <v>1220</v>
      </c>
      <c r="R269" s="77">
        <v>0</v>
      </c>
      <c r="S269" s="77">
        <v>0</v>
      </c>
      <c r="T269" s="77">
        <v>0</v>
      </c>
      <c r="U269" s="77">
        <v>0</v>
      </c>
      <c r="V269" s="77">
        <v>67</v>
      </c>
      <c r="W269" s="81" t="s">
        <v>3113</v>
      </c>
      <c r="X269" s="83" t="str">
        <f>HYPERLINK("https://patriciamurphy.com.ar/ofertas/706/detail/")</f>
        <v>https://patriciamurphy.com.ar/ofertas/706/detail/</v>
      </c>
      <c r="Y269" s="77" t="s">
        <v>4231</v>
      </c>
      <c r="Z269" s="77"/>
      <c r="AA269" s="77" t="s">
        <v>4531</v>
      </c>
      <c r="AB269" s="77" t="s">
        <v>5794</v>
      </c>
      <c r="AC269" s="81" t="s">
        <v>5823</v>
      </c>
      <c r="AD269" s="77" t="s">
        <v>5850</v>
      </c>
      <c r="AE269" s="83" t="str">
        <f>HYPERLINK("https://twitter.com/pmurphy_ar/status/1638290164572200968")</f>
        <v>https://twitter.com/pmurphy_ar/status/1638290164572200968</v>
      </c>
      <c r="AF269" s="79">
        <v>45006.891053240739</v>
      </c>
      <c r="AG269" s="85">
        <v>45006</v>
      </c>
      <c r="AH269" s="81" t="s">
        <v>6097</v>
      </c>
      <c r="AI269" s="77" t="b">
        <v>0</v>
      </c>
      <c r="AJ269" s="77"/>
      <c r="AK269" s="77"/>
      <c r="AL269" s="77"/>
      <c r="AM269" s="77"/>
      <c r="AN269" s="77"/>
      <c r="AO269" s="77"/>
      <c r="AP269" s="77"/>
      <c r="AQ269" s="77" t="s">
        <v>8034</v>
      </c>
      <c r="AR269" s="77"/>
      <c r="AS269" s="77"/>
      <c r="AT269" s="77"/>
      <c r="AU269" s="77"/>
      <c r="AV269" s="83" t="str">
        <f>HYPERLINK("https://pbs.twimg.com/media/FrxgOHbWwAE7C3w.jpg")</f>
        <v>https://pbs.twimg.com/media/FrxgOHbWwAE7C3w.jpg</v>
      </c>
      <c r="AW269" s="81" t="s">
        <v>9541</v>
      </c>
      <c r="AX269" s="81" t="s">
        <v>9541</v>
      </c>
      <c r="AY269" s="77"/>
      <c r="AZ269" s="81" t="s">
        <v>11359</v>
      </c>
      <c r="BA269" s="81" t="s">
        <v>11359</v>
      </c>
      <c r="BB269" s="81" t="s">
        <v>11359</v>
      </c>
      <c r="BC269" s="81" t="s">
        <v>9541</v>
      </c>
      <c r="BD269" s="77">
        <v>144326499</v>
      </c>
      <c r="BE269" s="77"/>
      <c r="BF269" s="77"/>
      <c r="BG269" s="77"/>
      <c r="BH269" s="77"/>
      <c r="BI269" s="77"/>
    </row>
    <row r="270" spans="1:61" x14ac:dyDescent="0.25">
      <c r="A270" s="62" t="s">
        <v>341</v>
      </c>
      <c r="B270" s="62" t="s">
        <v>341</v>
      </c>
      <c r="C270" s="63"/>
      <c r="D270" s="64"/>
      <c r="E270" s="65"/>
      <c r="F270" s="66"/>
      <c r="G270" s="63"/>
      <c r="H270" s="67"/>
      <c r="I270" s="68"/>
      <c r="J270" s="68"/>
      <c r="K270" s="32"/>
      <c r="L270" s="75">
        <v>270</v>
      </c>
      <c r="M270" s="75"/>
      <c r="N270" s="70"/>
      <c r="O270" s="77" t="s">
        <v>179</v>
      </c>
      <c r="P270" s="79">
        <v>45029.627129629633</v>
      </c>
      <c r="Q270" s="77" t="s">
        <v>1221</v>
      </c>
      <c r="R270" s="77">
        <v>0</v>
      </c>
      <c r="S270" s="77">
        <v>0</v>
      </c>
      <c r="T270" s="77">
        <v>0</v>
      </c>
      <c r="U270" s="77">
        <v>0</v>
      </c>
      <c r="V270" s="77">
        <v>31</v>
      </c>
      <c r="W270" s="81" t="s">
        <v>3114</v>
      </c>
      <c r="X270" s="83" t="str">
        <f>HYPERLINK("https://patriciamurphy.com.ar/ofertas/635/detail/")</f>
        <v>https://patriciamurphy.com.ar/ofertas/635/detail/</v>
      </c>
      <c r="Y270" s="77" t="s">
        <v>4231</v>
      </c>
      <c r="Z270" s="77"/>
      <c r="AA270" s="77" t="s">
        <v>4532</v>
      </c>
      <c r="AB270" s="77" t="s">
        <v>5794</v>
      </c>
      <c r="AC270" s="81" t="s">
        <v>5823</v>
      </c>
      <c r="AD270" s="77" t="s">
        <v>5850</v>
      </c>
      <c r="AE270" s="83" t="str">
        <f>HYPERLINK("https://twitter.com/pmurphy_ar/status/1646529441093369858")</f>
        <v>https://twitter.com/pmurphy_ar/status/1646529441093369858</v>
      </c>
      <c r="AF270" s="79">
        <v>45029.627129629633</v>
      </c>
      <c r="AG270" s="85">
        <v>45029</v>
      </c>
      <c r="AH270" s="81" t="s">
        <v>6098</v>
      </c>
      <c r="AI270" s="77" t="b">
        <v>0</v>
      </c>
      <c r="AJ270" s="77"/>
      <c r="AK270" s="77"/>
      <c r="AL270" s="77"/>
      <c r="AM270" s="77"/>
      <c r="AN270" s="77"/>
      <c r="AO270" s="77"/>
      <c r="AP270" s="77"/>
      <c r="AQ270" s="77" t="s">
        <v>8035</v>
      </c>
      <c r="AR270" s="77"/>
      <c r="AS270" s="77"/>
      <c r="AT270" s="77"/>
      <c r="AU270" s="77"/>
      <c r="AV270" s="83" t="str">
        <f>HYPERLINK("https://pbs.twimg.com/media/FtmlzUOXwAAb4LN.png")</f>
        <v>https://pbs.twimg.com/media/FtmlzUOXwAAb4LN.png</v>
      </c>
      <c r="AW270" s="81" t="s">
        <v>9542</v>
      </c>
      <c r="AX270" s="81" t="s">
        <v>9542</v>
      </c>
      <c r="AY270" s="77"/>
      <c r="AZ270" s="81" t="s">
        <v>11359</v>
      </c>
      <c r="BA270" s="81" t="s">
        <v>11359</v>
      </c>
      <c r="BB270" s="81" t="s">
        <v>11359</v>
      </c>
      <c r="BC270" s="81" t="s">
        <v>9542</v>
      </c>
      <c r="BD270" s="77">
        <v>144326499</v>
      </c>
      <c r="BE270" s="77"/>
      <c r="BF270" s="77"/>
      <c r="BG270" s="77"/>
      <c r="BH270" s="77"/>
      <c r="BI270" s="77"/>
    </row>
    <row r="271" spans="1:61" x14ac:dyDescent="0.25">
      <c r="A271" s="62" t="s">
        <v>341</v>
      </c>
      <c r="B271" s="62" t="s">
        <v>341</v>
      </c>
      <c r="C271" s="63"/>
      <c r="D271" s="64"/>
      <c r="E271" s="65"/>
      <c r="F271" s="66"/>
      <c r="G271" s="63"/>
      <c r="H271" s="67"/>
      <c r="I271" s="68"/>
      <c r="J271" s="68"/>
      <c r="K271" s="32"/>
      <c r="L271" s="75">
        <v>271</v>
      </c>
      <c r="M271" s="75"/>
      <c r="N271" s="70"/>
      <c r="O271" s="77" t="s">
        <v>179</v>
      </c>
      <c r="P271" s="79">
        <v>45028.641030092593</v>
      </c>
      <c r="Q271" s="77" t="s">
        <v>1222</v>
      </c>
      <c r="R271" s="77">
        <v>0</v>
      </c>
      <c r="S271" s="77">
        <v>0</v>
      </c>
      <c r="T271" s="77">
        <v>0</v>
      </c>
      <c r="U271" s="77">
        <v>0</v>
      </c>
      <c r="V271" s="77">
        <v>27</v>
      </c>
      <c r="W271" s="81" t="s">
        <v>3111</v>
      </c>
      <c r="X271" s="83" t="str">
        <f>HYPERLINK("https://patriciamurphy.com.ar/ofertas/636/detail/")</f>
        <v>https://patriciamurphy.com.ar/ofertas/636/detail/</v>
      </c>
      <c r="Y271" s="77" t="s">
        <v>4231</v>
      </c>
      <c r="Z271" s="77"/>
      <c r="AA271" s="77" t="s">
        <v>4533</v>
      </c>
      <c r="AB271" s="77" t="s">
        <v>5794</v>
      </c>
      <c r="AC271" s="81" t="s">
        <v>5823</v>
      </c>
      <c r="AD271" s="77" t="s">
        <v>5850</v>
      </c>
      <c r="AE271" s="83" t="str">
        <f>HYPERLINK("https://twitter.com/pmurphy_ar/status/1646172088766431232")</f>
        <v>https://twitter.com/pmurphy_ar/status/1646172088766431232</v>
      </c>
      <c r="AF271" s="79">
        <v>45028.641030092593</v>
      </c>
      <c r="AG271" s="85">
        <v>45028</v>
      </c>
      <c r="AH271" s="81" t="s">
        <v>6092</v>
      </c>
      <c r="AI271" s="77" t="b">
        <v>0</v>
      </c>
      <c r="AJ271" s="77"/>
      <c r="AK271" s="77"/>
      <c r="AL271" s="77"/>
      <c r="AM271" s="77"/>
      <c r="AN271" s="77"/>
      <c r="AO271" s="77"/>
      <c r="AP271" s="77"/>
      <c r="AQ271" s="77" t="s">
        <v>8036</v>
      </c>
      <c r="AR271" s="77"/>
      <c r="AS271" s="77"/>
      <c r="AT271" s="77"/>
      <c r="AU271" s="77"/>
      <c r="AV271" s="83" t="str">
        <f>HYPERLINK("https://pbs.twimg.com/media/FthgypFXwAUKM9X.png")</f>
        <v>https://pbs.twimg.com/media/FthgypFXwAUKM9X.png</v>
      </c>
      <c r="AW271" s="81" t="s">
        <v>9543</v>
      </c>
      <c r="AX271" s="81" t="s">
        <v>9543</v>
      </c>
      <c r="AY271" s="77"/>
      <c r="AZ271" s="81" t="s">
        <v>11359</v>
      </c>
      <c r="BA271" s="81" t="s">
        <v>11359</v>
      </c>
      <c r="BB271" s="81" t="s">
        <v>11359</v>
      </c>
      <c r="BC271" s="81" t="s">
        <v>9543</v>
      </c>
      <c r="BD271" s="77">
        <v>144326499</v>
      </c>
      <c r="BE271" s="77"/>
      <c r="BF271" s="77"/>
      <c r="BG271" s="77"/>
      <c r="BH271" s="77"/>
      <c r="BI271" s="77"/>
    </row>
    <row r="272" spans="1:61" x14ac:dyDescent="0.25">
      <c r="A272" s="62" t="s">
        <v>341</v>
      </c>
      <c r="B272" s="62" t="s">
        <v>341</v>
      </c>
      <c r="C272" s="63"/>
      <c r="D272" s="64"/>
      <c r="E272" s="65"/>
      <c r="F272" s="66"/>
      <c r="G272" s="63"/>
      <c r="H272" s="67"/>
      <c r="I272" s="68"/>
      <c r="J272" s="68"/>
      <c r="K272" s="32"/>
      <c r="L272" s="75">
        <v>272</v>
      </c>
      <c r="M272" s="75"/>
      <c r="N272" s="70"/>
      <c r="O272" s="77" t="s">
        <v>179</v>
      </c>
      <c r="P272" s="79">
        <v>45028.637604166666</v>
      </c>
      <c r="Q272" s="77" t="s">
        <v>1223</v>
      </c>
      <c r="R272" s="77">
        <v>0</v>
      </c>
      <c r="S272" s="77">
        <v>0</v>
      </c>
      <c r="T272" s="77">
        <v>0</v>
      </c>
      <c r="U272" s="77">
        <v>0</v>
      </c>
      <c r="V272" s="77">
        <v>50</v>
      </c>
      <c r="W272" s="81" t="s">
        <v>3112</v>
      </c>
      <c r="X272" s="83" t="str">
        <f>HYPERLINK("https://patriciamurphy.com.ar/ofertas/713/detail/")</f>
        <v>https://patriciamurphy.com.ar/ofertas/713/detail/</v>
      </c>
      <c r="Y272" s="77" t="s">
        <v>4231</v>
      </c>
      <c r="Z272" s="77"/>
      <c r="AA272" s="77" t="s">
        <v>4534</v>
      </c>
      <c r="AB272" s="77" t="s">
        <v>5794</v>
      </c>
      <c r="AC272" s="81" t="s">
        <v>5823</v>
      </c>
      <c r="AD272" s="77" t="s">
        <v>5850</v>
      </c>
      <c r="AE272" s="83" t="str">
        <f>HYPERLINK("https://twitter.com/pmurphy_ar/status/1646170847860621312")</f>
        <v>https://twitter.com/pmurphy_ar/status/1646170847860621312</v>
      </c>
      <c r="AF272" s="79">
        <v>45028.637604166666</v>
      </c>
      <c r="AG272" s="85">
        <v>45028</v>
      </c>
      <c r="AH272" s="81" t="s">
        <v>6099</v>
      </c>
      <c r="AI272" s="77" t="b">
        <v>0</v>
      </c>
      <c r="AJ272" s="77"/>
      <c r="AK272" s="77"/>
      <c r="AL272" s="77"/>
      <c r="AM272" s="77"/>
      <c r="AN272" s="77"/>
      <c r="AO272" s="77"/>
      <c r="AP272" s="77"/>
      <c r="AQ272" s="77" t="s">
        <v>8037</v>
      </c>
      <c r="AR272" s="77"/>
      <c r="AS272" s="77"/>
      <c r="AT272" s="77"/>
      <c r="AU272" s="77"/>
      <c r="AV272" s="83" t="str">
        <f>HYPERLINK("https://pbs.twimg.com/media/Fthfp7_XwAUD0bJ.jpg")</f>
        <v>https://pbs.twimg.com/media/Fthfp7_XwAUD0bJ.jpg</v>
      </c>
      <c r="AW272" s="81" t="s">
        <v>9544</v>
      </c>
      <c r="AX272" s="81" t="s">
        <v>9544</v>
      </c>
      <c r="AY272" s="77"/>
      <c r="AZ272" s="81" t="s">
        <v>11359</v>
      </c>
      <c r="BA272" s="81" t="s">
        <v>11359</v>
      </c>
      <c r="BB272" s="81" t="s">
        <v>11359</v>
      </c>
      <c r="BC272" s="81" t="s">
        <v>9544</v>
      </c>
      <c r="BD272" s="77">
        <v>144326499</v>
      </c>
      <c r="BE272" s="77"/>
      <c r="BF272" s="77"/>
      <c r="BG272" s="77"/>
      <c r="BH272" s="77"/>
      <c r="BI272" s="77"/>
    </row>
    <row r="273" spans="1:61" x14ac:dyDescent="0.25">
      <c r="A273" s="62" t="s">
        <v>341</v>
      </c>
      <c r="B273" s="62" t="s">
        <v>341</v>
      </c>
      <c r="C273" s="63"/>
      <c r="D273" s="64"/>
      <c r="E273" s="65"/>
      <c r="F273" s="66"/>
      <c r="G273" s="63"/>
      <c r="H273" s="67"/>
      <c r="I273" s="68"/>
      <c r="J273" s="68"/>
      <c r="K273" s="32"/>
      <c r="L273" s="75">
        <v>273</v>
      </c>
      <c r="M273" s="75"/>
      <c r="N273" s="70"/>
      <c r="O273" s="77" t="s">
        <v>179</v>
      </c>
      <c r="P273" s="79">
        <v>45027.779907407406</v>
      </c>
      <c r="Q273" s="77" t="s">
        <v>1224</v>
      </c>
      <c r="R273" s="77">
        <v>0</v>
      </c>
      <c r="S273" s="77">
        <v>0</v>
      </c>
      <c r="T273" s="77">
        <v>0</v>
      </c>
      <c r="U273" s="77">
        <v>0</v>
      </c>
      <c r="V273" s="77">
        <v>60</v>
      </c>
      <c r="W273" s="81" t="s">
        <v>3113</v>
      </c>
      <c r="X273" s="83" t="str">
        <f>HYPERLINK("https://patriciamurphy.com.ar/ofertas/706/detail/")</f>
        <v>https://patriciamurphy.com.ar/ofertas/706/detail/</v>
      </c>
      <c r="Y273" s="77" t="s">
        <v>4231</v>
      </c>
      <c r="Z273" s="77"/>
      <c r="AA273" s="77" t="s">
        <v>4535</v>
      </c>
      <c r="AB273" s="77" t="s">
        <v>5794</v>
      </c>
      <c r="AC273" s="81" t="s">
        <v>5823</v>
      </c>
      <c r="AD273" s="77" t="s">
        <v>5850</v>
      </c>
      <c r="AE273" s="83" t="str">
        <f>HYPERLINK("https://twitter.com/pmurphy_ar/status/1645860028677607442")</f>
        <v>https://twitter.com/pmurphy_ar/status/1645860028677607442</v>
      </c>
      <c r="AF273" s="79">
        <v>45027.779907407406</v>
      </c>
      <c r="AG273" s="85">
        <v>45027</v>
      </c>
      <c r="AH273" s="81" t="s">
        <v>6100</v>
      </c>
      <c r="AI273" s="77" t="b">
        <v>0</v>
      </c>
      <c r="AJ273" s="77"/>
      <c r="AK273" s="77"/>
      <c r="AL273" s="77"/>
      <c r="AM273" s="77"/>
      <c r="AN273" s="77"/>
      <c r="AO273" s="77"/>
      <c r="AP273" s="77"/>
      <c r="AQ273" s="77" t="s">
        <v>8038</v>
      </c>
      <c r="AR273" s="77"/>
      <c r="AS273" s="77"/>
      <c r="AT273" s="77"/>
      <c r="AU273" s="77"/>
      <c r="AV273" s="83" t="str">
        <f>HYPERLINK("https://pbs.twimg.com/media/FtdE-RPX0CUwQLn.jpg")</f>
        <v>https://pbs.twimg.com/media/FtdE-RPX0CUwQLn.jpg</v>
      </c>
      <c r="AW273" s="81" t="s">
        <v>9545</v>
      </c>
      <c r="AX273" s="81" t="s">
        <v>9545</v>
      </c>
      <c r="AY273" s="77"/>
      <c r="AZ273" s="81" t="s">
        <v>11359</v>
      </c>
      <c r="BA273" s="81" t="s">
        <v>11359</v>
      </c>
      <c r="BB273" s="81" t="s">
        <v>11359</v>
      </c>
      <c r="BC273" s="81" t="s">
        <v>9545</v>
      </c>
      <c r="BD273" s="77">
        <v>144326499</v>
      </c>
      <c r="BE273" s="77"/>
      <c r="BF273" s="77"/>
      <c r="BG273" s="77"/>
      <c r="BH273" s="77"/>
      <c r="BI273" s="77"/>
    </row>
    <row r="274" spans="1:61" x14ac:dyDescent="0.25">
      <c r="A274" s="62" t="s">
        <v>341</v>
      </c>
      <c r="B274" s="62" t="s">
        <v>341</v>
      </c>
      <c r="C274" s="63"/>
      <c r="D274" s="64"/>
      <c r="E274" s="65"/>
      <c r="F274" s="66"/>
      <c r="G274" s="63"/>
      <c r="H274" s="67"/>
      <c r="I274" s="68"/>
      <c r="J274" s="68"/>
      <c r="K274" s="32"/>
      <c r="L274" s="75">
        <v>274</v>
      </c>
      <c r="M274" s="75"/>
      <c r="N274" s="70"/>
      <c r="O274" s="77" t="s">
        <v>179</v>
      </c>
      <c r="P274" s="79">
        <v>44982.897962962961</v>
      </c>
      <c r="Q274" s="77" t="s">
        <v>1225</v>
      </c>
      <c r="R274" s="77">
        <v>0</v>
      </c>
      <c r="S274" s="77">
        <v>0</v>
      </c>
      <c r="T274" s="77">
        <v>0</v>
      </c>
      <c r="U274" s="77">
        <v>0</v>
      </c>
      <c r="V274" s="77">
        <v>25</v>
      </c>
      <c r="W274" s="81" t="s">
        <v>3111</v>
      </c>
      <c r="X274" s="83" t="str">
        <f>HYPERLINK("https://bit.ly/3aEOhVH")</f>
        <v>https://bit.ly/3aEOhVH</v>
      </c>
      <c r="Y274" s="77" t="s">
        <v>4213</v>
      </c>
      <c r="Z274" s="77"/>
      <c r="AA274" s="77" t="s">
        <v>4536</v>
      </c>
      <c r="AB274" s="77" t="s">
        <v>5794</v>
      </c>
      <c r="AC274" s="81" t="s">
        <v>5823</v>
      </c>
      <c r="AD274" s="77" t="s">
        <v>5850</v>
      </c>
      <c r="AE274" s="83" t="str">
        <f>HYPERLINK("https://twitter.com/pmurphy_ar/status/1629595359973367808")</f>
        <v>https://twitter.com/pmurphy_ar/status/1629595359973367808</v>
      </c>
      <c r="AF274" s="79">
        <v>44982.897962962961</v>
      </c>
      <c r="AG274" s="85">
        <v>44982</v>
      </c>
      <c r="AH274" s="81" t="s">
        <v>6101</v>
      </c>
      <c r="AI274" s="77" t="b">
        <v>0</v>
      </c>
      <c r="AJ274" s="77"/>
      <c r="AK274" s="77"/>
      <c r="AL274" s="77"/>
      <c r="AM274" s="77"/>
      <c r="AN274" s="77"/>
      <c r="AO274" s="77"/>
      <c r="AP274" s="77"/>
      <c r="AQ274" s="77" t="s">
        <v>8039</v>
      </c>
      <c r="AR274" s="77"/>
      <c r="AS274" s="77"/>
      <c r="AT274" s="77"/>
      <c r="AU274" s="77"/>
      <c r="AV274" s="83" t="str">
        <f>HYPERLINK("https://pbs.twimg.com/media/Fp18WCFWYAU6BzD.png")</f>
        <v>https://pbs.twimg.com/media/Fp18WCFWYAU6BzD.png</v>
      </c>
      <c r="AW274" s="81" t="s">
        <v>9546</v>
      </c>
      <c r="AX274" s="81" t="s">
        <v>9546</v>
      </c>
      <c r="AY274" s="77"/>
      <c r="AZ274" s="81" t="s">
        <v>11359</v>
      </c>
      <c r="BA274" s="81" t="s">
        <v>11359</v>
      </c>
      <c r="BB274" s="81" t="s">
        <v>11359</v>
      </c>
      <c r="BC274" s="81" t="s">
        <v>9546</v>
      </c>
      <c r="BD274" s="77">
        <v>144326499</v>
      </c>
      <c r="BE274" s="77"/>
      <c r="BF274" s="77"/>
      <c r="BG274" s="77"/>
      <c r="BH274" s="77"/>
      <c r="BI274" s="77"/>
    </row>
    <row r="275" spans="1:61" x14ac:dyDescent="0.25">
      <c r="A275" s="62" t="s">
        <v>341</v>
      </c>
      <c r="B275" s="62" t="s">
        <v>341</v>
      </c>
      <c r="C275" s="63"/>
      <c r="D275" s="64"/>
      <c r="E275" s="65"/>
      <c r="F275" s="66"/>
      <c r="G275" s="63"/>
      <c r="H275" s="67"/>
      <c r="I275" s="68"/>
      <c r="J275" s="68"/>
      <c r="K275" s="32"/>
      <c r="L275" s="75">
        <v>275</v>
      </c>
      <c r="M275" s="75"/>
      <c r="N275" s="70"/>
      <c r="O275" s="77" t="s">
        <v>179</v>
      </c>
      <c r="P275" s="79">
        <v>44959.901469907411</v>
      </c>
      <c r="Q275" s="77" t="s">
        <v>1226</v>
      </c>
      <c r="R275" s="77">
        <v>0</v>
      </c>
      <c r="S275" s="77">
        <v>0</v>
      </c>
      <c r="T275" s="77">
        <v>0</v>
      </c>
      <c r="U275" s="77">
        <v>0</v>
      </c>
      <c r="V275" s="77">
        <v>29</v>
      </c>
      <c r="W275" s="81" t="s">
        <v>3114</v>
      </c>
      <c r="X275" s="83" t="str">
        <f>HYPERLINK("https://bit.ly/3avB0Pi")</f>
        <v>https://bit.ly/3avB0Pi</v>
      </c>
      <c r="Y275" s="77" t="s">
        <v>4213</v>
      </c>
      <c r="Z275" s="77"/>
      <c r="AA275" s="77" t="s">
        <v>4537</v>
      </c>
      <c r="AB275" s="77" t="s">
        <v>5794</v>
      </c>
      <c r="AC275" s="81" t="s">
        <v>5823</v>
      </c>
      <c r="AD275" s="77" t="s">
        <v>5850</v>
      </c>
      <c r="AE275" s="83" t="str">
        <f>HYPERLINK("https://twitter.com/pmurphy_ar/status/1621261707317239808")</f>
        <v>https://twitter.com/pmurphy_ar/status/1621261707317239808</v>
      </c>
      <c r="AF275" s="79">
        <v>44959.901469907411</v>
      </c>
      <c r="AG275" s="85">
        <v>44959</v>
      </c>
      <c r="AH275" s="81" t="s">
        <v>6102</v>
      </c>
      <c r="AI275" s="77" t="b">
        <v>0</v>
      </c>
      <c r="AJ275" s="77"/>
      <c r="AK275" s="77"/>
      <c r="AL275" s="77"/>
      <c r="AM275" s="77"/>
      <c r="AN275" s="77"/>
      <c r="AO275" s="77"/>
      <c r="AP275" s="77"/>
      <c r="AQ275" s="77" t="s">
        <v>8040</v>
      </c>
      <c r="AR275" s="77"/>
      <c r="AS275" s="77"/>
      <c r="AT275" s="77"/>
      <c r="AU275" s="77"/>
      <c r="AV275" s="83" t="str">
        <f>HYPERLINK("https://pbs.twimg.com/media/Fn_g7oYXEAQtMHq.png")</f>
        <v>https://pbs.twimg.com/media/Fn_g7oYXEAQtMHq.png</v>
      </c>
      <c r="AW275" s="81" t="s">
        <v>9547</v>
      </c>
      <c r="AX275" s="81" t="s">
        <v>9547</v>
      </c>
      <c r="AY275" s="77"/>
      <c r="AZ275" s="81" t="s">
        <v>11359</v>
      </c>
      <c r="BA275" s="81" t="s">
        <v>11359</v>
      </c>
      <c r="BB275" s="81" t="s">
        <v>11359</v>
      </c>
      <c r="BC275" s="81" t="s">
        <v>9547</v>
      </c>
      <c r="BD275" s="77">
        <v>144326499</v>
      </c>
      <c r="BE275" s="77"/>
      <c r="BF275" s="77"/>
      <c r="BG275" s="77"/>
      <c r="BH275" s="77"/>
      <c r="BI275" s="77"/>
    </row>
    <row r="276" spans="1:61" x14ac:dyDescent="0.25">
      <c r="A276" s="62" t="s">
        <v>341</v>
      </c>
      <c r="B276" s="62" t="s">
        <v>341</v>
      </c>
      <c r="C276" s="63"/>
      <c r="D276" s="64"/>
      <c r="E276" s="65"/>
      <c r="F276" s="66"/>
      <c r="G276" s="63"/>
      <c r="H276" s="67"/>
      <c r="I276" s="68"/>
      <c r="J276" s="68"/>
      <c r="K276" s="32"/>
      <c r="L276" s="75">
        <v>276</v>
      </c>
      <c r="M276" s="75"/>
      <c r="N276" s="70"/>
      <c r="O276" s="77" t="s">
        <v>179</v>
      </c>
      <c r="P276" s="79">
        <v>44959.651458333334</v>
      </c>
      <c r="Q276" s="77" t="s">
        <v>1227</v>
      </c>
      <c r="R276" s="77">
        <v>0</v>
      </c>
      <c r="S276" s="77">
        <v>0</v>
      </c>
      <c r="T276" s="77">
        <v>0</v>
      </c>
      <c r="U276" s="77">
        <v>0</v>
      </c>
      <c r="V276" s="77">
        <v>34</v>
      </c>
      <c r="W276" s="81" t="s">
        <v>3111</v>
      </c>
      <c r="X276" s="83" t="str">
        <f>HYPERLINK("https://bit.ly/3aEOhVH")</f>
        <v>https://bit.ly/3aEOhVH</v>
      </c>
      <c r="Y276" s="77" t="s">
        <v>4213</v>
      </c>
      <c r="Z276" s="77"/>
      <c r="AA276" s="77" t="s">
        <v>4538</v>
      </c>
      <c r="AB276" s="77" t="s">
        <v>5794</v>
      </c>
      <c r="AC276" s="81" t="s">
        <v>5823</v>
      </c>
      <c r="AD276" s="77" t="s">
        <v>5850</v>
      </c>
      <c r="AE276" s="83" t="str">
        <f>HYPERLINK("https://twitter.com/pmurphy_ar/status/1621171107616235523")</f>
        <v>https://twitter.com/pmurphy_ar/status/1621171107616235523</v>
      </c>
      <c r="AF276" s="79">
        <v>44959.651458333334</v>
      </c>
      <c r="AG276" s="85">
        <v>44959</v>
      </c>
      <c r="AH276" s="81" t="s">
        <v>6103</v>
      </c>
      <c r="AI276" s="77" t="b">
        <v>0</v>
      </c>
      <c r="AJ276" s="77"/>
      <c r="AK276" s="77"/>
      <c r="AL276" s="77"/>
      <c r="AM276" s="77"/>
      <c r="AN276" s="77"/>
      <c r="AO276" s="77"/>
      <c r="AP276" s="77"/>
      <c r="AQ276" s="77" t="s">
        <v>8041</v>
      </c>
      <c r="AR276" s="77"/>
      <c r="AS276" s="77"/>
      <c r="AT276" s="77"/>
      <c r="AU276" s="77"/>
      <c r="AV276" s="83" t="str">
        <f>HYPERLINK("https://pbs.twimg.com/media/Fn-Oh_8X0AcbgRG.png")</f>
        <v>https://pbs.twimg.com/media/Fn-Oh_8X0AcbgRG.png</v>
      </c>
      <c r="AW276" s="81" t="s">
        <v>9548</v>
      </c>
      <c r="AX276" s="81" t="s">
        <v>9548</v>
      </c>
      <c r="AY276" s="77"/>
      <c r="AZ276" s="81" t="s">
        <v>11359</v>
      </c>
      <c r="BA276" s="81" t="s">
        <v>11359</v>
      </c>
      <c r="BB276" s="81" t="s">
        <v>11359</v>
      </c>
      <c r="BC276" s="81" t="s">
        <v>9548</v>
      </c>
      <c r="BD276" s="77">
        <v>144326499</v>
      </c>
      <c r="BE276" s="77"/>
      <c r="BF276" s="77"/>
      <c r="BG276" s="77"/>
      <c r="BH276" s="77"/>
      <c r="BI276" s="77"/>
    </row>
    <row r="277" spans="1:61" x14ac:dyDescent="0.25">
      <c r="A277" s="62" t="s">
        <v>341</v>
      </c>
      <c r="B277" s="62" t="s">
        <v>341</v>
      </c>
      <c r="C277" s="63"/>
      <c r="D277" s="64"/>
      <c r="E277" s="65"/>
      <c r="F277" s="66"/>
      <c r="G277" s="63"/>
      <c r="H277" s="67"/>
      <c r="I277" s="68"/>
      <c r="J277" s="68"/>
      <c r="K277" s="32"/>
      <c r="L277" s="75">
        <v>277</v>
      </c>
      <c r="M277" s="75"/>
      <c r="N277" s="70"/>
      <c r="O277" s="77" t="s">
        <v>179</v>
      </c>
      <c r="P277" s="79">
        <v>45019.707384259258</v>
      </c>
      <c r="Q277" s="77" t="s">
        <v>1228</v>
      </c>
      <c r="R277" s="77">
        <v>0</v>
      </c>
      <c r="S277" s="77">
        <v>0</v>
      </c>
      <c r="T277" s="77">
        <v>0</v>
      </c>
      <c r="U277" s="77">
        <v>0</v>
      </c>
      <c r="V277" s="77">
        <v>45</v>
      </c>
      <c r="W277" s="81" t="s">
        <v>3112</v>
      </c>
      <c r="X277" s="83" t="str">
        <f>HYPERLINK("https://patriciamurphy.com.ar/ofertas/713/detail/")</f>
        <v>https://patriciamurphy.com.ar/ofertas/713/detail/</v>
      </c>
      <c r="Y277" s="77" t="s">
        <v>4231</v>
      </c>
      <c r="Z277" s="77"/>
      <c r="AA277" s="77" t="s">
        <v>4539</v>
      </c>
      <c r="AB277" s="77" t="s">
        <v>5794</v>
      </c>
      <c r="AC277" s="81" t="s">
        <v>5805</v>
      </c>
      <c r="AD277" s="77" t="s">
        <v>5850</v>
      </c>
      <c r="AE277" s="83" t="str">
        <f>HYPERLINK("https://twitter.com/pmurphy_ar/status/1642934645594505238")</f>
        <v>https://twitter.com/pmurphy_ar/status/1642934645594505238</v>
      </c>
      <c r="AF277" s="79">
        <v>45019.707384259258</v>
      </c>
      <c r="AG277" s="85">
        <v>45019</v>
      </c>
      <c r="AH277" s="81" t="s">
        <v>6104</v>
      </c>
      <c r="AI277" s="77" t="b">
        <v>0</v>
      </c>
      <c r="AJ277" s="77"/>
      <c r="AK277" s="77"/>
      <c r="AL277" s="77"/>
      <c r="AM277" s="77"/>
      <c r="AN277" s="77"/>
      <c r="AO277" s="77"/>
      <c r="AP277" s="77"/>
      <c r="AQ277" s="77" t="s">
        <v>8042</v>
      </c>
      <c r="AR277" s="77"/>
      <c r="AS277" s="77"/>
      <c r="AT277" s="77"/>
      <c r="AU277" s="77"/>
      <c r="AV277" s="83" t="str">
        <f>HYPERLINK("https://pbs.twimg.com/media/FszgUGZXwAMn-tG.jpg")</f>
        <v>https://pbs.twimg.com/media/FszgUGZXwAMn-tG.jpg</v>
      </c>
      <c r="AW277" s="81" t="s">
        <v>9549</v>
      </c>
      <c r="AX277" s="81" t="s">
        <v>9549</v>
      </c>
      <c r="AY277" s="77"/>
      <c r="AZ277" s="81" t="s">
        <v>11359</v>
      </c>
      <c r="BA277" s="81" t="s">
        <v>11359</v>
      </c>
      <c r="BB277" s="81" t="s">
        <v>11359</v>
      </c>
      <c r="BC277" s="81" t="s">
        <v>9549</v>
      </c>
      <c r="BD277" s="77">
        <v>144326499</v>
      </c>
      <c r="BE277" s="77"/>
      <c r="BF277" s="77"/>
      <c r="BG277" s="77"/>
      <c r="BH277" s="77"/>
      <c r="BI277" s="77"/>
    </row>
    <row r="278" spans="1:61" x14ac:dyDescent="0.25">
      <c r="A278" s="62" t="s">
        <v>341</v>
      </c>
      <c r="B278" s="62" t="s">
        <v>341</v>
      </c>
      <c r="C278" s="63"/>
      <c r="D278" s="64"/>
      <c r="E278" s="65"/>
      <c r="F278" s="66"/>
      <c r="G278" s="63"/>
      <c r="H278" s="67"/>
      <c r="I278" s="68"/>
      <c r="J278" s="68"/>
      <c r="K278" s="32"/>
      <c r="L278" s="75">
        <v>278</v>
      </c>
      <c r="M278" s="75"/>
      <c r="N278" s="70"/>
      <c r="O278" s="77" t="s">
        <v>179</v>
      </c>
      <c r="P278" s="79">
        <v>45018.813136574077</v>
      </c>
      <c r="Q278" s="77" t="s">
        <v>1229</v>
      </c>
      <c r="R278" s="77">
        <v>0</v>
      </c>
      <c r="S278" s="77">
        <v>0</v>
      </c>
      <c r="T278" s="77">
        <v>0</v>
      </c>
      <c r="U278" s="77">
        <v>0</v>
      </c>
      <c r="V278" s="77">
        <v>43</v>
      </c>
      <c r="W278" s="81" t="s">
        <v>3112</v>
      </c>
      <c r="X278" s="83" t="str">
        <f>HYPERLINK("https://patriciamurphy.com.ar/ofertas/713/detail/")</f>
        <v>https://patriciamurphy.com.ar/ofertas/713/detail/</v>
      </c>
      <c r="Y278" s="77" t="s">
        <v>4231</v>
      </c>
      <c r="Z278" s="77"/>
      <c r="AA278" s="77" t="s">
        <v>4540</v>
      </c>
      <c r="AB278" s="77" t="s">
        <v>5794</v>
      </c>
      <c r="AC278" s="81" t="s">
        <v>5805</v>
      </c>
      <c r="AD278" s="77" t="s">
        <v>5850</v>
      </c>
      <c r="AE278" s="83" t="str">
        <f>HYPERLINK("https://twitter.com/pmurphy_ar/status/1642610579519991808")</f>
        <v>https://twitter.com/pmurphy_ar/status/1642610579519991808</v>
      </c>
      <c r="AF278" s="79">
        <v>45018.813136574077</v>
      </c>
      <c r="AG278" s="85">
        <v>45018</v>
      </c>
      <c r="AH278" s="81" t="s">
        <v>6105</v>
      </c>
      <c r="AI278" s="77" t="b">
        <v>0</v>
      </c>
      <c r="AJ278" s="77"/>
      <c r="AK278" s="77"/>
      <c r="AL278" s="77"/>
      <c r="AM278" s="77"/>
      <c r="AN278" s="77"/>
      <c r="AO278" s="77"/>
      <c r="AP278" s="77"/>
      <c r="AQ278" s="77" t="s">
        <v>8043</v>
      </c>
      <c r="AR278" s="77"/>
      <c r="AS278" s="77"/>
      <c r="AT278" s="77"/>
      <c r="AU278" s="77"/>
      <c r="AV278" s="83" t="str">
        <f>HYPERLINK("https://pbs.twimg.com/media/Fsu5iP6WAAAyaet.jpg")</f>
        <v>https://pbs.twimg.com/media/Fsu5iP6WAAAyaet.jpg</v>
      </c>
      <c r="AW278" s="81" t="s">
        <v>9550</v>
      </c>
      <c r="AX278" s="81" t="s">
        <v>9550</v>
      </c>
      <c r="AY278" s="77"/>
      <c r="AZ278" s="81" t="s">
        <v>11359</v>
      </c>
      <c r="BA278" s="81" t="s">
        <v>11359</v>
      </c>
      <c r="BB278" s="81" t="s">
        <v>11359</v>
      </c>
      <c r="BC278" s="81" t="s">
        <v>9550</v>
      </c>
      <c r="BD278" s="77">
        <v>144326499</v>
      </c>
      <c r="BE278" s="77"/>
      <c r="BF278" s="77"/>
      <c r="BG278" s="77"/>
      <c r="BH278" s="77"/>
      <c r="BI278" s="77"/>
    </row>
    <row r="279" spans="1:61" x14ac:dyDescent="0.25">
      <c r="A279" s="62" t="s">
        <v>341</v>
      </c>
      <c r="B279" s="62" t="s">
        <v>341</v>
      </c>
      <c r="C279" s="63"/>
      <c r="D279" s="64"/>
      <c r="E279" s="65"/>
      <c r="F279" s="66"/>
      <c r="G279" s="63"/>
      <c r="H279" s="67"/>
      <c r="I279" s="68"/>
      <c r="J279" s="68"/>
      <c r="K279" s="32"/>
      <c r="L279" s="75">
        <v>279</v>
      </c>
      <c r="M279" s="75"/>
      <c r="N279" s="70"/>
      <c r="O279" s="77" t="s">
        <v>179</v>
      </c>
      <c r="P279" s="79">
        <v>45018.627164351848</v>
      </c>
      <c r="Q279" s="77" t="s">
        <v>1230</v>
      </c>
      <c r="R279" s="77">
        <v>0</v>
      </c>
      <c r="S279" s="77">
        <v>0</v>
      </c>
      <c r="T279" s="77">
        <v>0</v>
      </c>
      <c r="U279" s="77">
        <v>0</v>
      </c>
      <c r="V279" s="77">
        <v>32</v>
      </c>
      <c r="W279" s="81" t="s">
        <v>3112</v>
      </c>
      <c r="X279" s="83" t="str">
        <f>HYPERLINK("https://patriciamurphy.com.ar/ofertas/713/detail/")</f>
        <v>https://patriciamurphy.com.ar/ofertas/713/detail/</v>
      </c>
      <c r="Y279" s="77" t="s">
        <v>4231</v>
      </c>
      <c r="Z279" s="77"/>
      <c r="AA279" s="77" t="s">
        <v>4541</v>
      </c>
      <c r="AB279" s="77" t="s">
        <v>5794</v>
      </c>
      <c r="AC279" s="81" t="s">
        <v>5823</v>
      </c>
      <c r="AD279" s="77" t="s">
        <v>5850</v>
      </c>
      <c r="AE279" s="83" t="str">
        <f>HYPERLINK("https://twitter.com/pmurphy_ar/status/1642543186609405953")</f>
        <v>https://twitter.com/pmurphy_ar/status/1642543186609405953</v>
      </c>
      <c r="AF279" s="79">
        <v>45018.627164351848</v>
      </c>
      <c r="AG279" s="85">
        <v>45018</v>
      </c>
      <c r="AH279" s="81" t="s">
        <v>6106</v>
      </c>
      <c r="AI279" s="77" t="b">
        <v>0</v>
      </c>
      <c r="AJ279" s="77"/>
      <c r="AK279" s="77"/>
      <c r="AL279" s="77"/>
      <c r="AM279" s="77"/>
      <c r="AN279" s="77"/>
      <c r="AO279" s="77"/>
      <c r="AP279" s="77"/>
      <c r="AQ279" s="77" t="s">
        <v>8044</v>
      </c>
      <c r="AR279" s="77"/>
      <c r="AS279" s="77"/>
      <c r="AT279" s="77"/>
      <c r="AU279" s="77"/>
      <c r="AV279" s="83" t="str">
        <f>HYPERLINK("https://pbs.twimg.com/media/Fst8UchXoAEolX_.jpg")</f>
        <v>https://pbs.twimg.com/media/Fst8UchXoAEolX_.jpg</v>
      </c>
      <c r="AW279" s="81" t="s">
        <v>9551</v>
      </c>
      <c r="AX279" s="81" t="s">
        <v>9551</v>
      </c>
      <c r="AY279" s="77"/>
      <c r="AZ279" s="81" t="s">
        <v>11359</v>
      </c>
      <c r="BA279" s="81" t="s">
        <v>11359</v>
      </c>
      <c r="BB279" s="81" t="s">
        <v>11359</v>
      </c>
      <c r="BC279" s="81" t="s">
        <v>9551</v>
      </c>
      <c r="BD279" s="77">
        <v>144326499</v>
      </c>
      <c r="BE279" s="77"/>
      <c r="BF279" s="77"/>
      <c r="BG279" s="77"/>
      <c r="BH279" s="77"/>
      <c r="BI279" s="77"/>
    </row>
    <row r="280" spans="1:61" x14ac:dyDescent="0.25">
      <c r="A280" s="62" t="s">
        <v>341</v>
      </c>
      <c r="B280" s="62" t="s">
        <v>341</v>
      </c>
      <c r="C280" s="63"/>
      <c r="D280" s="64"/>
      <c r="E280" s="65"/>
      <c r="F280" s="66"/>
      <c r="G280" s="63"/>
      <c r="H280" s="67"/>
      <c r="I280" s="68"/>
      <c r="J280" s="68"/>
      <c r="K280" s="32"/>
      <c r="L280" s="75">
        <v>280</v>
      </c>
      <c r="M280" s="75"/>
      <c r="N280" s="70"/>
      <c r="O280" s="77" t="s">
        <v>179</v>
      </c>
      <c r="P280" s="79">
        <v>45017.641041666669</v>
      </c>
      <c r="Q280" s="77" t="s">
        <v>1231</v>
      </c>
      <c r="R280" s="77">
        <v>0</v>
      </c>
      <c r="S280" s="77">
        <v>0</v>
      </c>
      <c r="T280" s="77">
        <v>0</v>
      </c>
      <c r="U280" s="77">
        <v>0</v>
      </c>
      <c r="V280" s="77">
        <v>17</v>
      </c>
      <c r="W280" s="81" t="s">
        <v>3114</v>
      </c>
      <c r="X280" s="83" t="str">
        <f>HYPERLINK("https://patriciamurphy.com.ar/ofertas/635/detail/")</f>
        <v>https://patriciamurphy.com.ar/ofertas/635/detail/</v>
      </c>
      <c r="Y280" s="77" t="s">
        <v>4231</v>
      </c>
      <c r="Z280" s="77"/>
      <c r="AA280" s="77" t="s">
        <v>4542</v>
      </c>
      <c r="AB280" s="77" t="s">
        <v>5794</v>
      </c>
      <c r="AC280" s="81" t="s">
        <v>5823</v>
      </c>
      <c r="AD280" s="77" t="s">
        <v>5850</v>
      </c>
      <c r="AE280" s="83" t="str">
        <f>HYPERLINK("https://twitter.com/pmurphy_ar/status/1642185830419648513")</f>
        <v>https://twitter.com/pmurphy_ar/status/1642185830419648513</v>
      </c>
      <c r="AF280" s="79">
        <v>45017.641041666669</v>
      </c>
      <c r="AG280" s="85">
        <v>45017</v>
      </c>
      <c r="AH280" s="81" t="s">
        <v>6107</v>
      </c>
      <c r="AI280" s="77" t="b">
        <v>0</v>
      </c>
      <c r="AJ280" s="77"/>
      <c r="AK280" s="77"/>
      <c r="AL280" s="77"/>
      <c r="AM280" s="77"/>
      <c r="AN280" s="77"/>
      <c r="AO280" s="77"/>
      <c r="AP280" s="77"/>
      <c r="AQ280" s="77" t="s">
        <v>8045</v>
      </c>
      <c r="AR280" s="77"/>
      <c r="AS280" s="77"/>
      <c r="AT280" s="77"/>
      <c r="AU280" s="77"/>
      <c r="AV280" s="83" t="str">
        <f>HYPERLINK("https://pbs.twimg.com/media/Fso3T2nXgAQQHRb.png")</f>
        <v>https://pbs.twimg.com/media/Fso3T2nXgAQQHRb.png</v>
      </c>
      <c r="AW280" s="81" t="s">
        <v>9552</v>
      </c>
      <c r="AX280" s="81" t="s">
        <v>9552</v>
      </c>
      <c r="AY280" s="77"/>
      <c r="AZ280" s="81" t="s">
        <v>11359</v>
      </c>
      <c r="BA280" s="81" t="s">
        <v>11359</v>
      </c>
      <c r="BB280" s="81" t="s">
        <v>11359</v>
      </c>
      <c r="BC280" s="81" t="s">
        <v>9552</v>
      </c>
      <c r="BD280" s="77">
        <v>144326499</v>
      </c>
      <c r="BE280" s="77"/>
      <c r="BF280" s="77"/>
      <c r="BG280" s="77"/>
      <c r="BH280" s="77"/>
      <c r="BI280" s="77"/>
    </row>
    <row r="281" spans="1:61" x14ac:dyDescent="0.25">
      <c r="A281" s="62" t="s">
        <v>341</v>
      </c>
      <c r="B281" s="62" t="s">
        <v>341</v>
      </c>
      <c r="C281" s="63"/>
      <c r="D281" s="64"/>
      <c r="E281" s="65"/>
      <c r="F281" s="66"/>
      <c r="G281" s="63"/>
      <c r="H281" s="67"/>
      <c r="I281" s="68"/>
      <c r="J281" s="68"/>
      <c r="K281" s="32"/>
      <c r="L281" s="75">
        <v>281</v>
      </c>
      <c r="M281" s="75"/>
      <c r="N281" s="70"/>
      <c r="O281" s="77" t="s">
        <v>179</v>
      </c>
      <c r="P281" s="79">
        <v>45017.637557870374</v>
      </c>
      <c r="Q281" s="77" t="s">
        <v>1232</v>
      </c>
      <c r="R281" s="77">
        <v>0</v>
      </c>
      <c r="S281" s="77">
        <v>0</v>
      </c>
      <c r="T281" s="77">
        <v>0</v>
      </c>
      <c r="U281" s="77">
        <v>0</v>
      </c>
      <c r="V281" s="77">
        <v>22</v>
      </c>
      <c r="W281" s="81" t="s">
        <v>3111</v>
      </c>
      <c r="X281" s="83" t="str">
        <f>HYPERLINK("https://patriciamurphy.com.ar/ofertas/636/detail/")</f>
        <v>https://patriciamurphy.com.ar/ofertas/636/detail/</v>
      </c>
      <c r="Y281" s="77" t="s">
        <v>4231</v>
      </c>
      <c r="Z281" s="77"/>
      <c r="AA281" s="77" t="s">
        <v>4543</v>
      </c>
      <c r="AB281" s="77" t="s">
        <v>5794</v>
      </c>
      <c r="AC281" s="81" t="s">
        <v>5823</v>
      </c>
      <c r="AD281" s="77" t="s">
        <v>5850</v>
      </c>
      <c r="AE281" s="83" t="str">
        <f>HYPERLINK("https://twitter.com/pmurphy_ar/status/1642184565782355974")</f>
        <v>https://twitter.com/pmurphy_ar/status/1642184565782355974</v>
      </c>
      <c r="AF281" s="79">
        <v>45017.637557870374</v>
      </c>
      <c r="AG281" s="85">
        <v>45017</v>
      </c>
      <c r="AH281" s="81" t="s">
        <v>6108</v>
      </c>
      <c r="AI281" s="77" t="b">
        <v>0</v>
      </c>
      <c r="AJ281" s="77"/>
      <c r="AK281" s="77"/>
      <c r="AL281" s="77"/>
      <c r="AM281" s="77"/>
      <c r="AN281" s="77"/>
      <c r="AO281" s="77"/>
      <c r="AP281" s="77"/>
      <c r="AQ281" s="77" t="s">
        <v>8046</v>
      </c>
      <c r="AR281" s="77"/>
      <c r="AS281" s="77"/>
      <c r="AT281" s="77"/>
      <c r="AU281" s="77"/>
      <c r="AV281" s="83" t="str">
        <f>HYPERLINK("https://pbs.twimg.com/media/Fso2KQPXgAEStMA.png")</f>
        <v>https://pbs.twimg.com/media/Fso2KQPXgAEStMA.png</v>
      </c>
      <c r="AW281" s="81" t="s">
        <v>9553</v>
      </c>
      <c r="AX281" s="81" t="s">
        <v>9553</v>
      </c>
      <c r="AY281" s="77"/>
      <c r="AZ281" s="81" t="s">
        <v>11359</v>
      </c>
      <c r="BA281" s="81" t="s">
        <v>11359</v>
      </c>
      <c r="BB281" s="81" t="s">
        <v>11359</v>
      </c>
      <c r="BC281" s="81" t="s">
        <v>9553</v>
      </c>
      <c r="BD281" s="77">
        <v>144326499</v>
      </c>
      <c r="BE281" s="77"/>
      <c r="BF281" s="77"/>
      <c r="BG281" s="77"/>
      <c r="BH281" s="77"/>
      <c r="BI281" s="77"/>
    </row>
    <row r="282" spans="1:61" x14ac:dyDescent="0.25">
      <c r="A282" s="62" t="s">
        <v>341</v>
      </c>
      <c r="B282" s="62" t="s">
        <v>341</v>
      </c>
      <c r="C282" s="63"/>
      <c r="D282" s="64"/>
      <c r="E282" s="65"/>
      <c r="F282" s="66"/>
      <c r="G282" s="63"/>
      <c r="H282" s="67"/>
      <c r="I282" s="68"/>
      <c r="J282" s="68"/>
      <c r="K282" s="32"/>
      <c r="L282" s="75">
        <v>282</v>
      </c>
      <c r="M282" s="75"/>
      <c r="N282" s="70"/>
      <c r="O282" s="77" t="s">
        <v>179</v>
      </c>
      <c r="P282" s="79">
        <v>45017.634074074071</v>
      </c>
      <c r="Q282" s="77" t="s">
        <v>1233</v>
      </c>
      <c r="R282" s="77">
        <v>0</v>
      </c>
      <c r="S282" s="77">
        <v>0</v>
      </c>
      <c r="T282" s="77">
        <v>0</v>
      </c>
      <c r="U282" s="77">
        <v>0</v>
      </c>
      <c r="V282" s="77">
        <v>58</v>
      </c>
      <c r="W282" s="81" t="s">
        <v>3113</v>
      </c>
      <c r="X282" s="83" t="str">
        <f>HYPERLINK("https://lnkd.in/dqn8XbC7")</f>
        <v>https://lnkd.in/dqn8XbC7</v>
      </c>
      <c r="Y282" s="77" t="s">
        <v>4221</v>
      </c>
      <c r="Z282" s="77"/>
      <c r="AA282" s="77" t="s">
        <v>4544</v>
      </c>
      <c r="AB282" s="77" t="s">
        <v>5794</v>
      </c>
      <c r="AC282" s="81" t="s">
        <v>5823</v>
      </c>
      <c r="AD282" s="77" t="s">
        <v>5850</v>
      </c>
      <c r="AE282" s="83" t="str">
        <f>HYPERLINK("https://twitter.com/pmurphy_ar/status/1642183305058500608")</f>
        <v>https://twitter.com/pmurphy_ar/status/1642183305058500608</v>
      </c>
      <c r="AF282" s="79">
        <v>45017.634074074071</v>
      </c>
      <c r="AG282" s="85">
        <v>45017</v>
      </c>
      <c r="AH282" s="81" t="s">
        <v>6109</v>
      </c>
      <c r="AI282" s="77" t="b">
        <v>0</v>
      </c>
      <c r="AJ282" s="77"/>
      <c r="AK282" s="77"/>
      <c r="AL282" s="77"/>
      <c r="AM282" s="77"/>
      <c r="AN282" s="77"/>
      <c r="AO282" s="77"/>
      <c r="AP282" s="77"/>
      <c r="AQ282" s="77" t="s">
        <v>8047</v>
      </c>
      <c r="AR282" s="77"/>
      <c r="AS282" s="77"/>
      <c r="AT282" s="77"/>
      <c r="AU282" s="77"/>
      <c r="AV282" s="83" t="str">
        <f>HYPERLINK("https://pbs.twimg.com/media/Fso1AkWWcAEApOa.jpg")</f>
        <v>https://pbs.twimg.com/media/Fso1AkWWcAEApOa.jpg</v>
      </c>
      <c r="AW282" s="81" t="s">
        <v>9554</v>
      </c>
      <c r="AX282" s="81" t="s">
        <v>9554</v>
      </c>
      <c r="AY282" s="77"/>
      <c r="AZ282" s="81" t="s">
        <v>11359</v>
      </c>
      <c r="BA282" s="81" t="s">
        <v>11359</v>
      </c>
      <c r="BB282" s="81" t="s">
        <v>11359</v>
      </c>
      <c r="BC282" s="81" t="s">
        <v>9554</v>
      </c>
      <c r="BD282" s="77">
        <v>144326499</v>
      </c>
      <c r="BE282" s="77"/>
      <c r="BF282" s="77"/>
      <c r="BG282" s="77"/>
      <c r="BH282" s="77"/>
      <c r="BI282" s="77"/>
    </row>
    <row r="283" spans="1:61" x14ac:dyDescent="0.25">
      <c r="A283" s="62" t="s">
        <v>341</v>
      </c>
      <c r="B283" s="62" t="s">
        <v>341</v>
      </c>
      <c r="C283" s="63"/>
      <c r="D283" s="64"/>
      <c r="E283" s="65"/>
      <c r="F283" s="66"/>
      <c r="G283" s="63"/>
      <c r="H283" s="67"/>
      <c r="I283" s="68"/>
      <c r="J283" s="68"/>
      <c r="K283" s="32"/>
      <c r="L283" s="75">
        <v>283</v>
      </c>
      <c r="M283" s="75"/>
      <c r="N283" s="70"/>
      <c r="O283" s="77" t="s">
        <v>179</v>
      </c>
      <c r="P283" s="79">
        <v>45016.884085648147</v>
      </c>
      <c r="Q283" s="77" t="s">
        <v>1234</v>
      </c>
      <c r="R283" s="77">
        <v>0</v>
      </c>
      <c r="S283" s="77">
        <v>0</v>
      </c>
      <c r="T283" s="77">
        <v>0</v>
      </c>
      <c r="U283" s="77">
        <v>0</v>
      </c>
      <c r="V283" s="77">
        <v>21</v>
      </c>
      <c r="W283" s="81" t="s">
        <v>3111</v>
      </c>
      <c r="X283" s="83" t="str">
        <f>HYPERLINK("https://patriciamurphy.com.ar/ofertas/636/detail/")</f>
        <v>https://patriciamurphy.com.ar/ofertas/636/detail/</v>
      </c>
      <c r="Y283" s="77" t="s">
        <v>4231</v>
      </c>
      <c r="Z283" s="77"/>
      <c r="AA283" s="77" t="s">
        <v>4545</v>
      </c>
      <c r="AB283" s="77" t="s">
        <v>5794</v>
      </c>
      <c r="AC283" s="81" t="s">
        <v>5823</v>
      </c>
      <c r="AD283" s="77" t="s">
        <v>5850</v>
      </c>
      <c r="AE283" s="83" t="str">
        <f>HYPERLINK("https://twitter.com/pmurphy_ar/status/1641911516839440386")</f>
        <v>https://twitter.com/pmurphy_ar/status/1641911516839440386</v>
      </c>
      <c r="AF283" s="79">
        <v>45016.884085648147</v>
      </c>
      <c r="AG283" s="85">
        <v>45016</v>
      </c>
      <c r="AH283" s="81" t="s">
        <v>6110</v>
      </c>
      <c r="AI283" s="77" t="b">
        <v>0</v>
      </c>
      <c r="AJ283" s="77"/>
      <c r="AK283" s="77"/>
      <c r="AL283" s="77"/>
      <c r="AM283" s="77"/>
      <c r="AN283" s="77"/>
      <c r="AO283" s="77"/>
      <c r="AP283" s="77"/>
      <c r="AQ283" s="77" t="s">
        <v>8048</v>
      </c>
      <c r="AR283" s="77"/>
      <c r="AS283" s="77"/>
      <c r="AT283" s="77"/>
      <c r="AU283" s="77"/>
      <c r="AV283" s="83" t="str">
        <f>HYPERLINK("https://pbs.twimg.com/media/Fsk90vZXsAETGAZ.png")</f>
        <v>https://pbs.twimg.com/media/Fsk90vZXsAETGAZ.png</v>
      </c>
      <c r="AW283" s="81" t="s">
        <v>9555</v>
      </c>
      <c r="AX283" s="81" t="s">
        <v>9555</v>
      </c>
      <c r="AY283" s="77"/>
      <c r="AZ283" s="81" t="s">
        <v>11359</v>
      </c>
      <c r="BA283" s="81" t="s">
        <v>11359</v>
      </c>
      <c r="BB283" s="81" t="s">
        <v>11359</v>
      </c>
      <c r="BC283" s="81" t="s">
        <v>9555</v>
      </c>
      <c r="BD283" s="77">
        <v>144326499</v>
      </c>
      <c r="BE283" s="77"/>
      <c r="BF283" s="77"/>
      <c r="BG283" s="77"/>
      <c r="BH283" s="77"/>
      <c r="BI283" s="77"/>
    </row>
    <row r="284" spans="1:61" x14ac:dyDescent="0.25">
      <c r="A284" s="62" t="s">
        <v>341</v>
      </c>
      <c r="B284" s="62" t="s">
        <v>341</v>
      </c>
      <c r="C284" s="63"/>
      <c r="D284" s="64"/>
      <c r="E284" s="65"/>
      <c r="F284" s="66"/>
      <c r="G284" s="63"/>
      <c r="H284" s="67"/>
      <c r="I284" s="68"/>
      <c r="J284" s="68"/>
      <c r="K284" s="32"/>
      <c r="L284" s="75">
        <v>284</v>
      </c>
      <c r="M284" s="75"/>
      <c r="N284" s="70"/>
      <c r="O284" s="77" t="s">
        <v>179</v>
      </c>
      <c r="P284" s="79">
        <v>45015.901435185187</v>
      </c>
      <c r="Q284" s="77" t="s">
        <v>1235</v>
      </c>
      <c r="R284" s="77">
        <v>0</v>
      </c>
      <c r="S284" s="77">
        <v>0</v>
      </c>
      <c r="T284" s="77">
        <v>0</v>
      </c>
      <c r="U284" s="77">
        <v>0</v>
      </c>
      <c r="V284" s="77">
        <v>68</v>
      </c>
      <c r="W284" s="81" t="s">
        <v>3113</v>
      </c>
      <c r="X284" s="83" t="str">
        <f>HYPERLINK("https://patriciamurphy.com.ar/ofertas/706/detail/")</f>
        <v>https://patriciamurphy.com.ar/ofertas/706/detail/</v>
      </c>
      <c r="Y284" s="77" t="s">
        <v>4231</v>
      </c>
      <c r="Z284" s="77"/>
      <c r="AA284" s="77" t="s">
        <v>4546</v>
      </c>
      <c r="AB284" s="77" t="s">
        <v>5794</v>
      </c>
      <c r="AC284" s="81" t="s">
        <v>5823</v>
      </c>
      <c r="AD284" s="77" t="s">
        <v>5850</v>
      </c>
      <c r="AE284" s="83" t="str">
        <f>HYPERLINK("https://twitter.com/pmurphy_ar/status/1641555415996456961")</f>
        <v>https://twitter.com/pmurphy_ar/status/1641555415996456961</v>
      </c>
      <c r="AF284" s="79">
        <v>45015.901435185187</v>
      </c>
      <c r="AG284" s="85">
        <v>45015</v>
      </c>
      <c r="AH284" s="81" t="s">
        <v>6111</v>
      </c>
      <c r="AI284" s="77" t="b">
        <v>0</v>
      </c>
      <c r="AJ284" s="77"/>
      <c r="AK284" s="77"/>
      <c r="AL284" s="77"/>
      <c r="AM284" s="77"/>
      <c r="AN284" s="77"/>
      <c r="AO284" s="77"/>
      <c r="AP284" s="77"/>
      <c r="AQ284" s="77" t="s">
        <v>8049</v>
      </c>
      <c r="AR284" s="77"/>
      <c r="AS284" s="77"/>
      <c r="AT284" s="77"/>
      <c r="AU284" s="77"/>
      <c r="AV284" s="83" t="str">
        <f>HYPERLINK("https://pbs.twimg.com/media/Fsf582MXgAMU--e.jpg")</f>
        <v>https://pbs.twimg.com/media/Fsf582MXgAMU--e.jpg</v>
      </c>
      <c r="AW284" s="81" t="s">
        <v>9556</v>
      </c>
      <c r="AX284" s="81" t="s">
        <v>9556</v>
      </c>
      <c r="AY284" s="77"/>
      <c r="AZ284" s="81" t="s">
        <v>11359</v>
      </c>
      <c r="BA284" s="81" t="s">
        <v>11359</v>
      </c>
      <c r="BB284" s="81" t="s">
        <v>11359</v>
      </c>
      <c r="BC284" s="81" t="s">
        <v>9556</v>
      </c>
      <c r="BD284" s="77">
        <v>144326499</v>
      </c>
      <c r="BE284" s="77"/>
      <c r="BF284" s="77"/>
      <c r="BG284" s="77"/>
      <c r="BH284" s="77"/>
      <c r="BI284" s="77"/>
    </row>
    <row r="285" spans="1:61" x14ac:dyDescent="0.25">
      <c r="A285" s="62" t="s">
        <v>341</v>
      </c>
      <c r="B285" s="62" t="s">
        <v>341</v>
      </c>
      <c r="C285" s="63"/>
      <c r="D285" s="64"/>
      <c r="E285" s="65"/>
      <c r="F285" s="66"/>
      <c r="G285" s="63"/>
      <c r="H285" s="67"/>
      <c r="I285" s="68"/>
      <c r="J285" s="68"/>
      <c r="K285" s="32"/>
      <c r="L285" s="75">
        <v>285</v>
      </c>
      <c r="M285" s="75"/>
      <c r="N285" s="70"/>
      <c r="O285" s="77" t="s">
        <v>179</v>
      </c>
      <c r="P285" s="79">
        <v>44952.630613425928</v>
      </c>
      <c r="Q285" s="77" t="s">
        <v>1236</v>
      </c>
      <c r="R285" s="77">
        <v>0</v>
      </c>
      <c r="S285" s="77">
        <v>0</v>
      </c>
      <c r="T285" s="77">
        <v>0</v>
      </c>
      <c r="U285" s="77">
        <v>0</v>
      </c>
      <c r="V285" s="77">
        <v>34</v>
      </c>
      <c r="W285" s="81" t="s">
        <v>3111</v>
      </c>
      <c r="X285" s="83" t="str">
        <f>HYPERLINK("https://bit.ly/3aEOhVH")</f>
        <v>https://bit.ly/3aEOhVH</v>
      </c>
      <c r="Y285" s="77" t="s">
        <v>4213</v>
      </c>
      <c r="Z285" s="77"/>
      <c r="AA285" s="77" t="s">
        <v>4547</v>
      </c>
      <c r="AB285" s="77" t="s">
        <v>5794</v>
      </c>
      <c r="AC285" s="81" t="s">
        <v>5823</v>
      </c>
      <c r="AD285" s="77" t="s">
        <v>5850</v>
      </c>
      <c r="AE285" s="83" t="str">
        <f>HYPERLINK("https://twitter.com/pmurphy_ar/status/1618626836308656128")</f>
        <v>https://twitter.com/pmurphy_ar/status/1618626836308656128</v>
      </c>
      <c r="AF285" s="79">
        <v>44952.630613425928</v>
      </c>
      <c r="AG285" s="85">
        <v>44952</v>
      </c>
      <c r="AH285" s="81" t="s">
        <v>6112</v>
      </c>
      <c r="AI285" s="77" t="b">
        <v>0</v>
      </c>
      <c r="AJ285" s="77"/>
      <c r="AK285" s="77"/>
      <c r="AL285" s="77"/>
      <c r="AM285" s="77"/>
      <c r="AN285" s="77"/>
      <c r="AO285" s="77"/>
      <c r="AP285" s="77"/>
      <c r="AQ285" s="77" t="s">
        <v>8050</v>
      </c>
      <c r="AR285" s="77"/>
      <c r="AS285" s="77"/>
      <c r="AT285" s="77"/>
      <c r="AU285" s="77"/>
      <c r="AV285" s="83" t="str">
        <f>HYPERLINK("https://pbs.twimg.com/media/FnaEh9eWAAEtM-x.png")</f>
        <v>https://pbs.twimg.com/media/FnaEh9eWAAEtM-x.png</v>
      </c>
      <c r="AW285" s="81" t="s">
        <v>9557</v>
      </c>
      <c r="AX285" s="81" t="s">
        <v>9557</v>
      </c>
      <c r="AY285" s="77"/>
      <c r="AZ285" s="81" t="s">
        <v>11359</v>
      </c>
      <c r="BA285" s="81" t="s">
        <v>11359</v>
      </c>
      <c r="BB285" s="81" t="s">
        <v>11359</v>
      </c>
      <c r="BC285" s="81" t="s">
        <v>9557</v>
      </c>
      <c r="BD285" s="77">
        <v>144326499</v>
      </c>
      <c r="BE285" s="77"/>
      <c r="BF285" s="77"/>
      <c r="BG285" s="77"/>
      <c r="BH285" s="77"/>
      <c r="BI285" s="77"/>
    </row>
    <row r="286" spans="1:61" x14ac:dyDescent="0.25">
      <c r="A286" s="62" t="s">
        <v>341</v>
      </c>
      <c r="B286" s="62" t="s">
        <v>341</v>
      </c>
      <c r="C286" s="63"/>
      <c r="D286" s="64"/>
      <c r="E286" s="65"/>
      <c r="F286" s="66"/>
      <c r="G286" s="63"/>
      <c r="H286" s="67"/>
      <c r="I286" s="68"/>
      <c r="J286" s="68"/>
      <c r="K286" s="32"/>
      <c r="L286" s="75">
        <v>286</v>
      </c>
      <c r="M286" s="75"/>
      <c r="N286" s="70"/>
      <c r="O286" s="77" t="s">
        <v>179</v>
      </c>
      <c r="P286" s="79">
        <v>45035.981319444443</v>
      </c>
      <c r="Q286" s="77" t="s">
        <v>1237</v>
      </c>
      <c r="R286" s="77">
        <v>0</v>
      </c>
      <c r="S286" s="77">
        <v>0</v>
      </c>
      <c r="T286" s="77">
        <v>0</v>
      </c>
      <c r="U286" s="77">
        <v>0</v>
      </c>
      <c r="V286" s="77">
        <v>68</v>
      </c>
      <c r="W286" s="81" t="s">
        <v>3113</v>
      </c>
      <c r="X286" s="83" t="str">
        <f>HYPERLINK("https://patriciamurphy.com.ar/ofertas/706/detail/")</f>
        <v>https://patriciamurphy.com.ar/ofertas/706/detail/</v>
      </c>
      <c r="Y286" s="77" t="s">
        <v>4231</v>
      </c>
      <c r="Z286" s="77"/>
      <c r="AA286" s="77" t="s">
        <v>4548</v>
      </c>
      <c r="AB286" s="77" t="s">
        <v>5794</v>
      </c>
      <c r="AC286" s="81" t="s">
        <v>5823</v>
      </c>
      <c r="AD286" s="77" t="s">
        <v>5850</v>
      </c>
      <c r="AE286" s="83" t="str">
        <f>HYPERLINK("https://twitter.com/pmurphy_ar/status/1648832121690116099")</f>
        <v>https://twitter.com/pmurphy_ar/status/1648832121690116099</v>
      </c>
      <c r="AF286" s="79">
        <v>45035.981319444443</v>
      </c>
      <c r="AG286" s="85">
        <v>45035</v>
      </c>
      <c r="AH286" s="81" t="s">
        <v>6113</v>
      </c>
      <c r="AI286" s="77" t="b">
        <v>0</v>
      </c>
      <c r="AJ286" s="77"/>
      <c r="AK286" s="77"/>
      <c r="AL286" s="77"/>
      <c r="AM286" s="77"/>
      <c r="AN286" s="77"/>
      <c r="AO286" s="77"/>
      <c r="AP286" s="77"/>
      <c r="AQ286" s="77" t="s">
        <v>8051</v>
      </c>
      <c r="AR286" s="77"/>
      <c r="AS286" s="77"/>
      <c r="AT286" s="77"/>
      <c r="AU286" s="77"/>
      <c r="AV286" s="83" t="str">
        <f>HYPERLINK("https://pbs.twimg.com/media/FuHUE2VXoAYQh3g.jpg")</f>
        <v>https://pbs.twimg.com/media/FuHUE2VXoAYQh3g.jpg</v>
      </c>
      <c r="AW286" s="81" t="s">
        <v>9558</v>
      </c>
      <c r="AX286" s="81" t="s">
        <v>9558</v>
      </c>
      <c r="AY286" s="77"/>
      <c r="AZ286" s="81" t="s">
        <v>11359</v>
      </c>
      <c r="BA286" s="81" t="s">
        <v>11359</v>
      </c>
      <c r="BB286" s="81" t="s">
        <v>11359</v>
      </c>
      <c r="BC286" s="81" t="s">
        <v>9558</v>
      </c>
      <c r="BD286" s="77">
        <v>144326499</v>
      </c>
      <c r="BE286" s="77"/>
      <c r="BF286" s="77"/>
      <c r="BG286" s="77"/>
      <c r="BH286" s="77"/>
      <c r="BI286" s="77"/>
    </row>
    <row r="287" spans="1:61" x14ac:dyDescent="0.25">
      <c r="A287" s="62" t="s">
        <v>341</v>
      </c>
      <c r="B287" s="62" t="s">
        <v>341</v>
      </c>
      <c r="C287" s="63"/>
      <c r="D287" s="64"/>
      <c r="E287" s="65"/>
      <c r="F287" s="66"/>
      <c r="G287" s="63"/>
      <c r="H287" s="67"/>
      <c r="I287" s="68"/>
      <c r="J287" s="68"/>
      <c r="K287" s="32"/>
      <c r="L287" s="75">
        <v>287</v>
      </c>
      <c r="M287" s="75"/>
      <c r="N287" s="70"/>
      <c r="O287" s="77" t="s">
        <v>179</v>
      </c>
      <c r="P287" s="79">
        <v>44995.891018518516</v>
      </c>
      <c r="Q287" s="77" t="s">
        <v>1238</v>
      </c>
      <c r="R287" s="77">
        <v>0</v>
      </c>
      <c r="S287" s="77">
        <v>0</v>
      </c>
      <c r="T287" s="77">
        <v>0</v>
      </c>
      <c r="U287" s="77">
        <v>0</v>
      </c>
      <c r="V287" s="77">
        <v>27</v>
      </c>
      <c r="W287" s="81" t="s">
        <v>3111</v>
      </c>
      <c r="X287" s="83" t="str">
        <f>HYPERLINK("https://patriciamurphy.com.ar/ofertas/636/detail/")</f>
        <v>https://patriciamurphy.com.ar/ofertas/636/detail/</v>
      </c>
      <c r="Y287" s="77" t="s">
        <v>4231</v>
      </c>
      <c r="Z287" s="77"/>
      <c r="AA287" s="77" t="s">
        <v>4549</v>
      </c>
      <c r="AB287" s="77" t="s">
        <v>5794</v>
      </c>
      <c r="AC287" s="81" t="s">
        <v>5823</v>
      </c>
      <c r="AD287" s="77" t="s">
        <v>5850</v>
      </c>
      <c r="AE287" s="83" t="str">
        <f>HYPERLINK("https://twitter.com/pmurphy_ar/status/1634303884922331136")</f>
        <v>https://twitter.com/pmurphy_ar/status/1634303884922331136</v>
      </c>
      <c r="AF287" s="79">
        <v>44995.891018518516</v>
      </c>
      <c r="AG287" s="85">
        <v>44995</v>
      </c>
      <c r="AH287" s="81" t="s">
        <v>6095</v>
      </c>
      <c r="AI287" s="77" t="b">
        <v>0</v>
      </c>
      <c r="AJ287" s="77"/>
      <c r="AK287" s="77"/>
      <c r="AL287" s="77"/>
      <c r="AM287" s="77"/>
      <c r="AN287" s="77"/>
      <c r="AO287" s="77"/>
      <c r="AP287" s="77"/>
      <c r="AQ287" s="77" t="s">
        <v>8052</v>
      </c>
      <c r="AR287" s="77"/>
      <c r="AS287" s="77"/>
      <c r="AT287" s="77"/>
      <c r="AU287" s="77"/>
      <c r="AV287" s="83" t="str">
        <f>HYPERLINK("https://pbs.twimg.com/media/Fq42uO3WAAU-j7c.png")</f>
        <v>https://pbs.twimg.com/media/Fq42uO3WAAU-j7c.png</v>
      </c>
      <c r="AW287" s="81" t="s">
        <v>9559</v>
      </c>
      <c r="AX287" s="81" t="s">
        <v>9559</v>
      </c>
      <c r="AY287" s="77"/>
      <c r="AZ287" s="81" t="s">
        <v>11359</v>
      </c>
      <c r="BA287" s="81" t="s">
        <v>11359</v>
      </c>
      <c r="BB287" s="81" t="s">
        <v>11359</v>
      </c>
      <c r="BC287" s="81" t="s">
        <v>9559</v>
      </c>
      <c r="BD287" s="77">
        <v>144326499</v>
      </c>
      <c r="BE287" s="77"/>
      <c r="BF287" s="77"/>
      <c r="BG287" s="77"/>
      <c r="BH287" s="77"/>
      <c r="BI287" s="77"/>
    </row>
    <row r="288" spans="1:61" x14ac:dyDescent="0.25">
      <c r="A288" s="62" t="s">
        <v>342</v>
      </c>
      <c r="B288" s="62" t="s">
        <v>342</v>
      </c>
      <c r="C288" s="63"/>
      <c r="D288" s="64"/>
      <c r="E288" s="65"/>
      <c r="F288" s="66"/>
      <c r="G288" s="63"/>
      <c r="H288" s="67"/>
      <c r="I288" s="68"/>
      <c r="J288" s="68"/>
      <c r="K288" s="32"/>
      <c r="L288" s="75">
        <v>288</v>
      </c>
      <c r="M288" s="75"/>
      <c r="N288" s="70"/>
      <c r="O288" s="77" t="s">
        <v>179</v>
      </c>
      <c r="P288" s="79">
        <v>44952.126388888886</v>
      </c>
      <c r="Q288" s="77" t="s">
        <v>1239</v>
      </c>
      <c r="R288" s="77">
        <v>0</v>
      </c>
      <c r="S288" s="77">
        <v>6</v>
      </c>
      <c r="T288" s="77">
        <v>0</v>
      </c>
      <c r="U288" s="77">
        <v>0</v>
      </c>
      <c r="V288" s="77">
        <v>714</v>
      </c>
      <c r="W288" s="81" t="s">
        <v>3115</v>
      </c>
      <c r="X288" s="77"/>
      <c r="Y288" s="77"/>
      <c r="Z288" s="77"/>
      <c r="AA288" s="77" t="s">
        <v>4550</v>
      </c>
      <c r="AB288" s="77" t="s">
        <v>5794</v>
      </c>
      <c r="AC288" s="81" t="s">
        <v>5801</v>
      </c>
      <c r="AD288" s="77" t="s">
        <v>5850</v>
      </c>
      <c r="AE288" s="83" t="str">
        <f>HYPERLINK("https://twitter.com/odylarios/status/1618444114567237632")</f>
        <v>https://twitter.com/odylarios/status/1618444114567237632</v>
      </c>
      <c r="AF288" s="79">
        <v>44952.126388888886</v>
      </c>
      <c r="AG288" s="85">
        <v>44952</v>
      </c>
      <c r="AH288" s="81" t="s">
        <v>6114</v>
      </c>
      <c r="AI288" s="77" t="b">
        <v>1</v>
      </c>
      <c r="AJ288" s="77"/>
      <c r="AK288" s="77"/>
      <c r="AL288" s="77"/>
      <c r="AM288" s="77"/>
      <c r="AN288" s="77"/>
      <c r="AO288" s="77"/>
      <c r="AP288" s="77"/>
      <c r="AQ288" s="77" t="s">
        <v>8053</v>
      </c>
      <c r="AR288" s="77"/>
      <c r="AS288" s="77"/>
      <c r="AT288" s="77"/>
      <c r="AU288" s="77"/>
      <c r="AV288" s="83" t="str">
        <f>HYPERLINK("https://pbs.twimg.com/media/FnXeWGpXoAEuMxv.jpg")</f>
        <v>https://pbs.twimg.com/media/FnXeWGpXoAEuMxv.jpg</v>
      </c>
      <c r="AW288" s="81" t="s">
        <v>9560</v>
      </c>
      <c r="AX288" s="81" t="s">
        <v>9560</v>
      </c>
      <c r="AY288" s="77"/>
      <c r="AZ288" s="81" t="s">
        <v>11359</v>
      </c>
      <c r="BA288" s="81" t="s">
        <v>11359</v>
      </c>
      <c r="BB288" s="81" t="s">
        <v>11359</v>
      </c>
      <c r="BC288" s="81" t="s">
        <v>9560</v>
      </c>
      <c r="BD288" s="77">
        <v>155422289</v>
      </c>
      <c r="BE288" s="77"/>
      <c r="BF288" s="77"/>
      <c r="BG288" s="77"/>
      <c r="BH288" s="77"/>
      <c r="BI288" s="77"/>
    </row>
    <row r="289" spans="1:61" x14ac:dyDescent="0.25">
      <c r="A289" s="62" t="s">
        <v>343</v>
      </c>
      <c r="B289" s="62" t="s">
        <v>343</v>
      </c>
      <c r="C289" s="63"/>
      <c r="D289" s="64"/>
      <c r="E289" s="65"/>
      <c r="F289" s="66"/>
      <c r="G289" s="63"/>
      <c r="H289" s="67"/>
      <c r="I289" s="68"/>
      <c r="J289" s="68"/>
      <c r="K289" s="32"/>
      <c r="L289" s="75">
        <v>289</v>
      </c>
      <c r="M289" s="75"/>
      <c r="N289" s="70"/>
      <c r="O289" s="77" t="s">
        <v>179</v>
      </c>
      <c r="P289" s="79">
        <v>44956.899756944447</v>
      </c>
      <c r="Q289" s="77" t="s">
        <v>1240</v>
      </c>
      <c r="R289" s="77">
        <v>0</v>
      </c>
      <c r="S289" s="77">
        <v>0</v>
      </c>
      <c r="T289" s="77">
        <v>0</v>
      </c>
      <c r="U289" s="77">
        <v>0</v>
      </c>
      <c r="V289" s="77">
        <v>192</v>
      </c>
      <c r="W289" s="81" t="s">
        <v>3116</v>
      </c>
      <c r="X289" s="77"/>
      <c r="Y289" s="77"/>
      <c r="Z289" s="77"/>
      <c r="AA289" s="77" t="s">
        <v>4551</v>
      </c>
      <c r="AB289" s="77" t="s">
        <v>5797</v>
      </c>
      <c r="AC289" s="81" t="s">
        <v>5805</v>
      </c>
      <c r="AD289" s="77" t="s">
        <v>5850</v>
      </c>
      <c r="AE289" s="83" t="str">
        <f>HYPERLINK("https://twitter.com/mactredxc/status/1620173922917568512")</f>
        <v>https://twitter.com/mactredxc/status/1620173922917568512</v>
      </c>
      <c r="AF289" s="79">
        <v>44956.899756944447</v>
      </c>
      <c r="AG289" s="85">
        <v>44956</v>
      </c>
      <c r="AH289" s="81" t="s">
        <v>6115</v>
      </c>
      <c r="AI289" s="77" t="b">
        <v>0</v>
      </c>
      <c r="AJ289" s="77"/>
      <c r="AK289" s="77"/>
      <c r="AL289" s="77"/>
      <c r="AM289" s="77"/>
      <c r="AN289" s="77"/>
      <c r="AO289" s="77"/>
      <c r="AP289" s="77"/>
      <c r="AQ289" s="77" t="s">
        <v>8054</v>
      </c>
      <c r="AR289" s="77"/>
      <c r="AS289" s="77"/>
      <c r="AT289" s="77"/>
      <c r="AU289" s="77"/>
      <c r="AV289" s="83" t="str">
        <f>HYPERLINK("https://pbs.twimg.com/media/FnwDFkXaMAA-7WX.jpg")</f>
        <v>https://pbs.twimg.com/media/FnwDFkXaMAA-7WX.jpg</v>
      </c>
      <c r="AW289" s="81" t="s">
        <v>9561</v>
      </c>
      <c r="AX289" s="81" t="s">
        <v>9561</v>
      </c>
      <c r="AY289" s="77"/>
      <c r="AZ289" s="81" t="s">
        <v>11359</v>
      </c>
      <c r="BA289" s="81" t="s">
        <v>11359</v>
      </c>
      <c r="BB289" s="81" t="s">
        <v>11359</v>
      </c>
      <c r="BC289" s="81" t="s">
        <v>9561</v>
      </c>
      <c r="BD289" s="81" t="s">
        <v>11463</v>
      </c>
      <c r="BE289" s="77"/>
      <c r="BF289" s="77"/>
      <c r="BG289" s="77"/>
      <c r="BH289" s="77"/>
      <c r="BI289" s="77"/>
    </row>
    <row r="290" spans="1:61" x14ac:dyDescent="0.25">
      <c r="A290" s="62" t="s">
        <v>344</v>
      </c>
      <c r="B290" s="62" t="s">
        <v>894</v>
      </c>
      <c r="C290" s="63"/>
      <c r="D290" s="64"/>
      <c r="E290" s="65"/>
      <c r="F290" s="66"/>
      <c r="G290" s="63"/>
      <c r="H290" s="67"/>
      <c r="I290" s="68"/>
      <c r="J290" s="68"/>
      <c r="K290" s="32"/>
      <c r="L290" s="75">
        <v>290</v>
      </c>
      <c r="M290" s="75"/>
      <c r="N290" s="70"/>
      <c r="O290" s="77" t="s">
        <v>967</v>
      </c>
      <c r="P290" s="79">
        <v>45065.070416666669</v>
      </c>
      <c r="Q290" s="77" t="s">
        <v>1241</v>
      </c>
      <c r="R290" s="77">
        <v>0</v>
      </c>
      <c r="S290" s="77">
        <v>0</v>
      </c>
      <c r="T290" s="77">
        <v>0</v>
      </c>
      <c r="U290" s="77">
        <v>0</v>
      </c>
      <c r="V290" s="77">
        <v>2</v>
      </c>
      <c r="W290" s="81" t="s">
        <v>3019</v>
      </c>
      <c r="X290" s="83" t="str">
        <f>HYPERLINK("https://tinyurl.com/4frsp62j")</f>
        <v>https://tinyurl.com/4frsp62j</v>
      </c>
      <c r="Y290" s="77" t="s">
        <v>4246</v>
      </c>
      <c r="Z290" s="77" t="s">
        <v>894</v>
      </c>
      <c r="AA290" s="77"/>
      <c r="AB290" s="77"/>
      <c r="AC290" s="81" t="s">
        <v>5805</v>
      </c>
      <c r="AD290" s="77" t="s">
        <v>5851</v>
      </c>
      <c r="AE290" s="83" t="str">
        <f>HYPERLINK("https://twitter.com/calltocall/status/1659373657997574144")</f>
        <v>https://twitter.com/calltocall/status/1659373657997574144</v>
      </c>
      <c r="AF290" s="79">
        <v>45065.070416666669</v>
      </c>
      <c r="AG290" s="85">
        <v>45065</v>
      </c>
      <c r="AH290" s="81" t="s">
        <v>6116</v>
      </c>
      <c r="AI290" s="77" t="b">
        <v>0</v>
      </c>
      <c r="AJ290" s="77"/>
      <c r="AK290" s="77"/>
      <c r="AL290" s="77"/>
      <c r="AM290" s="77"/>
      <c r="AN290" s="77"/>
      <c r="AO290" s="77"/>
      <c r="AP290" s="77"/>
      <c r="AQ290" s="77"/>
      <c r="AR290" s="77"/>
      <c r="AS290" s="77"/>
      <c r="AT290" s="77"/>
      <c r="AU290" s="77"/>
      <c r="AV290" s="83" t="str">
        <f>HYPERLINK("https://pbs.twimg.com/profile_images/1608221945056616453/OVdf9UhN_normal.jpg")</f>
        <v>https://pbs.twimg.com/profile_images/1608221945056616453/OVdf9UhN_normal.jpg</v>
      </c>
      <c r="AW290" s="81" t="s">
        <v>9562</v>
      </c>
      <c r="AX290" s="81" t="s">
        <v>9562</v>
      </c>
      <c r="AY290" s="77"/>
      <c r="AZ290" s="81" t="s">
        <v>11359</v>
      </c>
      <c r="BA290" s="81" t="s">
        <v>11359</v>
      </c>
      <c r="BB290" s="81" t="s">
        <v>11359</v>
      </c>
      <c r="BC290" s="81" t="s">
        <v>9562</v>
      </c>
      <c r="BD290" s="77">
        <v>48101376</v>
      </c>
      <c r="BE290" s="77"/>
      <c r="BF290" s="77"/>
      <c r="BG290" s="77"/>
      <c r="BH290" s="77"/>
      <c r="BI290" s="77"/>
    </row>
    <row r="291" spans="1:61" x14ac:dyDescent="0.25">
      <c r="A291" s="62" t="s">
        <v>345</v>
      </c>
      <c r="B291" s="62" t="s">
        <v>895</v>
      </c>
      <c r="C291" s="63"/>
      <c r="D291" s="64"/>
      <c r="E291" s="65"/>
      <c r="F291" s="66"/>
      <c r="G291" s="63"/>
      <c r="H291" s="67"/>
      <c r="I291" s="68"/>
      <c r="J291" s="68"/>
      <c r="K291" s="32"/>
      <c r="L291" s="75">
        <v>291</v>
      </c>
      <c r="M291" s="75"/>
      <c r="N291" s="70"/>
      <c r="O291" s="77" t="s">
        <v>967</v>
      </c>
      <c r="P291" s="79">
        <v>45113.018043981479</v>
      </c>
      <c r="Q291" s="77" t="s">
        <v>1242</v>
      </c>
      <c r="R291" s="77">
        <v>0</v>
      </c>
      <c r="S291" s="77">
        <v>3</v>
      </c>
      <c r="T291" s="77">
        <v>3</v>
      </c>
      <c r="U291" s="77">
        <v>0</v>
      </c>
      <c r="V291" s="77">
        <v>217</v>
      </c>
      <c r="W291" s="81" t="s">
        <v>3117</v>
      </c>
      <c r="X291" s="77"/>
      <c r="Y291" s="77"/>
      <c r="Z291" s="77" t="s">
        <v>4367</v>
      </c>
      <c r="AA291" s="77"/>
      <c r="AB291" s="77"/>
      <c r="AC291" s="81" t="s">
        <v>5801</v>
      </c>
      <c r="AD291" s="77" t="s">
        <v>5850</v>
      </c>
      <c r="AE291" s="83" t="str">
        <f>HYPERLINK("https://twitter.com/aosamit/status/1676749298195738626")</f>
        <v>https://twitter.com/aosamit/status/1676749298195738626</v>
      </c>
      <c r="AF291" s="79">
        <v>45113.018043981479</v>
      </c>
      <c r="AG291" s="85">
        <v>45113</v>
      </c>
      <c r="AH291" s="81" t="s">
        <v>6117</v>
      </c>
      <c r="AI291" s="77"/>
      <c r="AJ291" s="77"/>
      <c r="AK291" s="77"/>
      <c r="AL291" s="77"/>
      <c r="AM291" s="77"/>
      <c r="AN291" s="77"/>
      <c r="AO291" s="77"/>
      <c r="AP291" s="77"/>
      <c r="AQ291" s="77"/>
      <c r="AR291" s="77"/>
      <c r="AS291" s="77"/>
      <c r="AT291" s="77"/>
      <c r="AU291" s="77"/>
      <c r="AV291" s="83" t="str">
        <f>HYPERLINK("https://pbs.twimg.com/profile_images/1502032378713182249/q69ZkhaY_normal.jpg")</f>
        <v>https://pbs.twimg.com/profile_images/1502032378713182249/q69ZkhaY_normal.jpg</v>
      </c>
      <c r="AW291" s="81" t="s">
        <v>9563</v>
      </c>
      <c r="AX291" s="81" t="s">
        <v>9563</v>
      </c>
      <c r="AY291" s="77"/>
      <c r="AZ291" s="81" t="s">
        <v>11359</v>
      </c>
      <c r="BA291" s="81" t="s">
        <v>11359</v>
      </c>
      <c r="BB291" s="81" t="s">
        <v>11359</v>
      </c>
      <c r="BC291" s="81" t="s">
        <v>9563</v>
      </c>
      <c r="BD291" s="77">
        <v>302681844</v>
      </c>
      <c r="BE291" s="77"/>
      <c r="BF291" s="77"/>
      <c r="BG291" s="77"/>
      <c r="BH291" s="77"/>
      <c r="BI291" s="77"/>
    </row>
    <row r="292" spans="1:61" x14ac:dyDescent="0.25">
      <c r="A292" s="62" t="s">
        <v>345</v>
      </c>
      <c r="B292" s="62" t="s">
        <v>896</v>
      </c>
      <c r="C292" s="63"/>
      <c r="D292" s="64"/>
      <c r="E292" s="65"/>
      <c r="F292" s="66"/>
      <c r="G292" s="63"/>
      <c r="H292" s="67"/>
      <c r="I292" s="68"/>
      <c r="J292" s="68"/>
      <c r="K292" s="32"/>
      <c r="L292" s="75">
        <v>292</v>
      </c>
      <c r="M292" s="75"/>
      <c r="N292" s="70"/>
      <c r="O292" s="77" t="s">
        <v>967</v>
      </c>
      <c r="P292" s="79">
        <v>45113.018043981479</v>
      </c>
      <c r="Q292" s="77" t="s">
        <v>1242</v>
      </c>
      <c r="R292" s="77">
        <v>0</v>
      </c>
      <c r="S292" s="77">
        <v>3</v>
      </c>
      <c r="T292" s="77">
        <v>3</v>
      </c>
      <c r="U292" s="77">
        <v>0</v>
      </c>
      <c r="V292" s="77">
        <v>217</v>
      </c>
      <c r="W292" s="81" t="s">
        <v>3117</v>
      </c>
      <c r="X292" s="77"/>
      <c r="Y292" s="77"/>
      <c r="Z292" s="77" t="s">
        <v>4367</v>
      </c>
      <c r="AA292" s="77"/>
      <c r="AB292" s="77"/>
      <c r="AC292" s="81" t="s">
        <v>5801</v>
      </c>
      <c r="AD292" s="77" t="s">
        <v>5850</v>
      </c>
      <c r="AE292" s="83" t="str">
        <f>HYPERLINK("https://twitter.com/aosamit/status/1676749298195738626")</f>
        <v>https://twitter.com/aosamit/status/1676749298195738626</v>
      </c>
      <c r="AF292" s="79">
        <v>45113.018043981479</v>
      </c>
      <c r="AG292" s="85">
        <v>45113</v>
      </c>
      <c r="AH292" s="81" t="s">
        <v>6117</v>
      </c>
      <c r="AI292" s="77"/>
      <c r="AJ292" s="77"/>
      <c r="AK292" s="77"/>
      <c r="AL292" s="77"/>
      <c r="AM292" s="77"/>
      <c r="AN292" s="77"/>
      <c r="AO292" s="77"/>
      <c r="AP292" s="77"/>
      <c r="AQ292" s="77"/>
      <c r="AR292" s="77"/>
      <c r="AS292" s="77"/>
      <c r="AT292" s="77"/>
      <c r="AU292" s="77"/>
      <c r="AV292" s="83" t="str">
        <f>HYPERLINK("https://pbs.twimg.com/profile_images/1502032378713182249/q69ZkhaY_normal.jpg")</f>
        <v>https://pbs.twimg.com/profile_images/1502032378713182249/q69ZkhaY_normal.jpg</v>
      </c>
      <c r="AW292" s="81" t="s">
        <v>9563</v>
      </c>
      <c r="AX292" s="81" t="s">
        <v>9563</v>
      </c>
      <c r="AY292" s="77"/>
      <c r="AZ292" s="81" t="s">
        <v>11359</v>
      </c>
      <c r="BA292" s="81" t="s">
        <v>11359</v>
      </c>
      <c r="BB292" s="81" t="s">
        <v>11359</v>
      </c>
      <c r="BC292" s="81" t="s">
        <v>9563</v>
      </c>
      <c r="BD292" s="77">
        <v>302681844</v>
      </c>
      <c r="BE292" s="77"/>
      <c r="BF292" s="77"/>
      <c r="BG292" s="77"/>
      <c r="BH292" s="77"/>
      <c r="BI292" s="77"/>
    </row>
    <row r="293" spans="1:61" x14ac:dyDescent="0.25">
      <c r="A293" s="62" t="s">
        <v>346</v>
      </c>
      <c r="B293" s="62" t="s">
        <v>897</v>
      </c>
      <c r="C293" s="63"/>
      <c r="D293" s="64"/>
      <c r="E293" s="65"/>
      <c r="F293" s="66"/>
      <c r="G293" s="63"/>
      <c r="H293" s="67"/>
      <c r="I293" s="68"/>
      <c r="J293" s="68"/>
      <c r="K293" s="32"/>
      <c r="L293" s="75">
        <v>293</v>
      </c>
      <c r="M293" s="75"/>
      <c r="N293" s="70"/>
      <c r="O293" s="77" t="s">
        <v>967</v>
      </c>
      <c r="P293" s="79">
        <v>45165.745879629627</v>
      </c>
      <c r="Q293" s="77" t="s">
        <v>1243</v>
      </c>
      <c r="R293" s="77">
        <v>0</v>
      </c>
      <c r="S293" s="77">
        <v>0</v>
      </c>
      <c r="T293" s="77">
        <v>0</v>
      </c>
      <c r="U293" s="77">
        <v>0</v>
      </c>
      <c r="V293" s="77">
        <v>3</v>
      </c>
      <c r="W293" s="81" t="s">
        <v>3118</v>
      </c>
      <c r="X293" s="83" t="str">
        <f>HYPERLINK("https://pin.it/l8f74Gm")</f>
        <v>https://pin.it/l8f74Gm</v>
      </c>
      <c r="Y293" s="77" t="s">
        <v>4247</v>
      </c>
      <c r="Z293" s="77" t="s">
        <v>897</v>
      </c>
      <c r="AA293" s="77"/>
      <c r="AB293" s="77"/>
      <c r="AC293" s="81" t="s">
        <v>5805</v>
      </c>
      <c r="AD293" s="77" t="s">
        <v>5853</v>
      </c>
      <c r="AE293" s="83" t="str">
        <f>HYPERLINK("https://twitter.com/gomusic29513980/status/1695857223899951431")</f>
        <v>https://twitter.com/gomusic29513980/status/1695857223899951431</v>
      </c>
      <c r="AF293" s="79">
        <v>45165.745879629627</v>
      </c>
      <c r="AG293" s="85">
        <v>45165</v>
      </c>
      <c r="AH293" s="81" t="s">
        <v>6118</v>
      </c>
      <c r="AI293" s="77" t="b">
        <v>0</v>
      </c>
      <c r="AJ293" s="77"/>
      <c r="AK293" s="77"/>
      <c r="AL293" s="77"/>
      <c r="AM293" s="77"/>
      <c r="AN293" s="77"/>
      <c r="AO293" s="77"/>
      <c r="AP293" s="77"/>
      <c r="AQ293" s="77"/>
      <c r="AR293" s="77"/>
      <c r="AS293" s="77"/>
      <c r="AT293" s="77"/>
      <c r="AU293" s="77"/>
      <c r="AV293" s="83" t="str">
        <f>HYPERLINK("https://pbs.twimg.com/profile_images/1351290287524605953/-TN62FxC_normal.jpg")</f>
        <v>https://pbs.twimg.com/profile_images/1351290287524605953/-TN62FxC_normal.jpg</v>
      </c>
      <c r="AW293" s="81" t="s">
        <v>9564</v>
      </c>
      <c r="AX293" s="81" t="s">
        <v>9564</v>
      </c>
      <c r="AY293" s="77"/>
      <c r="AZ293" s="81" t="s">
        <v>11359</v>
      </c>
      <c r="BA293" s="81" t="s">
        <v>11359</v>
      </c>
      <c r="BB293" s="81" t="s">
        <v>11359</v>
      </c>
      <c r="BC293" s="81" t="s">
        <v>9564</v>
      </c>
      <c r="BD293" s="81" t="s">
        <v>11464</v>
      </c>
      <c r="BE293" s="77"/>
      <c r="BF293" s="77"/>
      <c r="BG293" s="77"/>
      <c r="BH293" s="77"/>
      <c r="BI293" s="77"/>
    </row>
    <row r="294" spans="1:61" x14ac:dyDescent="0.25">
      <c r="A294" s="62" t="s">
        <v>346</v>
      </c>
      <c r="B294" s="62" t="s">
        <v>897</v>
      </c>
      <c r="C294" s="63"/>
      <c r="D294" s="64"/>
      <c r="E294" s="65"/>
      <c r="F294" s="66"/>
      <c r="G294" s="63"/>
      <c r="H294" s="67"/>
      <c r="I294" s="68"/>
      <c r="J294" s="68"/>
      <c r="K294" s="32"/>
      <c r="L294" s="75">
        <v>294</v>
      </c>
      <c r="M294" s="75"/>
      <c r="N294" s="70"/>
      <c r="O294" s="77" t="s">
        <v>967</v>
      </c>
      <c r="P294" s="79">
        <v>45181.142870370371</v>
      </c>
      <c r="Q294" s="77" t="s">
        <v>1244</v>
      </c>
      <c r="R294" s="77">
        <v>0</v>
      </c>
      <c r="S294" s="77">
        <v>0</v>
      </c>
      <c r="T294" s="77">
        <v>0</v>
      </c>
      <c r="U294" s="77">
        <v>0</v>
      </c>
      <c r="V294" s="77">
        <v>1</v>
      </c>
      <c r="W294" s="81" t="s">
        <v>3119</v>
      </c>
      <c r="X294" s="83" t="str">
        <f>HYPERLINK("https://pin.it/6gi8YVT")</f>
        <v>https://pin.it/6gi8YVT</v>
      </c>
      <c r="Y294" s="77" t="s">
        <v>4247</v>
      </c>
      <c r="Z294" s="77" t="s">
        <v>897</v>
      </c>
      <c r="AA294" s="77"/>
      <c r="AB294" s="77"/>
      <c r="AC294" s="81" t="s">
        <v>5805</v>
      </c>
      <c r="AD294" s="77" t="s">
        <v>5855</v>
      </c>
      <c r="AE294" s="83" t="str">
        <f>HYPERLINK("https://twitter.com/gomusic29513980/status/1701436907706552769")</f>
        <v>https://twitter.com/gomusic29513980/status/1701436907706552769</v>
      </c>
      <c r="AF294" s="79">
        <v>45181.142870370371</v>
      </c>
      <c r="AG294" s="85">
        <v>45181</v>
      </c>
      <c r="AH294" s="81" t="s">
        <v>6119</v>
      </c>
      <c r="AI294" s="77" t="b">
        <v>0</v>
      </c>
      <c r="AJ294" s="77"/>
      <c r="AK294" s="77"/>
      <c r="AL294" s="77"/>
      <c r="AM294" s="77"/>
      <c r="AN294" s="77"/>
      <c r="AO294" s="77"/>
      <c r="AP294" s="77"/>
      <c r="AQ294" s="77"/>
      <c r="AR294" s="77"/>
      <c r="AS294" s="77"/>
      <c r="AT294" s="77"/>
      <c r="AU294" s="77"/>
      <c r="AV294" s="83" t="str">
        <f>HYPERLINK("https://pbs.twimg.com/profile_images/1351290287524605953/-TN62FxC_normal.jpg")</f>
        <v>https://pbs.twimg.com/profile_images/1351290287524605953/-TN62FxC_normal.jpg</v>
      </c>
      <c r="AW294" s="81" t="s">
        <v>9565</v>
      </c>
      <c r="AX294" s="81" t="s">
        <v>9565</v>
      </c>
      <c r="AY294" s="77"/>
      <c r="AZ294" s="81" t="s">
        <v>11359</v>
      </c>
      <c r="BA294" s="81" t="s">
        <v>11359</v>
      </c>
      <c r="BB294" s="81" t="s">
        <v>11359</v>
      </c>
      <c r="BC294" s="81" t="s">
        <v>9565</v>
      </c>
      <c r="BD294" s="81" t="s">
        <v>11464</v>
      </c>
      <c r="BE294" s="77"/>
      <c r="BF294" s="77"/>
      <c r="BG294" s="77"/>
      <c r="BH294" s="77"/>
      <c r="BI294" s="77"/>
    </row>
    <row r="295" spans="1:61" x14ac:dyDescent="0.25">
      <c r="A295" s="62" t="s">
        <v>347</v>
      </c>
      <c r="B295" s="62" t="s">
        <v>347</v>
      </c>
      <c r="C295" s="63"/>
      <c r="D295" s="64"/>
      <c r="E295" s="65"/>
      <c r="F295" s="66"/>
      <c r="G295" s="63"/>
      <c r="H295" s="67"/>
      <c r="I295" s="68"/>
      <c r="J295" s="68"/>
      <c r="K295" s="32"/>
      <c r="L295" s="75">
        <v>295</v>
      </c>
      <c r="M295" s="75"/>
      <c r="N295" s="70"/>
      <c r="O295" s="77" t="s">
        <v>179</v>
      </c>
      <c r="P295" s="79">
        <v>44978.816493055558</v>
      </c>
      <c r="Q295" s="77" t="s">
        <v>1245</v>
      </c>
      <c r="R295" s="77">
        <v>0</v>
      </c>
      <c r="S295" s="77">
        <v>1</v>
      </c>
      <c r="T295" s="77">
        <v>0</v>
      </c>
      <c r="U295" s="77">
        <v>0</v>
      </c>
      <c r="V295" s="77">
        <v>23</v>
      </c>
      <c r="W295" s="81" t="s">
        <v>3120</v>
      </c>
      <c r="X295" s="83" t="str">
        <f>HYPERLINK("https://hotmart.com/pt-br/marketplace/produtos/acelere-suas-vendas-dicas-praticas-para-representantes-comerciais-de-sucesso/X79889239I")</f>
        <v>https://hotmart.com/pt-br/marketplace/produtos/acelere-suas-vendas-dicas-praticas-para-representantes-comerciais-de-sucesso/X79889239I</v>
      </c>
      <c r="Y295" s="77" t="s">
        <v>4248</v>
      </c>
      <c r="Z295" s="77"/>
      <c r="AA295" s="77" t="s">
        <v>4552</v>
      </c>
      <c r="AB295" s="77" t="s">
        <v>5795</v>
      </c>
      <c r="AC295" s="81" t="s">
        <v>5801</v>
      </c>
      <c r="AD295" s="77" t="s">
        <v>5851</v>
      </c>
      <c r="AE295" s="83" t="str">
        <f>HYPERLINK("https://twitter.com/zspindula/status/1628116283655966720")</f>
        <v>https://twitter.com/zspindula/status/1628116283655966720</v>
      </c>
      <c r="AF295" s="79">
        <v>44978.816493055558</v>
      </c>
      <c r="AG295" s="85">
        <v>44978</v>
      </c>
      <c r="AH295" s="81" t="s">
        <v>6120</v>
      </c>
      <c r="AI295" s="77" t="b">
        <v>0</v>
      </c>
      <c r="AJ295" s="77"/>
      <c r="AK295" s="77"/>
      <c r="AL295" s="77"/>
      <c r="AM295" s="77"/>
      <c r="AN295" s="77"/>
      <c r="AO295" s="77"/>
      <c r="AP295" s="77"/>
      <c r="AQ295" s="77" t="s">
        <v>8055</v>
      </c>
      <c r="AR295" s="77">
        <v>14285</v>
      </c>
      <c r="AS295" s="77"/>
      <c r="AT295" s="77"/>
      <c r="AU295" s="77"/>
      <c r="AV295" s="83" t="str">
        <f>HYPERLINK("https://pbs.twimg.com/ext_tw_video_thumb/1628116230304370692/pu/img/SjoNmJCujTUZm_wR.jpg")</f>
        <v>https://pbs.twimg.com/ext_tw_video_thumb/1628116230304370692/pu/img/SjoNmJCujTUZm_wR.jpg</v>
      </c>
      <c r="AW295" s="81" t="s">
        <v>9566</v>
      </c>
      <c r="AX295" s="81" t="s">
        <v>9566</v>
      </c>
      <c r="AY295" s="77"/>
      <c r="AZ295" s="81" t="s">
        <v>11359</v>
      </c>
      <c r="BA295" s="81" t="s">
        <v>11359</v>
      </c>
      <c r="BB295" s="81" t="s">
        <v>11359</v>
      </c>
      <c r="BC295" s="81" t="s">
        <v>9566</v>
      </c>
      <c r="BD295" s="81" t="s">
        <v>11465</v>
      </c>
      <c r="BE295" s="77"/>
      <c r="BF295" s="77"/>
      <c r="BG295" s="77"/>
      <c r="BH295" s="77"/>
      <c r="BI295" s="77"/>
    </row>
    <row r="296" spans="1:61" x14ac:dyDescent="0.25">
      <c r="A296" s="62" t="s">
        <v>347</v>
      </c>
      <c r="B296" s="62" t="s">
        <v>347</v>
      </c>
      <c r="C296" s="63"/>
      <c r="D296" s="64"/>
      <c r="E296" s="65"/>
      <c r="F296" s="66"/>
      <c r="G296" s="63"/>
      <c r="H296" s="67"/>
      <c r="I296" s="68"/>
      <c r="J296" s="68"/>
      <c r="K296" s="32"/>
      <c r="L296" s="75">
        <v>296</v>
      </c>
      <c r="M296" s="75"/>
      <c r="N296" s="70"/>
      <c r="O296" s="77" t="s">
        <v>179</v>
      </c>
      <c r="P296" s="79">
        <v>44966.700335648151</v>
      </c>
      <c r="Q296" s="77" t="s">
        <v>1246</v>
      </c>
      <c r="R296" s="77">
        <v>0</v>
      </c>
      <c r="S296" s="77">
        <v>1</v>
      </c>
      <c r="T296" s="77">
        <v>0</v>
      </c>
      <c r="U296" s="77">
        <v>0</v>
      </c>
      <c r="V296" s="77">
        <v>41</v>
      </c>
      <c r="W296" s="81" t="s">
        <v>3121</v>
      </c>
      <c r="X296" s="77"/>
      <c r="Y296" s="77"/>
      <c r="Z296" s="77"/>
      <c r="AA296" s="77" t="s">
        <v>4553</v>
      </c>
      <c r="AB296" s="77" t="s">
        <v>5795</v>
      </c>
      <c r="AC296" s="81" t="s">
        <v>5801</v>
      </c>
      <c r="AD296" s="77" t="s">
        <v>5851</v>
      </c>
      <c r="AE296" s="83" t="str">
        <f>HYPERLINK("https://twitter.com/zspindula/status/1623725536261406722")</f>
        <v>https://twitter.com/zspindula/status/1623725536261406722</v>
      </c>
      <c r="AF296" s="79">
        <v>44966.700335648151</v>
      </c>
      <c r="AG296" s="85">
        <v>44966</v>
      </c>
      <c r="AH296" s="81" t="s">
        <v>6121</v>
      </c>
      <c r="AI296" s="77" t="b">
        <v>0</v>
      </c>
      <c r="AJ296" s="77"/>
      <c r="AK296" s="77"/>
      <c r="AL296" s="77"/>
      <c r="AM296" s="77"/>
      <c r="AN296" s="77"/>
      <c r="AO296" s="77"/>
      <c r="AP296" s="77"/>
      <c r="AQ296" s="77" t="s">
        <v>8056</v>
      </c>
      <c r="AR296" s="77">
        <v>44611</v>
      </c>
      <c r="AS296" s="77"/>
      <c r="AT296" s="77"/>
      <c r="AU296" s="77"/>
      <c r="AV296" s="83" t="str">
        <f>HYPERLINK("https://pbs.twimg.com/ext_tw_video_thumb/1623725446192848898/pu/img/-EfyuuIypGB27b7h.jpg")</f>
        <v>https://pbs.twimg.com/ext_tw_video_thumb/1623725446192848898/pu/img/-EfyuuIypGB27b7h.jpg</v>
      </c>
      <c r="AW296" s="81" t="s">
        <v>9567</v>
      </c>
      <c r="AX296" s="81" t="s">
        <v>9567</v>
      </c>
      <c r="AY296" s="77"/>
      <c r="AZ296" s="81" t="s">
        <v>11359</v>
      </c>
      <c r="BA296" s="81" t="s">
        <v>11359</v>
      </c>
      <c r="BB296" s="81" t="s">
        <v>11359</v>
      </c>
      <c r="BC296" s="81" t="s">
        <v>9567</v>
      </c>
      <c r="BD296" s="81" t="s">
        <v>11465</v>
      </c>
      <c r="BE296" s="77"/>
      <c r="BF296" s="77"/>
      <c r="BG296" s="77"/>
      <c r="BH296" s="77"/>
      <c r="BI296" s="77"/>
    </row>
    <row r="297" spans="1:61" x14ac:dyDescent="0.25">
      <c r="A297" s="62" t="s">
        <v>347</v>
      </c>
      <c r="B297" s="62" t="s">
        <v>347</v>
      </c>
      <c r="C297" s="63"/>
      <c r="D297" s="64"/>
      <c r="E297" s="65"/>
      <c r="F297" s="66"/>
      <c r="G297" s="63"/>
      <c r="H297" s="67"/>
      <c r="I297" s="68"/>
      <c r="J297" s="68"/>
      <c r="K297" s="32"/>
      <c r="L297" s="75">
        <v>297</v>
      </c>
      <c r="M297" s="75"/>
      <c r="N297" s="70"/>
      <c r="O297" s="77" t="s">
        <v>179</v>
      </c>
      <c r="P297" s="79">
        <v>44994.635949074072</v>
      </c>
      <c r="Q297" s="77" t="s">
        <v>1247</v>
      </c>
      <c r="R297" s="77">
        <v>0</v>
      </c>
      <c r="S297" s="77">
        <v>2</v>
      </c>
      <c r="T297" s="77">
        <v>0</v>
      </c>
      <c r="U297" s="77">
        <v>0</v>
      </c>
      <c r="V297" s="77">
        <v>7</v>
      </c>
      <c r="W297" s="81" t="s">
        <v>3122</v>
      </c>
      <c r="X297" s="77"/>
      <c r="Y297" s="77"/>
      <c r="Z297" s="77"/>
      <c r="AA297" s="77" t="s">
        <v>4554</v>
      </c>
      <c r="AB297" s="77" t="s">
        <v>5794</v>
      </c>
      <c r="AC297" s="81" t="s">
        <v>5801</v>
      </c>
      <c r="AD297" s="77" t="s">
        <v>5851</v>
      </c>
      <c r="AE297" s="83" t="str">
        <f>HYPERLINK("https://twitter.com/zspindula/status/1633849063496974339")</f>
        <v>https://twitter.com/zspindula/status/1633849063496974339</v>
      </c>
      <c r="AF297" s="79">
        <v>44994.635949074072</v>
      </c>
      <c r="AG297" s="85">
        <v>44994</v>
      </c>
      <c r="AH297" s="81" t="s">
        <v>6122</v>
      </c>
      <c r="AI297" s="77" t="b">
        <v>0</v>
      </c>
      <c r="AJ297" s="77"/>
      <c r="AK297" s="77"/>
      <c r="AL297" s="77"/>
      <c r="AM297" s="77"/>
      <c r="AN297" s="77"/>
      <c r="AO297" s="77"/>
      <c r="AP297" s="77"/>
      <c r="AQ297" s="77" t="s">
        <v>8057</v>
      </c>
      <c r="AR297" s="77"/>
      <c r="AS297" s="77"/>
      <c r="AT297" s="77"/>
      <c r="AU297" s="77"/>
      <c r="AV297" s="83" t="str">
        <f>HYPERLINK("https://pbs.twimg.com/media/FqyZEJbXoAMHvlm.jpg")</f>
        <v>https://pbs.twimg.com/media/FqyZEJbXoAMHvlm.jpg</v>
      </c>
      <c r="AW297" s="81" t="s">
        <v>9568</v>
      </c>
      <c r="AX297" s="81" t="s">
        <v>9568</v>
      </c>
      <c r="AY297" s="77"/>
      <c r="AZ297" s="81" t="s">
        <v>11359</v>
      </c>
      <c r="BA297" s="81" t="s">
        <v>11359</v>
      </c>
      <c r="BB297" s="81" t="s">
        <v>11359</v>
      </c>
      <c r="BC297" s="81" t="s">
        <v>9568</v>
      </c>
      <c r="BD297" s="81" t="s">
        <v>11465</v>
      </c>
      <c r="BE297" s="77"/>
      <c r="BF297" s="77"/>
      <c r="BG297" s="77"/>
      <c r="BH297" s="77"/>
      <c r="BI297" s="77"/>
    </row>
    <row r="298" spans="1:61" x14ac:dyDescent="0.25">
      <c r="A298" s="62" t="s">
        <v>347</v>
      </c>
      <c r="B298" s="62" t="s">
        <v>347</v>
      </c>
      <c r="C298" s="63"/>
      <c r="D298" s="64"/>
      <c r="E298" s="65"/>
      <c r="F298" s="66"/>
      <c r="G298" s="63"/>
      <c r="H298" s="67"/>
      <c r="I298" s="68"/>
      <c r="J298" s="68"/>
      <c r="K298" s="32"/>
      <c r="L298" s="75">
        <v>298</v>
      </c>
      <c r="M298" s="75"/>
      <c r="N298" s="70"/>
      <c r="O298" s="77" t="s">
        <v>179</v>
      </c>
      <c r="P298" s="79">
        <v>45028.844965277778</v>
      </c>
      <c r="Q298" s="77" t="s">
        <v>1248</v>
      </c>
      <c r="R298" s="77">
        <v>0</v>
      </c>
      <c r="S298" s="77">
        <v>1</v>
      </c>
      <c r="T298" s="77">
        <v>0</v>
      </c>
      <c r="U298" s="77">
        <v>0</v>
      </c>
      <c r="V298" s="77">
        <v>17</v>
      </c>
      <c r="W298" s="81" t="s">
        <v>3123</v>
      </c>
      <c r="X298" s="77"/>
      <c r="Y298" s="77"/>
      <c r="Z298" s="77"/>
      <c r="AA298" s="77" t="s">
        <v>4555</v>
      </c>
      <c r="AB298" s="77" t="s">
        <v>5794</v>
      </c>
      <c r="AC298" s="81" t="s">
        <v>5801</v>
      </c>
      <c r="AD298" s="77" t="s">
        <v>5851</v>
      </c>
      <c r="AE298" s="83" t="str">
        <f>HYPERLINK("https://twitter.com/zspindula/status/1646245992444960770")</f>
        <v>https://twitter.com/zspindula/status/1646245992444960770</v>
      </c>
      <c r="AF298" s="79">
        <v>45028.844965277778</v>
      </c>
      <c r="AG298" s="85">
        <v>45028</v>
      </c>
      <c r="AH298" s="81" t="s">
        <v>6123</v>
      </c>
      <c r="AI298" s="77" t="b">
        <v>0</v>
      </c>
      <c r="AJ298" s="77"/>
      <c r="AK298" s="77"/>
      <c r="AL298" s="77"/>
      <c r="AM298" s="77"/>
      <c r="AN298" s="77"/>
      <c r="AO298" s="77"/>
      <c r="AP298" s="77"/>
      <c r="AQ298" s="77" t="s">
        <v>8058</v>
      </c>
      <c r="AR298" s="77"/>
      <c r="AS298" s="77"/>
      <c r="AT298" s="77"/>
      <c r="AU298" s="77"/>
      <c r="AV298" s="83" t="str">
        <f>HYPERLINK("https://pbs.twimg.com/media/FtikAXjX0AA1wzM.jpg")</f>
        <v>https://pbs.twimg.com/media/FtikAXjX0AA1wzM.jpg</v>
      </c>
      <c r="AW298" s="81" t="s">
        <v>9569</v>
      </c>
      <c r="AX298" s="81" t="s">
        <v>9569</v>
      </c>
      <c r="AY298" s="77"/>
      <c r="AZ298" s="81" t="s">
        <v>11359</v>
      </c>
      <c r="BA298" s="81" t="s">
        <v>11359</v>
      </c>
      <c r="BB298" s="81" t="s">
        <v>11359</v>
      </c>
      <c r="BC298" s="81" t="s">
        <v>9569</v>
      </c>
      <c r="BD298" s="81" t="s">
        <v>11465</v>
      </c>
      <c r="BE298" s="77"/>
      <c r="BF298" s="77"/>
      <c r="BG298" s="77"/>
      <c r="BH298" s="77"/>
      <c r="BI298" s="77"/>
    </row>
    <row r="299" spans="1:61" x14ac:dyDescent="0.25">
      <c r="A299" s="62" t="s">
        <v>348</v>
      </c>
      <c r="B299" s="62" t="s">
        <v>348</v>
      </c>
      <c r="C299" s="63"/>
      <c r="D299" s="64"/>
      <c r="E299" s="65"/>
      <c r="F299" s="66"/>
      <c r="G299" s="63"/>
      <c r="H299" s="67"/>
      <c r="I299" s="68"/>
      <c r="J299" s="68"/>
      <c r="K299" s="32"/>
      <c r="L299" s="75">
        <v>299</v>
      </c>
      <c r="M299" s="75"/>
      <c r="N299" s="70"/>
      <c r="O299" s="77" t="s">
        <v>179</v>
      </c>
      <c r="P299" s="79">
        <v>44930.502164351848</v>
      </c>
      <c r="Q299" s="77" t="s">
        <v>1249</v>
      </c>
      <c r="R299" s="77">
        <v>6</v>
      </c>
      <c r="S299" s="77">
        <v>9</v>
      </c>
      <c r="T299" s="77">
        <v>1</v>
      </c>
      <c r="U299" s="77">
        <v>1</v>
      </c>
      <c r="V299" s="77">
        <v>4424</v>
      </c>
      <c r="W299" s="81" t="s">
        <v>3124</v>
      </c>
      <c r="X299" s="77"/>
      <c r="Y299" s="77"/>
      <c r="Z299" s="77"/>
      <c r="AA299" s="77"/>
      <c r="AB299" s="77"/>
      <c r="AC299" s="81" t="s">
        <v>5812</v>
      </c>
      <c r="AD299" s="77" t="s">
        <v>5850</v>
      </c>
      <c r="AE299" s="83" t="str">
        <f>HYPERLINK("https://twitter.com/jaimegarmar_/status/1610607757727604737")</f>
        <v>https://twitter.com/jaimegarmar_/status/1610607757727604737</v>
      </c>
      <c r="AF299" s="79">
        <v>44930.502164351848</v>
      </c>
      <c r="AG299" s="85">
        <v>44930</v>
      </c>
      <c r="AH299" s="81" t="s">
        <v>6124</v>
      </c>
      <c r="AI299" s="77"/>
      <c r="AJ299" s="77"/>
      <c r="AK299" s="77"/>
      <c r="AL299" s="77"/>
      <c r="AM299" s="77"/>
      <c r="AN299" s="77"/>
      <c r="AO299" s="77"/>
      <c r="AP299" s="77"/>
      <c r="AQ299" s="77"/>
      <c r="AR299" s="77"/>
      <c r="AS299" s="77"/>
      <c r="AT299" s="77"/>
      <c r="AU299" s="77"/>
      <c r="AV299" s="83" t="str">
        <f>HYPERLINK("https://pbs.twimg.com/profile_images/1692829510247260160/uLVqtoQy_normal.jpg")</f>
        <v>https://pbs.twimg.com/profile_images/1692829510247260160/uLVqtoQy_normal.jpg</v>
      </c>
      <c r="AW299" s="81" t="s">
        <v>9570</v>
      </c>
      <c r="AX299" s="81" t="s">
        <v>9570</v>
      </c>
      <c r="AY299" s="77"/>
      <c r="AZ299" s="81" t="s">
        <v>11359</v>
      </c>
      <c r="BA299" s="81" t="s">
        <v>11359</v>
      </c>
      <c r="BB299" s="81" t="s">
        <v>11359</v>
      </c>
      <c r="BC299" s="81" t="s">
        <v>9570</v>
      </c>
      <c r="BD299" s="81" t="s">
        <v>11466</v>
      </c>
      <c r="BE299" s="77"/>
      <c r="BF299" s="77"/>
      <c r="BG299" s="77"/>
      <c r="BH299" s="77"/>
      <c r="BI299" s="77"/>
    </row>
    <row r="300" spans="1:61" x14ac:dyDescent="0.25">
      <c r="A300" s="62" t="s">
        <v>349</v>
      </c>
      <c r="B300" s="62" t="s">
        <v>349</v>
      </c>
      <c r="C300" s="63"/>
      <c r="D300" s="64"/>
      <c r="E300" s="65"/>
      <c r="F300" s="66"/>
      <c r="G300" s="63"/>
      <c r="H300" s="67"/>
      <c r="I300" s="68"/>
      <c r="J300" s="68"/>
      <c r="K300" s="32"/>
      <c r="L300" s="75">
        <v>300</v>
      </c>
      <c r="M300" s="75"/>
      <c r="N300" s="70"/>
      <c r="O300" s="77" t="s">
        <v>179</v>
      </c>
      <c r="P300" s="79">
        <v>45009.462847222225</v>
      </c>
      <c r="Q300" s="77" t="s">
        <v>1250</v>
      </c>
      <c r="R300" s="77">
        <v>0</v>
      </c>
      <c r="S300" s="77">
        <v>0</v>
      </c>
      <c r="T300" s="77">
        <v>0</v>
      </c>
      <c r="U300" s="77">
        <v>0</v>
      </c>
      <c r="V300" s="77">
        <v>13</v>
      </c>
      <c r="W300" s="81" t="s">
        <v>3125</v>
      </c>
      <c r="X300" s="83" t="str">
        <f>HYPERLINK("https://lnkd.in/dPj-_tub")</f>
        <v>https://lnkd.in/dPj-_tub</v>
      </c>
      <c r="Y300" s="77" t="s">
        <v>4221</v>
      </c>
      <c r="Z300" s="77"/>
      <c r="AA300" s="77"/>
      <c r="AB300" s="77"/>
      <c r="AC300" s="81" t="s">
        <v>5810</v>
      </c>
      <c r="AD300" s="77" t="s">
        <v>5853</v>
      </c>
      <c r="AE300" s="83" t="str">
        <f>HYPERLINK("https://twitter.com/juanarizaruiz/status/1639222148379348992")</f>
        <v>https://twitter.com/juanarizaruiz/status/1639222148379348992</v>
      </c>
      <c r="AF300" s="79">
        <v>45009.462847222225</v>
      </c>
      <c r="AG300" s="85">
        <v>45009</v>
      </c>
      <c r="AH300" s="81" t="s">
        <v>6125</v>
      </c>
      <c r="AI300" s="77" t="b">
        <v>0</v>
      </c>
      <c r="AJ300" s="77"/>
      <c r="AK300" s="77"/>
      <c r="AL300" s="77"/>
      <c r="AM300" s="77"/>
      <c r="AN300" s="77"/>
      <c r="AO300" s="77"/>
      <c r="AP300" s="77"/>
      <c r="AQ300" s="77"/>
      <c r="AR300" s="77"/>
      <c r="AS300" s="77"/>
      <c r="AT300" s="77"/>
      <c r="AU300" s="77"/>
      <c r="AV300" s="83" t="str">
        <f>HYPERLINK("https://pbs.twimg.com/profile_images/1011632627189678084/pEeMSXj1_normal.jpg")</f>
        <v>https://pbs.twimg.com/profile_images/1011632627189678084/pEeMSXj1_normal.jpg</v>
      </c>
      <c r="AW300" s="81" t="s">
        <v>9571</v>
      </c>
      <c r="AX300" s="81" t="s">
        <v>9571</v>
      </c>
      <c r="AY300" s="77"/>
      <c r="AZ300" s="81" t="s">
        <v>11359</v>
      </c>
      <c r="BA300" s="81" t="s">
        <v>11359</v>
      </c>
      <c r="BB300" s="81" t="s">
        <v>11359</v>
      </c>
      <c r="BC300" s="81" t="s">
        <v>9571</v>
      </c>
      <c r="BD300" s="77">
        <v>1037320945</v>
      </c>
      <c r="BE300" s="77"/>
      <c r="BF300" s="77"/>
      <c r="BG300" s="77"/>
      <c r="BH300" s="77"/>
      <c r="BI300" s="77"/>
    </row>
    <row r="301" spans="1:61" x14ac:dyDescent="0.25">
      <c r="A301" s="62" t="s">
        <v>349</v>
      </c>
      <c r="B301" s="62" t="s">
        <v>349</v>
      </c>
      <c r="C301" s="63"/>
      <c r="D301" s="64"/>
      <c r="E301" s="65"/>
      <c r="F301" s="66"/>
      <c r="G301" s="63"/>
      <c r="H301" s="67"/>
      <c r="I301" s="68"/>
      <c r="J301" s="68"/>
      <c r="K301" s="32"/>
      <c r="L301" s="75">
        <v>301</v>
      </c>
      <c r="M301" s="75"/>
      <c r="N301" s="70"/>
      <c r="O301" s="77" t="s">
        <v>179</v>
      </c>
      <c r="P301" s="79">
        <v>45075.167395833334</v>
      </c>
      <c r="Q301" s="77" t="s">
        <v>1251</v>
      </c>
      <c r="R301" s="77">
        <v>0</v>
      </c>
      <c r="S301" s="77">
        <v>0</v>
      </c>
      <c r="T301" s="77">
        <v>0</v>
      </c>
      <c r="U301" s="77">
        <v>0</v>
      </c>
      <c r="V301" s="77">
        <v>7</v>
      </c>
      <c r="W301" s="81" t="s">
        <v>3126</v>
      </c>
      <c r="X301" s="83" t="str">
        <f>HYPERLINK("https://lnkd.in/dEMneNDd")</f>
        <v>https://lnkd.in/dEMneNDd</v>
      </c>
      <c r="Y301" s="77" t="s">
        <v>4221</v>
      </c>
      <c r="Z301" s="77"/>
      <c r="AA301" s="77"/>
      <c r="AB301" s="77"/>
      <c r="AC301" s="81" t="s">
        <v>5810</v>
      </c>
      <c r="AD301" s="77" t="s">
        <v>5850</v>
      </c>
      <c r="AE301" s="83" t="str">
        <f>HYPERLINK("https://twitter.com/juanarizaruiz/status/1663032681125257218")</f>
        <v>https://twitter.com/juanarizaruiz/status/1663032681125257218</v>
      </c>
      <c r="AF301" s="79">
        <v>45075.167395833334</v>
      </c>
      <c r="AG301" s="85">
        <v>45075</v>
      </c>
      <c r="AH301" s="81" t="s">
        <v>6126</v>
      </c>
      <c r="AI301" s="77" t="b">
        <v>0</v>
      </c>
      <c r="AJ301" s="77"/>
      <c r="AK301" s="77"/>
      <c r="AL301" s="77"/>
      <c r="AM301" s="77"/>
      <c r="AN301" s="77"/>
      <c r="AO301" s="77"/>
      <c r="AP301" s="77"/>
      <c r="AQ301" s="77"/>
      <c r="AR301" s="77"/>
      <c r="AS301" s="77"/>
      <c r="AT301" s="77"/>
      <c r="AU301" s="77"/>
      <c r="AV301" s="83" t="str">
        <f>HYPERLINK("https://pbs.twimg.com/profile_images/1011632627189678084/pEeMSXj1_normal.jpg")</f>
        <v>https://pbs.twimg.com/profile_images/1011632627189678084/pEeMSXj1_normal.jpg</v>
      </c>
      <c r="AW301" s="81" t="s">
        <v>9572</v>
      </c>
      <c r="AX301" s="81" t="s">
        <v>9572</v>
      </c>
      <c r="AY301" s="77"/>
      <c r="AZ301" s="81" t="s">
        <v>11359</v>
      </c>
      <c r="BA301" s="81" t="s">
        <v>11359</v>
      </c>
      <c r="BB301" s="81" t="s">
        <v>11359</v>
      </c>
      <c r="BC301" s="81" t="s">
        <v>9572</v>
      </c>
      <c r="BD301" s="77">
        <v>1037320945</v>
      </c>
      <c r="BE301" s="77"/>
      <c r="BF301" s="77"/>
      <c r="BG301" s="77"/>
      <c r="BH301" s="77"/>
      <c r="BI301" s="77"/>
    </row>
    <row r="302" spans="1:61" x14ac:dyDescent="0.25">
      <c r="A302" s="62" t="s">
        <v>349</v>
      </c>
      <c r="B302" s="62" t="s">
        <v>349</v>
      </c>
      <c r="C302" s="63"/>
      <c r="D302" s="64"/>
      <c r="E302" s="65"/>
      <c r="F302" s="66"/>
      <c r="G302" s="63"/>
      <c r="H302" s="67"/>
      <c r="I302" s="68"/>
      <c r="J302" s="68"/>
      <c r="K302" s="32"/>
      <c r="L302" s="75">
        <v>302</v>
      </c>
      <c r="M302" s="75"/>
      <c r="N302" s="70"/>
      <c r="O302" s="77" t="s">
        <v>179</v>
      </c>
      <c r="P302" s="79">
        <v>45089.952638888892</v>
      </c>
      <c r="Q302" s="77" t="s">
        <v>1252</v>
      </c>
      <c r="R302" s="77">
        <v>0</v>
      </c>
      <c r="S302" s="77">
        <v>0</v>
      </c>
      <c r="T302" s="77">
        <v>0</v>
      </c>
      <c r="U302" s="77">
        <v>0</v>
      </c>
      <c r="V302" s="77">
        <v>11</v>
      </c>
      <c r="W302" s="81" t="s">
        <v>3127</v>
      </c>
      <c r="X302" s="83" t="str">
        <f>HYPERLINK("https://lnkd.in/djbWp-ig")</f>
        <v>https://lnkd.in/djbWp-ig</v>
      </c>
      <c r="Y302" s="77" t="s">
        <v>4221</v>
      </c>
      <c r="Z302" s="77"/>
      <c r="AA302" s="77"/>
      <c r="AB302" s="77"/>
      <c r="AC302" s="81" t="s">
        <v>5810</v>
      </c>
      <c r="AD302" s="77" t="s">
        <v>5850</v>
      </c>
      <c r="AE302" s="83" t="str">
        <f>HYPERLINK("https://twitter.com/juanarizaruiz/status/1668390675744784393")</f>
        <v>https://twitter.com/juanarizaruiz/status/1668390675744784393</v>
      </c>
      <c r="AF302" s="79">
        <v>45089.952638888892</v>
      </c>
      <c r="AG302" s="85">
        <v>45089</v>
      </c>
      <c r="AH302" s="81" t="s">
        <v>6127</v>
      </c>
      <c r="AI302" s="77" t="b">
        <v>0</v>
      </c>
      <c r="AJ302" s="77"/>
      <c r="AK302" s="77"/>
      <c r="AL302" s="77"/>
      <c r="AM302" s="77"/>
      <c r="AN302" s="77"/>
      <c r="AO302" s="77"/>
      <c r="AP302" s="77"/>
      <c r="AQ302" s="77"/>
      <c r="AR302" s="77"/>
      <c r="AS302" s="77"/>
      <c r="AT302" s="77"/>
      <c r="AU302" s="77"/>
      <c r="AV302" s="83" t="str">
        <f>HYPERLINK("https://pbs.twimg.com/profile_images/1011632627189678084/pEeMSXj1_normal.jpg")</f>
        <v>https://pbs.twimg.com/profile_images/1011632627189678084/pEeMSXj1_normal.jpg</v>
      </c>
      <c r="AW302" s="81" t="s">
        <v>9573</v>
      </c>
      <c r="AX302" s="81" t="s">
        <v>9573</v>
      </c>
      <c r="AY302" s="77"/>
      <c r="AZ302" s="81" t="s">
        <v>11359</v>
      </c>
      <c r="BA302" s="81" t="s">
        <v>11359</v>
      </c>
      <c r="BB302" s="81" t="s">
        <v>11359</v>
      </c>
      <c r="BC302" s="81" t="s">
        <v>9573</v>
      </c>
      <c r="BD302" s="77">
        <v>1037320945</v>
      </c>
      <c r="BE302" s="77"/>
      <c r="BF302" s="77"/>
      <c r="BG302" s="77"/>
      <c r="BH302" s="77"/>
      <c r="BI302" s="77"/>
    </row>
    <row r="303" spans="1:61" x14ac:dyDescent="0.25">
      <c r="A303" s="62" t="s">
        <v>350</v>
      </c>
      <c r="B303" s="62" t="s">
        <v>898</v>
      </c>
      <c r="C303" s="63"/>
      <c r="D303" s="64"/>
      <c r="E303" s="65"/>
      <c r="F303" s="66"/>
      <c r="G303" s="63"/>
      <c r="H303" s="67"/>
      <c r="I303" s="68"/>
      <c r="J303" s="68"/>
      <c r="K303" s="32"/>
      <c r="L303" s="75">
        <v>303</v>
      </c>
      <c r="M303" s="75"/>
      <c r="N303" s="70"/>
      <c r="O303" s="77" t="s">
        <v>969</v>
      </c>
      <c r="P303" s="79">
        <v>44968.070543981485</v>
      </c>
      <c r="Q303" s="77" t="s">
        <v>1253</v>
      </c>
      <c r="R303" s="77">
        <v>0</v>
      </c>
      <c r="S303" s="77">
        <v>2</v>
      </c>
      <c r="T303" s="77">
        <v>0</v>
      </c>
      <c r="U303" s="77">
        <v>0</v>
      </c>
      <c r="V303" s="77">
        <v>62</v>
      </c>
      <c r="W303" s="81" t="s">
        <v>3128</v>
      </c>
      <c r="X303" s="77"/>
      <c r="Y303" s="77"/>
      <c r="Z303" s="77" t="s">
        <v>898</v>
      </c>
      <c r="AA303" s="77"/>
      <c r="AB303" s="77"/>
      <c r="AC303" s="81" t="s">
        <v>5801</v>
      </c>
      <c r="AD303" s="77" t="s">
        <v>5850</v>
      </c>
      <c r="AE303" s="83" t="str">
        <f>HYPERLINK("https://twitter.com/jxcabrer/status/1624222082283216897")</f>
        <v>https://twitter.com/jxcabrer/status/1624222082283216897</v>
      </c>
      <c r="AF303" s="79">
        <v>44968.070543981485</v>
      </c>
      <c r="AG303" s="85">
        <v>44968</v>
      </c>
      <c r="AH303" s="81" t="s">
        <v>6128</v>
      </c>
      <c r="AI303" s="77"/>
      <c r="AJ303" s="77"/>
      <c r="AK303" s="77"/>
      <c r="AL303" s="77"/>
      <c r="AM303" s="77"/>
      <c r="AN303" s="77"/>
      <c r="AO303" s="77"/>
      <c r="AP303" s="77"/>
      <c r="AQ303" s="77"/>
      <c r="AR303" s="77"/>
      <c r="AS303" s="77"/>
      <c r="AT303" s="77"/>
      <c r="AU303" s="77"/>
      <c r="AV303" s="83" t="str">
        <f>HYPERLINK("https://pbs.twimg.com/profile_images/1635677781341208579/IQs9Cn3a_normal.jpg")</f>
        <v>https://pbs.twimg.com/profile_images/1635677781341208579/IQs9Cn3a_normal.jpg</v>
      </c>
      <c r="AW303" s="81" t="s">
        <v>9574</v>
      </c>
      <c r="AX303" s="81" t="s">
        <v>11256</v>
      </c>
      <c r="AY303" s="81" t="s">
        <v>11326</v>
      </c>
      <c r="AZ303" s="81" t="s">
        <v>11256</v>
      </c>
      <c r="BA303" s="81" t="s">
        <v>11359</v>
      </c>
      <c r="BB303" s="81" t="s">
        <v>11359</v>
      </c>
      <c r="BC303" s="81" t="s">
        <v>11256</v>
      </c>
      <c r="BD303" s="77">
        <v>2819148746</v>
      </c>
      <c r="BE303" s="77"/>
      <c r="BF303" s="77"/>
      <c r="BG303" s="77"/>
      <c r="BH303" s="77"/>
      <c r="BI303" s="77"/>
    </row>
    <row r="304" spans="1:61" x14ac:dyDescent="0.25">
      <c r="A304" s="62" t="s">
        <v>351</v>
      </c>
      <c r="B304" s="62" t="s">
        <v>351</v>
      </c>
      <c r="C304" s="63"/>
      <c r="D304" s="64"/>
      <c r="E304" s="65"/>
      <c r="F304" s="66"/>
      <c r="G304" s="63"/>
      <c r="H304" s="67"/>
      <c r="I304" s="68"/>
      <c r="J304" s="68"/>
      <c r="K304" s="32"/>
      <c r="L304" s="75">
        <v>304</v>
      </c>
      <c r="M304" s="75"/>
      <c r="N304" s="70"/>
      <c r="O304" s="77" t="s">
        <v>179</v>
      </c>
      <c r="P304" s="79">
        <v>44951.854467592595</v>
      </c>
      <c r="Q304" s="77" t="s">
        <v>1254</v>
      </c>
      <c r="R304" s="77">
        <v>0</v>
      </c>
      <c r="S304" s="77">
        <v>0</v>
      </c>
      <c r="T304" s="77">
        <v>0</v>
      </c>
      <c r="U304" s="77">
        <v>0</v>
      </c>
      <c r="V304" s="77">
        <v>211</v>
      </c>
      <c r="W304" s="81" t="s">
        <v>3129</v>
      </c>
      <c r="X304" s="77"/>
      <c r="Y304" s="77"/>
      <c r="Z304" s="77"/>
      <c r="AA304" s="77" t="s">
        <v>4556</v>
      </c>
      <c r="AB304" s="77" t="s">
        <v>5795</v>
      </c>
      <c r="AC304" s="81" t="s">
        <v>5801</v>
      </c>
      <c r="AD304" s="77" t="s">
        <v>5851</v>
      </c>
      <c r="AE304" s="83" t="str">
        <f>HYPERLINK("https://twitter.com/marciavalria15/status/1618345571156365312")</f>
        <v>https://twitter.com/marciavalria15/status/1618345571156365312</v>
      </c>
      <c r="AF304" s="79">
        <v>44951.854467592595</v>
      </c>
      <c r="AG304" s="85">
        <v>44951</v>
      </c>
      <c r="AH304" s="81" t="s">
        <v>6129</v>
      </c>
      <c r="AI304" s="77" t="b">
        <v>0</v>
      </c>
      <c r="AJ304" s="77"/>
      <c r="AK304" s="77"/>
      <c r="AL304" s="77"/>
      <c r="AM304" s="77"/>
      <c r="AN304" s="77"/>
      <c r="AO304" s="77"/>
      <c r="AP304" s="77"/>
      <c r="AQ304" s="77" t="s">
        <v>8059</v>
      </c>
      <c r="AR304" s="77">
        <v>44998</v>
      </c>
      <c r="AS304" s="77"/>
      <c r="AT304" s="77"/>
      <c r="AU304" s="77"/>
      <c r="AV304" s="83" t="str">
        <f>HYPERLINK("https://pbs.twimg.com/ext_tw_video_thumb/1618345507243302915/pu/img/u0q8YjxJO0mz8Oyn.jpg")</f>
        <v>https://pbs.twimg.com/ext_tw_video_thumb/1618345507243302915/pu/img/u0q8YjxJO0mz8Oyn.jpg</v>
      </c>
      <c r="AW304" s="81" t="s">
        <v>9575</v>
      </c>
      <c r="AX304" s="81" t="s">
        <v>9575</v>
      </c>
      <c r="AY304" s="77"/>
      <c r="AZ304" s="81" t="s">
        <v>11359</v>
      </c>
      <c r="BA304" s="81" t="s">
        <v>11359</v>
      </c>
      <c r="BB304" s="81" t="s">
        <v>11359</v>
      </c>
      <c r="BC304" s="81" t="s">
        <v>9575</v>
      </c>
      <c r="BD304" s="81" t="s">
        <v>11467</v>
      </c>
      <c r="BE304" s="77"/>
      <c r="BF304" s="77"/>
      <c r="BG304" s="77"/>
      <c r="BH304" s="77"/>
      <c r="BI304" s="77"/>
    </row>
    <row r="305" spans="1:61" x14ac:dyDescent="0.25">
      <c r="A305" s="62" t="s">
        <v>352</v>
      </c>
      <c r="B305" s="62" t="s">
        <v>352</v>
      </c>
      <c r="C305" s="63"/>
      <c r="D305" s="64"/>
      <c r="E305" s="65"/>
      <c r="F305" s="66"/>
      <c r="G305" s="63"/>
      <c r="H305" s="67"/>
      <c r="I305" s="68"/>
      <c r="J305" s="68"/>
      <c r="K305" s="32"/>
      <c r="L305" s="75">
        <v>305</v>
      </c>
      <c r="M305" s="75"/>
      <c r="N305" s="70"/>
      <c r="O305" s="77" t="s">
        <v>179</v>
      </c>
      <c r="P305" s="79">
        <v>45147.46875</v>
      </c>
      <c r="Q305" s="77" t="s">
        <v>1255</v>
      </c>
      <c r="R305" s="77">
        <v>1</v>
      </c>
      <c r="S305" s="77">
        <v>1</v>
      </c>
      <c r="T305" s="77">
        <v>0</v>
      </c>
      <c r="U305" s="77">
        <v>0</v>
      </c>
      <c r="V305" s="77">
        <v>22</v>
      </c>
      <c r="W305" s="81" t="s">
        <v>3130</v>
      </c>
      <c r="X305" s="83" t="str">
        <f>HYPERLINK("https://clientelacrm.com/vendedor-externo-e-interno-conhecas-as-diferencas/")</f>
        <v>https://clientelacrm.com/vendedor-externo-e-interno-conhecas-as-diferencas/</v>
      </c>
      <c r="Y305" s="77" t="s">
        <v>4249</v>
      </c>
      <c r="Z305" s="77"/>
      <c r="AA305" s="77"/>
      <c r="AB305" s="77"/>
      <c r="AC305" s="81" t="s">
        <v>5805</v>
      </c>
      <c r="AD305" s="77" t="s">
        <v>5851</v>
      </c>
      <c r="AE305" s="83" t="str">
        <f>HYPERLINK("https://twitter.com/clientelacrm/status/1689233813358919680")</f>
        <v>https://twitter.com/clientelacrm/status/1689233813358919680</v>
      </c>
      <c r="AF305" s="79">
        <v>45147.46875</v>
      </c>
      <c r="AG305" s="85">
        <v>45147</v>
      </c>
      <c r="AH305" s="81" t="s">
        <v>6130</v>
      </c>
      <c r="AI305" s="77" t="b">
        <v>0</v>
      </c>
      <c r="AJ305" s="77"/>
      <c r="AK305" s="77"/>
      <c r="AL305" s="77"/>
      <c r="AM305" s="77"/>
      <c r="AN305" s="77"/>
      <c r="AO305" s="77"/>
      <c r="AP305" s="77"/>
      <c r="AQ305" s="77"/>
      <c r="AR305" s="77"/>
      <c r="AS305" s="77"/>
      <c r="AT305" s="77"/>
      <c r="AU305" s="77"/>
      <c r="AV305" s="83" t="str">
        <f>HYPERLINK("https://pbs.twimg.com/profile_images/1535719543972188162/Do9THWhn_normal.jpg")</f>
        <v>https://pbs.twimg.com/profile_images/1535719543972188162/Do9THWhn_normal.jpg</v>
      </c>
      <c r="AW305" s="81" t="s">
        <v>9576</v>
      </c>
      <c r="AX305" s="81" t="s">
        <v>9576</v>
      </c>
      <c r="AY305" s="77"/>
      <c r="AZ305" s="81" t="s">
        <v>11359</v>
      </c>
      <c r="BA305" s="81" t="s">
        <v>11359</v>
      </c>
      <c r="BB305" s="81" t="s">
        <v>11359</v>
      </c>
      <c r="BC305" s="81" t="s">
        <v>9576</v>
      </c>
      <c r="BD305" s="77">
        <v>111740133</v>
      </c>
      <c r="BE305" s="77"/>
      <c r="BF305" s="77"/>
      <c r="BG305" s="77"/>
      <c r="BH305" s="77"/>
      <c r="BI305" s="77"/>
    </row>
    <row r="306" spans="1:61" x14ac:dyDescent="0.25">
      <c r="A306" s="62" t="s">
        <v>353</v>
      </c>
      <c r="B306" s="62" t="s">
        <v>842</v>
      </c>
      <c r="C306" s="63"/>
      <c r="D306" s="64"/>
      <c r="E306" s="65"/>
      <c r="F306" s="66"/>
      <c r="G306" s="63"/>
      <c r="H306" s="67"/>
      <c r="I306" s="68"/>
      <c r="J306" s="68"/>
      <c r="K306" s="32"/>
      <c r="L306" s="75">
        <v>306</v>
      </c>
      <c r="M306" s="75"/>
      <c r="N306" s="70"/>
      <c r="O306" s="77" t="s">
        <v>968</v>
      </c>
      <c r="P306" s="79">
        <v>45195.596990740742</v>
      </c>
      <c r="Q306" s="77" t="s">
        <v>1256</v>
      </c>
      <c r="R306" s="77">
        <v>6</v>
      </c>
      <c r="S306" s="77">
        <v>0</v>
      </c>
      <c r="T306" s="77">
        <v>0</v>
      </c>
      <c r="U306" s="77">
        <v>0</v>
      </c>
      <c r="V306" s="77"/>
      <c r="W306" s="81" t="s">
        <v>3131</v>
      </c>
      <c r="X306" s="77"/>
      <c r="Y306" s="77"/>
      <c r="Z306" s="77" t="s">
        <v>842</v>
      </c>
      <c r="AA306" s="77" t="s">
        <v>4557</v>
      </c>
      <c r="AB306" s="77" t="s">
        <v>5794</v>
      </c>
      <c r="AC306" s="81" t="s">
        <v>5803</v>
      </c>
      <c r="AD306" s="77" t="s">
        <v>5850</v>
      </c>
      <c r="AE306" s="83" t="str">
        <f>HYPERLINK("https://twitter.com/portidaniel/status/1706674906555978044")</f>
        <v>https://twitter.com/portidaniel/status/1706674906555978044</v>
      </c>
      <c r="AF306" s="79">
        <v>45195.596990740742</v>
      </c>
      <c r="AG306" s="85">
        <v>45195</v>
      </c>
      <c r="AH306" s="81" t="s">
        <v>6131</v>
      </c>
      <c r="AI306" s="77" t="b">
        <v>0</v>
      </c>
      <c r="AJ306" s="77"/>
      <c r="AK306" s="77"/>
      <c r="AL306" s="77"/>
      <c r="AM306" s="77"/>
      <c r="AN306" s="77"/>
      <c r="AO306" s="77"/>
      <c r="AP306" s="77"/>
      <c r="AQ306" s="77" t="s">
        <v>8060</v>
      </c>
      <c r="AR306" s="77"/>
      <c r="AS306" s="77"/>
      <c r="AT306" s="77"/>
      <c r="AU306" s="77"/>
      <c r="AV306" s="83" t="str">
        <f>HYPERLINK("https://pbs.twimg.com/media/F6zNlOyWcAA7NH5.jpg")</f>
        <v>https://pbs.twimg.com/media/F6zNlOyWcAA7NH5.jpg</v>
      </c>
      <c r="AW306" s="81" t="s">
        <v>9577</v>
      </c>
      <c r="AX306" s="81" t="s">
        <v>9577</v>
      </c>
      <c r="AY306" s="77"/>
      <c r="AZ306" s="81" t="s">
        <v>11359</v>
      </c>
      <c r="BA306" s="81" t="s">
        <v>11359</v>
      </c>
      <c r="BB306" s="81" t="s">
        <v>11160</v>
      </c>
      <c r="BC306" s="81" t="s">
        <v>11160</v>
      </c>
      <c r="BD306" s="77">
        <v>722519868</v>
      </c>
      <c r="BE306" s="77"/>
      <c r="BF306" s="77"/>
      <c r="BG306" s="77"/>
      <c r="BH306" s="77"/>
      <c r="BI306" s="77"/>
    </row>
    <row r="307" spans="1:61" x14ac:dyDescent="0.25">
      <c r="A307" s="62" t="s">
        <v>354</v>
      </c>
      <c r="B307" s="62" t="s">
        <v>354</v>
      </c>
      <c r="C307" s="63"/>
      <c r="D307" s="64"/>
      <c r="E307" s="65"/>
      <c r="F307" s="66"/>
      <c r="G307" s="63"/>
      <c r="H307" s="67"/>
      <c r="I307" s="68"/>
      <c r="J307" s="68"/>
      <c r="K307" s="32"/>
      <c r="L307" s="75">
        <v>307</v>
      </c>
      <c r="M307" s="75"/>
      <c r="N307" s="70"/>
      <c r="O307" s="77" t="s">
        <v>179</v>
      </c>
      <c r="P307" s="79">
        <v>44965.80096064815</v>
      </c>
      <c r="Q307" s="77" t="s">
        <v>1257</v>
      </c>
      <c r="R307" s="77">
        <v>0</v>
      </c>
      <c r="S307" s="77">
        <v>0</v>
      </c>
      <c r="T307" s="77">
        <v>0</v>
      </c>
      <c r="U307" s="77">
        <v>0</v>
      </c>
      <c r="V307" s="77">
        <v>62</v>
      </c>
      <c r="W307" s="81" t="s">
        <v>3132</v>
      </c>
      <c r="X307" s="77"/>
      <c r="Y307" s="77"/>
      <c r="Z307" s="77"/>
      <c r="AA307" s="77"/>
      <c r="AB307" s="77"/>
      <c r="AC307" s="81" t="s">
        <v>5803</v>
      </c>
      <c r="AD307" s="77" t="s">
        <v>5851</v>
      </c>
      <c r="AE307" s="83" t="str">
        <f>HYPERLINK("https://twitter.com/fmdlog/status/1623399612814880769")</f>
        <v>https://twitter.com/fmdlog/status/1623399612814880769</v>
      </c>
      <c r="AF307" s="79">
        <v>44965.80096064815</v>
      </c>
      <c r="AG307" s="85">
        <v>44965</v>
      </c>
      <c r="AH307" s="81" t="s">
        <v>6132</v>
      </c>
      <c r="AI307" s="77"/>
      <c r="AJ307" s="77"/>
      <c r="AK307" s="77"/>
      <c r="AL307" s="77"/>
      <c r="AM307" s="77"/>
      <c r="AN307" s="77"/>
      <c r="AO307" s="77"/>
      <c r="AP307" s="77"/>
      <c r="AQ307" s="77"/>
      <c r="AR307" s="77"/>
      <c r="AS307" s="77"/>
      <c r="AT307" s="77"/>
      <c r="AU307" s="77"/>
      <c r="AV307" s="83" t="str">
        <f>HYPERLINK("https://pbs.twimg.com/profile_images/1687032721992798208/4gqR0gnb_normal.jpg")</f>
        <v>https://pbs.twimg.com/profile_images/1687032721992798208/4gqR0gnb_normal.jpg</v>
      </c>
      <c r="AW307" s="81" t="s">
        <v>9578</v>
      </c>
      <c r="AX307" s="81" t="s">
        <v>9578</v>
      </c>
      <c r="AY307" s="77"/>
      <c r="AZ307" s="81" t="s">
        <v>11359</v>
      </c>
      <c r="BA307" s="81" t="s">
        <v>11359</v>
      </c>
      <c r="BB307" s="81" t="s">
        <v>11359</v>
      </c>
      <c r="BC307" s="81" t="s">
        <v>9578</v>
      </c>
      <c r="BD307" s="81" t="s">
        <v>11468</v>
      </c>
      <c r="BE307" s="77"/>
      <c r="BF307" s="77"/>
      <c r="BG307" s="77"/>
      <c r="BH307" s="77"/>
      <c r="BI307" s="77"/>
    </row>
    <row r="308" spans="1:61" x14ac:dyDescent="0.25">
      <c r="A308" s="62" t="s">
        <v>355</v>
      </c>
      <c r="B308" s="62" t="s">
        <v>355</v>
      </c>
      <c r="C308" s="63"/>
      <c r="D308" s="64"/>
      <c r="E308" s="65"/>
      <c r="F308" s="66"/>
      <c r="G308" s="63"/>
      <c r="H308" s="67"/>
      <c r="I308" s="68"/>
      <c r="J308" s="68"/>
      <c r="K308" s="32"/>
      <c r="L308" s="75">
        <v>308</v>
      </c>
      <c r="M308" s="75"/>
      <c r="N308" s="70"/>
      <c r="O308" s="77" t="s">
        <v>179</v>
      </c>
      <c r="P308" s="79">
        <v>44965.613657407404</v>
      </c>
      <c r="Q308" s="77" t="s">
        <v>1258</v>
      </c>
      <c r="R308" s="77">
        <v>0</v>
      </c>
      <c r="S308" s="77">
        <v>0</v>
      </c>
      <c r="T308" s="77">
        <v>0</v>
      </c>
      <c r="U308" s="77">
        <v>0</v>
      </c>
      <c r="V308" s="77">
        <v>37</v>
      </c>
      <c r="W308" s="81" t="s">
        <v>3133</v>
      </c>
      <c r="X308" s="83" t="str">
        <f>HYPERLINK("https://bit.ly/3tW3zd6")</f>
        <v>https://bit.ly/3tW3zd6</v>
      </c>
      <c r="Y308" s="77" t="s">
        <v>4213</v>
      </c>
      <c r="Z308" s="77"/>
      <c r="AA308" s="77" t="s">
        <v>4558</v>
      </c>
      <c r="AB308" s="77" t="s">
        <v>5794</v>
      </c>
      <c r="AC308" s="81" t="s">
        <v>5805</v>
      </c>
      <c r="AD308" s="77" t="s">
        <v>5850</v>
      </c>
      <c r="AE308" s="83" t="str">
        <f>HYPERLINK("https://twitter.com/zcmayoristas/status/1623331737030873090")</f>
        <v>https://twitter.com/zcmayoristas/status/1623331737030873090</v>
      </c>
      <c r="AF308" s="79">
        <v>44965.613657407404</v>
      </c>
      <c r="AG308" s="85">
        <v>44965</v>
      </c>
      <c r="AH308" s="81" t="s">
        <v>6133</v>
      </c>
      <c r="AI308" s="77" t="b">
        <v>0</v>
      </c>
      <c r="AJ308" s="77"/>
      <c r="AK308" s="77"/>
      <c r="AL308" s="77"/>
      <c r="AM308" s="77"/>
      <c r="AN308" s="77"/>
      <c r="AO308" s="77"/>
      <c r="AP308" s="77"/>
      <c r="AQ308" s="77" t="s">
        <v>8061</v>
      </c>
      <c r="AR308" s="77"/>
      <c r="AS308" s="77"/>
      <c r="AT308" s="77"/>
      <c r="AU308" s="77"/>
      <c r="AV308" s="83" t="str">
        <f>HYPERLINK("https://pbs.twimg.com/media/Foc7mSJXgAAy3Ma.jpg")</f>
        <v>https://pbs.twimg.com/media/Foc7mSJXgAAy3Ma.jpg</v>
      </c>
      <c r="AW308" s="81" t="s">
        <v>9579</v>
      </c>
      <c r="AX308" s="81" t="s">
        <v>9579</v>
      </c>
      <c r="AY308" s="77"/>
      <c r="AZ308" s="81" t="s">
        <v>11359</v>
      </c>
      <c r="BA308" s="81" t="s">
        <v>11359</v>
      </c>
      <c r="BB308" s="81" t="s">
        <v>11359</v>
      </c>
      <c r="BC308" s="81" t="s">
        <v>9579</v>
      </c>
      <c r="BD308" s="77">
        <v>374217830</v>
      </c>
      <c r="BE308" s="77"/>
      <c r="BF308" s="77"/>
      <c r="BG308" s="77"/>
      <c r="BH308" s="77"/>
      <c r="BI308" s="77"/>
    </row>
    <row r="309" spans="1:61" x14ac:dyDescent="0.25">
      <c r="A309" s="62" t="s">
        <v>355</v>
      </c>
      <c r="B309" s="62" t="s">
        <v>355</v>
      </c>
      <c r="C309" s="63"/>
      <c r="D309" s="64"/>
      <c r="E309" s="65"/>
      <c r="F309" s="66"/>
      <c r="G309" s="63"/>
      <c r="H309" s="67"/>
      <c r="I309" s="68"/>
      <c r="J309" s="68"/>
      <c r="K309" s="32"/>
      <c r="L309" s="75">
        <v>309</v>
      </c>
      <c r="M309" s="75"/>
      <c r="N309" s="70"/>
      <c r="O309" s="77" t="s">
        <v>179</v>
      </c>
      <c r="P309" s="79">
        <v>44965.613287037035</v>
      </c>
      <c r="Q309" s="77" t="s">
        <v>1259</v>
      </c>
      <c r="R309" s="77">
        <v>0</v>
      </c>
      <c r="S309" s="77">
        <v>0</v>
      </c>
      <c r="T309" s="77">
        <v>0</v>
      </c>
      <c r="U309" s="77">
        <v>0</v>
      </c>
      <c r="V309" s="77">
        <v>83</v>
      </c>
      <c r="W309" s="81" t="s">
        <v>3133</v>
      </c>
      <c r="X309" s="83" t="str">
        <f>HYPERLINK("https://bit.ly/3tW3zd6")</f>
        <v>https://bit.ly/3tW3zd6</v>
      </c>
      <c r="Y309" s="77" t="s">
        <v>4213</v>
      </c>
      <c r="Z309" s="77"/>
      <c r="AA309" s="77" t="s">
        <v>4559</v>
      </c>
      <c r="AB309" s="77" t="s">
        <v>5794</v>
      </c>
      <c r="AC309" s="81" t="s">
        <v>5805</v>
      </c>
      <c r="AD309" s="77" t="s">
        <v>5850</v>
      </c>
      <c r="AE309" s="83" t="str">
        <f>HYPERLINK("https://twitter.com/zcmayoristas/status/1623331601965891584")</f>
        <v>https://twitter.com/zcmayoristas/status/1623331601965891584</v>
      </c>
      <c r="AF309" s="79">
        <v>44965.613287037035</v>
      </c>
      <c r="AG309" s="85">
        <v>44965</v>
      </c>
      <c r="AH309" s="81" t="s">
        <v>6134</v>
      </c>
      <c r="AI309" s="77" t="b">
        <v>0</v>
      </c>
      <c r="AJ309" s="77"/>
      <c r="AK309" s="77"/>
      <c r="AL309" s="77"/>
      <c r="AM309" s="77"/>
      <c r="AN309" s="77"/>
      <c r="AO309" s="77"/>
      <c r="AP309" s="77"/>
      <c r="AQ309" s="77" t="s">
        <v>8062</v>
      </c>
      <c r="AR309" s="77"/>
      <c r="AS309" s="77"/>
      <c r="AT309" s="77"/>
      <c r="AU309" s="77"/>
      <c r="AV309" s="83" t="str">
        <f>HYPERLINK("https://pbs.twimg.com/media/Foc7eIPWYAIWaoW.jpg")</f>
        <v>https://pbs.twimg.com/media/Foc7eIPWYAIWaoW.jpg</v>
      </c>
      <c r="AW309" s="81" t="s">
        <v>9580</v>
      </c>
      <c r="AX309" s="81" t="s">
        <v>9580</v>
      </c>
      <c r="AY309" s="77"/>
      <c r="AZ309" s="81" t="s">
        <v>11359</v>
      </c>
      <c r="BA309" s="81" t="s">
        <v>11359</v>
      </c>
      <c r="BB309" s="81" t="s">
        <v>11359</v>
      </c>
      <c r="BC309" s="81" t="s">
        <v>9580</v>
      </c>
      <c r="BD309" s="77">
        <v>374217830</v>
      </c>
      <c r="BE309" s="77"/>
      <c r="BF309" s="77"/>
      <c r="BG309" s="77"/>
      <c r="BH309" s="77"/>
      <c r="BI309" s="77"/>
    </row>
    <row r="310" spans="1:61" x14ac:dyDescent="0.25">
      <c r="A310" s="62" t="s">
        <v>356</v>
      </c>
      <c r="B310" s="62" t="s">
        <v>356</v>
      </c>
      <c r="C310" s="63"/>
      <c r="D310" s="64"/>
      <c r="E310" s="65"/>
      <c r="F310" s="66"/>
      <c r="G310" s="63"/>
      <c r="H310" s="67"/>
      <c r="I310" s="68"/>
      <c r="J310" s="68"/>
      <c r="K310" s="32"/>
      <c r="L310" s="75">
        <v>310</v>
      </c>
      <c r="M310" s="75"/>
      <c r="N310" s="70"/>
      <c r="O310" s="77" t="s">
        <v>179</v>
      </c>
      <c r="P310" s="79">
        <v>45064.751840277779</v>
      </c>
      <c r="Q310" s="77" t="s">
        <v>1260</v>
      </c>
      <c r="R310" s="77">
        <v>0</v>
      </c>
      <c r="S310" s="77">
        <v>0</v>
      </c>
      <c r="T310" s="77">
        <v>0</v>
      </c>
      <c r="U310" s="77">
        <v>0</v>
      </c>
      <c r="V310" s="77">
        <v>32</v>
      </c>
      <c r="W310" s="81" t="s">
        <v>3134</v>
      </c>
      <c r="X310" s="77"/>
      <c r="Y310" s="77"/>
      <c r="Z310" s="77"/>
      <c r="AA310" s="77" t="s">
        <v>4560</v>
      </c>
      <c r="AB310" s="77" t="s">
        <v>5795</v>
      </c>
      <c r="AC310" s="81" t="s">
        <v>5801</v>
      </c>
      <c r="AD310" s="77" t="s">
        <v>5851</v>
      </c>
      <c r="AE310" s="83" t="str">
        <f>HYPERLINK("https://twitter.com/rrsolucdigitais/status/1659258209205469184")</f>
        <v>https://twitter.com/rrsolucdigitais/status/1659258209205469184</v>
      </c>
      <c r="AF310" s="79">
        <v>45064.751840277779</v>
      </c>
      <c r="AG310" s="85">
        <v>45064</v>
      </c>
      <c r="AH310" s="81" t="s">
        <v>6135</v>
      </c>
      <c r="AI310" s="77" t="b">
        <v>0</v>
      </c>
      <c r="AJ310" s="77"/>
      <c r="AK310" s="77"/>
      <c r="AL310" s="77"/>
      <c r="AM310" s="77"/>
      <c r="AN310" s="77"/>
      <c r="AO310" s="77"/>
      <c r="AP310" s="77"/>
      <c r="AQ310" s="77" t="s">
        <v>8063</v>
      </c>
      <c r="AR310" s="77">
        <v>20038</v>
      </c>
      <c r="AS310" s="77"/>
      <c r="AT310" s="77"/>
      <c r="AU310" s="77"/>
      <c r="AV310" s="83" t="str">
        <f>HYPERLINK("https://pbs.twimg.com/ext_tw_video_thumb/1659258179312656386/pu/img/B4p8_KJtS6WHIV-Z.jpg")</f>
        <v>https://pbs.twimg.com/ext_tw_video_thumb/1659258179312656386/pu/img/B4p8_KJtS6WHIV-Z.jpg</v>
      </c>
      <c r="AW310" s="81" t="s">
        <v>9581</v>
      </c>
      <c r="AX310" s="81" t="s">
        <v>9581</v>
      </c>
      <c r="AY310" s="77"/>
      <c r="AZ310" s="81" t="s">
        <v>11359</v>
      </c>
      <c r="BA310" s="81" t="s">
        <v>11359</v>
      </c>
      <c r="BB310" s="81" t="s">
        <v>11359</v>
      </c>
      <c r="BC310" s="81" t="s">
        <v>9581</v>
      </c>
      <c r="BD310" s="81" t="s">
        <v>11469</v>
      </c>
      <c r="BE310" s="77"/>
      <c r="BF310" s="77"/>
      <c r="BG310" s="77"/>
      <c r="BH310" s="77"/>
      <c r="BI310" s="77"/>
    </row>
    <row r="311" spans="1:61" x14ac:dyDescent="0.25">
      <c r="A311" s="62" t="s">
        <v>357</v>
      </c>
      <c r="B311" s="62" t="s">
        <v>357</v>
      </c>
      <c r="C311" s="63"/>
      <c r="D311" s="64"/>
      <c r="E311" s="65"/>
      <c r="F311" s="66"/>
      <c r="G311" s="63"/>
      <c r="H311" s="67"/>
      <c r="I311" s="68"/>
      <c r="J311" s="68"/>
      <c r="K311" s="32"/>
      <c r="L311" s="75">
        <v>311</v>
      </c>
      <c r="M311" s="75"/>
      <c r="N311" s="70"/>
      <c r="O311" s="77" t="s">
        <v>179</v>
      </c>
      <c r="P311" s="79">
        <v>44958.523356481484</v>
      </c>
      <c r="Q311" s="77" t="s">
        <v>1261</v>
      </c>
      <c r="R311" s="77">
        <v>0</v>
      </c>
      <c r="S311" s="77">
        <v>0</v>
      </c>
      <c r="T311" s="77">
        <v>0</v>
      </c>
      <c r="U311" s="77">
        <v>0</v>
      </c>
      <c r="V311" s="77">
        <v>14</v>
      </c>
      <c r="W311" s="81" t="s">
        <v>3135</v>
      </c>
      <c r="X311" s="77"/>
      <c r="Y311" s="77"/>
      <c r="Z311" s="77"/>
      <c r="AA311" s="77"/>
      <c r="AB311" s="77"/>
      <c r="AC311" s="81" t="s">
        <v>5803</v>
      </c>
      <c r="AD311" s="77" t="s">
        <v>5850</v>
      </c>
      <c r="AE311" s="83" t="str">
        <f>HYPERLINK("https://twitter.com/callhimrog/status/1620762296023912450")</f>
        <v>https://twitter.com/callhimrog/status/1620762296023912450</v>
      </c>
      <c r="AF311" s="79">
        <v>44958.523356481484</v>
      </c>
      <c r="AG311" s="85">
        <v>44958</v>
      </c>
      <c r="AH311" s="81" t="s">
        <v>6136</v>
      </c>
      <c r="AI311" s="77"/>
      <c r="AJ311" s="77"/>
      <c r="AK311" s="77"/>
      <c r="AL311" s="77"/>
      <c r="AM311" s="77"/>
      <c r="AN311" s="77"/>
      <c r="AO311" s="77"/>
      <c r="AP311" s="77"/>
      <c r="AQ311" s="77"/>
      <c r="AR311" s="77"/>
      <c r="AS311" s="77"/>
      <c r="AT311" s="77"/>
      <c r="AU311" s="77"/>
      <c r="AV311" s="83" t="str">
        <f>HYPERLINK("https://pbs.twimg.com/profile_images/1472071415104954371/0UVd8f8j_normal.jpg")</f>
        <v>https://pbs.twimg.com/profile_images/1472071415104954371/0UVd8f8j_normal.jpg</v>
      </c>
      <c r="AW311" s="81" t="s">
        <v>9582</v>
      </c>
      <c r="AX311" s="81" t="s">
        <v>9582</v>
      </c>
      <c r="AY311" s="77"/>
      <c r="AZ311" s="81" t="s">
        <v>11359</v>
      </c>
      <c r="BA311" s="81" t="s">
        <v>11359</v>
      </c>
      <c r="BB311" s="81" t="s">
        <v>11359</v>
      </c>
      <c r="BC311" s="81" t="s">
        <v>9582</v>
      </c>
      <c r="BD311" s="81" t="s">
        <v>11470</v>
      </c>
      <c r="BE311" s="77"/>
      <c r="BF311" s="77"/>
      <c r="BG311" s="77"/>
      <c r="BH311" s="77"/>
      <c r="BI311" s="77"/>
    </row>
    <row r="312" spans="1:61" x14ac:dyDescent="0.25">
      <c r="A312" s="62" t="s">
        <v>358</v>
      </c>
      <c r="B312" s="62" t="s">
        <v>358</v>
      </c>
      <c r="C312" s="63"/>
      <c r="D312" s="64"/>
      <c r="E312" s="65"/>
      <c r="F312" s="66"/>
      <c r="G312" s="63"/>
      <c r="H312" s="67"/>
      <c r="I312" s="68"/>
      <c r="J312" s="68"/>
      <c r="K312" s="32"/>
      <c r="L312" s="75">
        <v>312</v>
      </c>
      <c r="M312" s="75"/>
      <c r="N312" s="70"/>
      <c r="O312" s="77" t="s">
        <v>179</v>
      </c>
      <c r="P312" s="79">
        <v>44949.785069444442</v>
      </c>
      <c r="Q312" s="77" t="s">
        <v>1262</v>
      </c>
      <c r="R312" s="77">
        <v>0</v>
      </c>
      <c r="S312" s="77">
        <v>3</v>
      </c>
      <c r="T312" s="77">
        <v>0</v>
      </c>
      <c r="U312" s="77">
        <v>0</v>
      </c>
      <c r="V312" s="77">
        <v>530</v>
      </c>
      <c r="W312" s="81" t="s">
        <v>3136</v>
      </c>
      <c r="X312" s="77"/>
      <c r="Y312" s="77"/>
      <c r="Z312" s="77"/>
      <c r="AA312" s="77" t="s">
        <v>4561</v>
      </c>
      <c r="AB312" s="77" t="s">
        <v>5794</v>
      </c>
      <c r="AC312" s="81" t="s">
        <v>5805</v>
      </c>
      <c r="AD312" s="77" t="s">
        <v>5850</v>
      </c>
      <c r="AE312" s="83" t="str">
        <f>HYPERLINK("https://twitter.com/acovedi/status/1617595646470389779")</f>
        <v>https://twitter.com/acovedi/status/1617595646470389779</v>
      </c>
      <c r="AF312" s="79">
        <v>44949.785069444442</v>
      </c>
      <c r="AG312" s="85">
        <v>44949</v>
      </c>
      <c r="AH312" s="81" t="s">
        <v>6137</v>
      </c>
      <c r="AI312" s="77" t="b">
        <v>0</v>
      </c>
      <c r="AJ312" s="77"/>
      <c r="AK312" s="77"/>
      <c r="AL312" s="77"/>
      <c r="AM312" s="77"/>
      <c r="AN312" s="77"/>
      <c r="AO312" s="77"/>
      <c r="AP312" s="77"/>
      <c r="AQ312" s="77" t="s">
        <v>8064</v>
      </c>
      <c r="AR312" s="77"/>
      <c r="AS312" s="77"/>
      <c r="AT312" s="77"/>
      <c r="AU312" s="77"/>
      <c r="AV312" s="83" t="str">
        <f>HYPERLINK("https://pbs.twimg.com/media/Fm38lNHWYAADyZ_.jpg")</f>
        <v>https://pbs.twimg.com/media/Fm38lNHWYAADyZ_.jpg</v>
      </c>
      <c r="AW312" s="81" t="s">
        <v>9583</v>
      </c>
      <c r="AX312" s="81" t="s">
        <v>9583</v>
      </c>
      <c r="AY312" s="77"/>
      <c r="AZ312" s="81" t="s">
        <v>11359</v>
      </c>
      <c r="BA312" s="81" t="s">
        <v>11359</v>
      </c>
      <c r="BB312" s="81" t="s">
        <v>11359</v>
      </c>
      <c r="BC312" s="81" t="s">
        <v>9583</v>
      </c>
      <c r="BD312" s="77">
        <v>313568046</v>
      </c>
      <c r="BE312" s="77"/>
      <c r="BF312" s="77"/>
      <c r="BG312" s="77"/>
      <c r="BH312" s="77"/>
      <c r="BI312" s="77"/>
    </row>
    <row r="313" spans="1:61" x14ac:dyDescent="0.25">
      <c r="A313" s="62" t="s">
        <v>358</v>
      </c>
      <c r="B313" s="62" t="s">
        <v>358</v>
      </c>
      <c r="C313" s="63"/>
      <c r="D313" s="64"/>
      <c r="E313" s="65"/>
      <c r="F313" s="66"/>
      <c r="G313" s="63"/>
      <c r="H313" s="67"/>
      <c r="I313" s="68"/>
      <c r="J313" s="68"/>
      <c r="K313" s="32"/>
      <c r="L313" s="75">
        <v>313</v>
      </c>
      <c r="M313" s="75"/>
      <c r="N313" s="70"/>
      <c r="O313" s="77" t="s">
        <v>179</v>
      </c>
      <c r="P313" s="79">
        <v>44946.618402777778</v>
      </c>
      <c r="Q313" s="77" t="s">
        <v>1263</v>
      </c>
      <c r="R313" s="77">
        <v>0</v>
      </c>
      <c r="S313" s="77">
        <v>2</v>
      </c>
      <c r="T313" s="77">
        <v>0</v>
      </c>
      <c r="U313" s="77">
        <v>0</v>
      </c>
      <c r="V313" s="77">
        <v>38</v>
      </c>
      <c r="W313" s="81" t="s">
        <v>3137</v>
      </c>
      <c r="X313" s="77"/>
      <c r="Y313" s="77"/>
      <c r="Z313" s="77"/>
      <c r="AA313" s="77" t="s">
        <v>4562</v>
      </c>
      <c r="AB313" s="77" t="s">
        <v>5794</v>
      </c>
      <c r="AC313" s="81" t="s">
        <v>5805</v>
      </c>
      <c r="AD313" s="77" t="s">
        <v>5850</v>
      </c>
      <c r="AE313" s="83" t="str">
        <f>HYPERLINK("https://twitter.com/acovedi/status/1616448085084741634")</f>
        <v>https://twitter.com/acovedi/status/1616448085084741634</v>
      </c>
      <c r="AF313" s="79">
        <v>44946.618402777778</v>
      </c>
      <c r="AG313" s="85">
        <v>44946</v>
      </c>
      <c r="AH313" s="81" t="s">
        <v>6138</v>
      </c>
      <c r="AI313" s="77" t="b">
        <v>0</v>
      </c>
      <c r="AJ313" s="77"/>
      <c r="AK313" s="77"/>
      <c r="AL313" s="77"/>
      <c r="AM313" s="77"/>
      <c r="AN313" s="77"/>
      <c r="AO313" s="77"/>
      <c r="AP313" s="77"/>
      <c r="AQ313" s="77" t="s">
        <v>8065</v>
      </c>
      <c r="AR313" s="77"/>
      <c r="AS313" s="77"/>
      <c r="AT313" s="77"/>
      <c r="AU313" s="77"/>
      <c r="AV313" s="83" t="str">
        <f>HYPERLINK("https://pbs.twimg.com/media/FmvCOdsXwAAmol2.jpg")</f>
        <v>https://pbs.twimg.com/media/FmvCOdsXwAAmol2.jpg</v>
      </c>
      <c r="AW313" s="81" t="s">
        <v>9584</v>
      </c>
      <c r="AX313" s="81" t="s">
        <v>9584</v>
      </c>
      <c r="AY313" s="77"/>
      <c r="AZ313" s="81" t="s">
        <v>11359</v>
      </c>
      <c r="BA313" s="81" t="s">
        <v>11359</v>
      </c>
      <c r="BB313" s="81" t="s">
        <v>11359</v>
      </c>
      <c r="BC313" s="81" t="s">
        <v>9584</v>
      </c>
      <c r="BD313" s="77">
        <v>313568046</v>
      </c>
      <c r="BE313" s="77"/>
      <c r="BF313" s="77"/>
      <c r="BG313" s="77"/>
      <c r="BH313" s="77"/>
      <c r="BI313" s="77"/>
    </row>
    <row r="314" spans="1:61" x14ac:dyDescent="0.25">
      <c r="A314" s="62" t="s">
        <v>358</v>
      </c>
      <c r="B314" s="62" t="s">
        <v>358</v>
      </c>
      <c r="C314" s="63"/>
      <c r="D314" s="64"/>
      <c r="E314" s="65"/>
      <c r="F314" s="66"/>
      <c r="G314" s="63"/>
      <c r="H314" s="67"/>
      <c r="I314" s="68"/>
      <c r="J314" s="68"/>
      <c r="K314" s="32"/>
      <c r="L314" s="75">
        <v>314</v>
      </c>
      <c r="M314" s="75"/>
      <c r="N314" s="70"/>
      <c r="O314" s="77" t="s">
        <v>179</v>
      </c>
      <c r="P314" s="79">
        <v>44956.659722222219</v>
      </c>
      <c r="Q314" s="77" t="s">
        <v>1264</v>
      </c>
      <c r="R314" s="77">
        <v>0</v>
      </c>
      <c r="S314" s="77">
        <v>2</v>
      </c>
      <c r="T314" s="77">
        <v>0</v>
      </c>
      <c r="U314" s="77">
        <v>0</v>
      </c>
      <c r="V314" s="77">
        <v>281</v>
      </c>
      <c r="W314" s="81" t="s">
        <v>3138</v>
      </c>
      <c r="X314" s="77"/>
      <c r="Y314" s="77"/>
      <c r="Z314" s="77"/>
      <c r="AA314" s="77" t="s">
        <v>4563</v>
      </c>
      <c r="AB314" s="77" t="s">
        <v>5794</v>
      </c>
      <c r="AC314" s="81" t="s">
        <v>5805</v>
      </c>
      <c r="AD314" s="77" t="s">
        <v>5850</v>
      </c>
      <c r="AE314" s="83" t="str">
        <f>HYPERLINK("https://twitter.com/acovedi/status/1620086937234055172")</f>
        <v>https://twitter.com/acovedi/status/1620086937234055172</v>
      </c>
      <c r="AF314" s="79">
        <v>44956.659722222219</v>
      </c>
      <c r="AG314" s="85">
        <v>44956</v>
      </c>
      <c r="AH314" s="81" t="s">
        <v>6139</v>
      </c>
      <c r="AI314" s="77" t="b">
        <v>0</v>
      </c>
      <c r="AJ314" s="77"/>
      <c r="AK314" s="77"/>
      <c r="AL314" s="77"/>
      <c r="AM314" s="77"/>
      <c r="AN314" s="77"/>
      <c r="AO314" s="77"/>
      <c r="AP314" s="77"/>
      <c r="AQ314" s="77" t="s">
        <v>8066</v>
      </c>
      <c r="AR314" s="77"/>
      <c r="AS314" s="77"/>
      <c r="AT314" s="77"/>
      <c r="AU314" s="77"/>
      <c r="AV314" s="83" t="str">
        <f>HYPERLINK("https://pbs.twimg.com/media/FnbHS64WIBsPzK9.jpg")</f>
        <v>https://pbs.twimg.com/media/FnbHS64WIBsPzK9.jpg</v>
      </c>
      <c r="AW314" s="81" t="s">
        <v>9585</v>
      </c>
      <c r="AX314" s="81" t="s">
        <v>9585</v>
      </c>
      <c r="AY314" s="77"/>
      <c r="AZ314" s="81" t="s">
        <v>11359</v>
      </c>
      <c r="BA314" s="81" t="s">
        <v>11359</v>
      </c>
      <c r="BB314" s="81" t="s">
        <v>11359</v>
      </c>
      <c r="BC314" s="81" t="s">
        <v>9585</v>
      </c>
      <c r="BD314" s="77">
        <v>313568046</v>
      </c>
      <c r="BE314" s="77"/>
      <c r="BF314" s="77"/>
      <c r="BG314" s="77"/>
      <c r="BH314" s="77"/>
      <c r="BI314" s="77"/>
    </row>
    <row r="315" spans="1:61" x14ac:dyDescent="0.25">
      <c r="A315" s="62" t="s">
        <v>358</v>
      </c>
      <c r="B315" s="62" t="s">
        <v>358</v>
      </c>
      <c r="C315" s="63"/>
      <c r="D315" s="64"/>
      <c r="E315" s="65"/>
      <c r="F315" s="66"/>
      <c r="G315" s="63"/>
      <c r="H315" s="67"/>
      <c r="I315" s="68"/>
      <c r="J315" s="68"/>
      <c r="K315" s="32"/>
      <c r="L315" s="75">
        <v>315</v>
      </c>
      <c r="M315" s="75"/>
      <c r="N315" s="70"/>
      <c r="O315" s="77" t="s">
        <v>179</v>
      </c>
      <c r="P315" s="79">
        <v>44959.897499999999</v>
      </c>
      <c r="Q315" s="77" t="s">
        <v>1265</v>
      </c>
      <c r="R315" s="77">
        <v>0</v>
      </c>
      <c r="S315" s="77">
        <v>3</v>
      </c>
      <c r="T315" s="77">
        <v>1</v>
      </c>
      <c r="U315" s="77">
        <v>0</v>
      </c>
      <c r="V315" s="77">
        <v>327</v>
      </c>
      <c r="W315" s="81" t="s">
        <v>3139</v>
      </c>
      <c r="X315" s="77"/>
      <c r="Y315" s="77"/>
      <c r="Z315" s="77"/>
      <c r="AA315" s="77" t="s">
        <v>4564</v>
      </c>
      <c r="AB315" s="77" t="s">
        <v>5794</v>
      </c>
      <c r="AC315" s="81" t="s">
        <v>5805</v>
      </c>
      <c r="AD315" s="77" t="s">
        <v>5850</v>
      </c>
      <c r="AE315" s="83" t="str">
        <f>HYPERLINK("https://twitter.com/acovedi/status/1621260271015583750")</f>
        <v>https://twitter.com/acovedi/status/1621260271015583750</v>
      </c>
      <c r="AF315" s="79">
        <v>44959.897499999999</v>
      </c>
      <c r="AG315" s="85">
        <v>44959</v>
      </c>
      <c r="AH315" s="81" t="s">
        <v>6140</v>
      </c>
      <c r="AI315" s="77" t="b">
        <v>0</v>
      </c>
      <c r="AJ315" s="77"/>
      <c r="AK315" s="77"/>
      <c r="AL315" s="77"/>
      <c r="AM315" s="77"/>
      <c r="AN315" s="77"/>
      <c r="AO315" s="77"/>
      <c r="AP315" s="77"/>
      <c r="AQ315" s="77" t="s">
        <v>8067</v>
      </c>
      <c r="AR315" s="77"/>
      <c r="AS315" s="77"/>
      <c r="AT315" s="77"/>
      <c r="AU315" s="77"/>
      <c r="AV315" s="83" t="str">
        <f>HYPERLINK("https://pbs.twimg.com/media/Fn_e91_WAAIzRsk.jpg")</f>
        <v>https://pbs.twimg.com/media/Fn_e91_WAAIzRsk.jpg</v>
      </c>
      <c r="AW315" s="81" t="s">
        <v>9586</v>
      </c>
      <c r="AX315" s="81" t="s">
        <v>9586</v>
      </c>
      <c r="AY315" s="77"/>
      <c r="AZ315" s="81" t="s">
        <v>11359</v>
      </c>
      <c r="BA315" s="81" t="s">
        <v>11359</v>
      </c>
      <c r="BB315" s="81" t="s">
        <v>11359</v>
      </c>
      <c r="BC315" s="81" t="s">
        <v>9586</v>
      </c>
      <c r="BD315" s="77">
        <v>313568046</v>
      </c>
      <c r="BE315" s="77"/>
      <c r="BF315" s="77"/>
      <c r="BG315" s="77"/>
      <c r="BH315" s="77"/>
      <c r="BI315" s="77"/>
    </row>
    <row r="316" spans="1:61" x14ac:dyDescent="0.25">
      <c r="A316" s="62" t="s">
        <v>358</v>
      </c>
      <c r="B316" s="62" t="s">
        <v>358</v>
      </c>
      <c r="C316" s="63"/>
      <c r="D316" s="64"/>
      <c r="E316" s="65"/>
      <c r="F316" s="66"/>
      <c r="G316" s="63"/>
      <c r="H316" s="67"/>
      <c r="I316" s="68"/>
      <c r="J316" s="68"/>
      <c r="K316" s="32"/>
      <c r="L316" s="75">
        <v>316</v>
      </c>
      <c r="M316" s="75"/>
      <c r="N316" s="70"/>
      <c r="O316" s="77" t="s">
        <v>969</v>
      </c>
      <c r="P316" s="79">
        <v>44993.026701388888</v>
      </c>
      <c r="Q316" s="77" t="s">
        <v>1266</v>
      </c>
      <c r="R316" s="77">
        <v>0</v>
      </c>
      <c r="S316" s="77">
        <v>2</v>
      </c>
      <c r="T316" s="77">
        <v>0</v>
      </c>
      <c r="U316" s="77">
        <v>0</v>
      </c>
      <c r="V316" s="77">
        <v>27</v>
      </c>
      <c r="W316" s="81" t="s">
        <v>3140</v>
      </c>
      <c r="X316" s="77"/>
      <c r="Y316" s="77"/>
      <c r="Z316" s="77"/>
      <c r="AA316" s="77" t="s">
        <v>4565</v>
      </c>
      <c r="AB316" s="77" t="s">
        <v>5794</v>
      </c>
      <c r="AC316" s="81" t="s">
        <v>5805</v>
      </c>
      <c r="AD316" s="77" t="s">
        <v>5850</v>
      </c>
      <c r="AE316" s="83" t="str">
        <f>HYPERLINK("https://twitter.com/acovedi/status/1633265890362810369")</f>
        <v>https://twitter.com/acovedi/status/1633265890362810369</v>
      </c>
      <c r="AF316" s="79">
        <v>44993.026701388888</v>
      </c>
      <c r="AG316" s="85">
        <v>44993</v>
      </c>
      <c r="AH316" s="81" t="s">
        <v>6141</v>
      </c>
      <c r="AI316" s="77" t="b">
        <v>0</v>
      </c>
      <c r="AJ316" s="77"/>
      <c r="AK316" s="77"/>
      <c r="AL316" s="77"/>
      <c r="AM316" s="77"/>
      <c r="AN316" s="77"/>
      <c r="AO316" s="77"/>
      <c r="AP316" s="77"/>
      <c r="AQ316" s="77" t="s">
        <v>8068</v>
      </c>
      <c r="AR316" s="77"/>
      <c r="AS316" s="77"/>
      <c r="AT316" s="77"/>
      <c r="AU316" s="77"/>
      <c r="AV316" s="83" t="str">
        <f>HYPERLINK("https://pbs.twimg.com/media/FqqGRKQXwAAMLL6.jpg")</f>
        <v>https://pbs.twimg.com/media/FqqGRKQXwAAMLL6.jpg</v>
      </c>
      <c r="AW316" s="81" t="s">
        <v>9587</v>
      </c>
      <c r="AX316" s="81" t="s">
        <v>11257</v>
      </c>
      <c r="AY316" s="81" t="s">
        <v>11327</v>
      </c>
      <c r="AZ316" s="81" t="s">
        <v>11257</v>
      </c>
      <c r="BA316" s="81" t="s">
        <v>11359</v>
      </c>
      <c r="BB316" s="81" t="s">
        <v>11359</v>
      </c>
      <c r="BC316" s="81" t="s">
        <v>11257</v>
      </c>
      <c r="BD316" s="77">
        <v>313568046</v>
      </c>
      <c r="BE316" s="77"/>
      <c r="BF316" s="77"/>
      <c r="BG316" s="77"/>
      <c r="BH316" s="77"/>
      <c r="BI316" s="77"/>
    </row>
    <row r="317" spans="1:61" x14ac:dyDescent="0.25">
      <c r="A317" s="62" t="s">
        <v>358</v>
      </c>
      <c r="B317" s="62" t="s">
        <v>358</v>
      </c>
      <c r="C317" s="63"/>
      <c r="D317" s="64"/>
      <c r="E317" s="65"/>
      <c r="F317" s="66"/>
      <c r="G317" s="63"/>
      <c r="H317" s="67"/>
      <c r="I317" s="68"/>
      <c r="J317" s="68"/>
      <c r="K317" s="32"/>
      <c r="L317" s="75">
        <v>317</v>
      </c>
      <c r="M317" s="75"/>
      <c r="N317" s="70"/>
      <c r="O317" s="77" t="s">
        <v>179</v>
      </c>
      <c r="P317" s="79">
        <v>45007.865543981483</v>
      </c>
      <c r="Q317" s="77" t="s">
        <v>1267</v>
      </c>
      <c r="R317" s="77">
        <v>1</v>
      </c>
      <c r="S317" s="77">
        <v>2</v>
      </c>
      <c r="T317" s="77">
        <v>0</v>
      </c>
      <c r="U317" s="77">
        <v>0</v>
      </c>
      <c r="V317" s="77">
        <v>50</v>
      </c>
      <c r="W317" s="81" t="s">
        <v>3141</v>
      </c>
      <c r="X317" s="77"/>
      <c r="Y317" s="77"/>
      <c r="Z317" s="77"/>
      <c r="AA317" s="77" t="s">
        <v>4566</v>
      </c>
      <c r="AB317" s="77" t="s">
        <v>5794</v>
      </c>
      <c r="AC317" s="81" t="s">
        <v>5805</v>
      </c>
      <c r="AD317" s="77" t="s">
        <v>5850</v>
      </c>
      <c r="AE317" s="83" t="str">
        <f>HYPERLINK("https://twitter.com/acovedi/status/1638643306765733888")</f>
        <v>https://twitter.com/acovedi/status/1638643306765733888</v>
      </c>
      <c r="AF317" s="79">
        <v>45007.865543981483</v>
      </c>
      <c r="AG317" s="85">
        <v>45007</v>
      </c>
      <c r="AH317" s="81" t="s">
        <v>6142</v>
      </c>
      <c r="AI317" s="77" t="b">
        <v>0</v>
      </c>
      <c r="AJ317" s="77"/>
      <c r="AK317" s="77"/>
      <c r="AL317" s="77"/>
      <c r="AM317" s="77"/>
      <c r="AN317" s="77"/>
      <c r="AO317" s="77"/>
      <c r="AP317" s="77"/>
      <c r="AQ317" s="77" t="s">
        <v>8069</v>
      </c>
      <c r="AR317" s="77"/>
      <c r="AS317" s="77"/>
      <c r="AT317" s="77"/>
      <c r="AU317" s="77"/>
      <c r="AV317" s="83" t="str">
        <f>HYPERLINK("https://pbs.twimg.com/media/Fr2hW72X0AAoE-4.jpg")</f>
        <v>https://pbs.twimg.com/media/Fr2hW72X0AAoE-4.jpg</v>
      </c>
      <c r="AW317" s="81" t="s">
        <v>9588</v>
      </c>
      <c r="AX317" s="81" t="s">
        <v>9588</v>
      </c>
      <c r="AY317" s="77"/>
      <c r="AZ317" s="81" t="s">
        <v>11359</v>
      </c>
      <c r="BA317" s="81" t="s">
        <v>11359</v>
      </c>
      <c r="BB317" s="81" t="s">
        <v>11359</v>
      </c>
      <c r="BC317" s="81" t="s">
        <v>9588</v>
      </c>
      <c r="BD317" s="77">
        <v>313568046</v>
      </c>
      <c r="BE317" s="77"/>
      <c r="BF317" s="77"/>
      <c r="BG317" s="77"/>
      <c r="BH317" s="77"/>
      <c r="BI317" s="77"/>
    </row>
    <row r="318" spans="1:61" x14ac:dyDescent="0.25">
      <c r="A318" s="62" t="s">
        <v>359</v>
      </c>
      <c r="B318" s="62" t="s">
        <v>899</v>
      </c>
      <c r="C318" s="63"/>
      <c r="D318" s="64"/>
      <c r="E318" s="65"/>
      <c r="F318" s="66"/>
      <c r="G318" s="63"/>
      <c r="H318" s="67"/>
      <c r="I318" s="68"/>
      <c r="J318" s="68"/>
      <c r="K318" s="32"/>
      <c r="L318" s="75">
        <v>318</v>
      </c>
      <c r="M318" s="75"/>
      <c r="N318" s="70"/>
      <c r="O318" s="77" t="s">
        <v>967</v>
      </c>
      <c r="P318" s="79">
        <v>44961.78056712963</v>
      </c>
      <c r="Q318" s="77" t="s">
        <v>1268</v>
      </c>
      <c r="R318" s="77">
        <v>0</v>
      </c>
      <c r="S318" s="77">
        <v>0</v>
      </c>
      <c r="T318" s="77">
        <v>0</v>
      </c>
      <c r="U318" s="77">
        <v>0</v>
      </c>
      <c r="V318" s="77">
        <v>14</v>
      </c>
      <c r="W318" s="81" t="s">
        <v>3142</v>
      </c>
      <c r="X318" s="83" t="str">
        <f>HYPERLINK("https://abremeu.site/vOEpX")</f>
        <v>https://abremeu.site/vOEpX</v>
      </c>
      <c r="Y318" s="77" t="s">
        <v>4250</v>
      </c>
      <c r="Z318" s="77" t="s">
        <v>899</v>
      </c>
      <c r="AA318" s="77"/>
      <c r="AB318" s="77"/>
      <c r="AC318" s="81" t="s">
        <v>5824</v>
      </c>
      <c r="AD318" s="77" t="s">
        <v>5851</v>
      </c>
      <c r="AE318" s="83" t="str">
        <f>HYPERLINK("https://twitter.com/grandemomento_/status/1621942671664087041")</f>
        <v>https://twitter.com/grandemomento_/status/1621942671664087041</v>
      </c>
      <c r="AF318" s="79">
        <v>44961.78056712963</v>
      </c>
      <c r="AG318" s="85">
        <v>44961</v>
      </c>
      <c r="AH318" s="81" t="s">
        <v>6143</v>
      </c>
      <c r="AI318" s="77" t="b">
        <v>0</v>
      </c>
      <c r="AJ318" s="77"/>
      <c r="AK318" s="77"/>
      <c r="AL318" s="77"/>
      <c r="AM318" s="77"/>
      <c r="AN318" s="77"/>
      <c r="AO318" s="77"/>
      <c r="AP318" s="77"/>
      <c r="AQ318" s="77"/>
      <c r="AR318" s="77"/>
      <c r="AS318" s="77"/>
      <c r="AT318" s="77"/>
      <c r="AU318" s="77"/>
      <c r="AV318" s="83" t="str">
        <f>HYPERLINK("https://pbs.twimg.com/profile_images/1401980365414219778/OWg7vmd4_normal.jpg")</f>
        <v>https://pbs.twimg.com/profile_images/1401980365414219778/OWg7vmd4_normal.jpg</v>
      </c>
      <c r="AW318" s="81" t="s">
        <v>9589</v>
      </c>
      <c r="AX318" s="81" t="s">
        <v>9589</v>
      </c>
      <c r="AY318" s="77"/>
      <c r="AZ318" s="81" t="s">
        <v>11359</v>
      </c>
      <c r="BA318" s="81" t="s">
        <v>11359</v>
      </c>
      <c r="BB318" s="81" t="s">
        <v>11359</v>
      </c>
      <c r="BC318" s="81" t="s">
        <v>9589</v>
      </c>
      <c r="BD318" s="77">
        <v>111669550</v>
      </c>
      <c r="BE318" s="77"/>
      <c r="BF318" s="77"/>
      <c r="BG318" s="77"/>
      <c r="BH318" s="77"/>
      <c r="BI318" s="77"/>
    </row>
    <row r="319" spans="1:61" x14ac:dyDescent="0.25">
      <c r="A319" s="62" t="s">
        <v>360</v>
      </c>
      <c r="B319" s="62" t="s">
        <v>360</v>
      </c>
      <c r="C319" s="63"/>
      <c r="D319" s="64"/>
      <c r="E319" s="65"/>
      <c r="F319" s="66"/>
      <c r="G319" s="63"/>
      <c r="H319" s="67"/>
      <c r="I319" s="68"/>
      <c r="J319" s="68"/>
      <c r="K319" s="32"/>
      <c r="L319" s="75">
        <v>319</v>
      </c>
      <c r="M319" s="75"/>
      <c r="N319" s="70"/>
      <c r="O319" s="77" t="s">
        <v>179</v>
      </c>
      <c r="P319" s="79">
        <v>44963.592361111114</v>
      </c>
      <c r="Q319" s="77" t="s">
        <v>1269</v>
      </c>
      <c r="R319" s="77">
        <v>0</v>
      </c>
      <c r="S319" s="77">
        <v>3</v>
      </c>
      <c r="T319" s="77">
        <v>0</v>
      </c>
      <c r="U319" s="77">
        <v>0</v>
      </c>
      <c r="V319" s="77">
        <v>83</v>
      </c>
      <c r="W319" s="81" t="s">
        <v>3143</v>
      </c>
      <c r="X319" s="83" t="str">
        <f>HYPERLINK("https://www.facebook.com/El-Informal-de-Mexico-107138221988254")</f>
        <v>https://www.facebook.com/El-Informal-de-Mexico-107138221988254</v>
      </c>
      <c r="Y319" s="77" t="s">
        <v>4251</v>
      </c>
      <c r="Z319" s="77"/>
      <c r="AA319" s="77" t="s">
        <v>4567</v>
      </c>
      <c r="AB319" s="77" t="s">
        <v>5794</v>
      </c>
      <c r="AC319" s="81" t="s">
        <v>5805</v>
      </c>
      <c r="AD319" s="77" t="s">
        <v>5850</v>
      </c>
      <c r="AE319" s="83" t="str">
        <f>HYPERLINK("https://twitter.com/deinformal/status/1622599241268097025")</f>
        <v>https://twitter.com/deinformal/status/1622599241268097025</v>
      </c>
      <c r="AF319" s="79">
        <v>44963.592361111114</v>
      </c>
      <c r="AG319" s="85">
        <v>44963</v>
      </c>
      <c r="AH319" s="81" t="s">
        <v>6144</v>
      </c>
      <c r="AI319" s="77" t="b">
        <v>0</v>
      </c>
      <c r="AJ319" s="77"/>
      <c r="AK319" s="77"/>
      <c r="AL319" s="77"/>
      <c r="AM319" s="77"/>
      <c r="AN319" s="77"/>
      <c r="AO319" s="77"/>
      <c r="AP319" s="77"/>
      <c r="AQ319" s="77" t="s">
        <v>8070</v>
      </c>
      <c r="AR319" s="77"/>
      <c r="AS319" s="77"/>
      <c r="AT319" s="77"/>
      <c r="AU319" s="77"/>
      <c r="AV319" s="83" t="str">
        <f>HYPERLINK("https://pbs.twimg.com/media/FnvyVo9XoAsnalw.jpg")</f>
        <v>https://pbs.twimg.com/media/FnvyVo9XoAsnalw.jpg</v>
      </c>
      <c r="AW319" s="81" t="s">
        <v>9590</v>
      </c>
      <c r="AX319" s="81" t="s">
        <v>9590</v>
      </c>
      <c r="AY319" s="77"/>
      <c r="AZ319" s="81" t="s">
        <v>11359</v>
      </c>
      <c r="BA319" s="81" t="s">
        <v>11359</v>
      </c>
      <c r="BB319" s="81" t="s">
        <v>11359</v>
      </c>
      <c r="BC319" s="81" t="s">
        <v>9590</v>
      </c>
      <c r="BD319" s="81" t="s">
        <v>11471</v>
      </c>
      <c r="BE319" s="77"/>
      <c r="BF319" s="77"/>
      <c r="BG319" s="77"/>
      <c r="BH319" s="77"/>
      <c r="BI319" s="77"/>
    </row>
    <row r="320" spans="1:61" x14ac:dyDescent="0.25">
      <c r="A320" s="62" t="s">
        <v>361</v>
      </c>
      <c r="B320" s="62" t="s">
        <v>361</v>
      </c>
      <c r="C320" s="63"/>
      <c r="D320" s="64"/>
      <c r="E320" s="65"/>
      <c r="F320" s="66"/>
      <c r="G320" s="63"/>
      <c r="H320" s="67"/>
      <c r="I320" s="68"/>
      <c r="J320" s="68"/>
      <c r="K320" s="32"/>
      <c r="L320" s="75">
        <v>320</v>
      </c>
      <c r="M320" s="75"/>
      <c r="N320" s="70"/>
      <c r="O320" s="77" t="s">
        <v>969</v>
      </c>
      <c r="P320" s="79">
        <v>45162.708067129628</v>
      </c>
      <c r="Q320" s="77" t="s">
        <v>1270</v>
      </c>
      <c r="R320" s="77">
        <v>0</v>
      </c>
      <c r="S320" s="77">
        <v>0</v>
      </c>
      <c r="T320" s="77">
        <v>0</v>
      </c>
      <c r="U320" s="77">
        <v>0</v>
      </c>
      <c r="V320" s="77">
        <v>72</v>
      </c>
      <c r="W320" s="81" t="s">
        <v>2947</v>
      </c>
      <c r="X320" s="77"/>
      <c r="Y320" s="77"/>
      <c r="Z320" s="77"/>
      <c r="AA320" s="77"/>
      <c r="AB320" s="77"/>
      <c r="AC320" s="81" t="s">
        <v>5801</v>
      </c>
      <c r="AD320" s="77" t="s">
        <v>5854</v>
      </c>
      <c r="AE320" s="83" t="str">
        <f>HYPERLINK("https://twitter.com/vavaarthur/status/1694756357478490353")</f>
        <v>https://twitter.com/vavaarthur/status/1694756357478490353</v>
      </c>
      <c r="AF320" s="79">
        <v>45162.708067129628</v>
      </c>
      <c r="AG320" s="85">
        <v>45162</v>
      </c>
      <c r="AH320" s="81" t="s">
        <v>6145</v>
      </c>
      <c r="AI320" s="77"/>
      <c r="AJ320" s="77"/>
      <c r="AK320" s="77"/>
      <c r="AL320" s="77"/>
      <c r="AM320" s="77"/>
      <c r="AN320" s="77"/>
      <c r="AO320" s="77"/>
      <c r="AP320" s="77"/>
      <c r="AQ320" s="77"/>
      <c r="AR320" s="77"/>
      <c r="AS320" s="77"/>
      <c r="AT320" s="77"/>
      <c r="AU320" s="77"/>
      <c r="AV320" s="83" t="str">
        <f>HYPERLINK("https://pbs.twimg.com/profile_images/1706699954155061249/2k1U1j1j_normal.jpg")</f>
        <v>https://pbs.twimg.com/profile_images/1706699954155061249/2k1U1j1j_normal.jpg</v>
      </c>
      <c r="AW320" s="81" t="s">
        <v>9591</v>
      </c>
      <c r="AX320" s="81" t="s">
        <v>11258</v>
      </c>
      <c r="AY320" s="81" t="s">
        <v>11328</v>
      </c>
      <c r="AZ320" s="81" t="s">
        <v>11258</v>
      </c>
      <c r="BA320" s="81" t="s">
        <v>11359</v>
      </c>
      <c r="BB320" s="81" t="s">
        <v>11359</v>
      </c>
      <c r="BC320" s="81" t="s">
        <v>11258</v>
      </c>
      <c r="BD320" s="81" t="s">
        <v>11328</v>
      </c>
      <c r="BE320" s="77"/>
      <c r="BF320" s="77"/>
      <c r="BG320" s="77"/>
      <c r="BH320" s="77"/>
      <c r="BI320" s="77"/>
    </row>
    <row r="321" spans="1:61" x14ac:dyDescent="0.25">
      <c r="A321" s="62" t="s">
        <v>362</v>
      </c>
      <c r="B321" s="62" t="s">
        <v>362</v>
      </c>
      <c r="C321" s="63"/>
      <c r="D321" s="64"/>
      <c r="E321" s="65"/>
      <c r="F321" s="66"/>
      <c r="G321" s="63"/>
      <c r="H321" s="67"/>
      <c r="I321" s="68"/>
      <c r="J321" s="68"/>
      <c r="K321" s="32"/>
      <c r="L321" s="75">
        <v>321</v>
      </c>
      <c r="M321" s="75"/>
      <c r="N321" s="70"/>
      <c r="O321" s="77" t="s">
        <v>969</v>
      </c>
      <c r="P321" s="79">
        <v>44946.715601851851</v>
      </c>
      <c r="Q321" s="77" t="s">
        <v>1271</v>
      </c>
      <c r="R321" s="77">
        <v>0</v>
      </c>
      <c r="S321" s="77">
        <v>0</v>
      </c>
      <c r="T321" s="77">
        <v>0</v>
      </c>
      <c r="U321" s="77">
        <v>0</v>
      </c>
      <c r="V321" s="77">
        <v>156</v>
      </c>
      <c r="W321" s="81" t="s">
        <v>3033</v>
      </c>
      <c r="X321" s="83" t="str">
        <f>HYPERLINK("https://talentoverde.com/oferta/gaia-servicios-ambientales-s-a-s-cali-tiempocompleto-vendedor-a-cali/")</f>
        <v>https://talentoverde.com/oferta/gaia-servicios-ambientales-s-a-s-cali-tiempocompleto-vendedor-a-cali/</v>
      </c>
      <c r="Y321" s="77" t="s">
        <v>4233</v>
      </c>
      <c r="Z321" s="77" t="s">
        <v>4364</v>
      </c>
      <c r="AA321" s="77"/>
      <c r="AB321" s="77"/>
      <c r="AC321" s="81" t="s">
        <v>5801</v>
      </c>
      <c r="AD321" s="77" t="s">
        <v>5850</v>
      </c>
      <c r="AE321" s="83" t="str">
        <f>HYPERLINK("https://twitter.com/talentoverdeco/status/1616483309587922967")</f>
        <v>https://twitter.com/talentoverdeco/status/1616483309587922967</v>
      </c>
      <c r="AF321" s="79">
        <v>44946.715601851851</v>
      </c>
      <c r="AG321" s="85">
        <v>44946</v>
      </c>
      <c r="AH321" s="81" t="s">
        <v>6146</v>
      </c>
      <c r="AI321" s="77" t="b">
        <v>0</v>
      </c>
      <c r="AJ321" s="77"/>
      <c r="AK321" s="77"/>
      <c r="AL321" s="77"/>
      <c r="AM321" s="77"/>
      <c r="AN321" s="77"/>
      <c r="AO321" s="77"/>
      <c r="AP321" s="77"/>
      <c r="AQ321" s="77"/>
      <c r="AR321" s="77"/>
      <c r="AS321" s="77"/>
      <c r="AT321" s="77"/>
      <c r="AU321" s="77"/>
      <c r="AV321" s="83" t="str">
        <f>HYPERLINK("https://pbs.twimg.com/profile_images/1010249344564555777/dQ0fpKdo_normal.jpg")</f>
        <v>https://pbs.twimg.com/profile_images/1010249344564555777/dQ0fpKdo_normal.jpg</v>
      </c>
      <c r="AW321" s="81" t="s">
        <v>9592</v>
      </c>
      <c r="AX321" s="81" t="s">
        <v>11259</v>
      </c>
      <c r="AY321" s="81" t="s">
        <v>11329</v>
      </c>
      <c r="AZ321" s="81" t="s">
        <v>11259</v>
      </c>
      <c r="BA321" s="81" t="s">
        <v>11359</v>
      </c>
      <c r="BB321" s="81" t="s">
        <v>11359</v>
      </c>
      <c r="BC321" s="81" t="s">
        <v>11259</v>
      </c>
      <c r="BD321" s="81" t="s">
        <v>11329</v>
      </c>
      <c r="BE321" s="77"/>
      <c r="BF321" s="77"/>
      <c r="BG321" s="77"/>
      <c r="BH321" s="77"/>
      <c r="BI321" s="77"/>
    </row>
    <row r="322" spans="1:61" x14ac:dyDescent="0.25">
      <c r="A322" s="62" t="s">
        <v>362</v>
      </c>
      <c r="B322" s="62" t="s">
        <v>362</v>
      </c>
      <c r="C322" s="63"/>
      <c r="D322" s="64"/>
      <c r="E322" s="65"/>
      <c r="F322" s="66"/>
      <c r="G322" s="63"/>
      <c r="H322" s="67"/>
      <c r="I322" s="68"/>
      <c r="J322" s="68"/>
      <c r="K322" s="32"/>
      <c r="L322" s="75">
        <v>322</v>
      </c>
      <c r="M322" s="75"/>
      <c r="N322" s="70"/>
      <c r="O322" s="77" t="s">
        <v>969</v>
      </c>
      <c r="P322" s="79">
        <v>45184.689120370371</v>
      </c>
      <c r="Q322" s="77" t="s">
        <v>1272</v>
      </c>
      <c r="R322" s="77">
        <v>0</v>
      </c>
      <c r="S322" s="77">
        <v>0</v>
      </c>
      <c r="T322" s="77">
        <v>0</v>
      </c>
      <c r="U322" s="77">
        <v>0</v>
      </c>
      <c r="V322" s="77">
        <v>58</v>
      </c>
      <c r="W322" s="81" t="s">
        <v>3144</v>
      </c>
      <c r="X322" s="83" t="str">
        <f>HYPERLINK("https://talentoverde.com/oferta/two-glass-cali-freelance-vendedor-freelance/")</f>
        <v>https://talentoverde.com/oferta/two-glass-cali-freelance-vendedor-freelance/</v>
      </c>
      <c r="Y322" s="77" t="s">
        <v>4233</v>
      </c>
      <c r="Z322" s="77"/>
      <c r="AA322" s="77"/>
      <c r="AB322" s="77"/>
      <c r="AC322" s="81" t="s">
        <v>5801</v>
      </c>
      <c r="AD322" s="77" t="s">
        <v>5850</v>
      </c>
      <c r="AE322" s="83" t="str">
        <f>HYPERLINK("https://twitter.com/talentoverdeco/status/1702722023623925897")</f>
        <v>https://twitter.com/talentoverdeco/status/1702722023623925897</v>
      </c>
      <c r="AF322" s="79">
        <v>45184.689120370371</v>
      </c>
      <c r="AG322" s="85">
        <v>45184</v>
      </c>
      <c r="AH322" s="81" t="s">
        <v>6147</v>
      </c>
      <c r="AI322" s="77" t="b">
        <v>0</v>
      </c>
      <c r="AJ322" s="77"/>
      <c r="AK322" s="77"/>
      <c r="AL322" s="77"/>
      <c r="AM322" s="77"/>
      <c r="AN322" s="77"/>
      <c r="AO322" s="77"/>
      <c r="AP322" s="77"/>
      <c r="AQ322" s="77"/>
      <c r="AR322" s="77"/>
      <c r="AS322" s="77"/>
      <c r="AT322" s="77"/>
      <c r="AU322" s="77"/>
      <c r="AV322" s="83" t="str">
        <f>HYPERLINK("https://pbs.twimg.com/profile_images/1010249344564555777/dQ0fpKdo_normal.jpg")</f>
        <v>https://pbs.twimg.com/profile_images/1010249344564555777/dQ0fpKdo_normal.jpg</v>
      </c>
      <c r="AW322" s="81" t="s">
        <v>9593</v>
      </c>
      <c r="AX322" s="81" t="s">
        <v>11260</v>
      </c>
      <c r="AY322" s="81" t="s">
        <v>11329</v>
      </c>
      <c r="AZ322" s="81" t="s">
        <v>11260</v>
      </c>
      <c r="BA322" s="81" t="s">
        <v>11359</v>
      </c>
      <c r="BB322" s="81" t="s">
        <v>11359</v>
      </c>
      <c r="BC322" s="81" t="s">
        <v>11260</v>
      </c>
      <c r="BD322" s="81" t="s">
        <v>11329</v>
      </c>
      <c r="BE322" s="77"/>
      <c r="BF322" s="77"/>
      <c r="BG322" s="77"/>
      <c r="BH322" s="77"/>
      <c r="BI322" s="77"/>
    </row>
    <row r="323" spans="1:61" x14ac:dyDescent="0.25">
      <c r="A323" s="62" t="s">
        <v>363</v>
      </c>
      <c r="B323" s="62" t="s">
        <v>363</v>
      </c>
      <c r="C323" s="63"/>
      <c r="D323" s="64"/>
      <c r="E323" s="65"/>
      <c r="F323" s="66"/>
      <c r="G323" s="63"/>
      <c r="H323" s="67"/>
      <c r="I323" s="68"/>
      <c r="J323" s="68"/>
      <c r="K323" s="32"/>
      <c r="L323" s="75">
        <v>323</v>
      </c>
      <c r="M323" s="75"/>
      <c r="N323" s="70"/>
      <c r="O323" s="77" t="s">
        <v>179</v>
      </c>
      <c r="P323" s="79">
        <v>44931.604513888888</v>
      </c>
      <c r="Q323" s="77" t="s">
        <v>1273</v>
      </c>
      <c r="R323" s="77">
        <v>1</v>
      </c>
      <c r="S323" s="77">
        <v>1</v>
      </c>
      <c r="T323" s="77">
        <v>0</v>
      </c>
      <c r="U323" s="77">
        <v>0</v>
      </c>
      <c r="V323" s="77">
        <v>11</v>
      </c>
      <c r="W323" s="81" t="s">
        <v>2947</v>
      </c>
      <c r="X323" s="83" t="str">
        <f>HYPERLINK("https://meetlineup.com/blog/redefiniendo-la-palabra-vendedor/")</f>
        <v>https://meetlineup.com/blog/redefiniendo-la-palabra-vendedor/</v>
      </c>
      <c r="Y323" s="77" t="s">
        <v>4252</v>
      </c>
      <c r="Z323" s="77"/>
      <c r="AA323" s="77" t="s">
        <v>4568</v>
      </c>
      <c r="AB323" s="77" t="s">
        <v>5795</v>
      </c>
      <c r="AC323" s="81" t="s">
        <v>5805</v>
      </c>
      <c r="AD323" s="77" t="s">
        <v>5850</v>
      </c>
      <c r="AE323" s="83" t="str">
        <f>HYPERLINK("https://twitter.com/meetlineup/status/1611007235387281408")</f>
        <v>https://twitter.com/meetlineup/status/1611007235387281408</v>
      </c>
      <c r="AF323" s="79">
        <v>44931.604513888888</v>
      </c>
      <c r="AG323" s="85">
        <v>44931</v>
      </c>
      <c r="AH323" s="81" t="s">
        <v>6148</v>
      </c>
      <c r="AI323" s="77" t="b">
        <v>0</v>
      </c>
      <c r="AJ323" s="77"/>
      <c r="AK323" s="77"/>
      <c r="AL323" s="77"/>
      <c r="AM323" s="77"/>
      <c r="AN323" s="77"/>
      <c r="AO323" s="77"/>
      <c r="AP323" s="77"/>
      <c r="AQ323" s="77" t="s">
        <v>8071</v>
      </c>
      <c r="AR323" s="77">
        <v>57233</v>
      </c>
      <c r="AS323" s="77"/>
      <c r="AT323" s="77"/>
      <c r="AU323" s="77"/>
      <c r="AV323" s="83" t="str">
        <f>HYPERLINK("https://pbs.twimg.com/ext_tw_video_thumb/1610408179581452289/pu/img/HWKMXoAAd3orfhDt.jpg")</f>
        <v>https://pbs.twimg.com/ext_tw_video_thumb/1610408179581452289/pu/img/HWKMXoAAd3orfhDt.jpg</v>
      </c>
      <c r="AW323" s="81" t="s">
        <v>9594</v>
      </c>
      <c r="AX323" s="81" t="s">
        <v>9594</v>
      </c>
      <c r="AY323" s="77"/>
      <c r="AZ323" s="81" t="s">
        <v>11359</v>
      </c>
      <c r="BA323" s="81" t="s">
        <v>11359</v>
      </c>
      <c r="BB323" s="81" t="s">
        <v>11359</v>
      </c>
      <c r="BC323" s="81" t="s">
        <v>9594</v>
      </c>
      <c r="BD323" s="81" t="s">
        <v>11472</v>
      </c>
      <c r="BE323" s="77"/>
      <c r="BF323" s="77"/>
      <c r="BG323" s="77"/>
      <c r="BH323" s="77"/>
      <c r="BI323" s="77"/>
    </row>
    <row r="324" spans="1:61" x14ac:dyDescent="0.25">
      <c r="A324" s="62" t="s">
        <v>363</v>
      </c>
      <c r="B324" s="62" t="s">
        <v>363</v>
      </c>
      <c r="C324" s="63"/>
      <c r="D324" s="64"/>
      <c r="E324" s="65"/>
      <c r="F324" s="66"/>
      <c r="G324" s="63"/>
      <c r="H324" s="67"/>
      <c r="I324" s="68"/>
      <c r="J324" s="68"/>
      <c r="K324" s="32"/>
      <c r="L324" s="75">
        <v>324</v>
      </c>
      <c r="M324" s="75"/>
      <c r="N324" s="70"/>
      <c r="O324" s="77" t="s">
        <v>179</v>
      </c>
      <c r="P324" s="79">
        <v>44980.74732638889</v>
      </c>
      <c r="Q324" s="77" t="s">
        <v>1274</v>
      </c>
      <c r="R324" s="77">
        <v>0</v>
      </c>
      <c r="S324" s="77">
        <v>0</v>
      </c>
      <c r="T324" s="77">
        <v>0</v>
      </c>
      <c r="U324" s="77">
        <v>0</v>
      </c>
      <c r="V324" s="77">
        <v>12</v>
      </c>
      <c r="W324" s="81" t="s">
        <v>3145</v>
      </c>
      <c r="X324" s="83" t="str">
        <f>HYPERLINK("https://meetlineup.com/blog/santiago-sanmiguel-la-educacion-como-herramienta-para-vender-siendo-abogado/")</f>
        <v>https://meetlineup.com/blog/santiago-sanmiguel-la-educacion-como-herramienta-para-vender-siendo-abogado/</v>
      </c>
      <c r="Y324" s="77" t="s">
        <v>4252</v>
      </c>
      <c r="Z324" s="77"/>
      <c r="AA324" s="77" t="s">
        <v>4569</v>
      </c>
      <c r="AB324" s="77" t="s">
        <v>5795</v>
      </c>
      <c r="AC324" s="81" t="s">
        <v>5805</v>
      </c>
      <c r="AD324" s="77" t="s">
        <v>5850</v>
      </c>
      <c r="AE324" s="83" t="str">
        <f>HYPERLINK("https://twitter.com/meetlineup/status/1628815991709868035")</f>
        <v>https://twitter.com/meetlineup/status/1628815991709868035</v>
      </c>
      <c r="AF324" s="79">
        <v>44980.74732638889</v>
      </c>
      <c r="AG324" s="85">
        <v>44980</v>
      </c>
      <c r="AH324" s="81" t="s">
        <v>6149</v>
      </c>
      <c r="AI324" s="77" t="b">
        <v>0</v>
      </c>
      <c r="AJ324" s="77"/>
      <c r="AK324" s="77"/>
      <c r="AL324" s="77"/>
      <c r="AM324" s="77"/>
      <c r="AN324" s="77"/>
      <c r="AO324" s="77"/>
      <c r="AP324" s="77"/>
      <c r="AQ324" s="77" t="s">
        <v>8072</v>
      </c>
      <c r="AR324" s="77">
        <v>32000</v>
      </c>
      <c r="AS324" s="77"/>
      <c r="AT324" s="77"/>
      <c r="AU324" s="77"/>
      <c r="AV324" s="83" t="str">
        <f>HYPERLINK("https://pbs.twimg.com/ext_tw_video_thumb/1628815167386427393/pu/img/cne9EW8RZmkpJ_Ix.jpg")</f>
        <v>https://pbs.twimg.com/ext_tw_video_thumb/1628815167386427393/pu/img/cne9EW8RZmkpJ_Ix.jpg</v>
      </c>
      <c r="AW324" s="81" t="s">
        <v>9595</v>
      </c>
      <c r="AX324" s="81" t="s">
        <v>9595</v>
      </c>
      <c r="AY324" s="77"/>
      <c r="AZ324" s="81" t="s">
        <v>11359</v>
      </c>
      <c r="BA324" s="81" t="s">
        <v>11359</v>
      </c>
      <c r="BB324" s="81" t="s">
        <v>11359</v>
      </c>
      <c r="BC324" s="81" t="s">
        <v>9595</v>
      </c>
      <c r="BD324" s="81" t="s">
        <v>11472</v>
      </c>
      <c r="BE324" s="77"/>
      <c r="BF324" s="77"/>
      <c r="BG324" s="77"/>
      <c r="BH324" s="77"/>
      <c r="BI324" s="77"/>
    </row>
    <row r="325" spans="1:61" x14ac:dyDescent="0.25">
      <c r="A325" s="62" t="s">
        <v>364</v>
      </c>
      <c r="B325" s="62" t="s">
        <v>364</v>
      </c>
      <c r="C325" s="63"/>
      <c r="D325" s="64"/>
      <c r="E325" s="65"/>
      <c r="F325" s="66"/>
      <c r="G325" s="63"/>
      <c r="H325" s="67"/>
      <c r="I325" s="68"/>
      <c r="J325" s="68"/>
      <c r="K325" s="32"/>
      <c r="L325" s="75">
        <v>325</v>
      </c>
      <c r="M325" s="75"/>
      <c r="N325" s="70"/>
      <c r="O325" s="77" t="s">
        <v>179</v>
      </c>
      <c r="P325" s="79">
        <v>44980.640694444446</v>
      </c>
      <c r="Q325" s="77" t="s">
        <v>1275</v>
      </c>
      <c r="R325" s="77">
        <v>0</v>
      </c>
      <c r="S325" s="77">
        <v>0</v>
      </c>
      <c r="T325" s="77">
        <v>0</v>
      </c>
      <c r="U325" s="77">
        <v>0</v>
      </c>
      <c r="V325" s="77">
        <v>52</v>
      </c>
      <c r="W325" s="81" t="s">
        <v>3146</v>
      </c>
      <c r="X325" s="77"/>
      <c r="Y325" s="77"/>
      <c r="Z325" s="77"/>
      <c r="AA325" s="77" t="s">
        <v>4570</v>
      </c>
      <c r="AB325" s="77" t="s">
        <v>5798</v>
      </c>
      <c r="AC325" s="81" t="s">
        <v>5805</v>
      </c>
      <c r="AD325" s="77" t="s">
        <v>5850</v>
      </c>
      <c r="AE325" s="83" t="str">
        <f>HYPERLINK("https://twitter.com/calfermx/status/1628777351332134912")</f>
        <v>https://twitter.com/calfermx/status/1628777351332134912</v>
      </c>
      <c r="AF325" s="79">
        <v>44980.640694444446</v>
      </c>
      <c r="AG325" s="85">
        <v>44980</v>
      </c>
      <c r="AH325" s="81" t="s">
        <v>6150</v>
      </c>
      <c r="AI325" s="77" t="b">
        <v>0</v>
      </c>
      <c r="AJ325" s="77"/>
      <c r="AK325" s="77"/>
      <c r="AL325" s="77"/>
      <c r="AM325" s="77"/>
      <c r="AN325" s="77"/>
      <c r="AO325" s="77"/>
      <c r="AP325" s="77"/>
      <c r="AQ325" s="77" t="s">
        <v>8073</v>
      </c>
      <c r="AR325" s="77"/>
      <c r="AS325" s="77"/>
      <c r="AT325" s="77"/>
      <c r="AU325" s="77"/>
      <c r="AV325" s="83" t="str">
        <f>HYPERLINK("https://pbs.twimg.com/media/FpqUWBhXgAQ-UD8.jpg")</f>
        <v>https://pbs.twimg.com/media/FpqUWBhXgAQ-UD8.jpg</v>
      </c>
      <c r="AW325" s="81" t="s">
        <v>9596</v>
      </c>
      <c r="AX325" s="81" t="s">
        <v>9596</v>
      </c>
      <c r="AY325" s="77"/>
      <c r="AZ325" s="81" t="s">
        <v>11359</v>
      </c>
      <c r="BA325" s="81" t="s">
        <v>11359</v>
      </c>
      <c r="BB325" s="81" t="s">
        <v>11359</v>
      </c>
      <c r="BC325" s="81" t="s">
        <v>9596</v>
      </c>
      <c r="BD325" s="77">
        <v>1470083264</v>
      </c>
      <c r="BE325" s="77"/>
      <c r="BF325" s="77"/>
      <c r="BG325" s="77"/>
      <c r="BH325" s="77"/>
      <c r="BI325" s="77"/>
    </row>
    <row r="326" spans="1:61" x14ac:dyDescent="0.25">
      <c r="A326" s="62" t="s">
        <v>365</v>
      </c>
      <c r="B326" s="62" t="s">
        <v>365</v>
      </c>
      <c r="C326" s="63"/>
      <c r="D326" s="64"/>
      <c r="E326" s="65"/>
      <c r="F326" s="66"/>
      <c r="G326" s="63"/>
      <c r="H326" s="67"/>
      <c r="I326" s="68"/>
      <c r="J326" s="68"/>
      <c r="K326" s="32"/>
      <c r="L326" s="75">
        <v>326</v>
      </c>
      <c r="M326" s="75"/>
      <c r="N326" s="70"/>
      <c r="O326" s="77" t="s">
        <v>179</v>
      </c>
      <c r="P326" s="79">
        <v>45098.690254629626</v>
      </c>
      <c r="Q326" s="77" t="s">
        <v>1276</v>
      </c>
      <c r="R326" s="77">
        <v>0</v>
      </c>
      <c r="S326" s="77">
        <v>0</v>
      </c>
      <c r="T326" s="77">
        <v>0</v>
      </c>
      <c r="U326" s="77">
        <v>0</v>
      </c>
      <c r="V326" s="77">
        <v>111</v>
      </c>
      <c r="W326" s="81" t="s">
        <v>3147</v>
      </c>
      <c r="X326" s="77"/>
      <c r="Y326" s="77"/>
      <c r="Z326" s="77"/>
      <c r="AA326" s="77" t="s">
        <v>4571</v>
      </c>
      <c r="AB326" s="77" t="s">
        <v>5794</v>
      </c>
      <c r="AC326" s="81" t="s">
        <v>5805</v>
      </c>
      <c r="AD326" s="77" t="s">
        <v>5850</v>
      </c>
      <c r="AE326" s="83" t="str">
        <f>HYPERLINK("https://twitter.com/mooreecuador/status/1671557079453118464")</f>
        <v>https://twitter.com/mooreecuador/status/1671557079453118464</v>
      </c>
      <c r="AF326" s="79">
        <v>45098.690254629626</v>
      </c>
      <c r="AG326" s="85">
        <v>45098</v>
      </c>
      <c r="AH326" s="81" t="s">
        <v>6151</v>
      </c>
      <c r="AI326" s="77" t="b">
        <v>0</v>
      </c>
      <c r="AJ326" s="77"/>
      <c r="AK326" s="77"/>
      <c r="AL326" s="77"/>
      <c r="AM326" s="77"/>
      <c r="AN326" s="77"/>
      <c r="AO326" s="77"/>
      <c r="AP326" s="77"/>
      <c r="AQ326" s="77" t="s">
        <v>8074</v>
      </c>
      <c r="AR326" s="77"/>
      <c r="AS326" s="77"/>
      <c r="AT326" s="77"/>
      <c r="AU326" s="77"/>
      <c r="AV326" s="83" t="str">
        <f>HYPERLINK("https://pbs.twimg.com/media/FzKQOxGXwAEb3py.jpg")</f>
        <v>https://pbs.twimg.com/media/FzKQOxGXwAEb3py.jpg</v>
      </c>
      <c r="AW326" s="81" t="s">
        <v>9597</v>
      </c>
      <c r="AX326" s="81" t="s">
        <v>9597</v>
      </c>
      <c r="AY326" s="77"/>
      <c r="AZ326" s="81" t="s">
        <v>11359</v>
      </c>
      <c r="BA326" s="81" t="s">
        <v>11359</v>
      </c>
      <c r="BB326" s="81" t="s">
        <v>11359</v>
      </c>
      <c r="BC326" s="81" t="s">
        <v>9597</v>
      </c>
      <c r="BD326" s="81" t="s">
        <v>11473</v>
      </c>
      <c r="BE326" s="77"/>
      <c r="BF326" s="77"/>
      <c r="BG326" s="77"/>
      <c r="BH326" s="77"/>
      <c r="BI326" s="77"/>
    </row>
    <row r="327" spans="1:61" x14ac:dyDescent="0.25">
      <c r="A327" s="62" t="s">
        <v>365</v>
      </c>
      <c r="B327" s="62" t="s">
        <v>365</v>
      </c>
      <c r="C327" s="63"/>
      <c r="D327" s="64"/>
      <c r="E327" s="65"/>
      <c r="F327" s="66"/>
      <c r="G327" s="63"/>
      <c r="H327" s="67"/>
      <c r="I327" s="68"/>
      <c r="J327" s="68"/>
      <c r="K327" s="32"/>
      <c r="L327" s="75">
        <v>327</v>
      </c>
      <c r="M327" s="75"/>
      <c r="N327" s="70"/>
      <c r="O327" s="77" t="s">
        <v>179</v>
      </c>
      <c r="P327" s="79">
        <v>45097.908900462964</v>
      </c>
      <c r="Q327" s="77" t="s">
        <v>1277</v>
      </c>
      <c r="R327" s="77">
        <v>0</v>
      </c>
      <c r="S327" s="77">
        <v>0</v>
      </c>
      <c r="T327" s="77">
        <v>0</v>
      </c>
      <c r="U327" s="77">
        <v>0</v>
      </c>
      <c r="V327" s="77">
        <v>70</v>
      </c>
      <c r="W327" s="81" t="s">
        <v>3147</v>
      </c>
      <c r="X327" s="77"/>
      <c r="Y327" s="77"/>
      <c r="Z327" s="77"/>
      <c r="AA327" s="77" t="s">
        <v>4572</v>
      </c>
      <c r="AB327" s="77" t="s">
        <v>5794</v>
      </c>
      <c r="AC327" s="81" t="s">
        <v>5803</v>
      </c>
      <c r="AD327" s="77" t="s">
        <v>5850</v>
      </c>
      <c r="AE327" s="83" t="str">
        <f>HYPERLINK("https://twitter.com/mooreecuador/status/1671273926826119168")</f>
        <v>https://twitter.com/mooreecuador/status/1671273926826119168</v>
      </c>
      <c r="AF327" s="79">
        <v>45097.908900462964</v>
      </c>
      <c r="AG327" s="85">
        <v>45097</v>
      </c>
      <c r="AH327" s="81" t="s">
        <v>6152</v>
      </c>
      <c r="AI327" s="77" t="b">
        <v>0</v>
      </c>
      <c r="AJ327" s="77"/>
      <c r="AK327" s="77"/>
      <c r="AL327" s="77"/>
      <c r="AM327" s="77"/>
      <c r="AN327" s="77"/>
      <c r="AO327" s="77"/>
      <c r="AP327" s="77"/>
      <c r="AQ327" s="77" t="s">
        <v>8075</v>
      </c>
      <c r="AR327" s="77"/>
      <c r="AS327" s="77"/>
      <c r="AT327" s="77"/>
      <c r="AU327" s="77"/>
      <c r="AV327" s="83" t="str">
        <f>HYPERLINK("https://pbs.twimg.com/media/FzGOxW-WIAMr_b7.jpg")</f>
        <v>https://pbs.twimg.com/media/FzGOxW-WIAMr_b7.jpg</v>
      </c>
      <c r="AW327" s="81" t="s">
        <v>9598</v>
      </c>
      <c r="AX327" s="81" t="s">
        <v>9598</v>
      </c>
      <c r="AY327" s="77"/>
      <c r="AZ327" s="81" t="s">
        <v>11359</v>
      </c>
      <c r="BA327" s="81" t="s">
        <v>11359</v>
      </c>
      <c r="BB327" s="81" t="s">
        <v>11359</v>
      </c>
      <c r="BC327" s="81" t="s">
        <v>9598</v>
      </c>
      <c r="BD327" s="81" t="s">
        <v>11473</v>
      </c>
      <c r="BE327" s="77"/>
      <c r="BF327" s="77"/>
      <c r="BG327" s="77"/>
      <c r="BH327" s="77"/>
      <c r="BI327" s="77"/>
    </row>
    <row r="328" spans="1:61" x14ac:dyDescent="0.25">
      <c r="A328" s="62" t="s">
        <v>366</v>
      </c>
      <c r="B328" s="62" t="s">
        <v>366</v>
      </c>
      <c r="C328" s="63"/>
      <c r="D328" s="64"/>
      <c r="E328" s="65"/>
      <c r="F328" s="66"/>
      <c r="G328" s="63"/>
      <c r="H328" s="67"/>
      <c r="I328" s="68"/>
      <c r="J328" s="68"/>
      <c r="K328" s="32"/>
      <c r="L328" s="75">
        <v>328</v>
      </c>
      <c r="M328" s="75"/>
      <c r="N328" s="70"/>
      <c r="O328" s="77" t="s">
        <v>179</v>
      </c>
      <c r="P328" s="79">
        <v>45001.681168981479</v>
      </c>
      <c r="Q328" s="77" t="s">
        <v>1278</v>
      </c>
      <c r="R328" s="77">
        <v>0</v>
      </c>
      <c r="S328" s="77">
        <v>0</v>
      </c>
      <c r="T328" s="77">
        <v>0</v>
      </c>
      <c r="U328" s="77">
        <v>0</v>
      </c>
      <c r="V328" s="77">
        <v>67</v>
      </c>
      <c r="W328" s="81" t="s">
        <v>3148</v>
      </c>
      <c r="X328" s="83" t="str">
        <f>HYPERLINK("https://eldiariomx.com/2023/03/16/invita-tiktoker-a-veder-de-fruta-a-disneylandia-y-su-reaccion-se-hace-viral/")</f>
        <v>https://eldiariomx.com/2023/03/16/invita-tiktoker-a-veder-de-fruta-a-disneylandia-y-su-reaccion-se-hace-viral/</v>
      </c>
      <c r="Y328" s="77" t="s">
        <v>4253</v>
      </c>
      <c r="Z328" s="77"/>
      <c r="AA328" s="77"/>
      <c r="AB328" s="77"/>
      <c r="AC328" s="81" t="s">
        <v>5805</v>
      </c>
      <c r="AD328" s="77" t="s">
        <v>5850</v>
      </c>
      <c r="AE328" s="83" t="str">
        <f>HYPERLINK("https://twitter.com/el_diariomx/status/1636402165022601216")</f>
        <v>https://twitter.com/el_diariomx/status/1636402165022601216</v>
      </c>
      <c r="AF328" s="79">
        <v>45001.681168981479</v>
      </c>
      <c r="AG328" s="85">
        <v>45001</v>
      </c>
      <c r="AH328" s="81" t="s">
        <v>6153</v>
      </c>
      <c r="AI328" s="77" t="b">
        <v>0</v>
      </c>
      <c r="AJ328" s="77"/>
      <c r="AK328" s="77"/>
      <c r="AL328" s="77"/>
      <c r="AM328" s="77"/>
      <c r="AN328" s="77"/>
      <c r="AO328" s="77"/>
      <c r="AP328" s="77"/>
      <c r="AQ328" s="77"/>
      <c r="AR328" s="77"/>
      <c r="AS328" s="77"/>
      <c r="AT328" s="77"/>
      <c r="AU328" s="77"/>
      <c r="AV328" s="83" t="str">
        <f>HYPERLINK("https://pbs.twimg.com/profile_images/1697696358222987264/pLypiu1R_normal.jpg")</f>
        <v>https://pbs.twimg.com/profile_images/1697696358222987264/pLypiu1R_normal.jpg</v>
      </c>
      <c r="AW328" s="81" t="s">
        <v>9599</v>
      </c>
      <c r="AX328" s="81" t="s">
        <v>9599</v>
      </c>
      <c r="AY328" s="77"/>
      <c r="AZ328" s="81" t="s">
        <v>11359</v>
      </c>
      <c r="BA328" s="81" t="s">
        <v>11359</v>
      </c>
      <c r="BB328" s="81" t="s">
        <v>11359</v>
      </c>
      <c r="BC328" s="81" t="s">
        <v>9599</v>
      </c>
      <c r="BD328" s="77">
        <v>358195737</v>
      </c>
      <c r="BE328" s="77"/>
      <c r="BF328" s="77"/>
      <c r="BG328" s="77"/>
      <c r="BH328" s="77"/>
      <c r="BI328" s="77"/>
    </row>
    <row r="329" spans="1:61" x14ac:dyDescent="0.25">
      <c r="A329" s="62" t="s">
        <v>367</v>
      </c>
      <c r="B329" s="62" t="s">
        <v>367</v>
      </c>
      <c r="C329" s="63"/>
      <c r="D329" s="64"/>
      <c r="E329" s="65"/>
      <c r="F329" s="66"/>
      <c r="G329" s="63"/>
      <c r="H329" s="67"/>
      <c r="I329" s="68"/>
      <c r="J329" s="68"/>
      <c r="K329" s="32"/>
      <c r="L329" s="75">
        <v>329</v>
      </c>
      <c r="M329" s="75"/>
      <c r="N329" s="70"/>
      <c r="O329" s="77" t="s">
        <v>179</v>
      </c>
      <c r="P329" s="79">
        <v>44981.802210648151</v>
      </c>
      <c r="Q329" s="77" t="s">
        <v>1279</v>
      </c>
      <c r="R329" s="77">
        <v>0</v>
      </c>
      <c r="S329" s="77">
        <v>1</v>
      </c>
      <c r="T329" s="77">
        <v>0</v>
      </c>
      <c r="U329" s="77">
        <v>0</v>
      </c>
      <c r="V329" s="77">
        <v>30</v>
      </c>
      <c r="W329" s="81" t="s">
        <v>3149</v>
      </c>
      <c r="X329" s="77"/>
      <c r="Y329" s="77"/>
      <c r="Z329" s="77"/>
      <c r="AA329" s="77"/>
      <c r="AB329" s="77"/>
      <c r="AC329" s="81" t="s">
        <v>5805</v>
      </c>
      <c r="AD329" s="77" t="s">
        <v>5851</v>
      </c>
      <c r="AE329" s="83" t="str">
        <f>HYPERLINK("https://twitter.com/adrianabacic/status/1629198271431294979")</f>
        <v>https://twitter.com/adrianabacic/status/1629198271431294979</v>
      </c>
      <c r="AF329" s="79">
        <v>44981.802210648151</v>
      </c>
      <c r="AG329" s="85">
        <v>44981</v>
      </c>
      <c r="AH329" s="81" t="s">
        <v>6154</v>
      </c>
      <c r="AI329" s="77"/>
      <c r="AJ329" s="77"/>
      <c r="AK329" s="77"/>
      <c r="AL329" s="77"/>
      <c r="AM329" s="77"/>
      <c r="AN329" s="77"/>
      <c r="AO329" s="77"/>
      <c r="AP329" s="77"/>
      <c r="AQ329" s="77"/>
      <c r="AR329" s="77"/>
      <c r="AS329" s="77"/>
      <c r="AT329" s="77"/>
      <c r="AU329" s="77"/>
      <c r="AV329" s="83" t="str">
        <f>HYPERLINK("https://pbs.twimg.com/profile_images/1633446762550636546/-GJyyHxE_normal.jpg")</f>
        <v>https://pbs.twimg.com/profile_images/1633446762550636546/-GJyyHxE_normal.jpg</v>
      </c>
      <c r="AW329" s="81" t="s">
        <v>9600</v>
      </c>
      <c r="AX329" s="81" t="s">
        <v>9600</v>
      </c>
      <c r="AY329" s="77"/>
      <c r="AZ329" s="81" t="s">
        <v>11359</v>
      </c>
      <c r="BA329" s="81" t="s">
        <v>11359</v>
      </c>
      <c r="BB329" s="81" t="s">
        <v>11359</v>
      </c>
      <c r="BC329" s="81" t="s">
        <v>9600</v>
      </c>
      <c r="BD329" s="77">
        <v>990945925</v>
      </c>
      <c r="BE329" s="77"/>
      <c r="BF329" s="77"/>
      <c r="BG329" s="77"/>
      <c r="BH329" s="77"/>
      <c r="BI329" s="77"/>
    </row>
    <row r="330" spans="1:61" x14ac:dyDescent="0.25">
      <c r="A330" s="62" t="s">
        <v>368</v>
      </c>
      <c r="B330" s="62" t="s">
        <v>368</v>
      </c>
      <c r="C330" s="63"/>
      <c r="D330" s="64"/>
      <c r="E330" s="65"/>
      <c r="F330" s="66"/>
      <c r="G330" s="63"/>
      <c r="H330" s="67"/>
      <c r="I330" s="68"/>
      <c r="J330" s="68"/>
      <c r="K330" s="32"/>
      <c r="L330" s="75">
        <v>330</v>
      </c>
      <c r="M330" s="75"/>
      <c r="N330" s="70"/>
      <c r="O330" s="77" t="s">
        <v>179</v>
      </c>
      <c r="P330" s="79">
        <v>45133.6875</v>
      </c>
      <c r="Q330" s="77" t="s">
        <v>1280</v>
      </c>
      <c r="R330" s="77">
        <v>5</v>
      </c>
      <c r="S330" s="77">
        <v>5</v>
      </c>
      <c r="T330" s="77">
        <v>0</v>
      </c>
      <c r="U330" s="77">
        <v>0</v>
      </c>
      <c r="V330" s="77">
        <v>108</v>
      </c>
      <c r="W330" s="81" t="s">
        <v>3150</v>
      </c>
      <c r="X330" s="77"/>
      <c r="Y330" s="77"/>
      <c r="Z330" s="77"/>
      <c r="AA330" s="77" t="s">
        <v>4573</v>
      </c>
      <c r="AB330" s="77" t="s">
        <v>5794</v>
      </c>
      <c r="AC330" s="81" t="s">
        <v>5805</v>
      </c>
      <c r="AD330" s="77" t="s">
        <v>5850</v>
      </c>
      <c r="AE330" s="83" t="str">
        <f>HYPERLINK("https://twitter.com/expopublicitas_/status/1684239655363915786")</f>
        <v>https://twitter.com/expopublicitas_/status/1684239655363915786</v>
      </c>
      <c r="AF330" s="79">
        <v>45133.6875</v>
      </c>
      <c r="AG330" s="85">
        <v>45133</v>
      </c>
      <c r="AH330" s="81" t="s">
        <v>6155</v>
      </c>
      <c r="AI330" s="77" t="b">
        <v>0</v>
      </c>
      <c r="AJ330" s="77"/>
      <c r="AK330" s="77"/>
      <c r="AL330" s="77"/>
      <c r="AM330" s="77"/>
      <c r="AN330" s="77"/>
      <c r="AO330" s="77"/>
      <c r="AP330" s="77"/>
      <c r="AQ330" s="77" t="s">
        <v>8076</v>
      </c>
      <c r="AR330" s="77"/>
      <c r="AS330" s="77"/>
      <c r="AT330" s="77"/>
      <c r="AU330" s="77"/>
      <c r="AV330" s="83" t="str">
        <f>HYPERLINK("https://pbs.twimg.com/media/F1-etsrWIAE_E9_.jpg")</f>
        <v>https://pbs.twimg.com/media/F1-etsrWIAE_E9_.jpg</v>
      </c>
      <c r="AW330" s="81" t="s">
        <v>9601</v>
      </c>
      <c r="AX330" s="81" t="s">
        <v>9601</v>
      </c>
      <c r="AY330" s="77"/>
      <c r="AZ330" s="81" t="s">
        <v>11359</v>
      </c>
      <c r="BA330" s="81" t="s">
        <v>11359</v>
      </c>
      <c r="BB330" s="81" t="s">
        <v>11359</v>
      </c>
      <c r="BC330" s="81" t="s">
        <v>9601</v>
      </c>
      <c r="BD330" s="77">
        <v>266828087</v>
      </c>
      <c r="BE330" s="77"/>
      <c r="BF330" s="77"/>
      <c r="BG330" s="77"/>
      <c r="BH330" s="77"/>
      <c r="BI330" s="77"/>
    </row>
    <row r="331" spans="1:61" x14ac:dyDescent="0.25">
      <c r="A331" s="62" t="s">
        <v>369</v>
      </c>
      <c r="B331" s="62" t="s">
        <v>369</v>
      </c>
      <c r="C331" s="63"/>
      <c r="D331" s="64"/>
      <c r="E331" s="65"/>
      <c r="F331" s="66"/>
      <c r="G331" s="63"/>
      <c r="H331" s="67"/>
      <c r="I331" s="68"/>
      <c r="J331" s="68"/>
      <c r="K331" s="32"/>
      <c r="L331" s="75">
        <v>331</v>
      </c>
      <c r="M331" s="75"/>
      <c r="N331" s="70"/>
      <c r="O331" s="77" t="s">
        <v>179</v>
      </c>
      <c r="P331" s="79">
        <v>44944.958472222221</v>
      </c>
      <c r="Q331" s="77" t="s">
        <v>1281</v>
      </c>
      <c r="R331" s="77">
        <v>0</v>
      </c>
      <c r="S331" s="77">
        <v>0</v>
      </c>
      <c r="T331" s="77">
        <v>0</v>
      </c>
      <c r="U331" s="77">
        <v>0</v>
      </c>
      <c r="V331" s="77">
        <v>72</v>
      </c>
      <c r="W331" s="81" t="s">
        <v>3151</v>
      </c>
      <c r="X331" s="83" t="str">
        <f>HYPERLINK("https://eleditorplatense.com.ar/murio-un-vendedor-ambulante-atropellado-en-tolosa/")</f>
        <v>https://eleditorplatense.com.ar/murio-un-vendedor-ambulante-atropellado-en-tolosa/</v>
      </c>
      <c r="Y331" s="77" t="s">
        <v>4231</v>
      </c>
      <c r="Z331" s="77"/>
      <c r="AA331" s="77"/>
      <c r="AB331" s="77"/>
      <c r="AC331" s="81" t="s">
        <v>5825</v>
      </c>
      <c r="AD331" s="77" t="s">
        <v>5850</v>
      </c>
      <c r="AE331" s="83" t="str">
        <f>HYPERLINK("https://twitter.com/editor_platense/status/1615846548637716480")</f>
        <v>https://twitter.com/editor_platense/status/1615846548637716480</v>
      </c>
      <c r="AF331" s="79">
        <v>44944.958472222221</v>
      </c>
      <c r="AG331" s="85">
        <v>44944</v>
      </c>
      <c r="AH331" s="81" t="s">
        <v>6156</v>
      </c>
      <c r="AI331" s="77" t="b">
        <v>0</v>
      </c>
      <c r="AJ331" s="77"/>
      <c r="AK331" s="77"/>
      <c r="AL331" s="77"/>
      <c r="AM331" s="77"/>
      <c r="AN331" s="77"/>
      <c r="AO331" s="77"/>
      <c r="AP331" s="77"/>
      <c r="AQ331" s="77"/>
      <c r="AR331" s="77"/>
      <c r="AS331" s="77"/>
      <c r="AT331" s="77"/>
      <c r="AU331" s="77"/>
      <c r="AV331" s="83" t="str">
        <f>HYPERLINK("https://pbs.twimg.com/profile_images/1479487650390286337/To2P4Eib_normal.jpg")</f>
        <v>https://pbs.twimg.com/profile_images/1479487650390286337/To2P4Eib_normal.jpg</v>
      </c>
      <c r="AW331" s="81" t="s">
        <v>9602</v>
      </c>
      <c r="AX331" s="81" t="s">
        <v>9602</v>
      </c>
      <c r="AY331" s="77"/>
      <c r="AZ331" s="81" t="s">
        <v>11359</v>
      </c>
      <c r="BA331" s="81" t="s">
        <v>11359</v>
      </c>
      <c r="BB331" s="81" t="s">
        <v>11359</v>
      </c>
      <c r="BC331" s="81" t="s">
        <v>9602</v>
      </c>
      <c r="BD331" s="81" t="s">
        <v>11474</v>
      </c>
      <c r="BE331" s="77"/>
      <c r="BF331" s="77"/>
      <c r="BG331" s="77"/>
      <c r="BH331" s="77"/>
      <c r="BI331" s="77"/>
    </row>
    <row r="332" spans="1:61" x14ac:dyDescent="0.25">
      <c r="A332" s="62" t="s">
        <v>370</v>
      </c>
      <c r="B332" s="62" t="s">
        <v>900</v>
      </c>
      <c r="C332" s="63"/>
      <c r="D332" s="64"/>
      <c r="E332" s="65"/>
      <c r="F332" s="66"/>
      <c r="G332" s="63"/>
      <c r="H332" s="67"/>
      <c r="I332" s="68"/>
      <c r="J332" s="68"/>
      <c r="K332" s="32"/>
      <c r="L332" s="75">
        <v>332</v>
      </c>
      <c r="M332" s="75"/>
      <c r="N332" s="70"/>
      <c r="O332" s="77" t="s">
        <v>967</v>
      </c>
      <c r="P332" s="79">
        <v>45040.018379629626</v>
      </c>
      <c r="Q332" s="77" t="s">
        <v>1282</v>
      </c>
      <c r="R332" s="77">
        <v>0</v>
      </c>
      <c r="S332" s="77">
        <v>1</v>
      </c>
      <c r="T332" s="77">
        <v>0</v>
      </c>
      <c r="U332" s="77">
        <v>0</v>
      </c>
      <c r="V332" s="77">
        <v>249</v>
      </c>
      <c r="W332" s="81" t="s">
        <v>3152</v>
      </c>
      <c r="X332" s="77"/>
      <c r="Y332" s="77"/>
      <c r="Z332" s="77" t="s">
        <v>900</v>
      </c>
      <c r="AA332" s="77"/>
      <c r="AB332" s="77"/>
      <c r="AC332" s="81" t="s">
        <v>5805</v>
      </c>
      <c r="AD332" s="77" t="s">
        <v>5851</v>
      </c>
      <c r="AE332" s="83" t="str">
        <f>HYPERLINK("https://twitter.com/henriquesbno/status/1650295103783567361")</f>
        <v>https://twitter.com/henriquesbno/status/1650295103783567361</v>
      </c>
      <c r="AF332" s="79">
        <v>45040.018379629626</v>
      </c>
      <c r="AG332" s="85">
        <v>45040</v>
      </c>
      <c r="AH332" s="81" t="s">
        <v>6157</v>
      </c>
      <c r="AI332" s="77"/>
      <c r="AJ332" s="77"/>
      <c r="AK332" s="77"/>
      <c r="AL332" s="77"/>
      <c r="AM332" s="77"/>
      <c r="AN332" s="77"/>
      <c r="AO332" s="77"/>
      <c r="AP332" s="77"/>
      <c r="AQ332" s="77"/>
      <c r="AR332" s="77"/>
      <c r="AS332" s="77"/>
      <c r="AT332" s="77"/>
      <c r="AU332" s="77"/>
      <c r="AV332" s="83" t="str">
        <f>HYPERLINK("https://pbs.twimg.com/profile_images/1649422357335777281/SuUWfsDf_normal.jpg")</f>
        <v>https://pbs.twimg.com/profile_images/1649422357335777281/SuUWfsDf_normal.jpg</v>
      </c>
      <c r="AW332" s="81" t="s">
        <v>9603</v>
      </c>
      <c r="AX332" s="81" t="s">
        <v>9603</v>
      </c>
      <c r="AY332" s="77"/>
      <c r="AZ332" s="81" t="s">
        <v>11359</v>
      </c>
      <c r="BA332" s="81" t="s">
        <v>11359</v>
      </c>
      <c r="BB332" s="81" t="s">
        <v>11359</v>
      </c>
      <c r="BC332" s="81" t="s">
        <v>9603</v>
      </c>
      <c r="BD332" s="77">
        <v>737371927</v>
      </c>
      <c r="BE332" s="77"/>
      <c r="BF332" s="77"/>
      <c r="BG332" s="77"/>
      <c r="BH332" s="77"/>
      <c r="BI332" s="77"/>
    </row>
    <row r="333" spans="1:61" x14ac:dyDescent="0.25">
      <c r="A333" s="62" t="s">
        <v>371</v>
      </c>
      <c r="B333" s="62" t="s">
        <v>371</v>
      </c>
      <c r="C333" s="63"/>
      <c r="D333" s="64"/>
      <c r="E333" s="65"/>
      <c r="F333" s="66"/>
      <c r="G333" s="63"/>
      <c r="H333" s="67"/>
      <c r="I333" s="68"/>
      <c r="J333" s="68"/>
      <c r="K333" s="32"/>
      <c r="L333" s="75">
        <v>333</v>
      </c>
      <c r="M333" s="75"/>
      <c r="N333" s="70"/>
      <c r="O333" s="77" t="s">
        <v>179</v>
      </c>
      <c r="P333" s="79">
        <v>44939.868055555555</v>
      </c>
      <c r="Q333" s="77" t="s">
        <v>1283</v>
      </c>
      <c r="R333" s="77">
        <v>0</v>
      </c>
      <c r="S333" s="77">
        <v>1</v>
      </c>
      <c r="T333" s="77">
        <v>0</v>
      </c>
      <c r="U333" s="77">
        <v>0</v>
      </c>
      <c r="V333" s="77">
        <v>139</v>
      </c>
      <c r="W333" s="81" t="s">
        <v>3153</v>
      </c>
      <c r="X333" s="77"/>
      <c r="Y333" s="77"/>
      <c r="Z333" s="77"/>
      <c r="AA333" s="77" t="s">
        <v>4574</v>
      </c>
      <c r="AB333" s="77" t="s">
        <v>5799</v>
      </c>
      <c r="AC333" s="81" t="s">
        <v>5805</v>
      </c>
      <c r="AD333" s="77" t="s">
        <v>5851</v>
      </c>
      <c r="AE333" s="83" t="str">
        <f>HYPERLINK("https://twitter.com/pratiscrm/status/1614001840760279040")</f>
        <v>https://twitter.com/pratiscrm/status/1614001840760279040</v>
      </c>
      <c r="AF333" s="79">
        <v>44939.868055555555</v>
      </c>
      <c r="AG333" s="85">
        <v>44939</v>
      </c>
      <c r="AH333" s="81" t="s">
        <v>6158</v>
      </c>
      <c r="AI333" s="77" t="b">
        <v>0</v>
      </c>
      <c r="AJ333" s="77"/>
      <c r="AK333" s="77"/>
      <c r="AL333" s="77"/>
      <c r="AM333" s="77"/>
      <c r="AN333" s="77"/>
      <c r="AO333" s="77"/>
      <c r="AP333" s="77"/>
      <c r="AQ333" s="77" t="s">
        <v>8077</v>
      </c>
      <c r="AR333" s="77"/>
      <c r="AS333" s="77"/>
      <c r="AT333" s="77"/>
      <c r="AU333" s="77"/>
      <c r="AV333" s="83" t="str">
        <f>HYPERLINK("https://pbs.twimg.com/media/FmMjRc6WYAEuwRy.jpg")</f>
        <v>https://pbs.twimg.com/media/FmMjRc6WYAEuwRy.jpg</v>
      </c>
      <c r="AW333" s="81" t="s">
        <v>9604</v>
      </c>
      <c r="AX333" s="81" t="s">
        <v>9604</v>
      </c>
      <c r="AY333" s="77"/>
      <c r="AZ333" s="81" t="s">
        <v>11359</v>
      </c>
      <c r="BA333" s="81" t="s">
        <v>11359</v>
      </c>
      <c r="BB333" s="81" t="s">
        <v>11359</v>
      </c>
      <c r="BC333" s="81" t="s">
        <v>9604</v>
      </c>
      <c r="BD333" s="81" t="s">
        <v>11475</v>
      </c>
      <c r="BE333" s="77"/>
      <c r="BF333" s="77"/>
      <c r="BG333" s="77"/>
      <c r="BH333" s="77"/>
      <c r="BI333" s="77"/>
    </row>
    <row r="334" spans="1:61" x14ac:dyDescent="0.25">
      <c r="A334" s="62" t="s">
        <v>372</v>
      </c>
      <c r="B334" s="62" t="s">
        <v>372</v>
      </c>
      <c r="C334" s="63"/>
      <c r="D334" s="64"/>
      <c r="E334" s="65"/>
      <c r="F334" s="66"/>
      <c r="G334" s="63"/>
      <c r="H334" s="67"/>
      <c r="I334" s="68"/>
      <c r="J334" s="68"/>
      <c r="K334" s="32"/>
      <c r="L334" s="75">
        <v>334</v>
      </c>
      <c r="M334" s="75"/>
      <c r="N334" s="70"/>
      <c r="O334" s="77" t="s">
        <v>967</v>
      </c>
      <c r="P334" s="79">
        <v>45191.823414351849</v>
      </c>
      <c r="Q334" s="77" t="s">
        <v>1284</v>
      </c>
      <c r="R334" s="77">
        <v>0</v>
      </c>
      <c r="S334" s="77">
        <v>0</v>
      </c>
      <c r="T334" s="77">
        <v>0</v>
      </c>
      <c r="U334" s="77">
        <v>0</v>
      </c>
      <c r="V334" s="77">
        <v>4</v>
      </c>
      <c r="W334" s="81" t="s">
        <v>3154</v>
      </c>
      <c r="X334" s="83" t="str">
        <f>HYPERLINK("http://www.region.net.ar")</f>
        <v>http://www.region.net.ar</v>
      </c>
      <c r="Y334" s="77" t="s">
        <v>4254</v>
      </c>
      <c r="Z334" s="77" t="s">
        <v>372</v>
      </c>
      <c r="AA334" s="77" t="s">
        <v>4575</v>
      </c>
      <c r="AB334" s="77" t="s">
        <v>5799</v>
      </c>
      <c r="AC334" s="81" t="s">
        <v>5801</v>
      </c>
      <c r="AD334" s="77" t="s">
        <v>5850</v>
      </c>
      <c r="AE334" s="83" t="str">
        <f>HYPERLINK("https://twitter.com/regionnet_ar/status/1705307406933127314")</f>
        <v>https://twitter.com/regionnet_ar/status/1705307406933127314</v>
      </c>
      <c r="AF334" s="79">
        <v>45191.823414351849</v>
      </c>
      <c r="AG334" s="85">
        <v>45191</v>
      </c>
      <c r="AH334" s="81" t="s">
        <v>6159</v>
      </c>
      <c r="AI334" s="77" t="b">
        <v>0</v>
      </c>
      <c r="AJ334" s="77"/>
      <c r="AK334" s="77"/>
      <c r="AL334" s="77"/>
      <c r="AM334" s="77"/>
      <c r="AN334" s="77"/>
      <c r="AO334" s="77"/>
      <c r="AP334" s="77"/>
      <c r="AQ334" s="77" t="s">
        <v>8078</v>
      </c>
      <c r="AR334" s="77"/>
      <c r="AS334" s="77"/>
      <c r="AT334" s="77"/>
      <c r="AU334" s="77"/>
      <c r="AV334" s="83" t="str">
        <f>HYPERLINK("https://pbs.twimg.com/media/F6p4BowXAAARS6n.jpg")</f>
        <v>https://pbs.twimg.com/media/F6p4BowXAAARS6n.jpg</v>
      </c>
      <c r="AW334" s="81" t="s">
        <v>9605</v>
      </c>
      <c r="AX334" s="81" t="s">
        <v>9605</v>
      </c>
      <c r="AY334" s="77"/>
      <c r="AZ334" s="81" t="s">
        <v>11359</v>
      </c>
      <c r="BA334" s="81" t="s">
        <v>11359</v>
      </c>
      <c r="BB334" s="81" t="s">
        <v>11359</v>
      </c>
      <c r="BC334" s="81" t="s">
        <v>9605</v>
      </c>
      <c r="BD334" s="77">
        <v>4857804755</v>
      </c>
      <c r="BE334" s="77"/>
      <c r="BF334" s="77"/>
      <c r="BG334" s="77"/>
      <c r="BH334" s="77"/>
      <c r="BI334" s="77"/>
    </row>
    <row r="335" spans="1:61" x14ac:dyDescent="0.25">
      <c r="A335" s="62" t="s">
        <v>373</v>
      </c>
      <c r="B335" s="62" t="s">
        <v>373</v>
      </c>
      <c r="C335" s="63"/>
      <c r="D335" s="64"/>
      <c r="E335" s="65"/>
      <c r="F335" s="66"/>
      <c r="G335" s="63"/>
      <c r="H335" s="67"/>
      <c r="I335" s="68"/>
      <c r="J335" s="68"/>
      <c r="K335" s="32"/>
      <c r="L335" s="75">
        <v>335</v>
      </c>
      <c r="M335" s="75"/>
      <c r="N335" s="70"/>
      <c r="O335" s="77" t="s">
        <v>179</v>
      </c>
      <c r="P335" s="79">
        <v>44957.787210648145</v>
      </c>
      <c r="Q335" s="77" t="s">
        <v>1285</v>
      </c>
      <c r="R335" s="77">
        <v>0</v>
      </c>
      <c r="S335" s="77">
        <v>0</v>
      </c>
      <c r="T335" s="77">
        <v>0</v>
      </c>
      <c r="U335" s="77">
        <v>0</v>
      </c>
      <c r="V335" s="77">
        <v>78</v>
      </c>
      <c r="W335" s="81" t="s">
        <v>3155</v>
      </c>
      <c r="X335" s="83" t="str">
        <f>HYPERLINK("https://bit.ly/3RhZAV7")</f>
        <v>https://bit.ly/3RhZAV7</v>
      </c>
      <c r="Y335" s="77" t="s">
        <v>4213</v>
      </c>
      <c r="Z335" s="77"/>
      <c r="AA335" s="77" t="s">
        <v>4576</v>
      </c>
      <c r="AB335" s="77" t="s">
        <v>5794</v>
      </c>
      <c r="AC335" s="81" t="s">
        <v>5805</v>
      </c>
      <c r="AD335" s="77" t="s">
        <v>5850</v>
      </c>
      <c r="AE335" s="83" t="str">
        <f>HYPERLINK("https://twitter.com/perfilecuador/status/1620495524368629761")</f>
        <v>https://twitter.com/perfilecuador/status/1620495524368629761</v>
      </c>
      <c r="AF335" s="79">
        <v>44957.787210648145</v>
      </c>
      <c r="AG335" s="85">
        <v>44957</v>
      </c>
      <c r="AH335" s="81" t="s">
        <v>6160</v>
      </c>
      <c r="AI335" s="77" t="b">
        <v>0</v>
      </c>
      <c r="AJ335" s="77"/>
      <c r="AK335" s="77"/>
      <c r="AL335" s="77"/>
      <c r="AM335" s="77"/>
      <c r="AN335" s="77"/>
      <c r="AO335" s="77"/>
      <c r="AP335" s="77"/>
      <c r="AQ335" s="77" t="s">
        <v>8079</v>
      </c>
      <c r="AR335" s="77"/>
      <c r="AS335" s="77"/>
      <c r="AT335" s="77"/>
      <c r="AU335" s="77"/>
      <c r="AV335" s="83" t="str">
        <f>HYPERLINK("https://pbs.twimg.com/media/Fn0oFJsWIAESm2d.jpg")</f>
        <v>https://pbs.twimg.com/media/Fn0oFJsWIAESm2d.jpg</v>
      </c>
      <c r="AW335" s="81" t="s">
        <v>9606</v>
      </c>
      <c r="AX335" s="81" t="s">
        <v>9606</v>
      </c>
      <c r="AY335" s="77"/>
      <c r="AZ335" s="81" t="s">
        <v>11359</v>
      </c>
      <c r="BA335" s="81" t="s">
        <v>11359</v>
      </c>
      <c r="BB335" s="81" t="s">
        <v>11359</v>
      </c>
      <c r="BC335" s="81" t="s">
        <v>9606</v>
      </c>
      <c r="BD335" s="81" t="s">
        <v>11476</v>
      </c>
      <c r="BE335" s="77"/>
      <c r="BF335" s="77"/>
      <c r="BG335" s="77"/>
      <c r="BH335" s="77"/>
      <c r="BI335" s="77"/>
    </row>
    <row r="336" spans="1:61" x14ac:dyDescent="0.25">
      <c r="A336" s="62" t="s">
        <v>373</v>
      </c>
      <c r="B336" s="62" t="s">
        <v>373</v>
      </c>
      <c r="C336" s="63"/>
      <c r="D336" s="64"/>
      <c r="E336" s="65"/>
      <c r="F336" s="66"/>
      <c r="G336" s="63"/>
      <c r="H336" s="67"/>
      <c r="I336" s="68"/>
      <c r="J336" s="68"/>
      <c r="K336" s="32"/>
      <c r="L336" s="75">
        <v>336</v>
      </c>
      <c r="M336" s="75"/>
      <c r="N336" s="70"/>
      <c r="O336" s="77" t="s">
        <v>179</v>
      </c>
      <c r="P336" s="79">
        <v>45179.75</v>
      </c>
      <c r="Q336" s="77" t="s">
        <v>1286</v>
      </c>
      <c r="R336" s="77">
        <v>0</v>
      </c>
      <c r="S336" s="77">
        <v>0</v>
      </c>
      <c r="T336" s="77">
        <v>0</v>
      </c>
      <c r="U336" s="77">
        <v>0</v>
      </c>
      <c r="V336" s="77">
        <v>15</v>
      </c>
      <c r="W336" s="81" t="s">
        <v>3156</v>
      </c>
      <c r="X336" s="83" t="str">
        <f>HYPERLINK("https://bit.ly/44dIhZS")</f>
        <v>https://bit.ly/44dIhZS</v>
      </c>
      <c r="Y336" s="77" t="s">
        <v>4213</v>
      </c>
      <c r="Z336" s="77"/>
      <c r="AA336" s="77" t="s">
        <v>4577</v>
      </c>
      <c r="AB336" s="77" t="s">
        <v>5794</v>
      </c>
      <c r="AC336" s="81" t="s">
        <v>5805</v>
      </c>
      <c r="AD336" s="77" t="s">
        <v>5850</v>
      </c>
      <c r="AE336" s="83" t="str">
        <f>HYPERLINK("https://twitter.com/perfilecuador/status/1700932148931502292")</f>
        <v>https://twitter.com/perfilecuador/status/1700932148931502292</v>
      </c>
      <c r="AF336" s="79">
        <v>45179.75</v>
      </c>
      <c r="AG336" s="85">
        <v>45179</v>
      </c>
      <c r="AH336" s="81" t="s">
        <v>6161</v>
      </c>
      <c r="AI336" s="77" t="b">
        <v>0</v>
      </c>
      <c r="AJ336" s="77"/>
      <c r="AK336" s="77"/>
      <c r="AL336" s="77"/>
      <c r="AM336" s="77"/>
      <c r="AN336" s="77"/>
      <c r="AO336" s="77"/>
      <c r="AP336" s="77"/>
      <c r="AQ336" s="77" t="s">
        <v>8080</v>
      </c>
      <c r="AR336" s="77"/>
      <c r="AS336" s="77"/>
      <c r="AT336" s="77"/>
      <c r="AU336" s="77"/>
      <c r="AV336" s="83" t="str">
        <f>HYPERLINK("https://pbs.twimg.com/media/F5M5PkvXkAAXD_9.jpg")</f>
        <v>https://pbs.twimg.com/media/F5M5PkvXkAAXD_9.jpg</v>
      </c>
      <c r="AW336" s="81" t="s">
        <v>9607</v>
      </c>
      <c r="AX336" s="81" t="s">
        <v>9607</v>
      </c>
      <c r="AY336" s="77"/>
      <c r="AZ336" s="81" t="s">
        <v>11359</v>
      </c>
      <c r="BA336" s="81" t="s">
        <v>11359</v>
      </c>
      <c r="BB336" s="81" t="s">
        <v>11359</v>
      </c>
      <c r="BC336" s="81" t="s">
        <v>9607</v>
      </c>
      <c r="BD336" s="81" t="s">
        <v>11476</v>
      </c>
      <c r="BE336" s="77"/>
      <c r="BF336" s="77"/>
      <c r="BG336" s="77"/>
      <c r="BH336" s="77"/>
      <c r="BI336" s="77"/>
    </row>
    <row r="337" spans="1:61" x14ac:dyDescent="0.25">
      <c r="A337" s="62" t="s">
        <v>374</v>
      </c>
      <c r="B337" s="62" t="s">
        <v>374</v>
      </c>
      <c r="C337" s="63"/>
      <c r="D337" s="64"/>
      <c r="E337" s="65"/>
      <c r="F337" s="66"/>
      <c r="G337" s="63"/>
      <c r="H337" s="67"/>
      <c r="I337" s="68"/>
      <c r="J337" s="68"/>
      <c r="K337" s="32"/>
      <c r="L337" s="75">
        <v>337</v>
      </c>
      <c r="M337" s="75"/>
      <c r="N337" s="70"/>
      <c r="O337" s="77" t="s">
        <v>179</v>
      </c>
      <c r="P337" s="79">
        <v>44980.66920138889</v>
      </c>
      <c r="Q337" s="77" t="s">
        <v>1287</v>
      </c>
      <c r="R337" s="77">
        <v>0</v>
      </c>
      <c r="S337" s="77">
        <v>0</v>
      </c>
      <c r="T337" s="77">
        <v>0</v>
      </c>
      <c r="U337" s="77">
        <v>0</v>
      </c>
      <c r="V337" s="77">
        <v>74</v>
      </c>
      <c r="W337" s="81" t="s">
        <v>3157</v>
      </c>
      <c r="X337" s="83" t="str">
        <f>HYPERLINK("https://www.meionorte.com/policia/teresinense-acusada-de-chamar-vendedor-de-macaco-na-bahia-e-solta-466721")</f>
        <v>https://www.meionorte.com/policia/teresinense-acusada-de-chamar-vendedor-de-macaco-na-bahia-e-solta-466721</v>
      </c>
      <c r="Y337" s="77" t="s">
        <v>4255</v>
      </c>
      <c r="Z337" s="77"/>
      <c r="AA337" s="77"/>
      <c r="AB337" s="77"/>
      <c r="AC337" s="81" t="s">
        <v>5826</v>
      </c>
      <c r="AD337" s="77" t="s">
        <v>5851</v>
      </c>
      <c r="AE337" s="83" t="str">
        <f>HYPERLINK("https://twitter.com/meionorte/status/1628787681265082370")</f>
        <v>https://twitter.com/meionorte/status/1628787681265082370</v>
      </c>
      <c r="AF337" s="79">
        <v>44980.66920138889</v>
      </c>
      <c r="AG337" s="85">
        <v>44980</v>
      </c>
      <c r="AH337" s="81" t="s">
        <v>6162</v>
      </c>
      <c r="AI337" s="77" t="b">
        <v>0</v>
      </c>
      <c r="AJ337" s="77"/>
      <c r="AK337" s="77"/>
      <c r="AL337" s="77"/>
      <c r="AM337" s="77"/>
      <c r="AN337" s="77"/>
      <c r="AO337" s="77"/>
      <c r="AP337" s="77"/>
      <c r="AQ337" s="77"/>
      <c r="AR337" s="77"/>
      <c r="AS337" s="77"/>
      <c r="AT337" s="77"/>
      <c r="AU337" s="77"/>
      <c r="AV337" s="83" t="str">
        <f>HYPERLINK("https://pbs.twimg.com/profile_images/1645436178017968135/6qos48Jo_normal.jpg")</f>
        <v>https://pbs.twimg.com/profile_images/1645436178017968135/6qos48Jo_normal.jpg</v>
      </c>
      <c r="AW337" s="81" t="s">
        <v>9608</v>
      </c>
      <c r="AX337" s="81" t="s">
        <v>9608</v>
      </c>
      <c r="AY337" s="77"/>
      <c r="AZ337" s="81" t="s">
        <v>11359</v>
      </c>
      <c r="BA337" s="81" t="s">
        <v>11359</v>
      </c>
      <c r="BB337" s="81" t="s">
        <v>11359</v>
      </c>
      <c r="BC337" s="81" t="s">
        <v>9608</v>
      </c>
      <c r="BD337" s="77">
        <v>39973121</v>
      </c>
      <c r="BE337" s="77"/>
      <c r="BF337" s="77"/>
      <c r="BG337" s="77"/>
      <c r="BH337" s="77"/>
      <c r="BI337" s="77"/>
    </row>
    <row r="338" spans="1:61" x14ac:dyDescent="0.25">
      <c r="A338" s="62" t="s">
        <v>375</v>
      </c>
      <c r="B338" s="62" t="s">
        <v>375</v>
      </c>
      <c r="C338" s="63"/>
      <c r="D338" s="64"/>
      <c r="E338" s="65"/>
      <c r="F338" s="66"/>
      <c r="G338" s="63"/>
      <c r="H338" s="67"/>
      <c r="I338" s="68"/>
      <c r="J338" s="68"/>
      <c r="K338" s="32"/>
      <c r="L338" s="75">
        <v>338</v>
      </c>
      <c r="M338" s="75"/>
      <c r="N338" s="70"/>
      <c r="O338" s="77" t="s">
        <v>179</v>
      </c>
      <c r="P338" s="79">
        <v>45066.987592592595</v>
      </c>
      <c r="Q338" s="77" t="s">
        <v>1288</v>
      </c>
      <c r="R338" s="77">
        <v>0</v>
      </c>
      <c r="S338" s="77">
        <v>1</v>
      </c>
      <c r="T338" s="77">
        <v>0</v>
      </c>
      <c r="U338" s="77">
        <v>0</v>
      </c>
      <c r="V338" s="77">
        <v>37</v>
      </c>
      <c r="W338" s="81" t="s">
        <v>3158</v>
      </c>
      <c r="X338" s="83" t="str">
        <f>HYPERLINK("https://lnkd.in/dCusJCdD")</f>
        <v>https://lnkd.in/dCusJCdD</v>
      </c>
      <c r="Y338" s="77" t="s">
        <v>4221</v>
      </c>
      <c r="Z338" s="77"/>
      <c r="AA338" s="77"/>
      <c r="AB338" s="77"/>
      <c r="AC338" s="81" t="s">
        <v>5810</v>
      </c>
      <c r="AD338" s="77" t="s">
        <v>5850</v>
      </c>
      <c r="AE338" s="83" t="str">
        <f>HYPERLINK("https://twitter.com/jlatencio/status/1660068420354822144")</f>
        <v>https://twitter.com/jlatencio/status/1660068420354822144</v>
      </c>
      <c r="AF338" s="79">
        <v>45066.987592592595</v>
      </c>
      <c r="AG338" s="85">
        <v>45066</v>
      </c>
      <c r="AH338" s="81" t="s">
        <v>6163</v>
      </c>
      <c r="AI338" s="77" t="b">
        <v>0</v>
      </c>
      <c r="AJ338" s="77"/>
      <c r="AK338" s="77"/>
      <c r="AL338" s="77"/>
      <c r="AM338" s="77"/>
      <c r="AN338" s="77"/>
      <c r="AO338" s="77"/>
      <c r="AP338" s="77"/>
      <c r="AQ338" s="77"/>
      <c r="AR338" s="77"/>
      <c r="AS338" s="77"/>
      <c r="AT338" s="77"/>
      <c r="AU338" s="77"/>
      <c r="AV338" s="83" t="str">
        <f>HYPERLINK("https://pbs.twimg.com/profile_images/1611531531201150977/gYyjRmja_normal.jpg")</f>
        <v>https://pbs.twimg.com/profile_images/1611531531201150977/gYyjRmja_normal.jpg</v>
      </c>
      <c r="AW338" s="81" t="s">
        <v>9609</v>
      </c>
      <c r="AX338" s="81" t="s">
        <v>9609</v>
      </c>
      <c r="AY338" s="77"/>
      <c r="AZ338" s="81" t="s">
        <v>11359</v>
      </c>
      <c r="BA338" s="81" t="s">
        <v>11359</v>
      </c>
      <c r="BB338" s="81" t="s">
        <v>11359</v>
      </c>
      <c r="BC338" s="81" t="s">
        <v>9609</v>
      </c>
      <c r="BD338" s="77">
        <v>118241786</v>
      </c>
      <c r="BE338" s="77"/>
      <c r="BF338" s="77"/>
      <c r="BG338" s="77"/>
      <c r="BH338" s="77"/>
      <c r="BI338" s="77"/>
    </row>
    <row r="339" spans="1:61" x14ac:dyDescent="0.25">
      <c r="A339" s="62" t="s">
        <v>376</v>
      </c>
      <c r="B339" s="62" t="s">
        <v>376</v>
      </c>
      <c r="C339" s="63"/>
      <c r="D339" s="64"/>
      <c r="E339" s="65"/>
      <c r="F339" s="66"/>
      <c r="G339" s="63"/>
      <c r="H339" s="67"/>
      <c r="I339" s="68"/>
      <c r="J339" s="68"/>
      <c r="K339" s="32"/>
      <c r="L339" s="75">
        <v>339</v>
      </c>
      <c r="M339" s="75"/>
      <c r="N339" s="70"/>
      <c r="O339" s="77" t="s">
        <v>179</v>
      </c>
      <c r="P339" s="79">
        <v>45048.079641203702</v>
      </c>
      <c r="Q339" s="77" t="s">
        <v>1289</v>
      </c>
      <c r="R339" s="77">
        <v>0</v>
      </c>
      <c r="S339" s="77">
        <v>0</v>
      </c>
      <c r="T339" s="77">
        <v>0</v>
      </c>
      <c r="U339" s="77">
        <v>0</v>
      </c>
      <c r="V339" s="77">
        <v>20</v>
      </c>
      <c r="W339" s="81" t="s">
        <v>3159</v>
      </c>
      <c r="X339" s="77"/>
      <c r="Y339" s="77"/>
      <c r="Z339" s="77"/>
      <c r="AA339" s="77"/>
      <c r="AB339" s="77"/>
      <c r="AC339" s="81" t="s">
        <v>5801</v>
      </c>
      <c r="AD339" s="77" t="s">
        <v>5850</v>
      </c>
      <c r="AE339" s="83" t="str">
        <f>HYPERLINK("https://twitter.com/laucierigomez/status/1653216409189597187")</f>
        <v>https://twitter.com/laucierigomez/status/1653216409189597187</v>
      </c>
      <c r="AF339" s="79">
        <v>45048.079641203702</v>
      </c>
      <c r="AG339" s="85">
        <v>45048</v>
      </c>
      <c r="AH339" s="81" t="s">
        <v>6164</v>
      </c>
      <c r="AI339" s="77"/>
      <c r="AJ339" s="77"/>
      <c r="AK339" s="77"/>
      <c r="AL339" s="77"/>
      <c r="AM339" s="77"/>
      <c r="AN339" s="77"/>
      <c r="AO339" s="77"/>
      <c r="AP339" s="77"/>
      <c r="AQ339" s="77"/>
      <c r="AR339" s="77"/>
      <c r="AS339" s="77"/>
      <c r="AT339" s="77"/>
      <c r="AU339" s="77"/>
      <c r="AV339" s="83" t="str">
        <f>HYPERLINK("https://pbs.twimg.com/profile_images/1650585046552649728/bB919Cvl_normal.jpg")</f>
        <v>https://pbs.twimg.com/profile_images/1650585046552649728/bB919Cvl_normal.jpg</v>
      </c>
      <c r="AW339" s="81" t="s">
        <v>9610</v>
      </c>
      <c r="AX339" s="81" t="s">
        <v>9610</v>
      </c>
      <c r="AY339" s="77"/>
      <c r="AZ339" s="81" t="s">
        <v>11359</v>
      </c>
      <c r="BA339" s="81" t="s">
        <v>11359</v>
      </c>
      <c r="BB339" s="81" t="s">
        <v>11359</v>
      </c>
      <c r="BC339" s="81" t="s">
        <v>9610</v>
      </c>
      <c r="BD339" s="81" t="s">
        <v>11477</v>
      </c>
      <c r="BE339" s="77"/>
      <c r="BF339" s="77"/>
      <c r="BG339" s="77"/>
      <c r="BH339" s="77"/>
      <c r="BI339" s="77"/>
    </row>
    <row r="340" spans="1:61" x14ac:dyDescent="0.25">
      <c r="A340" s="62" t="s">
        <v>377</v>
      </c>
      <c r="B340" s="62" t="s">
        <v>377</v>
      </c>
      <c r="C340" s="63"/>
      <c r="D340" s="64"/>
      <c r="E340" s="65"/>
      <c r="F340" s="66"/>
      <c r="G340" s="63"/>
      <c r="H340" s="67"/>
      <c r="I340" s="68"/>
      <c r="J340" s="68"/>
      <c r="K340" s="32"/>
      <c r="L340" s="75">
        <v>340</v>
      </c>
      <c r="M340" s="75"/>
      <c r="N340" s="70"/>
      <c r="O340" s="77" t="s">
        <v>179</v>
      </c>
      <c r="P340" s="79">
        <v>44988.515439814815</v>
      </c>
      <c r="Q340" s="77" t="s">
        <v>1290</v>
      </c>
      <c r="R340" s="77">
        <v>0</v>
      </c>
      <c r="S340" s="77">
        <v>0</v>
      </c>
      <c r="T340" s="77">
        <v>0</v>
      </c>
      <c r="U340" s="77">
        <v>0</v>
      </c>
      <c r="V340" s="77">
        <v>8</v>
      </c>
      <c r="W340" s="81" t="s">
        <v>3160</v>
      </c>
      <c r="X340" s="77"/>
      <c r="Y340" s="77"/>
      <c r="Z340" s="77"/>
      <c r="AA340" s="77" t="s">
        <v>4578</v>
      </c>
      <c r="AB340" s="77" t="s">
        <v>5794</v>
      </c>
      <c r="AC340" s="81" t="s">
        <v>5803</v>
      </c>
      <c r="AD340" s="77" t="s">
        <v>5850</v>
      </c>
      <c r="AE340" s="83" t="str">
        <f>HYPERLINK("https://twitter.com/tetransformamos/status/1631631063565869056")</f>
        <v>https://twitter.com/tetransformamos/status/1631631063565869056</v>
      </c>
      <c r="AF340" s="79">
        <v>44988.515439814815</v>
      </c>
      <c r="AG340" s="85">
        <v>44988</v>
      </c>
      <c r="AH340" s="81" t="s">
        <v>6165</v>
      </c>
      <c r="AI340" s="77" t="b">
        <v>0</v>
      </c>
      <c r="AJ340" s="77"/>
      <c r="AK340" s="77"/>
      <c r="AL340" s="77"/>
      <c r="AM340" s="77"/>
      <c r="AN340" s="77"/>
      <c r="AO340" s="77"/>
      <c r="AP340" s="77"/>
      <c r="AQ340" s="77" t="s">
        <v>8081</v>
      </c>
      <c r="AR340" s="77"/>
      <c r="AS340" s="77"/>
      <c r="AT340" s="77"/>
      <c r="AU340" s="77"/>
      <c r="AV340" s="83" t="str">
        <f>HYPERLINK("https://pbs.twimg.com/media/FqS3zNpWwAAnGId.jpg")</f>
        <v>https://pbs.twimg.com/media/FqS3zNpWwAAnGId.jpg</v>
      </c>
      <c r="AW340" s="81" t="s">
        <v>9611</v>
      </c>
      <c r="AX340" s="81" t="s">
        <v>9611</v>
      </c>
      <c r="AY340" s="77"/>
      <c r="AZ340" s="81" t="s">
        <v>11359</v>
      </c>
      <c r="BA340" s="81" t="s">
        <v>11359</v>
      </c>
      <c r="BB340" s="81" t="s">
        <v>11359</v>
      </c>
      <c r="BC340" s="81" t="s">
        <v>9611</v>
      </c>
      <c r="BD340" s="81" t="s">
        <v>11478</v>
      </c>
      <c r="BE340" s="77"/>
      <c r="BF340" s="77"/>
      <c r="BG340" s="77"/>
      <c r="BH340" s="77"/>
      <c r="BI340" s="77"/>
    </row>
    <row r="341" spans="1:61" x14ac:dyDescent="0.25">
      <c r="A341" s="62" t="s">
        <v>378</v>
      </c>
      <c r="B341" s="62" t="s">
        <v>378</v>
      </c>
      <c r="C341" s="63"/>
      <c r="D341" s="64"/>
      <c r="E341" s="65"/>
      <c r="F341" s="66"/>
      <c r="G341" s="63"/>
      <c r="H341" s="67"/>
      <c r="I341" s="68"/>
      <c r="J341" s="68"/>
      <c r="K341" s="32"/>
      <c r="L341" s="75">
        <v>341</v>
      </c>
      <c r="M341" s="75"/>
      <c r="N341" s="70"/>
      <c r="O341" s="77" t="s">
        <v>179</v>
      </c>
      <c r="P341" s="79">
        <v>45071.714120370372</v>
      </c>
      <c r="Q341" s="77" t="s">
        <v>1291</v>
      </c>
      <c r="R341" s="77">
        <v>0</v>
      </c>
      <c r="S341" s="77">
        <v>0</v>
      </c>
      <c r="T341" s="77">
        <v>0</v>
      </c>
      <c r="U341" s="77">
        <v>0</v>
      </c>
      <c r="V341" s="77">
        <v>20</v>
      </c>
      <c r="W341" s="81" t="s">
        <v>3161</v>
      </c>
      <c r="X341" s="77"/>
      <c r="Y341" s="77"/>
      <c r="Z341" s="77"/>
      <c r="AA341" s="77" t="s">
        <v>4579</v>
      </c>
      <c r="AB341" s="77" t="s">
        <v>5794</v>
      </c>
      <c r="AC341" s="81" t="s">
        <v>5801</v>
      </c>
      <c r="AD341" s="77" t="s">
        <v>5850</v>
      </c>
      <c r="AE341" s="83" t="str">
        <f>HYPERLINK("https://twitter.com/nicolsproorg/status/1661781256441323520")</f>
        <v>https://twitter.com/nicolsproorg/status/1661781256441323520</v>
      </c>
      <c r="AF341" s="79">
        <v>45071.714120370372</v>
      </c>
      <c r="AG341" s="85">
        <v>45071</v>
      </c>
      <c r="AH341" s="81" t="s">
        <v>6166</v>
      </c>
      <c r="AI341" s="77" t="b">
        <v>0</v>
      </c>
      <c r="AJ341" s="77"/>
      <c r="AK341" s="77"/>
      <c r="AL341" s="77"/>
      <c r="AM341" s="77"/>
      <c r="AN341" s="77"/>
      <c r="AO341" s="77"/>
      <c r="AP341" s="77"/>
      <c r="AQ341" s="77" t="s">
        <v>8082</v>
      </c>
      <c r="AR341" s="77"/>
      <c r="AS341" s="77"/>
      <c r="AT341" s="77"/>
      <c r="AU341" s="77"/>
      <c r="AV341" s="83" t="str">
        <f>HYPERLINK("https://pbs.twimg.com/media/Fw_VPvbWAAAprFF.jpg")</f>
        <v>https://pbs.twimg.com/media/Fw_VPvbWAAAprFF.jpg</v>
      </c>
      <c r="AW341" s="81" t="s">
        <v>9612</v>
      </c>
      <c r="AX341" s="81" t="s">
        <v>9612</v>
      </c>
      <c r="AY341" s="77"/>
      <c r="AZ341" s="81" t="s">
        <v>11359</v>
      </c>
      <c r="BA341" s="81" t="s">
        <v>11359</v>
      </c>
      <c r="BB341" s="81" t="s">
        <v>11359</v>
      </c>
      <c r="BC341" s="81" t="s">
        <v>9612</v>
      </c>
      <c r="BD341" s="81" t="s">
        <v>11479</v>
      </c>
      <c r="BE341" s="77"/>
      <c r="BF341" s="77"/>
      <c r="BG341" s="77"/>
      <c r="BH341" s="77"/>
      <c r="BI341" s="77"/>
    </row>
    <row r="342" spans="1:61" x14ac:dyDescent="0.25">
      <c r="A342" s="62" t="s">
        <v>379</v>
      </c>
      <c r="B342" s="62" t="s">
        <v>842</v>
      </c>
      <c r="C342" s="63"/>
      <c r="D342" s="64"/>
      <c r="E342" s="65"/>
      <c r="F342" s="66"/>
      <c r="G342" s="63"/>
      <c r="H342" s="67"/>
      <c r="I342" s="68"/>
      <c r="J342" s="68"/>
      <c r="K342" s="32"/>
      <c r="L342" s="75">
        <v>342</v>
      </c>
      <c r="M342" s="75"/>
      <c r="N342" s="70"/>
      <c r="O342" s="77" t="s">
        <v>968</v>
      </c>
      <c r="P342" s="79">
        <v>45195.631967592592</v>
      </c>
      <c r="Q342" s="77" t="s">
        <v>1256</v>
      </c>
      <c r="R342" s="77">
        <v>6</v>
      </c>
      <c r="S342" s="77">
        <v>0</v>
      </c>
      <c r="T342" s="77">
        <v>0</v>
      </c>
      <c r="U342" s="77">
        <v>0</v>
      </c>
      <c r="V342" s="77"/>
      <c r="W342" s="81" t="s">
        <v>3131</v>
      </c>
      <c r="X342" s="77"/>
      <c r="Y342" s="77"/>
      <c r="Z342" s="77" t="s">
        <v>842</v>
      </c>
      <c r="AA342" s="77" t="s">
        <v>4557</v>
      </c>
      <c r="AB342" s="77" t="s">
        <v>5794</v>
      </c>
      <c r="AC342" s="81" t="s">
        <v>5801</v>
      </c>
      <c r="AD342" s="77" t="s">
        <v>5850</v>
      </c>
      <c r="AE342" s="83" t="str">
        <f>HYPERLINK("https://twitter.com/claudia_ardon/status/1706687581839040783")</f>
        <v>https://twitter.com/claudia_ardon/status/1706687581839040783</v>
      </c>
      <c r="AF342" s="79">
        <v>45195.631967592592</v>
      </c>
      <c r="AG342" s="85">
        <v>45195</v>
      </c>
      <c r="AH342" s="81" t="s">
        <v>6167</v>
      </c>
      <c r="AI342" s="77" t="b">
        <v>0</v>
      </c>
      <c r="AJ342" s="77"/>
      <c r="AK342" s="77"/>
      <c r="AL342" s="77"/>
      <c r="AM342" s="77"/>
      <c r="AN342" s="77"/>
      <c r="AO342" s="77"/>
      <c r="AP342" s="77"/>
      <c r="AQ342" s="77" t="s">
        <v>8060</v>
      </c>
      <c r="AR342" s="77"/>
      <c r="AS342" s="77"/>
      <c r="AT342" s="77"/>
      <c r="AU342" s="77"/>
      <c r="AV342" s="83" t="str">
        <f>HYPERLINK("https://pbs.twimg.com/media/F6zNlOyWcAA7NH5.jpg")</f>
        <v>https://pbs.twimg.com/media/F6zNlOyWcAA7NH5.jpg</v>
      </c>
      <c r="AW342" s="81" t="s">
        <v>9613</v>
      </c>
      <c r="AX342" s="81" t="s">
        <v>9613</v>
      </c>
      <c r="AY342" s="77"/>
      <c r="AZ342" s="81" t="s">
        <v>11359</v>
      </c>
      <c r="BA342" s="81" t="s">
        <v>11359</v>
      </c>
      <c r="BB342" s="81" t="s">
        <v>11160</v>
      </c>
      <c r="BC342" s="81" t="s">
        <v>11160</v>
      </c>
      <c r="BD342" s="77">
        <v>1350628897</v>
      </c>
      <c r="BE342" s="77"/>
      <c r="BF342" s="77"/>
      <c r="BG342" s="77"/>
      <c r="BH342" s="77"/>
      <c r="BI342" s="77"/>
    </row>
    <row r="343" spans="1:61" x14ac:dyDescent="0.25">
      <c r="A343" s="62" t="s">
        <v>380</v>
      </c>
      <c r="B343" s="62" t="s">
        <v>380</v>
      </c>
      <c r="C343" s="63"/>
      <c r="D343" s="64"/>
      <c r="E343" s="65"/>
      <c r="F343" s="66"/>
      <c r="G343" s="63"/>
      <c r="H343" s="67"/>
      <c r="I343" s="68"/>
      <c r="J343" s="68"/>
      <c r="K343" s="32"/>
      <c r="L343" s="75">
        <v>343</v>
      </c>
      <c r="M343" s="75"/>
      <c r="N343" s="70"/>
      <c r="O343" s="77" t="s">
        <v>179</v>
      </c>
      <c r="P343" s="79">
        <v>45097.583831018521</v>
      </c>
      <c r="Q343" s="77" t="s">
        <v>1292</v>
      </c>
      <c r="R343" s="77">
        <v>0</v>
      </c>
      <c r="S343" s="77">
        <v>0</v>
      </c>
      <c r="T343" s="77">
        <v>0</v>
      </c>
      <c r="U343" s="77">
        <v>0</v>
      </c>
      <c r="V343" s="77">
        <v>12</v>
      </c>
      <c r="W343" s="81" t="s">
        <v>3162</v>
      </c>
      <c r="X343" s="77"/>
      <c r="Y343" s="77"/>
      <c r="Z343" s="77"/>
      <c r="AA343" s="77" t="s">
        <v>4580</v>
      </c>
      <c r="AB343" s="77" t="s">
        <v>5794</v>
      </c>
      <c r="AC343" s="81" t="s">
        <v>5808</v>
      </c>
      <c r="AD343" s="77" t="s">
        <v>5851</v>
      </c>
      <c r="AE343" s="83" t="str">
        <f>HYPERLINK("https://twitter.com/roberto_vilela/status/1671156124530413574")</f>
        <v>https://twitter.com/roberto_vilela/status/1671156124530413574</v>
      </c>
      <c r="AF343" s="79">
        <v>45097.583831018521</v>
      </c>
      <c r="AG343" s="85">
        <v>45097</v>
      </c>
      <c r="AH343" s="81" t="s">
        <v>6168</v>
      </c>
      <c r="AI343" s="77" t="b">
        <v>0</v>
      </c>
      <c r="AJ343" s="77"/>
      <c r="AK343" s="77"/>
      <c r="AL343" s="77"/>
      <c r="AM343" s="77"/>
      <c r="AN343" s="77"/>
      <c r="AO343" s="77"/>
      <c r="AP343" s="77"/>
      <c r="AQ343" s="77" t="s">
        <v>8083</v>
      </c>
      <c r="AR343" s="77"/>
      <c r="AS343" s="77"/>
      <c r="AT343" s="77"/>
      <c r="AU343" s="77"/>
      <c r="AV343" s="83" t="str">
        <f>HYPERLINK("https://pbs.twimg.com/media/FzEjo40aUAAOaQj.jpg")</f>
        <v>https://pbs.twimg.com/media/FzEjo40aUAAOaQj.jpg</v>
      </c>
      <c r="AW343" s="81" t="s">
        <v>9614</v>
      </c>
      <c r="AX343" s="81" t="s">
        <v>9614</v>
      </c>
      <c r="AY343" s="77"/>
      <c r="AZ343" s="81" t="s">
        <v>11359</v>
      </c>
      <c r="BA343" s="81" t="s">
        <v>11359</v>
      </c>
      <c r="BB343" s="81" t="s">
        <v>11359</v>
      </c>
      <c r="BC343" s="81" t="s">
        <v>9614</v>
      </c>
      <c r="BD343" s="77">
        <v>185164195</v>
      </c>
      <c r="BE343" s="77"/>
      <c r="BF343" s="77"/>
      <c r="BG343" s="77"/>
      <c r="BH343" s="77"/>
      <c r="BI343" s="77"/>
    </row>
    <row r="344" spans="1:61" x14ac:dyDescent="0.25">
      <c r="A344" s="62" t="s">
        <v>381</v>
      </c>
      <c r="B344" s="62" t="s">
        <v>381</v>
      </c>
      <c r="C344" s="63"/>
      <c r="D344" s="64"/>
      <c r="E344" s="65"/>
      <c r="F344" s="66"/>
      <c r="G344" s="63"/>
      <c r="H344" s="67"/>
      <c r="I344" s="68"/>
      <c r="J344" s="68"/>
      <c r="K344" s="32"/>
      <c r="L344" s="75">
        <v>344</v>
      </c>
      <c r="M344" s="75"/>
      <c r="N344" s="70"/>
      <c r="O344" s="77" t="s">
        <v>969</v>
      </c>
      <c r="P344" s="79">
        <v>45070.91777777778</v>
      </c>
      <c r="Q344" s="77" t="s">
        <v>1293</v>
      </c>
      <c r="R344" s="77">
        <v>0</v>
      </c>
      <c r="S344" s="77">
        <v>1</v>
      </c>
      <c r="T344" s="77">
        <v>0</v>
      </c>
      <c r="U344" s="77">
        <v>0</v>
      </c>
      <c r="V344" s="77">
        <v>163</v>
      </c>
      <c r="W344" s="81" t="s">
        <v>3163</v>
      </c>
      <c r="X344" s="77"/>
      <c r="Y344" s="77"/>
      <c r="Z344" s="77"/>
      <c r="AA344" s="77"/>
      <c r="AB344" s="77"/>
      <c r="AC344" s="81" t="s">
        <v>5805</v>
      </c>
      <c r="AD344" s="77" t="s">
        <v>5854</v>
      </c>
      <c r="AE344" s="83" t="str">
        <f>HYPERLINK("https://twitter.com/joven360/status/1661492669812441089")</f>
        <v>https://twitter.com/joven360/status/1661492669812441089</v>
      </c>
      <c r="AF344" s="79">
        <v>45070.91777777778</v>
      </c>
      <c r="AG344" s="85">
        <v>45070</v>
      </c>
      <c r="AH344" s="81" t="s">
        <v>6169</v>
      </c>
      <c r="AI344" s="77"/>
      <c r="AJ344" s="77"/>
      <c r="AK344" s="77"/>
      <c r="AL344" s="77"/>
      <c r="AM344" s="77"/>
      <c r="AN344" s="77"/>
      <c r="AO344" s="77"/>
      <c r="AP344" s="77"/>
      <c r="AQ344" s="77"/>
      <c r="AR344" s="77"/>
      <c r="AS344" s="77"/>
      <c r="AT344" s="77"/>
      <c r="AU344" s="77"/>
      <c r="AV344" s="83" t="str">
        <f>HYPERLINK("https://pbs.twimg.com/profile_images/1514134259757469696/PHTzfViX_normal.jpg")</f>
        <v>https://pbs.twimg.com/profile_images/1514134259757469696/PHTzfViX_normal.jpg</v>
      </c>
      <c r="AW344" s="81" t="s">
        <v>9615</v>
      </c>
      <c r="AX344" s="81" t="s">
        <v>11261</v>
      </c>
      <c r="AY344" s="81" t="s">
        <v>11330</v>
      </c>
      <c r="AZ344" s="81" t="s">
        <v>11363</v>
      </c>
      <c r="BA344" s="81" t="s">
        <v>11359</v>
      </c>
      <c r="BB344" s="81" t="s">
        <v>11359</v>
      </c>
      <c r="BC344" s="81" t="s">
        <v>11363</v>
      </c>
      <c r="BD344" s="77">
        <v>267405364</v>
      </c>
      <c r="BE344" s="77"/>
      <c r="BF344" s="77"/>
      <c r="BG344" s="77"/>
      <c r="BH344" s="77"/>
      <c r="BI344" s="77"/>
    </row>
    <row r="345" spans="1:61" x14ac:dyDescent="0.25">
      <c r="A345" s="62" t="s">
        <v>381</v>
      </c>
      <c r="B345" s="62" t="s">
        <v>381</v>
      </c>
      <c r="C345" s="63"/>
      <c r="D345" s="64"/>
      <c r="E345" s="65"/>
      <c r="F345" s="66"/>
      <c r="G345" s="63"/>
      <c r="H345" s="67"/>
      <c r="I345" s="68"/>
      <c r="J345" s="68"/>
      <c r="K345" s="32"/>
      <c r="L345" s="75">
        <v>345</v>
      </c>
      <c r="M345" s="75"/>
      <c r="N345" s="70"/>
      <c r="O345" s="77" t="s">
        <v>969</v>
      </c>
      <c r="P345" s="79">
        <v>45075.879224537035</v>
      </c>
      <c r="Q345" s="77" t="s">
        <v>1294</v>
      </c>
      <c r="R345" s="77">
        <v>0</v>
      </c>
      <c r="S345" s="77">
        <v>2</v>
      </c>
      <c r="T345" s="77">
        <v>0</v>
      </c>
      <c r="U345" s="77">
        <v>0</v>
      </c>
      <c r="V345" s="77">
        <v>146</v>
      </c>
      <c r="W345" s="81" t="s">
        <v>3164</v>
      </c>
      <c r="X345" s="83" t="str">
        <f>HYPERLINK("https://www.joven360.com/empleos/vendedor-supervisor-con-motocicleta-en-san-salvador/22")</f>
        <v>https://www.joven360.com/empleos/vendedor-supervisor-con-motocicleta-en-san-salvador/22</v>
      </c>
      <c r="Y345" s="77" t="s">
        <v>4256</v>
      </c>
      <c r="Z345" s="77"/>
      <c r="AA345" s="77"/>
      <c r="AB345" s="77"/>
      <c r="AC345" s="81" t="s">
        <v>5805</v>
      </c>
      <c r="AD345" s="77" t="s">
        <v>5850</v>
      </c>
      <c r="AE345" s="83" t="str">
        <f>HYPERLINK("https://twitter.com/joven360/status/1663290638283014147")</f>
        <v>https://twitter.com/joven360/status/1663290638283014147</v>
      </c>
      <c r="AF345" s="79">
        <v>45075.879224537035</v>
      </c>
      <c r="AG345" s="85">
        <v>45075</v>
      </c>
      <c r="AH345" s="81" t="s">
        <v>6170</v>
      </c>
      <c r="AI345" s="77" t="b">
        <v>0</v>
      </c>
      <c r="AJ345" s="77"/>
      <c r="AK345" s="77"/>
      <c r="AL345" s="77"/>
      <c r="AM345" s="77"/>
      <c r="AN345" s="77"/>
      <c r="AO345" s="77"/>
      <c r="AP345" s="77"/>
      <c r="AQ345" s="77"/>
      <c r="AR345" s="77"/>
      <c r="AS345" s="77"/>
      <c r="AT345" s="77"/>
      <c r="AU345" s="77"/>
      <c r="AV345" s="83" t="str">
        <f>HYPERLINK("https://pbs.twimg.com/profile_images/1514134259757469696/PHTzfViX_normal.jpg")</f>
        <v>https://pbs.twimg.com/profile_images/1514134259757469696/PHTzfViX_normal.jpg</v>
      </c>
      <c r="AW345" s="81" t="s">
        <v>9616</v>
      </c>
      <c r="AX345" s="81" t="s">
        <v>11262</v>
      </c>
      <c r="AY345" s="81" t="s">
        <v>11330</v>
      </c>
      <c r="AZ345" s="81" t="s">
        <v>11364</v>
      </c>
      <c r="BA345" s="81" t="s">
        <v>11359</v>
      </c>
      <c r="BB345" s="81" t="s">
        <v>11359</v>
      </c>
      <c r="BC345" s="81" t="s">
        <v>11364</v>
      </c>
      <c r="BD345" s="77">
        <v>267405364</v>
      </c>
      <c r="BE345" s="77"/>
      <c r="BF345" s="77"/>
      <c r="BG345" s="77"/>
      <c r="BH345" s="77"/>
      <c r="BI345" s="77"/>
    </row>
    <row r="346" spans="1:61" x14ac:dyDescent="0.25">
      <c r="A346" s="62" t="s">
        <v>382</v>
      </c>
      <c r="B346" s="62" t="s">
        <v>382</v>
      </c>
      <c r="C346" s="63"/>
      <c r="D346" s="64"/>
      <c r="E346" s="65"/>
      <c r="F346" s="66"/>
      <c r="G346" s="63"/>
      <c r="H346" s="67"/>
      <c r="I346" s="68"/>
      <c r="J346" s="68"/>
      <c r="K346" s="32"/>
      <c r="L346" s="75">
        <v>346</v>
      </c>
      <c r="M346" s="75"/>
      <c r="N346" s="70"/>
      <c r="O346" s="77" t="s">
        <v>179</v>
      </c>
      <c r="P346" s="79">
        <v>44994.97587962963</v>
      </c>
      <c r="Q346" s="77" t="s">
        <v>1295</v>
      </c>
      <c r="R346" s="77">
        <v>0</v>
      </c>
      <c r="S346" s="77">
        <v>0</v>
      </c>
      <c r="T346" s="77">
        <v>0</v>
      </c>
      <c r="U346" s="77">
        <v>0</v>
      </c>
      <c r="V346" s="77">
        <v>151</v>
      </c>
      <c r="W346" s="81" t="s">
        <v>3165</v>
      </c>
      <c r="X346" s="77"/>
      <c r="Y346" s="77"/>
      <c r="Z346" s="77"/>
      <c r="AA346" s="77" t="s">
        <v>4581</v>
      </c>
      <c r="AB346" s="77" t="s">
        <v>5798</v>
      </c>
      <c r="AC346" s="81" t="s">
        <v>5803</v>
      </c>
      <c r="AD346" s="77" t="s">
        <v>5850</v>
      </c>
      <c r="AE346" s="83" t="str">
        <f>HYPERLINK("https://twitter.com/jg_humanr/status/1633972249878249473")</f>
        <v>https://twitter.com/jg_humanr/status/1633972249878249473</v>
      </c>
      <c r="AF346" s="79">
        <v>44994.97587962963</v>
      </c>
      <c r="AG346" s="85">
        <v>44994</v>
      </c>
      <c r="AH346" s="81" t="s">
        <v>6171</v>
      </c>
      <c r="AI346" s="77" t="b">
        <v>0</v>
      </c>
      <c r="AJ346" s="77"/>
      <c r="AK346" s="77"/>
      <c r="AL346" s="77"/>
      <c r="AM346" s="77"/>
      <c r="AN346" s="77"/>
      <c r="AO346" s="77"/>
      <c r="AP346" s="77"/>
      <c r="AQ346" s="77" t="s">
        <v>8084</v>
      </c>
      <c r="AR346" s="77"/>
      <c r="AS346" s="77"/>
      <c r="AT346" s="77"/>
      <c r="AU346" s="77"/>
      <c r="AV346" s="83" t="str">
        <f>HYPERLINK("https://pbs.twimg.com/media/Fq0JGAxXoAQyr_W.jpg")</f>
        <v>https://pbs.twimg.com/media/Fq0JGAxXoAQyr_W.jpg</v>
      </c>
      <c r="AW346" s="81" t="s">
        <v>9617</v>
      </c>
      <c r="AX346" s="81" t="s">
        <v>9617</v>
      </c>
      <c r="AY346" s="77"/>
      <c r="AZ346" s="81" t="s">
        <v>11359</v>
      </c>
      <c r="BA346" s="81" t="s">
        <v>11359</v>
      </c>
      <c r="BB346" s="81" t="s">
        <v>11359</v>
      </c>
      <c r="BC346" s="81" t="s">
        <v>9617</v>
      </c>
      <c r="BD346" s="81" t="s">
        <v>11480</v>
      </c>
      <c r="BE346" s="77"/>
      <c r="BF346" s="77"/>
      <c r="BG346" s="77"/>
      <c r="BH346" s="77"/>
      <c r="BI346" s="77"/>
    </row>
    <row r="347" spans="1:61" x14ac:dyDescent="0.25">
      <c r="A347" s="62" t="s">
        <v>383</v>
      </c>
      <c r="B347" s="62" t="s">
        <v>383</v>
      </c>
      <c r="C347" s="63"/>
      <c r="D347" s="64"/>
      <c r="E347" s="65"/>
      <c r="F347" s="66"/>
      <c r="G347" s="63"/>
      <c r="H347" s="67"/>
      <c r="I347" s="68"/>
      <c r="J347" s="68"/>
      <c r="K347" s="32"/>
      <c r="L347" s="75">
        <v>347</v>
      </c>
      <c r="M347" s="75"/>
      <c r="N347" s="70"/>
      <c r="O347" s="77" t="s">
        <v>179</v>
      </c>
      <c r="P347" s="79">
        <v>45147.683344907404</v>
      </c>
      <c r="Q347" s="77" t="s">
        <v>1296</v>
      </c>
      <c r="R347" s="77">
        <v>0</v>
      </c>
      <c r="S347" s="77">
        <v>0</v>
      </c>
      <c r="T347" s="77">
        <v>0</v>
      </c>
      <c r="U347" s="77">
        <v>0</v>
      </c>
      <c r="V347" s="77">
        <v>108</v>
      </c>
      <c r="W347" s="81" t="s">
        <v>3166</v>
      </c>
      <c r="X347" s="77"/>
      <c r="Y347" s="77"/>
      <c r="Z347" s="77"/>
      <c r="AA347" s="77" t="s">
        <v>4582</v>
      </c>
      <c r="AB347" s="77" t="s">
        <v>5794</v>
      </c>
      <c r="AC347" s="81" t="s">
        <v>5801</v>
      </c>
      <c r="AD347" s="77" t="s">
        <v>5850</v>
      </c>
      <c r="AE347" s="83" t="str">
        <f>HYPERLINK("https://twitter.com/clauromorh231/status/1689311582851854336")</f>
        <v>https://twitter.com/clauromorh231/status/1689311582851854336</v>
      </c>
      <c r="AF347" s="79">
        <v>45147.683344907404</v>
      </c>
      <c r="AG347" s="85">
        <v>45147</v>
      </c>
      <c r="AH347" s="81" t="s">
        <v>6172</v>
      </c>
      <c r="AI347" s="77" t="b">
        <v>0</v>
      </c>
      <c r="AJ347" s="77"/>
      <c r="AK347" s="77"/>
      <c r="AL347" s="77"/>
      <c r="AM347" s="77"/>
      <c r="AN347" s="77"/>
      <c r="AO347" s="77"/>
      <c r="AP347" s="77"/>
      <c r="AQ347" s="77" t="s">
        <v>8085</v>
      </c>
      <c r="AR347" s="77"/>
      <c r="AS347" s="77"/>
      <c r="AT347" s="77"/>
      <c r="AU347" s="77"/>
      <c r="AV347" s="83" t="str">
        <f>HYPERLINK("https://pbs.twimg.com/media/F3Gj7guXoAcCPwj.jpg")</f>
        <v>https://pbs.twimg.com/media/F3Gj7guXoAcCPwj.jpg</v>
      </c>
      <c r="AW347" s="81" t="s">
        <v>9618</v>
      </c>
      <c r="AX347" s="81" t="s">
        <v>9618</v>
      </c>
      <c r="AY347" s="77"/>
      <c r="AZ347" s="81" t="s">
        <v>11359</v>
      </c>
      <c r="BA347" s="81" t="s">
        <v>11359</v>
      </c>
      <c r="BB347" s="81" t="s">
        <v>11359</v>
      </c>
      <c r="BC347" s="81" t="s">
        <v>9618</v>
      </c>
      <c r="BD347" s="81" t="s">
        <v>11481</v>
      </c>
      <c r="BE347" s="77"/>
      <c r="BF347" s="77"/>
      <c r="BG347" s="77"/>
      <c r="BH347" s="77"/>
      <c r="BI347" s="77"/>
    </row>
    <row r="348" spans="1:61" x14ac:dyDescent="0.25">
      <c r="A348" s="62" t="s">
        <v>384</v>
      </c>
      <c r="B348" s="62" t="s">
        <v>384</v>
      </c>
      <c r="C348" s="63"/>
      <c r="D348" s="64"/>
      <c r="E348" s="65"/>
      <c r="F348" s="66"/>
      <c r="G348" s="63"/>
      <c r="H348" s="67"/>
      <c r="I348" s="68"/>
      <c r="J348" s="68"/>
      <c r="K348" s="32"/>
      <c r="L348" s="75">
        <v>348</v>
      </c>
      <c r="M348" s="75"/>
      <c r="N348" s="70"/>
      <c r="O348" s="77" t="s">
        <v>179</v>
      </c>
      <c r="P348" s="79">
        <v>44958.875127314815</v>
      </c>
      <c r="Q348" s="77" t="s">
        <v>1297</v>
      </c>
      <c r="R348" s="77">
        <v>0</v>
      </c>
      <c r="S348" s="77">
        <v>1</v>
      </c>
      <c r="T348" s="77">
        <v>0</v>
      </c>
      <c r="U348" s="77">
        <v>0</v>
      </c>
      <c r="V348" s="77">
        <v>90</v>
      </c>
      <c r="W348" s="81" t="s">
        <v>3167</v>
      </c>
      <c r="X348" s="77"/>
      <c r="Y348" s="77"/>
      <c r="Z348" s="77"/>
      <c r="AA348" s="77" t="s">
        <v>4583</v>
      </c>
      <c r="AB348" s="77" t="s">
        <v>5795</v>
      </c>
      <c r="AC348" s="81" t="s">
        <v>5803</v>
      </c>
      <c r="AD348" s="77" t="s">
        <v>5851</v>
      </c>
      <c r="AE348" s="83" t="str">
        <f>HYPERLINK("https://twitter.com/oevandroazevedo/status/1620889774612697089")</f>
        <v>https://twitter.com/oevandroazevedo/status/1620889774612697089</v>
      </c>
      <c r="AF348" s="79">
        <v>44958.875127314815</v>
      </c>
      <c r="AG348" s="85">
        <v>44958</v>
      </c>
      <c r="AH348" s="81" t="s">
        <v>6173</v>
      </c>
      <c r="AI348" s="77" t="b">
        <v>0</v>
      </c>
      <c r="AJ348" s="77"/>
      <c r="AK348" s="77"/>
      <c r="AL348" s="77"/>
      <c r="AM348" s="77"/>
      <c r="AN348" s="77"/>
      <c r="AO348" s="77"/>
      <c r="AP348" s="77"/>
      <c r="AQ348" s="77" t="s">
        <v>8086</v>
      </c>
      <c r="AR348" s="77">
        <v>73033</v>
      </c>
      <c r="AS348" s="77"/>
      <c r="AT348" s="77"/>
      <c r="AU348" s="77"/>
      <c r="AV348" s="83" t="str">
        <f>HYPERLINK("https://pbs.twimg.com/ext_tw_video_thumb/1620889645574758414/pu/img/4ZczvzvicOFSG_oV.jpg")</f>
        <v>https://pbs.twimg.com/ext_tw_video_thumb/1620889645574758414/pu/img/4ZczvzvicOFSG_oV.jpg</v>
      </c>
      <c r="AW348" s="81" t="s">
        <v>9619</v>
      </c>
      <c r="AX348" s="81" t="s">
        <v>9619</v>
      </c>
      <c r="AY348" s="77"/>
      <c r="AZ348" s="81" t="s">
        <v>11359</v>
      </c>
      <c r="BA348" s="81" t="s">
        <v>11359</v>
      </c>
      <c r="BB348" s="81" t="s">
        <v>11359</v>
      </c>
      <c r="BC348" s="81" t="s">
        <v>9619</v>
      </c>
      <c r="BD348" s="81" t="s">
        <v>11482</v>
      </c>
      <c r="BE348" s="77"/>
      <c r="BF348" s="77"/>
      <c r="BG348" s="77"/>
      <c r="BH348" s="77"/>
      <c r="BI348" s="77"/>
    </row>
    <row r="349" spans="1:61" x14ac:dyDescent="0.25">
      <c r="A349" s="62" t="s">
        <v>385</v>
      </c>
      <c r="B349" s="62" t="s">
        <v>385</v>
      </c>
      <c r="C349" s="63"/>
      <c r="D349" s="64"/>
      <c r="E349" s="65"/>
      <c r="F349" s="66"/>
      <c r="G349" s="63"/>
      <c r="H349" s="67"/>
      <c r="I349" s="68"/>
      <c r="J349" s="68"/>
      <c r="K349" s="32"/>
      <c r="L349" s="75">
        <v>349</v>
      </c>
      <c r="M349" s="75"/>
      <c r="N349" s="70"/>
      <c r="O349" s="77" t="s">
        <v>179</v>
      </c>
      <c r="P349" s="79">
        <v>45159.710289351853</v>
      </c>
      <c r="Q349" s="77" t="s">
        <v>1298</v>
      </c>
      <c r="R349" s="77">
        <v>0</v>
      </c>
      <c r="S349" s="77">
        <v>0</v>
      </c>
      <c r="T349" s="77">
        <v>0</v>
      </c>
      <c r="U349" s="77">
        <v>0</v>
      </c>
      <c r="V349" s="77">
        <v>25</v>
      </c>
      <c r="W349" s="81" t="s">
        <v>3168</v>
      </c>
      <c r="X349" s="77"/>
      <c r="Y349" s="77"/>
      <c r="Z349" s="77"/>
      <c r="AA349" s="77" t="s">
        <v>4584</v>
      </c>
      <c r="AB349" s="77" t="s">
        <v>5794</v>
      </c>
      <c r="AC349" s="81" t="s">
        <v>5805</v>
      </c>
      <c r="AD349" s="77" t="s">
        <v>5851</v>
      </c>
      <c r="AE349" s="83" t="str">
        <f>HYPERLINK("https://twitter.com/rhprojettar/status/1693670000035299375")</f>
        <v>https://twitter.com/rhprojettar/status/1693670000035299375</v>
      </c>
      <c r="AF349" s="79">
        <v>45159.710289351853</v>
      </c>
      <c r="AG349" s="85">
        <v>45159</v>
      </c>
      <c r="AH349" s="81" t="s">
        <v>6174</v>
      </c>
      <c r="AI349" s="77" t="b">
        <v>0</v>
      </c>
      <c r="AJ349" s="77"/>
      <c r="AK349" s="77"/>
      <c r="AL349" s="77"/>
      <c r="AM349" s="77"/>
      <c r="AN349" s="77"/>
      <c r="AO349" s="77"/>
      <c r="AP349" s="77"/>
      <c r="AQ349" s="77" t="s">
        <v>8087</v>
      </c>
      <c r="AR349" s="77"/>
      <c r="AS349" s="77"/>
      <c r="AT349" s="77"/>
      <c r="AU349" s="77"/>
      <c r="AV349" s="83" t="str">
        <f>HYPERLINK("https://pbs.twimg.com/media/F4Ee0wnXYAArFfv.jpg")</f>
        <v>https://pbs.twimg.com/media/F4Ee0wnXYAArFfv.jpg</v>
      </c>
      <c r="AW349" s="81" t="s">
        <v>9620</v>
      </c>
      <c r="AX349" s="81" t="s">
        <v>9620</v>
      </c>
      <c r="AY349" s="77"/>
      <c r="AZ349" s="81" t="s">
        <v>11359</v>
      </c>
      <c r="BA349" s="81" t="s">
        <v>11359</v>
      </c>
      <c r="BB349" s="81" t="s">
        <v>11359</v>
      </c>
      <c r="BC349" s="81" t="s">
        <v>9620</v>
      </c>
      <c r="BD349" s="81" t="s">
        <v>11483</v>
      </c>
      <c r="BE349" s="77"/>
      <c r="BF349" s="77"/>
      <c r="BG349" s="77"/>
      <c r="BH349" s="77"/>
      <c r="BI349" s="77"/>
    </row>
    <row r="350" spans="1:61" x14ac:dyDescent="0.25">
      <c r="A350" s="62" t="s">
        <v>385</v>
      </c>
      <c r="B350" s="62" t="s">
        <v>385</v>
      </c>
      <c r="C350" s="63"/>
      <c r="D350" s="64"/>
      <c r="E350" s="65"/>
      <c r="F350" s="66"/>
      <c r="G350" s="63"/>
      <c r="H350" s="67"/>
      <c r="I350" s="68"/>
      <c r="J350" s="68"/>
      <c r="K350" s="32"/>
      <c r="L350" s="75">
        <v>350</v>
      </c>
      <c r="M350" s="75"/>
      <c r="N350" s="70"/>
      <c r="O350" s="77" t="s">
        <v>179</v>
      </c>
      <c r="P350" s="79">
        <v>45163.831759259258</v>
      </c>
      <c r="Q350" s="77" t="s">
        <v>1299</v>
      </c>
      <c r="R350" s="77">
        <v>0</v>
      </c>
      <c r="S350" s="77">
        <v>0</v>
      </c>
      <c r="T350" s="77">
        <v>0</v>
      </c>
      <c r="U350" s="77">
        <v>0</v>
      </c>
      <c r="V350" s="77">
        <v>14</v>
      </c>
      <c r="W350" s="81" t="s">
        <v>3169</v>
      </c>
      <c r="X350" s="77"/>
      <c r="Y350" s="77"/>
      <c r="Z350" s="77"/>
      <c r="AA350" s="77" t="s">
        <v>4585</v>
      </c>
      <c r="AB350" s="77" t="s">
        <v>5794</v>
      </c>
      <c r="AC350" s="81" t="s">
        <v>5805</v>
      </c>
      <c r="AD350" s="77" t="s">
        <v>5851</v>
      </c>
      <c r="AE350" s="83" t="str">
        <f>HYPERLINK("https://twitter.com/rhprojettar/status/1695163570009305510")</f>
        <v>https://twitter.com/rhprojettar/status/1695163570009305510</v>
      </c>
      <c r="AF350" s="79">
        <v>45163.831759259258</v>
      </c>
      <c r="AG350" s="85">
        <v>45163</v>
      </c>
      <c r="AH350" s="81" t="s">
        <v>6175</v>
      </c>
      <c r="AI350" s="77" t="b">
        <v>0</v>
      </c>
      <c r="AJ350" s="77"/>
      <c r="AK350" s="77"/>
      <c r="AL350" s="77"/>
      <c r="AM350" s="77"/>
      <c r="AN350" s="77"/>
      <c r="AO350" s="77"/>
      <c r="AP350" s="77"/>
      <c r="AQ350" s="77" t="s">
        <v>8088</v>
      </c>
      <c r="AR350" s="77"/>
      <c r="AS350" s="77"/>
      <c r="AT350" s="77"/>
      <c r="AU350" s="77"/>
      <c r="AV350" s="83" t="str">
        <f>HYPERLINK("https://pbs.twimg.com/media/F4ZuDXtXQAAfYMt.jpg")</f>
        <v>https://pbs.twimg.com/media/F4ZuDXtXQAAfYMt.jpg</v>
      </c>
      <c r="AW350" s="81" t="s">
        <v>9621</v>
      </c>
      <c r="AX350" s="81" t="s">
        <v>9621</v>
      </c>
      <c r="AY350" s="77"/>
      <c r="AZ350" s="81" t="s">
        <v>11359</v>
      </c>
      <c r="BA350" s="81" t="s">
        <v>11359</v>
      </c>
      <c r="BB350" s="81" t="s">
        <v>11359</v>
      </c>
      <c r="BC350" s="81" t="s">
        <v>9621</v>
      </c>
      <c r="BD350" s="81" t="s">
        <v>11483</v>
      </c>
      <c r="BE350" s="77"/>
      <c r="BF350" s="77"/>
      <c r="BG350" s="77"/>
      <c r="BH350" s="77"/>
      <c r="BI350" s="77"/>
    </row>
    <row r="351" spans="1:61" x14ac:dyDescent="0.25">
      <c r="A351" s="62" t="s">
        <v>385</v>
      </c>
      <c r="B351" s="62" t="s">
        <v>385</v>
      </c>
      <c r="C351" s="63"/>
      <c r="D351" s="64"/>
      <c r="E351" s="65"/>
      <c r="F351" s="66"/>
      <c r="G351" s="63"/>
      <c r="H351" s="67"/>
      <c r="I351" s="68"/>
      <c r="J351" s="68"/>
      <c r="K351" s="32"/>
      <c r="L351" s="75">
        <v>351</v>
      </c>
      <c r="M351" s="75"/>
      <c r="N351" s="70"/>
      <c r="O351" s="77" t="s">
        <v>179</v>
      </c>
      <c r="P351" s="79">
        <v>45163.615868055553</v>
      </c>
      <c r="Q351" s="77" t="s">
        <v>1300</v>
      </c>
      <c r="R351" s="77">
        <v>0</v>
      </c>
      <c r="S351" s="77">
        <v>0</v>
      </c>
      <c r="T351" s="77">
        <v>0</v>
      </c>
      <c r="U351" s="77">
        <v>0</v>
      </c>
      <c r="V351" s="77">
        <v>20</v>
      </c>
      <c r="W351" s="81" t="s">
        <v>3170</v>
      </c>
      <c r="X351" s="77"/>
      <c r="Y351" s="77"/>
      <c r="Z351" s="77"/>
      <c r="AA351" s="77" t="s">
        <v>4586</v>
      </c>
      <c r="AB351" s="77" t="s">
        <v>5794</v>
      </c>
      <c r="AC351" s="81" t="s">
        <v>5805</v>
      </c>
      <c r="AD351" s="77" t="s">
        <v>5851</v>
      </c>
      <c r="AE351" s="83" t="str">
        <f>HYPERLINK("https://twitter.com/rhprojettar/status/1695085336181850524")</f>
        <v>https://twitter.com/rhprojettar/status/1695085336181850524</v>
      </c>
      <c r="AF351" s="79">
        <v>45163.615868055553</v>
      </c>
      <c r="AG351" s="85">
        <v>45163</v>
      </c>
      <c r="AH351" s="81" t="s">
        <v>6176</v>
      </c>
      <c r="AI351" s="77" t="b">
        <v>0</v>
      </c>
      <c r="AJ351" s="77"/>
      <c r="AK351" s="77"/>
      <c r="AL351" s="77"/>
      <c r="AM351" s="77"/>
      <c r="AN351" s="77"/>
      <c r="AO351" s="77"/>
      <c r="AP351" s="77"/>
      <c r="AQ351" s="77" t="s">
        <v>8089</v>
      </c>
      <c r="AR351" s="77"/>
      <c r="AS351" s="77"/>
      <c r="AT351" s="77"/>
      <c r="AU351" s="77"/>
      <c r="AV351" s="83" t="str">
        <f>HYPERLINK("https://pbs.twimg.com/media/F4Ym-FWXoAIqs_x.jpg")</f>
        <v>https://pbs.twimg.com/media/F4Ym-FWXoAIqs_x.jpg</v>
      </c>
      <c r="AW351" s="81" t="s">
        <v>9622</v>
      </c>
      <c r="AX351" s="81" t="s">
        <v>9622</v>
      </c>
      <c r="AY351" s="77"/>
      <c r="AZ351" s="81" t="s">
        <v>11359</v>
      </c>
      <c r="BA351" s="81" t="s">
        <v>11359</v>
      </c>
      <c r="BB351" s="81" t="s">
        <v>11359</v>
      </c>
      <c r="BC351" s="81" t="s">
        <v>9622</v>
      </c>
      <c r="BD351" s="81" t="s">
        <v>11483</v>
      </c>
      <c r="BE351" s="77"/>
      <c r="BF351" s="77"/>
      <c r="BG351" s="77"/>
      <c r="BH351" s="77"/>
      <c r="BI351" s="77"/>
    </row>
    <row r="352" spans="1:61" x14ac:dyDescent="0.25">
      <c r="A352" s="62" t="s">
        <v>385</v>
      </c>
      <c r="B352" s="62" t="s">
        <v>385</v>
      </c>
      <c r="C352" s="63"/>
      <c r="D352" s="64"/>
      <c r="E352" s="65"/>
      <c r="F352" s="66"/>
      <c r="G352" s="63"/>
      <c r="H352" s="67"/>
      <c r="I352" s="68"/>
      <c r="J352" s="68"/>
      <c r="K352" s="32"/>
      <c r="L352" s="75">
        <v>352</v>
      </c>
      <c r="M352" s="75"/>
      <c r="N352" s="70"/>
      <c r="O352" s="77" t="s">
        <v>179</v>
      </c>
      <c r="P352" s="79">
        <v>45194.866678240738</v>
      </c>
      <c r="Q352" s="77" t="s">
        <v>1301</v>
      </c>
      <c r="R352" s="77">
        <v>0</v>
      </c>
      <c r="S352" s="77">
        <v>0</v>
      </c>
      <c r="T352" s="77">
        <v>0</v>
      </c>
      <c r="U352" s="77">
        <v>0</v>
      </c>
      <c r="V352" s="77">
        <v>76</v>
      </c>
      <c r="W352" s="81" t="s">
        <v>3170</v>
      </c>
      <c r="X352" s="77"/>
      <c r="Y352" s="77"/>
      <c r="Z352" s="77"/>
      <c r="AA352" s="77" t="s">
        <v>4587</v>
      </c>
      <c r="AB352" s="77" t="s">
        <v>5794</v>
      </c>
      <c r="AC352" s="81" t="s">
        <v>5805</v>
      </c>
      <c r="AD352" s="77" t="s">
        <v>5851</v>
      </c>
      <c r="AE352" s="83" t="str">
        <f>HYPERLINK("https://twitter.com/rhprojettar/status/1706410249349984370")</f>
        <v>https://twitter.com/rhprojettar/status/1706410249349984370</v>
      </c>
      <c r="AF352" s="79">
        <v>45194.866678240738</v>
      </c>
      <c r="AG352" s="85">
        <v>45194</v>
      </c>
      <c r="AH352" s="81" t="s">
        <v>6177</v>
      </c>
      <c r="AI352" s="77" t="b">
        <v>0</v>
      </c>
      <c r="AJ352" s="77"/>
      <c r="AK352" s="77"/>
      <c r="AL352" s="77"/>
      <c r="AM352" s="77"/>
      <c r="AN352" s="77"/>
      <c r="AO352" s="77"/>
      <c r="AP352" s="77"/>
      <c r="AQ352" s="77" t="s">
        <v>8090</v>
      </c>
      <c r="AR352" s="77"/>
      <c r="AS352" s="77"/>
      <c r="AT352" s="77"/>
      <c r="AU352" s="77"/>
      <c r="AV352" s="83" t="str">
        <f>HYPERLINK("https://pbs.twimg.com/media/F65jDcGXIAEKDK_.jpg")</f>
        <v>https://pbs.twimg.com/media/F65jDcGXIAEKDK_.jpg</v>
      </c>
      <c r="AW352" s="81" t="s">
        <v>9623</v>
      </c>
      <c r="AX352" s="81" t="s">
        <v>9623</v>
      </c>
      <c r="AY352" s="77"/>
      <c r="AZ352" s="81" t="s">
        <v>11359</v>
      </c>
      <c r="BA352" s="81" t="s">
        <v>11359</v>
      </c>
      <c r="BB352" s="81" t="s">
        <v>11359</v>
      </c>
      <c r="BC352" s="81" t="s">
        <v>9623</v>
      </c>
      <c r="BD352" s="81" t="s">
        <v>11483</v>
      </c>
      <c r="BE352" s="77"/>
      <c r="BF352" s="77"/>
      <c r="BG352" s="77"/>
      <c r="BH352" s="77"/>
      <c r="BI352" s="77"/>
    </row>
    <row r="353" spans="1:61" x14ac:dyDescent="0.25">
      <c r="A353" s="62" t="s">
        <v>386</v>
      </c>
      <c r="B353" s="62" t="s">
        <v>386</v>
      </c>
      <c r="C353" s="63"/>
      <c r="D353" s="64"/>
      <c r="E353" s="65"/>
      <c r="F353" s="66"/>
      <c r="G353" s="63"/>
      <c r="H353" s="67"/>
      <c r="I353" s="68"/>
      <c r="J353" s="68"/>
      <c r="K353" s="32"/>
      <c r="L353" s="75">
        <v>353</v>
      </c>
      <c r="M353" s="75"/>
      <c r="N353" s="70"/>
      <c r="O353" s="77" t="s">
        <v>179</v>
      </c>
      <c r="P353" s="79">
        <v>45188.804444444446</v>
      </c>
      <c r="Q353" s="77" t="s">
        <v>1302</v>
      </c>
      <c r="R353" s="77">
        <v>0</v>
      </c>
      <c r="S353" s="77">
        <v>1</v>
      </c>
      <c r="T353" s="77">
        <v>0</v>
      </c>
      <c r="U353" s="77">
        <v>0</v>
      </c>
      <c r="V353" s="77">
        <v>61</v>
      </c>
      <c r="W353" s="81" t="s">
        <v>3171</v>
      </c>
      <c r="X353" s="77"/>
      <c r="Y353" s="77"/>
      <c r="Z353" s="77"/>
      <c r="AA353" s="77" t="s">
        <v>4588</v>
      </c>
      <c r="AB353" s="77" t="s">
        <v>5794</v>
      </c>
      <c r="AC353" s="81" t="s">
        <v>5801</v>
      </c>
      <c r="AD353" s="77" t="s">
        <v>5850</v>
      </c>
      <c r="AE353" s="83" t="str">
        <f>HYPERLINK("https://twitter.com/olemanocomunica/status/1704213369996120489")</f>
        <v>https://twitter.com/olemanocomunica/status/1704213369996120489</v>
      </c>
      <c r="AF353" s="79">
        <v>45188.804444444446</v>
      </c>
      <c r="AG353" s="85">
        <v>45188</v>
      </c>
      <c r="AH353" s="81" t="s">
        <v>6178</v>
      </c>
      <c r="AI353" s="77" t="b">
        <v>0</v>
      </c>
      <c r="AJ353" s="77" t="s">
        <v>7736</v>
      </c>
      <c r="AK353" s="77" t="s">
        <v>7766</v>
      </c>
      <c r="AL353" s="77" t="s">
        <v>7775</v>
      </c>
      <c r="AM353" s="77" t="s">
        <v>7790</v>
      </c>
      <c r="AN353" s="77" t="s">
        <v>7826</v>
      </c>
      <c r="AO353" s="77" t="s">
        <v>7862</v>
      </c>
      <c r="AP353" s="77" t="s">
        <v>7889</v>
      </c>
      <c r="AQ353" s="77" t="s">
        <v>8091</v>
      </c>
      <c r="AR353" s="77"/>
      <c r="AS353" s="77"/>
      <c r="AT353" s="77"/>
      <c r="AU353" s="77"/>
      <c r="AV353" s="83" t="str">
        <f>HYPERLINK("https://pbs.twimg.com/media/F6aVB3SWMAAV2cD.jpg")</f>
        <v>https://pbs.twimg.com/media/F6aVB3SWMAAV2cD.jpg</v>
      </c>
      <c r="AW353" s="81" t="s">
        <v>9624</v>
      </c>
      <c r="AX353" s="81" t="s">
        <v>9624</v>
      </c>
      <c r="AY353" s="77"/>
      <c r="AZ353" s="81" t="s">
        <v>11359</v>
      </c>
      <c r="BA353" s="81" t="s">
        <v>11359</v>
      </c>
      <c r="BB353" s="81" t="s">
        <v>11359</v>
      </c>
      <c r="BC353" s="81" t="s">
        <v>9624</v>
      </c>
      <c r="BD353" s="81" t="s">
        <v>11484</v>
      </c>
      <c r="BE353" s="77"/>
      <c r="BF353" s="77"/>
      <c r="BG353" s="77"/>
      <c r="BH353" s="77"/>
      <c r="BI353" s="77"/>
    </row>
    <row r="354" spans="1:61" x14ac:dyDescent="0.25">
      <c r="A354" s="62" t="s">
        <v>387</v>
      </c>
      <c r="B354" s="62" t="s">
        <v>387</v>
      </c>
      <c r="C354" s="63"/>
      <c r="D354" s="64"/>
      <c r="E354" s="65"/>
      <c r="F354" s="66"/>
      <c r="G354" s="63"/>
      <c r="H354" s="67"/>
      <c r="I354" s="68"/>
      <c r="J354" s="68"/>
      <c r="K354" s="32"/>
      <c r="L354" s="75">
        <v>354</v>
      </c>
      <c r="M354" s="75"/>
      <c r="N354" s="70"/>
      <c r="O354" s="77" t="s">
        <v>179</v>
      </c>
      <c r="P354" s="79">
        <v>45030.506689814814</v>
      </c>
      <c r="Q354" s="77" t="s">
        <v>1303</v>
      </c>
      <c r="R354" s="77">
        <v>0</v>
      </c>
      <c r="S354" s="77">
        <v>1</v>
      </c>
      <c r="T354" s="77">
        <v>0</v>
      </c>
      <c r="U354" s="77">
        <v>0</v>
      </c>
      <c r="V354" s="77">
        <v>16</v>
      </c>
      <c r="W354" s="81" t="s">
        <v>3172</v>
      </c>
      <c r="X354" s="77"/>
      <c r="Y354" s="77"/>
      <c r="Z354" s="77"/>
      <c r="AA354" s="77" t="s">
        <v>4589</v>
      </c>
      <c r="AB354" s="77" t="s">
        <v>5794</v>
      </c>
      <c r="AC354" s="81" t="s">
        <v>5801</v>
      </c>
      <c r="AD354" s="77" t="s">
        <v>5851</v>
      </c>
      <c r="AE354" s="83" t="str">
        <f>HYPERLINK("https://twitter.com/gringodist/status/1646848184193351680")</f>
        <v>https://twitter.com/gringodist/status/1646848184193351680</v>
      </c>
      <c r="AF354" s="79">
        <v>45030.506689814814</v>
      </c>
      <c r="AG354" s="85">
        <v>45030</v>
      </c>
      <c r="AH354" s="81" t="s">
        <v>6179</v>
      </c>
      <c r="AI354" s="77" t="b">
        <v>0</v>
      </c>
      <c r="AJ354" s="77"/>
      <c r="AK354" s="77"/>
      <c r="AL354" s="77"/>
      <c r="AM354" s="77"/>
      <c r="AN354" s="77"/>
      <c r="AO354" s="77"/>
      <c r="AP354" s="77"/>
      <c r="AQ354" s="77" t="s">
        <v>8092</v>
      </c>
      <c r="AR354" s="77"/>
      <c r="AS354" s="77"/>
      <c r="AT354" s="77"/>
      <c r="AU354" s="77"/>
      <c r="AV354" s="83" t="str">
        <f>HYPERLINK("https://pbs.twimg.com/media/FtrHskoWcAA7-iH.jpg")</f>
        <v>https://pbs.twimg.com/media/FtrHskoWcAA7-iH.jpg</v>
      </c>
      <c r="AW354" s="81" t="s">
        <v>9625</v>
      </c>
      <c r="AX354" s="81" t="s">
        <v>9625</v>
      </c>
      <c r="AY354" s="77"/>
      <c r="AZ354" s="81" t="s">
        <v>11359</v>
      </c>
      <c r="BA354" s="81" t="s">
        <v>11359</v>
      </c>
      <c r="BB354" s="81" t="s">
        <v>11359</v>
      </c>
      <c r="BC354" s="81" t="s">
        <v>9625</v>
      </c>
      <c r="BD354" s="81" t="s">
        <v>11485</v>
      </c>
      <c r="BE354" s="77"/>
      <c r="BF354" s="77"/>
      <c r="BG354" s="77"/>
      <c r="BH354" s="77"/>
      <c r="BI354" s="77"/>
    </row>
    <row r="355" spans="1:61" x14ac:dyDescent="0.25">
      <c r="A355" s="62" t="s">
        <v>388</v>
      </c>
      <c r="B355" s="62" t="s">
        <v>388</v>
      </c>
      <c r="C355" s="63"/>
      <c r="D355" s="64"/>
      <c r="E355" s="65"/>
      <c r="F355" s="66"/>
      <c r="G355" s="63"/>
      <c r="H355" s="67"/>
      <c r="I355" s="68"/>
      <c r="J355" s="68"/>
      <c r="K355" s="32"/>
      <c r="L355" s="75">
        <v>355</v>
      </c>
      <c r="M355" s="75"/>
      <c r="N355" s="70"/>
      <c r="O355" s="77" t="s">
        <v>179</v>
      </c>
      <c r="P355" s="79">
        <v>45166.957638888889</v>
      </c>
      <c r="Q355" s="77" t="s">
        <v>1304</v>
      </c>
      <c r="R355" s="77">
        <v>0</v>
      </c>
      <c r="S355" s="77">
        <v>1</v>
      </c>
      <c r="T355" s="77">
        <v>0</v>
      </c>
      <c r="U355" s="77">
        <v>0</v>
      </c>
      <c r="V355" s="77">
        <v>73</v>
      </c>
      <c r="W355" s="81" t="s">
        <v>3173</v>
      </c>
      <c r="X355" s="77"/>
      <c r="Y355" s="77"/>
      <c r="Z355" s="77"/>
      <c r="AA355" s="77" t="s">
        <v>4590</v>
      </c>
      <c r="AB355" s="77" t="s">
        <v>5794</v>
      </c>
      <c r="AC355" s="81" t="s">
        <v>5805</v>
      </c>
      <c r="AD355" s="77" t="s">
        <v>5850</v>
      </c>
      <c r="AE355" s="83" t="str">
        <f>HYPERLINK("https://twitter.com/redesvisualesve/status/1696296350269489378")</f>
        <v>https://twitter.com/redesvisualesve/status/1696296350269489378</v>
      </c>
      <c r="AF355" s="79">
        <v>45166.957638888889</v>
      </c>
      <c r="AG355" s="85">
        <v>45166</v>
      </c>
      <c r="AH355" s="81" t="s">
        <v>6180</v>
      </c>
      <c r="AI355" s="77" t="b">
        <v>0</v>
      </c>
      <c r="AJ355" s="77"/>
      <c r="AK355" s="77"/>
      <c r="AL355" s="77"/>
      <c r="AM355" s="77"/>
      <c r="AN355" s="77"/>
      <c r="AO355" s="77"/>
      <c r="AP355" s="77"/>
      <c r="AQ355" s="77" t="s">
        <v>8093</v>
      </c>
      <c r="AR355" s="77"/>
      <c r="AS355" s="77"/>
      <c r="AT355" s="77"/>
      <c r="AU355" s="77"/>
      <c r="AV355" s="83" t="str">
        <f>HYPERLINK("https://pbs.twimg.com/media/F4fKuydXYAAaN2G.jpg")</f>
        <v>https://pbs.twimg.com/media/F4fKuydXYAAaN2G.jpg</v>
      </c>
      <c r="AW355" s="81" t="s">
        <v>9626</v>
      </c>
      <c r="AX355" s="81" t="s">
        <v>9626</v>
      </c>
      <c r="AY355" s="77"/>
      <c r="AZ355" s="81" t="s">
        <v>11359</v>
      </c>
      <c r="BA355" s="81" t="s">
        <v>11359</v>
      </c>
      <c r="BB355" s="81" t="s">
        <v>11359</v>
      </c>
      <c r="BC355" s="81" t="s">
        <v>9626</v>
      </c>
      <c r="BD355" s="81" t="s">
        <v>11486</v>
      </c>
      <c r="BE355" s="77"/>
      <c r="BF355" s="77"/>
      <c r="BG355" s="77"/>
      <c r="BH355" s="77"/>
      <c r="BI355" s="77"/>
    </row>
    <row r="356" spans="1:61" x14ac:dyDescent="0.25">
      <c r="A356" s="62" t="s">
        <v>389</v>
      </c>
      <c r="B356" s="62" t="s">
        <v>389</v>
      </c>
      <c r="C356" s="63"/>
      <c r="D356" s="64"/>
      <c r="E356" s="65"/>
      <c r="F356" s="66"/>
      <c r="G356" s="63"/>
      <c r="H356" s="67"/>
      <c r="I356" s="68"/>
      <c r="J356" s="68"/>
      <c r="K356" s="32"/>
      <c r="L356" s="75">
        <v>356</v>
      </c>
      <c r="M356" s="75"/>
      <c r="N356" s="70"/>
      <c r="O356" s="77" t="s">
        <v>179</v>
      </c>
      <c r="P356" s="79">
        <v>45047.90216435185</v>
      </c>
      <c r="Q356" s="77" t="s">
        <v>1305</v>
      </c>
      <c r="R356" s="77">
        <v>0</v>
      </c>
      <c r="S356" s="77">
        <v>0</v>
      </c>
      <c r="T356" s="77">
        <v>0</v>
      </c>
      <c r="U356" s="77">
        <v>0</v>
      </c>
      <c r="V356" s="77">
        <v>16</v>
      </c>
      <c r="W356" s="81" t="s">
        <v>3174</v>
      </c>
      <c r="X356" s="77"/>
      <c r="Y356" s="77"/>
      <c r="Z356" s="77"/>
      <c r="AA356" s="77" t="s">
        <v>4591</v>
      </c>
      <c r="AB356" s="77" t="s">
        <v>5794</v>
      </c>
      <c r="AC356" s="81" t="s">
        <v>5801</v>
      </c>
      <c r="AD356" s="77" t="s">
        <v>5851</v>
      </c>
      <c r="AE356" s="83" t="str">
        <f>HYPERLINK("https://twitter.com/tilsobataglia/status/1653152092389769218")</f>
        <v>https://twitter.com/tilsobataglia/status/1653152092389769218</v>
      </c>
      <c r="AF356" s="79">
        <v>45047.90216435185</v>
      </c>
      <c r="AG356" s="85">
        <v>45047</v>
      </c>
      <c r="AH356" s="81" t="s">
        <v>6181</v>
      </c>
      <c r="AI356" s="77" t="b">
        <v>0</v>
      </c>
      <c r="AJ356" s="77" t="s">
        <v>7737</v>
      </c>
      <c r="AK356" s="77" t="s">
        <v>7763</v>
      </c>
      <c r="AL356" s="77" t="s">
        <v>7772</v>
      </c>
      <c r="AM356" s="77" t="s">
        <v>7791</v>
      </c>
      <c r="AN356" s="77" t="s">
        <v>7827</v>
      </c>
      <c r="AO356" s="77" t="s">
        <v>7863</v>
      </c>
      <c r="AP356" s="77" t="s">
        <v>7889</v>
      </c>
      <c r="AQ356" s="77" t="s">
        <v>8094</v>
      </c>
      <c r="AR356" s="77"/>
      <c r="AS356" s="77"/>
      <c r="AT356" s="77"/>
      <c r="AU356" s="77"/>
      <c r="AV356" s="83" t="str">
        <f>HYPERLINK("https://pbs.twimg.com/media/FvEtETZXoAAWoi2.jpg")</f>
        <v>https://pbs.twimg.com/media/FvEtETZXoAAWoi2.jpg</v>
      </c>
      <c r="AW356" s="81" t="s">
        <v>9627</v>
      </c>
      <c r="AX356" s="81" t="s">
        <v>9627</v>
      </c>
      <c r="AY356" s="77"/>
      <c r="AZ356" s="81" t="s">
        <v>11359</v>
      </c>
      <c r="BA356" s="81" t="s">
        <v>11359</v>
      </c>
      <c r="BB356" s="81" t="s">
        <v>11359</v>
      </c>
      <c r="BC356" s="81" t="s">
        <v>9627</v>
      </c>
      <c r="BD356" s="77">
        <v>2937614243</v>
      </c>
      <c r="BE356" s="77"/>
      <c r="BF356" s="77"/>
      <c r="BG356" s="77"/>
      <c r="BH356" s="77"/>
      <c r="BI356" s="77"/>
    </row>
    <row r="357" spans="1:61" x14ac:dyDescent="0.25">
      <c r="A357" s="62" t="s">
        <v>389</v>
      </c>
      <c r="B357" s="62" t="s">
        <v>389</v>
      </c>
      <c r="C357" s="63"/>
      <c r="D357" s="64"/>
      <c r="E357" s="65"/>
      <c r="F357" s="66"/>
      <c r="G357" s="63"/>
      <c r="H357" s="67"/>
      <c r="I357" s="68"/>
      <c r="J357" s="68"/>
      <c r="K357" s="32"/>
      <c r="L357" s="75">
        <v>357</v>
      </c>
      <c r="M357" s="75"/>
      <c r="N357" s="70"/>
      <c r="O357" s="77" t="s">
        <v>179</v>
      </c>
      <c r="P357" s="79">
        <v>45006.735682870371</v>
      </c>
      <c r="Q357" s="77" t="s">
        <v>1306</v>
      </c>
      <c r="R357" s="77">
        <v>0</v>
      </c>
      <c r="S357" s="77">
        <v>0</v>
      </c>
      <c r="T357" s="77">
        <v>0</v>
      </c>
      <c r="U357" s="77">
        <v>0</v>
      </c>
      <c r="V357" s="77">
        <v>7</v>
      </c>
      <c r="W357" s="81" t="s">
        <v>3175</v>
      </c>
      <c r="X357" s="77"/>
      <c r="Y357" s="77"/>
      <c r="Z357" s="77"/>
      <c r="AA357" s="77" t="s">
        <v>4592</v>
      </c>
      <c r="AB357" s="77" t="s">
        <v>5794</v>
      </c>
      <c r="AC357" s="81" t="s">
        <v>5801</v>
      </c>
      <c r="AD357" s="77" t="s">
        <v>5851</v>
      </c>
      <c r="AE357" s="83" t="str">
        <f>HYPERLINK("https://twitter.com/tilsobataglia/status/1638233859522175014")</f>
        <v>https://twitter.com/tilsobataglia/status/1638233859522175014</v>
      </c>
      <c r="AF357" s="79">
        <v>45006.735682870371</v>
      </c>
      <c r="AG357" s="85">
        <v>45006</v>
      </c>
      <c r="AH357" s="81" t="s">
        <v>6182</v>
      </c>
      <c r="AI357" s="77" t="b">
        <v>0</v>
      </c>
      <c r="AJ357" s="77" t="s">
        <v>7737</v>
      </c>
      <c r="AK357" s="77" t="s">
        <v>7763</v>
      </c>
      <c r="AL357" s="77" t="s">
        <v>7772</v>
      </c>
      <c r="AM357" s="77" t="s">
        <v>7791</v>
      </c>
      <c r="AN357" s="77" t="s">
        <v>7827</v>
      </c>
      <c r="AO357" s="77" t="s">
        <v>7863</v>
      </c>
      <c r="AP357" s="77" t="s">
        <v>7889</v>
      </c>
      <c r="AQ357" s="77" t="s">
        <v>8095</v>
      </c>
      <c r="AR357" s="77"/>
      <c r="AS357" s="77"/>
      <c r="AT357" s="77"/>
      <c r="AU357" s="77"/>
      <c r="AV357" s="83" t="str">
        <f>HYPERLINK("https://pbs.twimg.com/media/FrwtA3TWIBMJOYS.jpg")</f>
        <v>https://pbs.twimg.com/media/FrwtA3TWIBMJOYS.jpg</v>
      </c>
      <c r="AW357" s="81" t="s">
        <v>9628</v>
      </c>
      <c r="AX357" s="81" t="s">
        <v>9628</v>
      </c>
      <c r="AY357" s="77"/>
      <c r="AZ357" s="81" t="s">
        <v>11359</v>
      </c>
      <c r="BA357" s="81" t="s">
        <v>11359</v>
      </c>
      <c r="BB357" s="81" t="s">
        <v>11359</v>
      </c>
      <c r="BC357" s="81" t="s">
        <v>9628</v>
      </c>
      <c r="BD357" s="77">
        <v>2937614243</v>
      </c>
      <c r="BE357" s="77"/>
      <c r="BF357" s="77"/>
      <c r="BG357" s="77"/>
      <c r="BH357" s="77"/>
      <c r="BI357" s="77"/>
    </row>
    <row r="358" spans="1:61" x14ac:dyDescent="0.25">
      <c r="A358" s="62" t="s">
        <v>389</v>
      </c>
      <c r="B358" s="62" t="s">
        <v>389</v>
      </c>
      <c r="C358" s="63"/>
      <c r="D358" s="64"/>
      <c r="E358" s="65"/>
      <c r="F358" s="66"/>
      <c r="G358" s="63"/>
      <c r="H358" s="67"/>
      <c r="I358" s="68"/>
      <c r="J358" s="68"/>
      <c r="K358" s="32"/>
      <c r="L358" s="75">
        <v>358</v>
      </c>
      <c r="M358" s="75"/>
      <c r="N358" s="70"/>
      <c r="O358" s="77" t="s">
        <v>179</v>
      </c>
      <c r="P358" s="79">
        <v>45075.671273148146</v>
      </c>
      <c r="Q358" s="77" t="s">
        <v>1307</v>
      </c>
      <c r="R358" s="77">
        <v>0</v>
      </c>
      <c r="S358" s="77">
        <v>0</v>
      </c>
      <c r="T358" s="77">
        <v>0</v>
      </c>
      <c r="U358" s="77">
        <v>0</v>
      </c>
      <c r="V358" s="77">
        <v>63</v>
      </c>
      <c r="W358" s="81" t="s">
        <v>3176</v>
      </c>
      <c r="X358" s="77"/>
      <c r="Y358" s="77"/>
      <c r="Z358" s="77"/>
      <c r="AA358" s="77" t="s">
        <v>4593</v>
      </c>
      <c r="AB358" s="77" t="s">
        <v>5795</v>
      </c>
      <c r="AC358" s="81" t="s">
        <v>5801</v>
      </c>
      <c r="AD358" s="77" t="s">
        <v>5851</v>
      </c>
      <c r="AE358" s="83" t="str">
        <f>HYPERLINK("https://twitter.com/tilsobataglia/status/1663215281357967365")</f>
        <v>https://twitter.com/tilsobataglia/status/1663215281357967365</v>
      </c>
      <c r="AF358" s="79">
        <v>45075.671273148146</v>
      </c>
      <c r="AG358" s="85">
        <v>45075</v>
      </c>
      <c r="AH358" s="81" t="s">
        <v>6183</v>
      </c>
      <c r="AI358" s="77" t="b">
        <v>0</v>
      </c>
      <c r="AJ358" s="77" t="s">
        <v>7737</v>
      </c>
      <c r="AK358" s="77" t="s">
        <v>7763</v>
      </c>
      <c r="AL358" s="77" t="s">
        <v>7772</v>
      </c>
      <c r="AM358" s="77" t="s">
        <v>7791</v>
      </c>
      <c r="AN358" s="77" t="s">
        <v>7827</v>
      </c>
      <c r="AO358" s="77" t="s">
        <v>7863</v>
      </c>
      <c r="AP358" s="77" t="s">
        <v>7889</v>
      </c>
      <c r="AQ358" s="77" t="s">
        <v>8096</v>
      </c>
      <c r="AR358" s="77">
        <v>36430</v>
      </c>
      <c r="AS358" s="77"/>
      <c r="AT358" s="77"/>
      <c r="AU358" s="77"/>
      <c r="AV358" s="83" t="str">
        <f>HYPERLINK("https://pbs.twimg.com/ext_tw_video_thumb/1663215192610598912/pu/img/iloatb-DdmApDbrh.jpg")</f>
        <v>https://pbs.twimg.com/ext_tw_video_thumb/1663215192610598912/pu/img/iloatb-DdmApDbrh.jpg</v>
      </c>
      <c r="AW358" s="81" t="s">
        <v>9629</v>
      </c>
      <c r="AX358" s="81" t="s">
        <v>9629</v>
      </c>
      <c r="AY358" s="77"/>
      <c r="AZ358" s="81" t="s">
        <v>11359</v>
      </c>
      <c r="BA358" s="81" t="s">
        <v>11359</v>
      </c>
      <c r="BB358" s="81" t="s">
        <v>11359</v>
      </c>
      <c r="BC358" s="81" t="s">
        <v>9629</v>
      </c>
      <c r="BD358" s="77">
        <v>2937614243</v>
      </c>
      <c r="BE358" s="77"/>
      <c r="BF358" s="77"/>
      <c r="BG358" s="77"/>
      <c r="BH358" s="77"/>
      <c r="BI358" s="77"/>
    </row>
    <row r="359" spans="1:61" x14ac:dyDescent="0.25">
      <c r="A359" s="62" t="s">
        <v>390</v>
      </c>
      <c r="B359" s="62" t="s">
        <v>390</v>
      </c>
      <c r="C359" s="63"/>
      <c r="D359" s="64"/>
      <c r="E359" s="65"/>
      <c r="F359" s="66"/>
      <c r="G359" s="63"/>
      <c r="H359" s="67"/>
      <c r="I359" s="68"/>
      <c r="J359" s="68"/>
      <c r="K359" s="32"/>
      <c r="L359" s="75">
        <v>359</v>
      </c>
      <c r="M359" s="75"/>
      <c r="N359" s="70"/>
      <c r="O359" s="77" t="s">
        <v>179</v>
      </c>
      <c r="P359" s="79">
        <v>44952.364699074074</v>
      </c>
      <c r="Q359" s="77" t="s">
        <v>1308</v>
      </c>
      <c r="R359" s="77">
        <v>0</v>
      </c>
      <c r="S359" s="77">
        <v>0</v>
      </c>
      <c r="T359" s="77">
        <v>0</v>
      </c>
      <c r="U359" s="77">
        <v>0</v>
      </c>
      <c r="V359" s="77">
        <v>10</v>
      </c>
      <c r="W359" s="81" t="s">
        <v>3177</v>
      </c>
      <c r="X359" s="83" t="str">
        <f>HYPERLINK("https://cutt.ly/o9bXZZu")</f>
        <v>https://cutt.ly/o9bXZZu</v>
      </c>
      <c r="Y359" s="77" t="s">
        <v>4257</v>
      </c>
      <c r="Z359" s="77"/>
      <c r="AA359" s="77"/>
      <c r="AB359" s="77"/>
      <c r="AC359" s="81" t="s">
        <v>5805</v>
      </c>
      <c r="AD359" s="77" t="s">
        <v>5850</v>
      </c>
      <c r="AE359" s="83" t="str">
        <f>HYPERLINK("https://twitter.com/wautechnologies/status/1618530475685072898")</f>
        <v>https://twitter.com/wautechnologies/status/1618530475685072898</v>
      </c>
      <c r="AF359" s="79">
        <v>44952.364699074074</v>
      </c>
      <c r="AG359" s="85">
        <v>44952</v>
      </c>
      <c r="AH359" s="81" t="s">
        <v>6184</v>
      </c>
      <c r="AI359" s="77" t="b">
        <v>0</v>
      </c>
      <c r="AJ359" s="77"/>
      <c r="AK359" s="77"/>
      <c r="AL359" s="77"/>
      <c r="AM359" s="77"/>
      <c r="AN359" s="77"/>
      <c r="AO359" s="77"/>
      <c r="AP359" s="77"/>
      <c r="AQ359" s="77"/>
      <c r="AR359" s="77"/>
      <c r="AS359" s="77"/>
      <c r="AT359" s="77"/>
      <c r="AU359" s="77"/>
      <c r="AV359" s="83" t="str">
        <f>HYPERLINK("https://pbs.twimg.com/profile_images/1321815544807436288/-UHlM7q0_normal.jpg")</f>
        <v>https://pbs.twimg.com/profile_images/1321815544807436288/-UHlM7q0_normal.jpg</v>
      </c>
      <c r="AW359" s="81" t="s">
        <v>9630</v>
      </c>
      <c r="AX359" s="81" t="s">
        <v>9630</v>
      </c>
      <c r="AY359" s="77"/>
      <c r="AZ359" s="81" t="s">
        <v>11359</v>
      </c>
      <c r="BA359" s="81" t="s">
        <v>11359</v>
      </c>
      <c r="BB359" s="81" t="s">
        <v>11359</v>
      </c>
      <c r="BC359" s="81" t="s">
        <v>9630</v>
      </c>
      <c r="BD359" s="81" t="s">
        <v>11487</v>
      </c>
      <c r="BE359" s="77"/>
      <c r="BF359" s="77"/>
      <c r="BG359" s="77"/>
      <c r="BH359" s="77"/>
      <c r="BI359" s="77"/>
    </row>
    <row r="360" spans="1:61" x14ac:dyDescent="0.25">
      <c r="A360" s="62" t="s">
        <v>391</v>
      </c>
      <c r="B360" s="62" t="s">
        <v>391</v>
      </c>
      <c r="C360" s="63"/>
      <c r="D360" s="64"/>
      <c r="E360" s="65"/>
      <c r="F360" s="66"/>
      <c r="G360" s="63"/>
      <c r="H360" s="67"/>
      <c r="I360" s="68"/>
      <c r="J360" s="68"/>
      <c r="K360" s="32"/>
      <c r="L360" s="75">
        <v>360</v>
      </c>
      <c r="M360" s="75"/>
      <c r="N360" s="70"/>
      <c r="O360" s="77" t="s">
        <v>179</v>
      </c>
      <c r="P360" s="79">
        <v>45094.817118055558</v>
      </c>
      <c r="Q360" s="77" t="s">
        <v>1309</v>
      </c>
      <c r="R360" s="77">
        <v>3</v>
      </c>
      <c r="S360" s="77">
        <v>1</v>
      </c>
      <c r="T360" s="77">
        <v>0</v>
      </c>
      <c r="U360" s="77">
        <v>0</v>
      </c>
      <c r="V360" s="77">
        <v>386</v>
      </c>
      <c r="W360" s="81" t="s">
        <v>3178</v>
      </c>
      <c r="X360" s="83" t="str">
        <f>HYPERLINK("https://lnkd.in/e5ucZQGF")</f>
        <v>https://lnkd.in/e5ucZQGF</v>
      </c>
      <c r="Y360" s="77" t="s">
        <v>4221</v>
      </c>
      <c r="Z360" s="77"/>
      <c r="AA360" s="77"/>
      <c r="AB360" s="77"/>
      <c r="AC360" s="81" t="s">
        <v>5810</v>
      </c>
      <c r="AD360" s="77" t="s">
        <v>5850</v>
      </c>
      <c r="AE360" s="83" t="str">
        <f>HYPERLINK("https://twitter.com/jgribbell/status/1670153502323093506")</f>
        <v>https://twitter.com/jgribbell/status/1670153502323093506</v>
      </c>
      <c r="AF360" s="79">
        <v>45094.817118055558</v>
      </c>
      <c r="AG360" s="85">
        <v>45094</v>
      </c>
      <c r="AH360" s="81" t="s">
        <v>6185</v>
      </c>
      <c r="AI360" s="77" t="b">
        <v>0</v>
      </c>
      <c r="AJ360" s="77"/>
      <c r="AK360" s="77"/>
      <c r="AL360" s="77"/>
      <c r="AM360" s="77"/>
      <c r="AN360" s="77"/>
      <c r="AO360" s="77"/>
      <c r="AP360" s="77"/>
      <c r="AQ360" s="77"/>
      <c r="AR360" s="77"/>
      <c r="AS360" s="77"/>
      <c r="AT360" s="77"/>
      <c r="AU360" s="77"/>
      <c r="AV360" s="83" t="str">
        <f>HYPERLINK("https://pbs.twimg.com/profile_images/1268622294248759297/MotusrlR_normal.jpg")</f>
        <v>https://pbs.twimg.com/profile_images/1268622294248759297/MotusrlR_normal.jpg</v>
      </c>
      <c r="AW360" s="81" t="s">
        <v>9631</v>
      </c>
      <c r="AX360" s="81" t="s">
        <v>9631</v>
      </c>
      <c r="AY360" s="77"/>
      <c r="AZ360" s="81" t="s">
        <v>11359</v>
      </c>
      <c r="BA360" s="81" t="s">
        <v>11359</v>
      </c>
      <c r="BB360" s="81" t="s">
        <v>11359</v>
      </c>
      <c r="BC360" s="81" t="s">
        <v>9631</v>
      </c>
      <c r="BD360" s="77">
        <v>2423877002</v>
      </c>
      <c r="BE360" s="77"/>
      <c r="BF360" s="77"/>
      <c r="BG360" s="77"/>
      <c r="BH360" s="77"/>
      <c r="BI360" s="77"/>
    </row>
    <row r="361" spans="1:61" x14ac:dyDescent="0.25">
      <c r="A361" s="62" t="s">
        <v>391</v>
      </c>
      <c r="B361" s="62" t="s">
        <v>391</v>
      </c>
      <c r="C361" s="63"/>
      <c r="D361" s="64"/>
      <c r="E361" s="65"/>
      <c r="F361" s="66"/>
      <c r="G361" s="63"/>
      <c r="H361" s="67"/>
      <c r="I361" s="68"/>
      <c r="J361" s="68"/>
      <c r="K361" s="32"/>
      <c r="L361" s="75">
        <v>361</v>
      </c>
      <c r="M361" s="75"/>
      <c r="N361" s="70"/>
      <c r="O361" s="77" t="s">
        <v>179</v>
      </c>
      <c r="P361" s="79">
        <v>45097.897511574076</v>
      </c>
      <c r="Q361" s="77" t="s">
        <v>1310</v>
      </c>
      <c r="R361" s="77">
        <v>3</v>
      </c>
      <c r="S361" s="77">
        <v>3</v>
      </c>
      <c r="T361" s="77">
        <v>0</v>
      </c>
      <c r="U361" s="77">
        <v>0</v>
      </c>
      <c r="V361" s="77">
        <v>609</v>
      </c>
      <c r="W361" s="81" t="s">
        <v>3179</v>
      </c>
      <c r="X361" s="83" t="str">
        <f>HYPERLINK("https://lnkd.in/eUD9uhzN")</f>
        <v>https://lnkd.in/eUD9uhzN</v>
      </c>
      <c r="Y361" s="77" t="s">
        <v>4221</v>
      </c>
      <c r="Z361" s="77"/>
      <c r="AA361" s="77"/>
      <c r="AB361" s="77"/>
      <c r="AC361" s="81" t="s">
        <v>5810</v>
      </c>
      <c r="AD361" s="77" t="s">
        <v>5853</v>
      </c>
      <c r="AE361" s="83" t="str">
        <f>HYPERLINK("https://twitter.com/jgribbell/status/1671269797454131203")</f>
        <v>https://twitter.com/jgribbell/status/1671269797454131203</v>
      </c>
      <c r="AF361" s="79">
        <v>45097.897511574076</v>
      </c>
      <c r="AG361" s="85">
        <v>45097</v>
      </c>
      <c r="AH361" s="81" t="s">
        <v>6186</v>
      </c>
      <c r="AI361" s="77" t="b">
        <v>0</v>
      </c>
      <c r="AJ361" s="77"/>
      <c r="AK361" s="77"/>
      <c r="AL361" s="77"/>
      <c r="AM361" s="77"/>
      <c r="AN361" s="77"/>
      <c r="AO361" s="77"/>
      <c r="AP361" s="77"/>
      <c r="AQ361" s="77"/>
      <c r="AR361" s="77"/>
      <c r="AS361" s="77"/>
      <c r="AT361" s="77"/>
      <c r="AU361" s="77"/>
      <c r="AV361" s="83" t="str">
        <f>HYPERLINK("https://pbs.twimg.com/profile_images/1268622294248759297/MotusrlR_normal.jpg")</f>
        <v>https://pbs.twimg.com/profile_images/1268622294248759297/MotusrlR_normal.jpg</v>
      </c>
      <c r="AW361" s="81" t="s">
        <v>9632</v>
      </c>
      <c r="AX361" s="81" t="s">
        <v>9632</v>
      </c>
      <c r="AY361" s="77"/>
      <c r="AZ361" s="81" t="s">
        <v>11359</v>
      </c>
      <c r="BA361" s="81" t="s">
        <v>11359</v>
      </c>
      <c r="BB361" s="81" t="s">
        <v>11359</v>
      </c>
      <c r="BC361" s="81" t="s">
        <v>9632</v>
      </c>
      <c r="BD361" s="77">
        <v>2423877002</v>
      </c>
      <c r="BE361" s="77"/>
      <c r="BF361" s="77"/>
      <c r="BG361" s="77"/>
      <c r="BH361" s="77"/>
      <c r="BI361" s="77"/>
    </row>
    <row r="362" spans="1:61" x14ac:dyDescent="0.25">
      <c r="A362" s="62" t="s">
        <v>391</v>
      </c>
      <c r="B362" s="62" t="s">
        <v>391</v>
      </c>
      <c r="C362" s="63"/>
      <c r="D362" s="64"/>
      <c r="E362" s="65"/>
      <c r="F362" s="66"/>
      <c r="G362" s="63"/>
      <c r="H362" s="67"/>
      <c r="I362" s="68"/>
      <c r="J362" s="68"/>
      <c r="K362" s="32"/>
      <c r="L362" s="75">
        <v>362</v>
      </c>
      <c r="M362" s="75"/>
      <c r="N362" s="70"/>
      <c r="O362" s="77" t="s">
        <v>179</v>
      </c>
      <c r="P362" s="79">
        <v>45104.828750000001</v>
      </c>
      <c r="Q362" s="77" t="s">
        <v>1311</v>
      </c>
      <c r="R362" s="77">
        <v>0</v>
      </c>
      <c r="S362" s="77">
        <v>0</v>
      </c>
      <c r="T362" s="77">
        <v>0</v>
      </c>
      <c r="U362" s="77">
        <v>0</v>
      </c>
      <c r="V362" s="77">
        <v>196</v>
      </c>
      <c r="W362" s="81" t="s">
        <v>3179</v>
      </c>
      <c r="X362" s="83" t="str">
        <f>HYPERLINK("https://lnkd.in/gTfufgv6")</f>
        <v>https://lnkd.in/gTfufgv6</v>
      </c>
      <c r="Y362" s="77" t="s">
        <v>4221</v>
      </c>
      <c r="Z362" s="77"/>
      <c r="AA362" s="77"/>
      <c r="AB362" s="77"/>
      <c r="AC362" s="81" t="s">
        <v>5810</v>
      </c>
      <c r="AD362" s="77" t="s">
        <v>5850</v>
      </c>
      <c r="AE362" s="83" t="str">
        <f>HYPERLINK("https://twitter.com/jgribbell/status/1673781596384800768")</f>
        <v>https://twitter.com/jgribbell/status/1673781596384800768</v>
      </c>
      <c r="AF362" s="79">
        <v>45104.828750000001</v>
      </c>
      <c r="AG362" s="85">
        <v>45104</v>
      </c>
      <c r="AH362" s="81" t="s">
        <v>6187</v>
      </c>
      <c r="AI362" s="77" t="b">
        <v>0</v>
      </c>
      <c r="AJ362" s="77"/>
      <c r="AK362" s="77"/>
      <c r="AL362" s="77"/>
      <c r="AM362" s="77"/>
      <c r="AN362" s="77"/>
      <c r="AO362" s="77"/>
      <c r="AP362" s="77"/>
      <c r="AQ362" s="77"/>
      <c r="AR362" s="77"/>
      <c r="AS362" s="77"/>
      <c r="AT362" s="77"/>
      <c r="AU362" s="77"/>
      <c r="AV362" s="83" t="str">
        <f>HYPERLINK("https://pbs.twimg.com/profile_images/1268622294248759297/MotusrlR_normal.jpg")</f>
        <v>https://pbs.twimg.com/profile_images/1268622294248759297/MotusrlR_normal.jpg</v>
      </c>
      <c r="AW362" s="81" t="s">
        <v>9633</v>
      </c>
      <c r="AX362" s="81" t="s">
        <v>9633</v>
      </c>
      <c r="AY362" s="77"/>
      <c r="AZ362" s="81" t="s">
        <v>11359</v>
      </c>
      <c r="BA362" s="81" t="s">
        <v>11359</v>
      </c>
      <c r="BB362" s="81" t="s">
        <v>11359</v>
      </c>
      <c r="BC362" s="81" t="s">
        <v>9633</v>
      </c>
      <c r="BD362" s="77">
        <v>2423877002</v>
      </c>
      <c r="BE362" s="77"/>
      <c r="BF362" s="77"/>
      <c r="BG362" s="77"/>
      <c r="BH362" s="77"/>
      <c r="BI362" s="77"/>
    </row>
    <row r="363" spans="1:61" x14ac:dyDescent="0.25">
      <c r="A363" s="62" t="s">
        <v>392</v>
      </c>
      <c r="B363" s="62" t="s">
        <v>392</v>
      </c>
      <c r="C363" s="63"/>
      <c r="D363" s="64"/>
      <c r="E363" s="65"/>
      <c r="F363" s="66"/>
      <c r="G363" s="63"/>
      <c r="H363" s="67"/>
      <c r="I363" s="68"/>
      <c r="J363" s="68"/>
      <c r="K363" s="32"/>
      <c r="L363" s="75">
        <v>363</v>
      </c>
      <c r="M363" s="75"/>
      <c r="N363" s="70"/>
      <c r="O363" s="77" t="s">
        <v>179</v>
      </c>
      <c r="P363" s="79">
        <v>45113.906643518516</v>
      </c>
      <c r="Q363" s="77" t="s">
        <v>1312</v>
      </c>
      <c r="R363" s="77">
        <v>0</v>
      </c>
      <c r="S363" s="77">
        <v>1</v>
      </c>
      <c r="T363" s="77">
        <v>0</v>
      </c>
      <c r="U363" s="77">
        <v>0</v>
      </c>
      <c r="V363" s="77">
        <v>3</v>
      </c>
      <c r="W363" s="81" t="s">
        <v>3180</v>
      </c>
      <c r="X363" s="77"/>
      <c r="Y363" s="77"/>
      <c r="Z363" s="77"/>
      <c r="AA363" s="77" t="s">
        <v>4594</v>
      </c>
      <c r="AB363" s="77" t="s">
        <v>5794</v>
      </c>
      <c r="AC363" s="81" t="s">
        <v>5805</v>
      </c>
      <c r="AD363" s="77" t="s">
        <v>5850</v>
      </c>
      <c r="AE363" s="83" t="str">
        <f>HYPERLINK("https://twitter.com/coachingcialcie/status/1677071312945135616")</f>
        <v>https://twitter.com/coachingcialcie/status/1677071312945135616</v>
      </c>
      <c r="AF363" s="79">
        <v>45113.906643518516</v>
      </c>
      <c r="AG363" s="85">
        <v>45113</v>
      </c>
      <c r="AH363" s="81" t="s">
        <v>6188</v>
      </c>
      <c r="AI363" s="77" t="b">
        <v>1</v>
      </c>
      <c r="AJ363" s="77"/>
      <c r="AK363" s="77"/>
      <c r="AL363" s="77"/>
      <c r="AM363" s="77"/>
      <c r="AN363" s="77"/>
      <c r="AO363" s="77"/>
      <c r="AP363" s="77"/>
      <c r="AQ363" s="77" t="s">
        <v>8097</v>
      </c>
      <c r="AR363" s="77"/>
      <c r="AS363" s="77"/>
      <c r="AT363" s="77"/>
      <c r="AU363" s="77"/>
      <c r="AV363" s="83" t="str">
        <f>HYPERLINK("https://pbs.twimg.com/media/F0YnSKtWwAMOrn1.jpg")</f>
        <v>https://pbs.twimg.com/media/F0YnSKtWwAMOrn1.jpg</v>
      </c>
      <c r="AW363" s="81" t="s">
        <v>9634</v>
      </c>
      <c r="AX363" s="81" t="s">
        <v>9634</v>
      </c>
      <c r="AY363" s="77"/>
      <c r="AZ363" s="81" t="s">
        <v>11359</v>
      </c>
      <c r="BA363" s="81" t="s">
        <v>11359</v>
      </c>
      <c r="BB363" s="81" t="s">
        <v>11359</v>
      </c>
      <c r="BC363" s="81" t="s">
        <v>9634</v>
      </c>
      <c r="BD363" s="77">
        <v>1299158322</v>
      </c>
      <c r="BE363" s="77"/>
      <c r="BF363" s="77"/>
      <c r="BG363" s="77"/>
      <c r="BH363" s="77"/>
      <c r="BI363" s="77"/>
    </row>
    <row r="364" spans="1:61" x14ac:dyDescent="0.25">
      <c r="A364" s="62" t="s">
        <v>393</v>
      </c>
      <c r="B364" s="62" t="s">
        <v>393</v>
      </c>
      <c r="C364" s="63"/>
      <c r="D364" s="64"/>
      <c r="E364" s="65"/>
      <c r="F364" s="66"/>
      <c r="G364" s="63"/>
      <c r="H364" s="67"/>
      <c r="I364" s="68"/>
      <c r="J364" s="68"/>
      <c r="K364" s="32"/>
      <c r="L364" s="75">
        <v>364</v>
      </c>
      <c r="M364" s="75"/>
      <c r="N364" s="70"/>
      <c r="O364" s="77" t="s">
        <v>179</v>
      </c>
      <c r="P364" s="79">
        <v>45133.637916666667</v>
      </c>
      <c r="Q364" s="77" t="s">
        <v>1313</v>
      </c>
      <c r="R364" s="77">
        <v>4</v>
      </c>
      <c r="S364" s="77">
        <v>30</v>
      </c>
      <c r="T364" s="77">
        <v>0</v>
      </c>
      <c r="U364" s="77">
        <v>0</v>
      </c>
      <c r="V364" s="77">
        <v>478</v>
      </c>
      <c r="W364" s="81" t="s">
        <v>3181</v>
      </c>
      <c r="X364" s="83" t="str">
        <f>HYPERLINK("https://cursosheliocouto.com.br/cursos/vendedor-de-sucesso/")</f>
        <v>https://cursosheliocouto.com.br/cursos/vendedor-de-sucesso/</v>
      </c>
      <c r="Y364" s="77" t="s">
        <v>4223</v>
      </c>
      <c r="Z364" s="77"/>
      <c r="AA364" s="77" t="s">
        <v>4595</v>
      </c>
      <c r="AB364" s="77" t="s">
        <v>5794</v>
      </c>
      <c r="AC364" s="81" t="s">
        <v>5803</v>
      </c>
      <c r="AD364" s="77" t="s">
        <v>5851</v>
      </c>
      <c r="AE364" s="83" t="str">
        <f>HYPERLINK("https://twitter.com/helio_couto/status/1684221688651698180")</f>
        <v>https://twitter.com/helio_couto/status/1684221688651698180</v>
      </c>
      <c r="AF364" s="79">
        <v>45133.637916666667</v>
      </c>
      <c r="AG364" s="85">
        <v>45133</v>
      </c>
      <c r="AH364" s="81" t="s">
        <v>6189</v>
      </c>
      <c r="AI364" s="77" t="b">
        <v>0</v>
      </c>
      <c r="AJ364" s="77"/>
      <c r="AK364" s="77"/>
      <c r="AL364" s="77"/>
      <c r="AM364" s="77"/>
      <c r="AN364" s="77"/>
      <c r="AO364" s="77"/>
      <c r="AP364" s="77"/>
      <c r="AQ364" s="77" t="s">
        <v>8098</v>
      </c>
      <c r="AR364" s="77"/>
      <c r="AS364" s="77"/>
      <c r="AT364" s="77"/>
      <c r="AU364" s="77"/>
      <c r="AV364" s="83" t="str">
        <f>HYPERLINK("https://pbs.twimg.com/media/F1-OssgWEAQxE0f.jpg")</f>
        <v>https://pbs.twimg.com/media/F1-OssgWEAQxE0f.jpg</v>
      </c>
      <c r="AW364" s="81" t="s">
        <v>9635</v>
      </c>
      <c r="AX364" s="81" t="s">
        <v>9635</v>
      </c>
      <c r="AY364" s="77"/>
      <c r="AZ364" s="81" t="s">
        <v>11359</v>
      </c>
      <c r="BA364" s="81" t="s">
        <v>11359</v>
      </c>
      <c r="BB364" s="81" t="s">
        <v>11359</v>
      </c>
      <c r="BC364" s="81" t="s">
        <v>9635</v>
      </c>
      <c r="BD364" s="77">
        <v>339081837</v>
      </c>
      <c r="BE364" s="77"/>
      <c r="BF364" s="77"/>
      <c r="BG364" s="77"/>
      <c r="BH364" s="77"/>
      <c r="BI364" s="77"/>
    </row>
    <row r="365" spans="1:61" x14ac:dyDescent="0.25">
      <c r="A365" s="62" t="s">
        <v>393</v>
      </c>
      <c r="B365" s="62" t="s">
        <v>393</v>
      </c>
      <c r="C365" s="63"/>
      <c r="D365" s="64"/>
      <c r="E365" s="65"/>
      <c r="F365" s="66"/>
      <c r="G365" s="63"/>
      <c r="H365" s="67"/>
      <c r="I365" s="68"/>
      <c r="J365" s="68"/>
      <c r="K365" s="32"/>
      <c r="L365" s="75">
        <v>365</v>
      </c>
      <c r="M365" s="75"/>
      <c r="N365" s="70"/>
      <c r="O365" s="77" t="s">
        <v>179</v>
      </c>
      <c r="P365" s="79">
        <v>45136.653148148151</v>
      </c>
      <c r="Q365" s="77" t="s">
        <v>1314</v>
      </c>
      <c r="R365" s="77">
        <v>6</v>
      </c>
      <c r="S365" s="77">
        <v>40</v>
      </c>
      <c r="T365" s="77">
        <v>0</v>
      </c>
      <c r="U365" s="77">
        <v>0</v>
      </c>
      <c r="V365" s="77">
        <v>734</v>
      </c>
      <c r="W365" s="81" t="s">
        <v>3181</v>
      </c>
      <c r="X365" s="83" t="str">
        <f>HYPERLINK("https://cursosheliocouto.com.br/cursos/vendedor-de-sucesso/")</f>
        <v>https://cursosheliocouto.com.br/cursos/vendedor-de-sucesso/</v>
      </c>
      <c r="Y365" s="77" t="s">
        <v>4223</v>
      </c>
      <c r="Z365" s="77"/>
      <c r="AA365" s="77" t="s">
        <v>4596</v>
      </c>
      <c r="AB365" s="77" t="s">
        <v>5794</v>
      </c>
      <c r="AC365" s="81" t="s">
        <v>5803</v>
      </c>
      <c r="AD365" s="77" t="s">
        <v>5851</v>
      </c>
      <c r="AE365" s="83" t="str">
        <f>HYPERLINK("https://twitter.com/helio_couto/status/1685314371335954432")</f>
        <v>https://twitter.com/helio_couto/status/1685314371335954432</v>
      </c>
      <c r="AF365" s="79">
        <v>45136.653148148151</v>
      </c>
      <c r="AG365" s="85">
        <v>45136</v>
      </c>
      <c r="AH365" s="81" t="s">
        <v>6190</v>
      </c>
      <c r="AI365" s="77" t="b">
        <v>0</v>
      </c>
      <c r="AJ365" s="77"/>
      <c r="AK365" s="77"/>
      <c r="AL365" s="77"/>
      <c r="AM365" s="77"/>
      <c r="AN365" s="77"/>
      <c r="AO365" s="77"/>
      <c r="AP365" s="77"/>
      <c r="AQ365" s="77" t="s">
        <v>8099</v>
      </c>
      <c r="AR365" s="77"/>
      <c r="AS365" s="77"/>
      <c r="AT365" s="77"/>
      <c r="AU365" s="77"/>
      <c r="AV365" s="83" t="str">
        <f>HYPERLINK("https://pbs.twimg.com/media/F2NwfL8WsAAO4a5.jpg")</f>
        <v>https://pbs.twimg.com/media/F2NwfL8WsAAO4a5.jpg</v>
      </c>
      <c r="AW365" s="81" t="s">
        <v>9636</v>
      </c>
      <c r="AX365" s="81" t="s">
        <v>9636</v>
      </c>
      <c r="AY365" s="77"/>
      <c r="AZ365" s="81" t="s">
        <v>11359</v>
      </c>
      <c r="BA365" s="81" t="s">
        <v>11359</v>
      </c>
      <c r="BB365" s="81" t="s">
        <v>11359</v>
      </c>
      <c r="BC365" s="81" t="s">
        <v>9636</v>
      </c>
      <c r="BD365" s="77">
        <v>339081837</v>
      </c>
      <c r="BE365" s="77"/>
      <c r="BF365" s="77"/>
      <c r="BG365" s="77"/>
      <c r="BH365" s="77"/>
      <c r="BI365" s="77"/>
    </row>
    <row r="366" spans="1:61" x14ac:dyDescent="0.25">
      <c r="A366" s="62" t="s">
        <v>393</v>
      </c>
      <c r="B366" s="62" t="s">
        <v>393</v>
      </c>
      <c r="C366" s="63"/>
      <c r="D366" s="64"/>
      <c r="E366" s="65"/>
      <c r="F366" s="66"/>
      <c r="G366" s="63"/>
      <c r="H366" s="67"/>
      <c r="I366" s="68"/>
      <c r="J366" s="68"/>
      <c r="K366" s="32"/>
      <c r="L366" s="75">
        <v>366</v>
      </c>
      <c r="M366" s="75"/>
      <c r="N366" s="70"/>
      <c r="O366" s="77" t="s">
        <v>179</v>
      </c>
      <c r="P366" s="79">
        <v>45000.345902777779</v>
      </c>
      <c r="Q366" s="77" t="s">
        <v>1315</v>
      </c>
      <c r="R366" s="77">
        <v>2</v>
      </c>
      <c r="S366" s="77">
        <v>17</v>
      </c>
      <c r="T366" s="77">
        <v>0</v>
      </c>
      <c r="U366" s="77">
        <v>0</v>
      </c>
      <c r="V366" s="77">
        <v>417</v>
      </c>
      <c r="W366" s="81" t="s">
        <v>3182</v>
      </c>
      <c r="X366" s="83" t="str">
        <f>HYPERLINK("https://cursosheliocouto.com.br/curso/o-perfil-do-vendedor-de-sucesso-parte-i/")</f>
        <v>https://cursosheliocouto.com.br/curso/o-perfil-do-vendedor-de-sucesso-parte-i/</v>
      </c>
      <c r="Y366" s="77" t="s">
        <v>4223</v>
      </c>
      <c r="Z366" s="77"/>
      <c r="AA366" s="77" t="s">
        <v>4597</v>
      </c>
      <c r="AB366" s="77" t="s">
        <v>5794</v>
      </c>
      <c r="AC366" s="81" t="s">
        <v>5803</v>
      </c>
      <c r="AD366" s="77" t="s">
        <v>5851</v>
      </c>
      <c r="AE366" s="83" t="str">
        <f>HYPERLINK("https://twitter.com/helio_couto/status/1635918281520365574")</f>
        <v>https://twitter.com/helio_couto/status/1635918281520365574</v>
      </c>
      <c r="AF366" s="79">
        <v>45000.345902777779</v>
      </c>
      <c r="AG366" s="85">
        <v>45000</v>
      </c>
      <c r="AH366" s="81" t="s">
        <v>6191</v>
      </c>
      <c r="AI366" s="77" t="b">
        <v>0</v>
      </c>
      <c r="AJ366" s="77"/>
      <c r="AK366" s="77"/>
      <c r="AL366" s="77"/>
      <c r="AM366" s="77"/>
      <c r="AN366" s="77"/>
      <c r="AO366" s="77"/>
      <c r="AP366" s="77"/>
      <c r="AQ366" s="77" t="s">
        <v>8100</v>
      </c>
      <c r="AR366" s="77"/>
      <c r="AS366" s="77"/>
      <c r="AT366" s="77"/>
      <c r="AU366" s="77"/>
      <c r="AV366" s="83" t="str">
        <f>HYPERLINK("https://pbs.twimg.com/media/FrPzAQuWAAIQBW2.jpg")</f>
        <v>https://pbs.twimg.com/media/FrPzAQuWAAIQBW2.jpg</v>
      </c>
      <c r="AW366" s="81" t="s">
        <v>9637</v>
      </c>
      <c r="AX366" s="81" t="s">
        <v>9637</v>
      </c>
      <c r="AY366" s="77"/>
      <c r="AZ366" s="81" t="s">
        <v>11359</v>
      </c>
      <c r="BA366" s="81" t="s">
        <v>11359</v>
      </c>
      <c r="BB366" s="81" t="s">
        <v>11359</v>
      </c>
      <c r="BC366" s="81" t="s">
        <v>9637</v>
      </c>
      <c r="BD366" s="77">
        <v>339081837</v>
      </c>
      <c r="BE366" s="77"/>
      <c r="BF366" s="77"/>
      <c r="BG366" s="77"/>
      <c r="BH366" s="77"/>
      <c r="BI366" s="77"/>
    </row>
    <row r="367" spans="1:61" x14ac:dyDescent="0.25">
      <c r="A367" s="62" t="s">
        <v>394</v>
      </c>
      <c r="B367" s="62" t="s">
        <v>901</v>
      </c>
      <c r="C367" s="63"/>
      <c r="D367" s="64"/>
      <c r="E367" s="65"/>
      <c r="F367" s="66"/>
      <c r="G367" s="63"/>
      <c r="H367" s="67"/>
      <c r="I367" s="68"/>
      <c r="J367" s="68"/>
      <c r="K367" s="32"/>
      <c r="L367" s="75">
        <v>367</v>
      </c>
      <c r="M367" s="75"/>
      <c r="N367" s="70"/>
      <c r="O367" s="77" t="s">
        <v>967</v>
      </c>
      <c r="P367" s="79">
        <v>44945.628599537034</v>
      </c>
      <c r="Q367" s="77" t="s">
        <v>1316</v>
      </c>
      <c r="R367" s="77">
        <v>0</v>
      </c>
      <c r="S367" s="77">
        <v>15</v>
      </c>
      <c r="T367" s="77">
        <v>0</v>
      </c>
      <c r="U367" s="77">
        <v>0</v>
      </c>
      <c r="V367" s="77">
        <v>933</v>
      </c>
      <c r="W367" s="81" t="s">
        <v>3183</v>
      </c>
      <c r="X367" s="77"/>
      <c r="Y367" s="77"/>
      <c r="Z367" s="77" t="s">
        <v>4368</v>
      </c>
      <c r="AA367" s="77" t="s">
        <v>4598</v>
      </c>
      <c r="AB367" s="77" t="s">
        <v>5795</v>
      </c>
      <c r="AC367" s="81" t="s">
        <v>5808</v>
      </c>
      <c r="AD367" s="77" t="s">
        <v>5851</v>
      </c>
      <c r="AE367" s="83" t="str">
        <f>HYPERLINK("https://twitter.com/mucaoaovivo/status/1616089391558176768")</f>
        <v>https://twitter.com/mucaoaovivo/status/1616089391558176768</v>
      </c>
      <c r="AF367" s="79">
        <v>44945.628599537034</v>
      </c>
      <c r="AG367" s="85">
        <v>44945</v>
      </c>
      <c r="AH367" s="81" t="s">
        <v>6192</v>
      </c>
      <c r="AI367" s="77" t="b">
        <v>0</v>
      </c>
      <c r="AJ367" s="77"/>
      <c r="AK367" s="77"/>
      <c r="AL367" s="77"/>
      <c r="AM367" s="77"/>
      <c r="AN367" s="77"/>
      <c r="AO367" s="77"/>
      <c r="AP367" s="77"/>
      <c r="AQ367" s="77" t="s">
        <v>8101</v>
      </c>
      <c r="AR367" s="77">
        <v>58266</v>
      </c>
      <c r="AS367" s="77"/>
      <c r="AT367" s="77"/>
      <c r="AU367" s="77"/>
      <c r="AV367" s="83" t="str">
        <f>HYPERLINK("https://pbs.twimg.com/ext_tw_video_thumb/1616089350831308801/pu/img/KsYsOQdE3_2jIyI0.jpg")</f>
        <v>https://pbs.twimg.com/ext_tw_video_thumb/1616089350831308801/pu/img/KsYsOQdE3_2jIyI0.jpg</v>
      </c>
      <c r="AW367" s="81" t="s">
        <v>9638</v>
      </c>
      <c r="AX367" s="81" t="s">
        <v>9638</v>
      </c>
      <c r="AY367" s="77"/>
      <c r="AZ367" s="81" t="s">
        <v>11359</v>
      </c>
      <c r="BA367" s="81" t="s">
        <v>11359</v>
      </c>
      <c r="BB367" s="81" t="s">
        <v>11359</v>
      </c>
      <c r="BC367" s="81" t="s">
        <v>9638</v>
      </c>
      <c r="BD367" s="77">
        <v>51064041</v>
      </c>
      <c r="BE367" s="77"/>
      <c r="BF367" s="77"/>
      <c r="BG367" s="77"/>
      <c r="BH367" s="77"/>
      <c r="BI367" s="77"/>
    </row>
    <row r="368" spans="1:61" x14ac:dyDescent="0.25">
      <c r="A368" s="62" t="s">
        <v>394</v>
      </c>
      <c r="B368" s="62" t="s">
        <v>902</v>
      </c>
      <c r="C368" s="63"/>
      <c r="D368" s="64"/>
      <c r="E368" s="65"/>
      <c r="F368" s="66"/>
      <c r="G368" s="63"/>
      <c r="H368" s="67"/>
      <c r="I368" s="68"/>
      <c r="J368" s="68"/>
      <c r="K368" s="32"/>
      <c r="L368" s="75">
        <v>368</v>
      </c>
      <c r="M368" s="75"/>
      <c r="N368" s="70"/>
      <c r="O368" s="77" t="s">
        <v>967</v>
      </c>
      <c r="P368" s="79">
        <v>44945.628599537034</v>
      </c>
      <c r="Q368" s="77" t="s">
        <v>1316</v>
      </c>
      <c r="R368" s="77">
        <v>0</v>
      </c>
      <c r="S368" s="77">
        <v>15</v>
      </c>
      <c r="T368" s="77">
        <v>0</v>
      </c>
      <c r="U368" s="77">
        <v>0</v>
      </c>
      <c r="V368" s="77">
        <v>933</v>
      </c>
      <c r="W368" s="81" t="s">
        <v>3183</v>
      </c>
      <c r="X368" s="77"/>
      <c r="Y368" s="77"/>
      <c r="Z368" s="77" t="s">
        <v>4368</v>
      </c>
      <c r="AA368" s="77" t="s">
        <v>4598</v>
      </c>
      <c r="AB368" s="77" t="s">
        <v>5795</v>
      </c>
      <c r="AC368" s="81" t="s">
        <v>5808</v>
      </c>
      <c r="AD368" s="77" t="s">
        <v>5851</v>
      </c>
      <c r="AE368" s="83" t="str">
        <f>HYPERLINK("https://twitter.com/mucaoaovivo/status/1616089391558176768")</f>
        <v>https://twitter.com/mucaoaovivo/status/1616089391558176768</v>
      </c>
      <c r="AF368" s="79">
        <v>44945.628599537034</v>
      </c>
      <c r="AG368" s="85">
        <v>44945</v>
      </c>
      <c r="AH368" s="81" t="s">
        <v>6192</v>
      </c>
      <c r="AI368" s="77" t="b">
        <v>0</v>
      </c>
      <c r="AJ368" s="77"/>
      <c r="AK368" s="77"/>
      <c r="AL368" s="77"/>
      <c r="AM368" s="77"/>
      <c r="AN368" s="77"/>
      <c r="AO368" s="77"/>
      <c r="AP368" s="77"/>
      <c r="AQ368" s="77" t="s">
        <v>8101</v>
      </c>
      <c r="AR368" s="77">
        <v>58266</v>
      </c>
      <c r="AS368" s="77"/>
      <c r="AT368" s="77"/>
      <c r="AU368" s="77"/>
      <c r="AV368" s="83" t="str">
        <f>HYPERLINK("https://pbs.twimg.com/ext_tw_video_thumb/1616089350831308801/pu/img/KsYsOQdE3_2jIyI0.jpg")</f>
        <v>https://pbs.twimg.com/ext_tw_video_thumb/1616089350831308801/pu/img/KsYsOQdE3_2jIyI0.jpg</v>
      </c>
      <c r="AW368" s="81" t="s">
        <v>9638</v>
      </c>
      <c r="AX368" s="81" t="s">
        <v>9638</v>
      </c>
      <c r="AY368" s="77"/>
      <c r="AZ368" s="81" t="s">
        <v>11359</v>
      </c>
      <c r="BA368" s="81" t="s">
        <v>11359</v>
      </c>
      <c r="BB368" s="81" t="s">
        <v>11359</v>
      </c>
      <c r="BC368" s="81" t="s">
        <v>9638</v>
      </c>
      <c r="BD368" s="77">
        <v>51064041</v>
      </c>
      <c r="BE368" s="77"/>
      <c r="BF368" s="77"/>
      <c r="BG368" s="77"/>
      <c r="BH368" s="77"/>
      <c r="BI368" s="77"/>
    </row>
    <row r="369" spans="1:61" x14ac:dyDescent="0.25">
      <c r="A369" s="62" t="s">
        <v>395</v>
      </c>
      <c r="B369" s="62" t="s">
        <v>395</v>
      </c>
      <c r="C369" s="63"/>
      <c r="D369" s="64"/>
      <c r="E369" s="65"/>
      <c r="F369" s="66"/>
      <c r="G369" s="63"/>
      <c r="H369" s="67"/>
      <c r="I369" s="68"/>
      <c r="J369" s="68"/>
      <c r="K369" s="32"/>
      <c r="L369" s="75">
        <v>369</v>
      </c>
      <c r="M369" s="75"/>
      <c r="N369" s="70"/>
      <c r="O369" s="77" t="s">
        <v>179</v>
      </c>
      <c r="P369" s="79">
        <v>45189.066666666666</v>
      </c>
      <c r="Q369" s="77" t="s">
        <v>1317</v>
      </c>
      <c r="R369" s="77">
        <v>0</v>
      </c>
      <c r="S369" s="77">
        <v>0</v>
      </c>
      <c r="T369" s="77">
        <v>0</v>
      </c>
      <c r="U369" s="77">
        <v>0</v>
      </c>
      <c r="V369" s="77">
        <v>452</v>
      </c>
      <c r="W369" s="81" t="s">
        <v>3184</v>
      </c>
      <c r="X369" s="83" t="str">
        <f>HYPERLINK("https://decalogonews.com/index.php/2023/09/20/mujer-fulminada-")</f>
        <v>https://decalogonews.com/index.php/2023/09/20/mujer-fulminada-</v>
      </c>
      <c r="Y369" s="77" t="s">
        <v>4258</v>
      </c>
      <c r="Z369" s="77"/>
      <c r="AA369" s="77" t="s">
        <v>4599</v>
      </c>
      <c r="AB369" s="77" t="s">
        <v>5794</v>
      </c>
      <c r="AC369" s="81" t="s">
        <v>5801</v>
      </c>
      <c r="AD369" s="77" t="s">
        <v>5850</v>
      </c>
      <c r="AE369" s="83" t="str">
        <f>HYPERLINK("https://twitter.com/decalogooficial/status/1704308393693835678")</f>
        <v>https://twitter.com/decalogooficial/status/1704308393693835678</v>
      </c>
      <c r="AF369" s="79">
        <v>45189.066666666666</v>
      </c>
      <c r="AG369" s="85">
        <v>45189</v>
      </c>
      <c r="AH369" s="81" t="s">
        <v>6193</v>
      </c>
      <c r="AI369" s="77" t="b">
        <v>0</v>
      </c>
      <c r="AJ369" s="77"/>
      <c r="AK369" s="77"/>
      <c r="AL369" s="77"/>
      <c r="AM369" s="77"/>
      <c r="AN369" s="77"/>
      <c r="AO369" s="77"/>
      <c r="AP369" s="77"/>
      <c r="AQ369" s="77" t="s">
        <v>8102</v>
      </c>
      <c r="AR369" s="77"/>
      <c r="AS369" s="77"/>
      <c r="AT369" s="77"/>
      <c r="AU369" s="77"/>
      <c r="AV369" s="83" t="str">
        <f>HYPERLINK("https://pbs.twimg.com/media/F6brc8NXAAATA-s.jpg")</f>
        <v>https://pbs.twimg.com/media/F6brc8NXAAATA-s.jpg</v>
      </c>
      <c r="AW369" s="81" t="s">
        <v>9639</v>
      </c>
      <c r="AX369" s="81" t="s">
        <v>9639</v>
      </c>
      <c r="AY369" s="77"/>
      <c r="AZ369" s="81" t="s">
        <v>11359</v>
      </c>
      <c r="BA369" s="81" t="s">
        <v>11359</v>
      </c>
      <c r="BB369" s="81" t="s">
        <v>11359</v>
      </c>
      <c r="BC369" s="81" t="s">
        <v>9639</v>
      </c>
      <c r="BD369" s="81" t="s">
        <v>11488</v>
      </c>
      <c r="BE369" s="77"/>
      <c r="BF369" s="77"/>
      <c r="BG369" s="77"/>
      <c r="BH369" s="77"/>
      <c r="BI369" s="77"/>
    </row>
    <row r="370" spans="1:61" x14ac:dyDescent="0.25">
      <c r="A370" s="62" t="s">
        <v>396</v>
      </c>
      <c r="B370" s="62" t="s">
        <v>396</v>
      </c>
      <c r="C370" s="63"/>
      <c r="D370" s="64"/>
      <c r="E370" s="65"/>
      <c r="F370" s="66"/>
      <c r="G370" s="63"/>
      <c r="H370" s="67"/>
      <c r="I370" s="68"/>
      <c r="J370" s="68"/>
      <c r="K370" s="32"/>
      <c r="L370" s="75">
        <v>370</v>
      </c>
      <c r="M370" s="75"/>
      <c r="N370" s="70"/>
      <c r="O370" s="77" t="s">
        <v>179</v>
      </c>
      <c r="P370" s="79">
        <v>45027.542523148149</v>
      </c>
      <c r="Q370" s="77" t="s">
        <v>1318</v>
      </c>
      <c r="R370" s="77">
        <v>0</v>
      </c>
      <c r="S370" s="77">
        <v>0</v>
      </c>
      <c r="T370" s="77">
        <v>0</v>
      </c>
      <c r="U370" s="77">
        <v>0</v>
      </c>
      <c r="V370" s="77">
        <v>8</v>
      </c>
      <c r="W370" s="81" t="s">
        <v>3185</v>
      </c>
      <c r="X370" s="83" t="str">
        <f>HYPERLINK("https://www.linkedin.com/pulse/conquiste-confian%25C3%25A7a-do-seu-cliente-com-escuta-ativa-joabe-porto/?trackingId=TxoREu5ATO2IKzTmr3i3xQ%3D%3D")</f>
        <v>https://www.linkedin.com/pulse/conquiste-confian%25C3%25A7a-do-seu-cliente-com-escuta-ativa-joabe-porto/?trackingId=TxoREu5ATO2IKzTmr3i3xQ%3D%3D</v>
      </c>
      <c r="Y370" s="77" t="s">
        <v>4218</v>
      </c>
      <c r="Z370" s="77"/>
      <c r="AA370" s="77"/>
      <c r="AB370" s="77"/>
      <c r="AC370" s="81" t="s">
        <v>5805</v>
      </c>
      <c r="AD370" s="77" t="s">
        <v>5851</v>
      </c>
      <c r="AE370" s="83" t="str">
        <f>HYPERLINK("https://twitter.com/porto_ba/status/1645774005926780928")</f>
        <v>https://twitter.com/porto_ba/status/1645774005926780928</v>
      </c>
      <c r="AF370" s="79">
        <v>45027.542523148149</v>
      </c>
      <c r="AG370" s="85">
        <v>45027</v>
      </c>
      <c r="AH370" s="81" t="s">
        <v>6194</v>
      </c>
      <c r="AI370" s="77" t="b">
        <v>0</v>
      </c>
      <c r="AJ370" s="77"/>
      <c r="AK370" s="77"/>
      <c r="AL370" s="77"/>
      <c r="AM370" s="77"/>
      <c r="AN370" s="77"/>
      <c r="AO370" s="77"/>
      <c r="AP370" s="77"/>
      <c r="AQ370" s="77"/>
      <c r="AR370" s="77"/>
      <c r="AS370" s="77"/>
      <c r="AT370" s="77"/>
      <c r="AU370" s="77"/>
      <c r="AV370" s="83" t="str">
        <f>HYPERLINK("https://pbs.twimg.com/profile_images/1575486709654921223/NOyJE9j3_normal.jpg")</f>
        <v>https://pbs.twimg.com/profile_images/1575486709654921223/NOyJE9j3_normal.jpg</v>
      </c>
      <c r="AW370" s="81" t="s">
        <v>9640</v>
      </c>
      <c r="AX370" s="81" t="s">
        <v>9640</v>
      </c>
      <c r="AY370" s="77"/>
      <c r="AZ370" s="81" t="s">
        <v>11359</v>
      </c>
      <c r="BA370" s="81" t="s">
        <v>11359</v>
      </c>
      <c r="BB370" s="81" t="s">
        <v>11359</v>
      </c>
      <c r="BC370" s="81" t="s">
        <v>9640</v>
      </c>
      <c r="BD370" s="77">
        <v>978176210</v>
      </c>
      <c r="BE370" s="77"/>
      <c r="BF370" s="77"/>
      <c r="BG370" s="77"/>
      <c r="BH370" s="77"/>
      <c r="BI370" s="77"/>
    </row>
    <row r="371" spans="1:61" x14ac:dyDescent="0.25">
      <c r="A371" s="62" t="s">
        <v>397</v>
      </c>
      <c r="B371" s="62" t="s">
        <v>397</v>
      </c>
      <c r="C371" s="63"/>
      <c r="D371" s="64"/>
      <c r="E371" s="65"/>
      <c r="F371" s="66"/>
      <c r="G371" s="63"/>
      <c r="H371" s="67"/>
      <c r="I371" s="68"/>
      <c r="J371" s="68"/>
      <c r="K371" s="32"/>
      <c r="L371" s="75">
        <v>371</v>
      </c>
      <c r="M371" s="75"/>
      <c r="N371" s="70"/>
      <c r="O371" s="77" t="s">
        <v>179</v>
      </c>
      <c r="P371" s="79">
        <v>45177.955995370372</v>
      </c>
      <c r="Q371" s="77" t="s">
        <v>1319</v>
      </c>
      <c r="R371" s="77">
        <v>0</v>
      </c>
      <c r="S371" s="77">
        <v>0</v>
      </c>
      <c r="T371" s="77">
        <v>0</v>
      </c>
      <c r="U371" s="77">
        <v>0</v>
      </c>
      <c r="V371" s="77">
        <v>47</v>
      </c>
      <c r="W371" s="81" t="s">
        <v>3186</v>
      </c>
      <c r="X371" s="77"/>
      <c r="Y371" s="77"/>
      <c r="Z371" s="77"/>
      <c r="AA371" s="77" t="s">
        <v>4600</v>
      </c>
      <c r="AB371" s="77" t="s">
        <v>5794</v>
      </c>
      <c r="AC371" s="81" t="s">
        <v>5805</v>
      </c>
      <c r="AD371" s="77" t="s">
        <v>5851</v>
      </c>
      <c r="AE371" s="83" t="str">
        <f>HYPERLINK("https://twitter.com/nerimarmendes/status/1700282023191912494")</f>
        <v>https://twitter.com/nerimarmendes/status/1700282023191912494</v>
      </c>
      <c r="AF371" s="79">
        <v>45177.955995370372</v>
      </c>
      <c r="AG371" s="85">
        <v>45177</v>
      </c>
      <c r="AH371" s="81" t="s">
        <v>6195</v>
      </c>
      <c r="AI371" s="77" t="b">
        <v>0</v>
      </c>
      <c r="AJ371" s="77"/>
      <c r="AK371" s="77"/>
      <c r="AL371" s="77"/>
      <c r="AM371" s="77"/>
      <c r="AN371" s="77"/>
      <c r="AO371" s="77"/>
      <c r="AP371" s="77"/>
      <c r="AQ371" s="77" t="s">
        <v>8103</v>
      </c>
      <c r="AR371" s="77"/>
      <c r="AS371" s="77"/>
      <c r="AT371" s="77"/>
      <c r="AU371" s="77"/>
      <c r="AV371" s="83" t="str">
        <f>HYPERLINK("https://pbs.twimg.com/media/F5idd8zXgAAPgAq.jpg")</f>
        <v>https://pbs.twimg.com/media/F5idd8zXgAAPgAq.jpg</v>
      </c>
      <c r="AW371" s="81" t="s">
        <v>9641</v>
      </c>
      <c r="AX371" s="81" t="s">
        <v>9641</v>
      </c>
      <c r="AY371" s="77"/>
      <c r="AZ371" s="81" t="s">
        <v>11359</v>
      </c>
      <c r="BA371" s="81" t="s">
        <v>11359</v>
      </c>
      <c r="BB371" s="81" t="s">
        <v>11359</v>
      </c>
      <c r="BC371" s="81" t="s">
        <v>9641</v>
      </c>
      <c r="BD371" s="77">
        <v>339183332</v>
      </c>
      <c r="BE371" s="77"/>
      <c r="BF371" s="77"/>
      <c r="BG371" s="77"/>
      <c r="BH371" s="77"/>
      <c r="BI371" s="77"/>
    </row>
    <row r="372" spans="1:61" x14ac:dyDescent="0.25">
      <c r="A372" s="62" t="s">
        <v>397</v>
      </c>
      <c r="B372" s="62" t="s">
        <v>397</v>
      </c>
      <c r="C372" s="63"/>
      <c r="D372" s="64"/>
      <c r="E372" s="65"/>
      <c r="F372" s="66"/>
      <c r="G372" s="63"/>
      <c r="H372" s="67"/>
      <c r="I372" s="68"/>
      <c r="J372" s="68"/>
      <c r="K372" s="32"/>
      <c r="L372" s="75">
        <v>372</v>
      </c>
      <c r="M372" s="75"/>
      <c r="N372" s="70"/>
      <c r="O372" s="77" t="s">
        <v>179</v>
      </c>
      <c r="P372" s="79">
        <v>45178.858773148146</v>
      </c>
      <c r="Q372" s="77" t="s">
        <v>1320</v>
      </c>
      <c r="R372" s="77">
        <v>0</v>
      </c>
      <c r="S372" s="77">
        <v>0</v>
      </c>
      <c r="T372" s="77">
        <v>0</v>
      </c>
      <c r="U372" s="77">
        <v>0</v>
      </c>
      <c r="V372" s="77">
        <v>124</v>
      </c>
      <c r="W372" s="81" t="s">
        <v>3187</v>
      </c>
      <c r="X372" s="77"/>
      <c r="Y372" s="77"/>
      <c r="Z372" s="77"/>
      <c r="AA372" s="77" t="s">
        <v>4601</v>
      </c>
      <c r="AB372" s="77" t="s">
        <v>5795</v>
      </c>
      <c r="AC372" s="81" t="s">
        <v>5805</v>
      </c>
      <c r="AD372" s="77" t="s">
        <v>5851</v>
      </c>
      <c r="AE372" s="83" t="str">
        <f>HYPERLINK("https://twitter.com/nerimarmendes/status/1700609180019601749")</f>
        <v>https://twitter.com/nerimarmendes/status/1700609180019601749</v>
      </c>
      <c r="AF372" s="79">
        <v>45178.858773148146</v>
      </c>
      <c r="AG372" s="85">
        <v>45178</v>
      </c>
      <c r="AH372" s="81" t="s">
        <v>6196</v>
      </c>
      <c r="AI372" s="77" t="b">
        <v>0</v>
      </c>
      <c r="AJ372" s="77"/>
      <c r="AK372" s="77"/>
      <c r="AL372" s="77"/>
      <c r="AM372" s="77"/>
      <c r="AN372" s="77"/>
      <c r="AO372" s="77"/>
      <c r="AP372" s="77"/>
      <c r="AQ372" s="77" t="s">
        <v>8104</v>
      </c>
      <c r="AR372" s="77">
        <v>25517</v>
      </c>
      <c r="AS372" s="77"/>
      <c r="AT372" s="77"/>
      <c r="AU372" s="77"/>
      <c r="AV372" s="83" t="str">
        <f>HYPERLINK("https://pbs.twimg.com/ext_tw_video_thumb/1700609096699777025/pu/img/RhH-XwYA67ChJbCU.jpg")</f>
        <v>https://pbs.twimg.com/ext_tw_video_thumb/1700609096699777025/pu/img/RhH-XwYA67ChJbCU.jpg</v>
      </c>
      <c r="AW372" s="81" t="s">
        <v>9642</v>
      </c>
      <c r="AX372" s="81" t="s">
        <v>9642</v>
      </c>
      <c r="AY372" s="77"/>
      <c r="AZ372" s="81" t="s">
        <v>11359</v>
      </c>
      <c r="BA372" s="81" t="s">
        <v>11359</v>
      </c>
      <c r="BB372" s="81" t="s">
        <v>11359</v>
      </c>
      <c r="BC372" s="81" t="s">
        <v>9642</v>
      </c>
      <c r="BD372" s="77">
        <v>339183332</v>
      </c>
      <c r="BE372" s="77"/>
      <c r="BF372" s="77"/>
      <c r="BG372" s="77"/>
      <c r="BH372" s="77"/>
      <c r="BI372" s="77"/>
    </row>
    <row r="373" spans="1:61" x14ac:dyDescent="0.25">
      <c r="A373" s="62" t="s">
        <v>397</v>
      </c>
      <c r="B373" s="62" t="s">
        <v>397</v>
      </c>
      <c r="C373" s="63"/>
      <c r="D373" s="64"/>
      <c r="E373" s="65"/>
      <c r="F373" s="66"/>
      <c r="G373" s="63"/>
      <c r="H373" s="67"/>
      <c r="I373" s="68"/>
      <c r="J373" s="68"/>
      <c r="K373" s="32"/>
      <c r="L373" s="75">
        <v>373</v>
      </c>
      <c r="M373" s="75"/>
      <c r="N373" s="70"/>
      <c r="O373" s="77" t="s">
        <v>179</v>
      </c>
      <c r="P373" s="79">
        <v>45180.417893518519</v>
      </c>
      <c r="Q373" s="77" t="s">
        <v>1321</v>
      </c>
      <c r="R373" s="77">
        <v>0</v>
      </c>
      <c r="S373" s="77">
        <v>0</v>
      </c>
      <c r="T373" s="77">
        <v>0</v>
      </c>
      <c r="U373" s="77">
        <v>0</v>
      </c>
      <c r="V373" s="77">
        <v>69</v>
      </c>
      <c r="W373" s="81" t="s">
        <v>3187</v>
      </c>
      <c r="X373" s="77"/>
      <c r="Y373" s="77"/>
      <c r="Z373" s="77"/>
      <c r="AA373" s="77" t="s">
        <v>4602</v>
      </c>
      <c r="AB373" s="77" t="s">
        <v>5795</v>
      </c>
      <c r="AC373" s="81" t="s">
        <v>5805</v>
      </c>
      <c r="AD373" s="77" t="s">
        <v>5851</v>
      </c>
      <c r="AE373" s="83" t="str">
        <f>HYPERLINK("https://twitter.com/nerimarmendes/status/1701174184389341338")</f>
        <v>https://twitter.com/nerimarmendes/status/1701174184389341338</v>
      </c>
      <c r="AF373" s="79">
        <v>45180.417893518519</v>
      </c>
      <c r="AG373" s="85">
        <v>45180</v>
      </c>
      <c r="AH373" s="81" t="s">
        <v>6197</v>
      </c>
      <c r="AI373" s="77" t="b">
        <v>0</v>
      </c>
      <c r="AJ373" s="77"/>
      <c r="AK373" s="77"/>
      <c r="AL373" s="77"/>
      <c r="AM373" s="77"/>
      <c r="AN373" s="77"/>
      <c r="AO373" s="77"/>
      <c r="AP373" s="77"/>
      <c r="AQ373" s="77" t="s">
        <v>8105</v>
      </c>
      <c r="AR373" s="77">
        <v>20361</v>
      </c>
      <c r="AS373" s="77"/>
      <c r="AT373" s="77"/>
      <c r="AU373" s="77"/>
      <c r="AV373" s="83" t="str">
        <f>HYPERLINK("https://pbs.twimg.com/ext_tw_video_thumb/1701173867358650368/pu/img/hW6Hh2b1erpMAA1m.jpg")</f>
        <v>https://pbs.twimg.com/ext_tw_video_thumb/1701173867358650368/pu/img/hW6Hh2b1erpMAA1m.jpg</v>
      </c>
      <c r="AW373" s="81" t="s">
        <v>9643</v>
      </c>
      <c r="AX373" s="81" t="s">
        <v>9643</v>
      </c>
      <c r="AY373" s="77"/>
      <c r="AZ373" s="81" t="s">
        <v>11359</v>
      </c>
      <c r="BA373" s="81" t="s">
        <v>11359</v>
      </c>
      <c r="BB373" s="81" t="s">
        <v>11359</v>
      </c>
      <c r="BC373" s="81" t="s">
        <v>9643</v>
      </c>
      <c r="BD373" s="77">
        <v>339183332</v>
      </c>
      <c r="BE373" s="77"/>
      <c r="BF373" s="77"/>
      <c r="BG373" s="77"/>
      <c r="BH373" s="77"/>
      <c r="BI373" s="77"/>
    </row>
    <row r="374" spans="1:61" x14ac:dyDescent="0.25">
      <c r="A374" s="62" t="s">
        <v>397</v>
      </c>
      <c r="B374" s="62" t="s">
        <v>397</v>
      </c>
      <c r="C374" s="63"/>
      <c r="D374" s="64"/>
      <c r="E374" s="65"/>
      <c r="F374" s="66"/>
      <c r="G374" s="63"/>
      <c r="H374" s="67"/>
      <c r="I374" s="68"/>
      <c r="J374" s="68"/>
      <c r="K374" s="32"/>
      <c r="L374" s="75">
        <v>374</v>
      </c>
      <c r="M374" s="75"/>
      <c r="N374" s="70"/>
      <c r="O374" s="77" t="s">
        <v>179</v>
      </c>
      <c r="P374" s="79">
        <v>45187.615277777775</v>
      </c>
      <c r="Q374" s="77" t="s">
        <v>1322</v>
      </c>
      <c r="R374" s="77">
        <v>0</v>
      </c>
      <c r="S374" s="77">
        <v>0</v>
      </c>
      <c r="T374" s="77">
        <v>0</v>
      </c>
      <c r="U374" s="77">
        <v>0</v>
      </c>
      <c r="V374" s="77">
        <v>20</v>
      </c>
      <c r="W374" s="81" t="s">
        <v>3186</v>
      </c>
      <c r="X374" s="77"/>
      <c r="Y374" s="77"/>
      <c r="Z374" s="77"/>
      <c r="AA374" s="77" t="s">
        <v>4603</v>
      </c>
      <c r="AB374" s="77" t="s">
        <v>5795</v>
      </c>
      <c r="AC374" s="81" t="s">
        <v>5805</v>
      </c>
      <c r="AD374" s="77" t="s">
        <v>5851</v>
      </c>
      <c r="AE374" s="83" t="str">
        <f>HYPERLINK("https://twitter.com/nerimarmendes/status/1703782429683556793")</f>
        <v>https://twitter.com/nerimarmendes/status/1703782429683556793</v>
      </c>
      <c r="AF374" s="79">
        <v>45187.615277777775</v>
      </c>
      <c r="AG374" s="85">
        <v>45187</v>
      </c>
      <c r="AH374" s="81" t="s">
        <v>6198</v>
      </c>
      <c r="AI374" s="77" t="b">
        <v>0</v>
      </c>
      <c r="AJ374" s="77"/>
      <c r="AK374" s="77"/>
      <c r="AL374" s="77"/>
      <c r="AM374" s="77"/>
      <c r="AN374" s="77"/>
      <c r="AO374" s="77"/>
      <c r="AP374" s="77"/>
      <c r="AQ374" s="77" t="s">
        <v>8106</v>
      </c>
      <c r="AR374" s="77">
        <v>27258</v>
      </c>
      <c r="AS374" s="77"/>
      <c r="AT374" s="77"/>
      <c r="AU374" s="77"/>
      <c r="AV374" s="83" t="str">
        <f>HYPERLINK("https://pbs.twimg.com/ext_tw_video_thumb/1703782154151317504/pu/img/SN6XnlHVDudhdP6T.jpg")</f>
        <v>https://pbs.twimg.com/ext_tw_video_thumb/1703782154151317504/pu/img/SN6XnlHVDudhdP6T.jpg</v>
      </c>
      <c r="AW374" s="81" t="s">
        <v>9644</v>
      </c>
      <c r="AX374" s="81" t="s">
        <v>9644</v>
      </c>
      <c r="AY374" s="77"/>
      <c r="AZ374" s="81" t="s">
        <v>11359</v>
      </c>
      <c r="BA374" s="81" t="s">
        <v>11359</v>
      </c>
      <c r="BB374" s="81" t="s">
        <v>11359</v>
      </c>
      <c r="BC374" s="81" t="s">
        <v>9644</v>
      </c>
      <c r="BD374" s="77">
        <v>339183332</v>
      </c>
      <c r="BE374" s="77"/>
      <c r="BF374" s="77"/>
      <c r="BG374" s="77"/>
      <c r="BH374" s="77"/>
      <c r="BI374" s="77"/>
    </row>
    <row r="375" spans="1:61" x14ac:dyDescent="0.25">
      <c r="A375" s="62" t="s">
        <v>397</v>
      </c>
      <c r="B375" s="62" t="s">
        <v>397</v>
      </c>
      <c r="C375" s="63"/>
      <c r="D375" s="64"/>
      <c r="E375" s="65"/>
      <c r="F375" s="66"/>
      <c r="G375" s="63"/>
      <c r="H375" s="67"/>
      <c r="I375" s="68"/>
      <c r="J375" s="68"/>
      <c r="K375" s="32"/>
      <c r="L375" s="75">
        <v>375</v>
      </c>
      <c r="M375" s="75"/>
      <c r="N375" s="70"/>
      <c r="O375" s="77" t="s">
        <v>179</v>
      </c>
      <c r="P375" s="79">
        <v>45191.009710648148</v>
      </c>
      <c r="Q375" s="77" t="s">
        <v>1323</v>
      </c>
      <c r="R375" s="77">
        <v>0</v>
      </c>
      <c r="S375" s="77">
        <v>0</v>
      </c>
      <c r="T375" s="77">
        <v>0</v>
      </c>
      <c r="U375" s="77">
        <v>0</v>
      </c>
      <c r="V375" s="77">
        <v>123</v>
      </c>
      <c r="W375" s="81" t="s">
        <v>3188</v>
      </c>
      <c r="X375" s="77"/>
      <c r="Y375" s="77"/>
      <c r="Z375" s="77"/>
      <c r="AA375" s="77" t="s">
        <v>4604</v>
      </c>
      <c r="AB375" s="77" t="s">
        <v>5795</v>
      </c>
      <c r="AC375" s="81" t="s">
        <v>5805</v>
      </c>
      <c r="AD375" s="77" t="s">
        <v>5851</v>
      </c>
      <c r="AE375" s="83" t="str">
        <f>HYPERLINK("https://twitter.com/nerimarmendes/status/1705012528785375737")</f>
        <v>https://twitter.com/nerimarmendes/status/1705012528785375737</v>
      </c>
      <c r="AF375" s="79">
        <v>45191.009710648148</v>
      </c>
      <c r="AG375" s="85">
        <v>45191</v>
      </c>
      <c r="AH375" s="81" t="s">
        <v>6199</v>
      </c>
      <c r="AI375" s="77" t="b">
        <v>0</v>
      </c>
      <c r="AJ375" s="77"/>
      <c r="AK375" s="77"/>
      <c r="AL375" s="77"/>
      <c r="AM375" s="77"/>
      <c r="AN375" s="77"/>
      <c r="AO375" s="77"/>
      <c r="AP375" s="77"/>
      <c r="AQ375" s="77" t="s">
        <v>8107</v>
      </c>
      <c r="AR375" s="77">
        <v>18280</v>
      </c>
      <c r="AS375" s="77"/>
      <c r="AT375" s="77"/>
      <c r="AU375" s="77"/>
      <c r="AV375" s="83" t="str">
        <f>HYPERLINK("https://pbs.twimg.com/ext_tw_video_thumb/1705011804789723137/pu/img/lpGf-SDxn1evfrgB.jpg")</f>
        <v>https://pbs.twimg.com/ext_tw_video_thumb/1705011804789723137/pu/img/lpGf-SDxn1evfrgB.jpg</v>
      </c>
      <c r="AW375" s="81" t="s">
        <v>9645</v>
      </c>
      <c r="AX375" s="81" t="s">
        <v>9645</v>
      </c>
      <c r="AY375" s="77"/>
      <c r="AZ375" s="81" t="s">
        <v>11359</v>
      </c>
      <c r="BA375" s="81" t="s">
        <v>11359</v>
      </c>
      <c r="BB375" s="81" t="s">
        <v>11359</v>
      </c>
      <c r="BC375" s="81" t="s">
        <v>9645</v>
      </c>
      <c r="BD375" s="77">
        <v>339183332</v>
      </c>
      <c r="BE375" s="77"/>
      <c r="BF375" s="77"/>
      <c r="BG375" s="77"/>
      <c r="BH375" s="77"/>
      <c r="BI375" s="77"/>
    </row>
    <row r="376" spans="1:61" x14ac:dyDescent="0.25">
      <c r="A376" s="62" t="s">
        <v>397</v>
      </c>
      <c r="B376" s="62" t="s">
        <v>397</v>
      </c>
      <c r="C376" s="63"/>
      <c r="D376" s="64"/>
      <c r="E376" s="65"/>
      <c r="F376" s="66"/>
      <c r="G376" s="63"/>
      <c r="H376" s="67"/>
      <c r="I376" s="68"/>
      <c r="J376" s="68"/>
      <c r="K376" s="32"/>
      <c r="L376" s="75">
        <v>376</v>
      </c>
      <c r="M376" s="75"/>
      <c r="N376" s="70"/>
      <c r="O376" s="77" t="s">
        <v>179</v>
      </c>
      <c r="P376" s="79">
        <v>45190.943414351852</v>
      </c>
      <c r="Q376" s="77" t="s">
        <v>1324</v>
      </c>
      <c r="R376" s="77">
        <v>0</v>
      </c>
      <c r="S376" s="77">
        <v>0</v>
      </c>
      <c r="T376" s="77">
        <v>0</v>
      </c>
      <c r="U376" s="77">
        <v>0</v>
      </c>
      <c r="V376" s="77">
        <v>43</v>
      </c>
      <c r="W376" s="81" t="s">
        <v>3189</v>
      </c>
      <c r="X376" s="77"/>
      <c r="Y376" s="77"/>
      <c r="Z376" s="77"/>
      <c r="AA376" s="77" t="s">
        <v>4605</v>
      </c>
      <c r="AB376" s="77" t="s">
        <v>5795</v>
      </c>
      <c r="AC376" s="81" t="s">
        <v>5805</v>
      </c>
      <c r="AD376" s="77" t="s">
        <v>5851</v>
      </c>
      <c r="AE376" s="83" t="str">
        <f>HYPERLINK("https://twitter.com/nerimarmendes/status/1704988507322613931")</f>
        <v>https://twitter.com/nerimarmendes/status/1704988507322613931</v>
      </c>
      <c r="AF376" s="79">
        <v>45190.943414351852</v>
      </c>
      <c r="AG376" s="85">
        <v>45190</v>
      </c>
      <c r="AH376" s="81" t="s">
        <v>6200</v>
      </c>
      <c r="AI376" s="77" t="b">
        <v>0</v>
      </c>
      <c r="AJ376" s="77"/>
      <c r="AK376" s="77"/>
      <c r="AL376" s="77"/>
      <c r="AM376" s="77"/>
      <c r="AN376" s="77"/>
      <c r="AO376" s="77"/>
      <c r="AP376" s="77"/>
      <c r="AQ376" s="77" t="s">
        <v>8108</v>
      </c>
      <c r="AR376" s="77">
        <v>33561</v>
      </c>
      <c r="AS376" s="77"/>
      <c r="AT376" s="77"/>
      <c r="AU376" s="77"/>
      <c r="AV376" s="83" t="str">
        <f>HYPERLINK("https://pbs.twimg.com/ext_tw_video_thumb/1704988197267079168/pu/img/lW5ZuOek9i2_3bAL.jpg")</f>
        <v>https://pbs.twimg.com/ext_tw_video_thumb/1704988197267079168/pu/img/lW5ZuOek9i2_3bAL.jpg</v>
      </c>
      <c r="AW376" s="81" t="s">
        <v>9646</v>
      </c>
      <c r="AX376" s="81" t="s">
        <v>9646</v>
      </c>
      <c r="AY376" s="77"/>
      <c r="AZ376" s="81" t="s">
        <v>11359</v>
      </c>
      <c r="BA376" s="81" t="s">
        <v>11359</v>
      </c>
      <c r="BB376" s="81" t="s">
        <v>11359</v>
      </c>
      <c r="BC376" s="81" t="s">
        <v>9646</v>
      </c>
      <c r="BD376" s="77">
        <v>339183332</v>
      </c>
      <c r="BE376" s="77"/>
      <c r="BF376" s="77"/>
      <c r="BG376" s="77"/>
      <c r="BH376" s="77"/>
      <c r="BI376" s="77"/>
    </row>
    <row r="377" spans="1:61" x14ac:dyDescent="0.25">
      <c r="A377" s="62" t="s">
        <v>398</v>
      </c>
      <c r="B377" s="62" t="s">
        <v>398</v>
      </c>
      <c r="C377" s="63"/>
      <c r="D377" s="64"/>
      <c r="E377" s="65"/>
      <c r="F377" s="66"/>
      <c r="G377" s="63"/>
      <c r="H377" s="67"/>
      <c r="I377" s="68"/>
      <c r="J377" s="68"/>
      <c r="K377" s="32"/>
      <c r="L377" s="75">
        <v>377</v>
      </c>
      <c r="M377" s="75"/>
      <c r="N377" s="70"/>
      <c r="O377" s="77" t="s">
        <v>179</v>
      </c>
      <c r="P377" s="79">
        <v>45085.782627314817</v>
      </c>
      <c r="Q377" s="77" t="s">
        <v>1325</v>
      </c>
      <c r="R377" s="77">
        <v>0</v>
      </c>
      <c r="S377" s="77">
        <v>0</v>
      </c>
      <c r="T377" s="77">
        <v>0</v>
      </c>
      <c r="U377" s="77">
        <v>0</v>
      </c>
      <c r="V377" s="77">
        <v>94</v>
      </c>
      <c r="W377" s="81" t="s">
        <v>3190</v>
      </c>
      <c r="X377" s="83" t="str">
        <f>HYPERLINK("http://amilcabogados.com")</f>
        <v>http://amilcabogados.com</v>
      </c>
      <c r="Y377" s="77" t="s">
        <v>4259</v>
      </c>
      <c r="Z377" s="77"/>
      <c r="AA377" s="77" t="s">
        <v>4606</v>
      </c>
      <c r="AB377" s="77" t="s">
        <v>5794</v>
      </c>
      <c r="AC377" s="81" t="s">
        <v>5805</v>
      </c>
      <c r="AD377" s="77" t="s">
        <v>5850</v>
      </c>
      <c r="AE377" s="83" t="str">
        <f>HYPERLINK("https://twitter.com/amilcabogados/status/1666879511411949573")</f>
        <v>https://twitter.com/amilcabogados/status/1666879511411949573</v>
      </c>
      <c r="AF377" s="79">
        <v>45085.782627314817</v>
      </c>
      <c r="AG377" s="85">
        <v>45085</v>
      </c>
      <c r="AH377" s="81" t="s">
        <v>6201</v>
      </c>
      <c r="AI377" s="77" t="b">
        <v>0</v>
      </c>
      <c r="AJ377" s="77"/>
      <c r="AK377" s="77"/>
      <c r="AL377" s="77"/>
      <c r="AM377" s="77"/>
      <c r="AN377" s="77"/>
      <c r="AO377" s="77"/>
      <c r="AP377" s="77"/>
      <c r="AQ377" s="77" t="s">
        <v>8109</v>
      </c>
      <c r="AR377" s="77"/>
      <c r="AS377" s="77"/>
      <c r="AT377" s="77"/>
      <c r="AU377" s="77"/>
      <c r="AV377" s="83" t="str">
        <f>HYPERLINK("https://pbs.twimg.com/media/FyHyEUjWAAcMtyz.jpg")</f>
        <v>https://pbs.twimg.com/media/FyHyEUjWAAcMtyz.jpg</v>
      </c>
      <c r="AW377" s="81" t="s">
        <v>9647</v>
      </c>
      <c r="AX377" s="81" t="s">
        <v>9647</v>
      </c>
      <c r="AY377" s="77"/>
      <c r="AZ377" s="81" t="s">
        <v>11359</v>
      </c>
      <c r="BA377" s="81" t="s">
        <v>11359</v>
      </c>
      <c r="BB377" s="81" t="s">
        <v>11359</v>
      </c>
      <c r="BC377" s="81" t="s">
        <v>9647</v>
      </c>
      <c r="BD377" s="81" t="s">
        <v>11489</v>
      </c>
      <c r="BE377" s="77"/>
      <c r="BF377" s="77"/>
      <c r="BG377" s="77"/>
      <c r="BH377" s="77"/>
      <c r="BI377" s="77"/>
    </row>
    <row r="378" spans="1:61" x14ac:dyDescent="0.25">
      <c r="A378" s="62" t="s">
        <v>399</v>
      </c>
      <c r="B378" s="62" t="s">
        <v>399</v>
      </c>
      <c r="C378" s="63"/>
      <c r="D378" s="64"/>
      <c r="E378" s="65"/>
      <c r="F378" s="66"/>
      <c r="G378" s="63"/>
      <c r="H378" s="67"/>
      <c r="I378" s="68"/>
      <c r="J378" s="68"/>
      <c r="K378" s="32"/>
      <c r="L378" s="75">
        <v>378</v>
      </c>
      <c r="M378" s="75"/>
      <c r="N378" s="70"/>
      <c r="O378" s="77" t="s">
        <v>179</v>
      </c>
      <c r="P378" s="79">
        <v>45096.510462962964</v>
      </c>
      <c r="Q378" s="77" t="s">
        <v>1326</v>
      </c>
      <c r="R378" s="77">
        <v>0</v>
      </c>
      <c r="S378" s="77">
        <v>1</v>
      </c>
      <c r="T378" s="77">
        <v>0</v>
      </c>
      <c r="U378" s="77">
        <v>0</v>
      </c>
      <c r="V378" s="77">
        <v>61</v>
      </c>
      <c r="W378" s="81" t="s">
        <v>3191</v>
      </c>
      <c r="X378" s="77"/>
      <c r="Y378" s="77"/>
      <c r="Z378" s="77"/>
      <c r="AA378" s="77" t="s">
        <v>4607</v>
      </c>
      <c r="AB378" s="77" t="s">
        <v>5795</v>
      </c>
      <c r="AC378" s="81" t="s">
        <v>5801</v>
      </c>
      <c r="AD378" s="77" t="s">
        <v>5851</v>
      </c>
      <c r="AE378" s="83" t="str">
        <f>HYPERLINK("https://twitter.com/alexkid18734651/status/1670767151412592640")</f>
        <v>https://twitter.com/alexkid18734651/status/1670767151412592640</v>
      </c>
      <c r="AF378" s="79">
        <v>45096.510462962964</v>
      </c>
      <c r="AG378" s="85">
        <v>45096</v>
      </c>
      <c r="AH378" s="81" t="s">
        <v>6202</v>
      </c>
      <c r="AI378" s="77" t="b">
        <v>0</v>
      </c>
      <c r="AJ378" s="77"/>
      <c r="AK378" s="77"/>
      <c r="AL378" s="77"/>
      <c r="AM378" s="77"/>
      <c r="AN378" s="77"/>
      <c r="AO378" s="77"/>
      <c r="AP378" s="77"/>
      <c r="AQ378" s="77" t="s">
        <v>8110</v>
      </c>
      <c r="AR378" s="77">
        <v>14976</v>
      </c>
      <c r="AS378" s="77"/>
      <c r="AT378" s="77"/>
      <c r="AU378" s="77"/>
      <c r="AV378" s="83" t="str">
        <f>HYPERLINK("https://pbs.twimg.com/ext_tw_video_thumb/1670767078519734274/pu/img/HM9x6Rl-jnGuaOwL.jpg")</f>
        <v>https://pbs.twimg.com/ext_tw_video_thumb/1670767078519734274/pu/img/HM9x6Rl-jnGuaOwL.jpg</v>
      </c>
      <c r="AW378" s="81" t="s">
        <v>9648</v>
      </c>
      <c r="AX378" s="81" t="s">
        <v>9648</v>
      </c>
      <c r="AY378" s="77"/>
      <c r="AZ378" s="81" t="s">
        <v>11359</v>
      </c>
      <c r="BA378" s="81" t="s">
        <v>11359</v>
      </c>
      <c r="BB378" s="81" t="s">
        <v>11359</v>
      </c>
      <c r="BC378" s="81" t="s">
        <v>9648</v>
      </c>
      <c r="BD378" s="81" t="s">
        <v>11490</v>
      </c>
      <c r="BE378" s="77"/>
      <c r="BF378" s="77"/>
      <c r="BG378" s="77"/>
      <c r="BH378" s="77"/>
      <c r="BI378" s="77"/>
    </row>
    <row r="379" spans="1:61" x14ac:dyDescent="0.25">
      <c r="A379" s="62" t="s">
        <v>400</v>
      </c>
      <c r="B379" s="62" t="s">
        <v>400</v>
      </c>
      <c r="C379" s="63"/>
      <c r="D379" s="64"/>
      <c r="E379" s="65"/>
      <c r="F379" s="66"/>
      <c r="G379" s="63"/>
      <c r="H379" s="67"/>
      <c r="I379" s="68"/>
      <c r="J379" s="68"/>
      <c r="K379" s="32"/>
      <c r="L379" s="75">
        <v>379</v>
      </c>
      <c r="M379" s="75"/>
      <c r="N379" s="70"/>
      <c r="O379" s="77" t="s">
        <v>179</v>
      </c>
      <c r="P379" s="79">
        <v>45075.66878472222</v>
      </c>
      <c r="Q379" s="77" t="s">
        <v>1327</v>
      </c>
      <c r="R379" s="77">
        <v>0</v>
      </c>
      <c r="S379" s="77">
        <v>0</v>
      </c>
      <c r="T379" s="77">
        <v>0</v>
      </c>
      <c r="U379" s="77">
        <v>0</v>
      </c>
      <c r="V379" s="77">
        <v>39</v>
      </c>
      <c r="W379" s="81" t="s">
        <v>3192</v>
      </c>
      <c r="X379" s="77"/>
      <c r="Y379" s="77"/>
      <c r="Z379" s="77"/>
      <c r="AA379" s="77" t="s">
        <v>4608</v>
      </c>
      <c r="AB379" s="77" t="s">
        <v>5795</v>
      </c>
      <c r="AC379" s="81" t="s">
        <v>5801</v>
      </c>
      <c r="AD379" s="77" t="s">
        <v>5851</v>
      </c>
      <c r="AE379" s="83" t="str">
        <f>HYPERLINK("https://twitter.com/mondinthalles/status/1663214376566784001")</f>
        <v>https://twitter.com/mondinthalles/status/1663214376566784001</v>
      </c>
      <c r="AF379" s="79">
        <v>45075.66878472222</v>
      </c>
      <c r="AG379" s="85">
        <v>45075</v>
      </c>
      <c r="AH379" s="81" t="s">
        <v>6203</v>
      </c>
      <c r="AI379" s="77" t="b">
        <v>0</v>
      </c>
      <c r="AJ379" s="77"/>
      <c r="AK379" s="77"/>
      <c r="AL379" s="77"/>
      <c r="AM379" s="77"/>
      <c r="AN379" s="77"/>
      <c r="AO379" s="77"/>
      <c r="AP379" s="77"/>
      <c r="AQ379" s="77" t="s">
        <v>8111</v>
      </c>
      <c r="AR379" s="77">
        <v>44790</v>
      </c>
      <c r="AS379" s="77"/>
      <c r="AT379" s="77"/>
      <c r="AU379" s="77"/>
      <c r="AV379" s="83" t="str">
        <f>HYPERLINK("https://pbs.twimg.com/ext_tw_video_thumb/1663214228516360193/pu/img/rMQUmjI3OO3E2TYY.jpg")</f>
        <v>https://pbs.twimg.com/ext_tw_video_thumb/1663214228516360193/pu/img/rMQUmjI3OO3E2TYY.jpg</v>
      </c>
      <c r="AW379" s="81" t="s">
        <v>9649</v>
      </c>
      <c r="AX379" s="81" t="s">
        <v>9649</v>
      </c>
      <c r="AY379" s="77"/>
      <c r="AZ379" s="81" t="s">
        <v>11359</v>
      </c>
      <c r="BA379" s="81" t="s">
        <v>11359</v>
      </c>
      <c r="BB379" s="81" t="s">
        <v>11359</v>
      </c>
      <c r="BC379" s="81" t="s">
        <v>9649</v>
      </c>
      <c r="BD379" s="77">
        <v>3240648647</v>
      </c>
      <c r="BE379" s="77"/>
      <c r="BF379" s="77"/>
      <c r="BG379" s="77"/>
      <c r="BH379" s="77"/>
      <c r="BI379" s="77"/>
    </row>
    <row r="380" spans="1:61" x14ac:dyDescent="0.25">
      <c r="A380" s="62" t="s">
        <v>400</v>
      </c>
      <c r="B380" s="62" t="s">
        <v>400</v>
      </c>
      <c r="C380" s="63"/>
      <c r="D380" s="64"/>
      <c r="E380" s="65"/>
      <c r="F380" s="66"/>
      <c r="G380" s="63"/>
      <c r="H380" s="67"/>
      <c r="I380" s="68"/>
      <c r="J380" s="68"/>
      <c r="K380" s="32"/>
      <c r="L380" s="75">
        <v>380</v>
      </c>
      <c r="M380" s="75"/>
      <c r="N380" s="70"/>
      <c r="O380" s="77" t="s">
        <v>179</v>
      </c>
      <c r="P380" s="79">
        <v>45108.116875</v>
      </c>
      <c r="Q380" s="77" t="s">
        <v>1328</v>
      </c>
      <c r="R380" s="77">
        <v>0</v>
      </c>
      <c r="S380" s="77">
        <v>0</v>
      </c>
      <c r="T380" s="77">
        <v>0</v>
      </c>
      <c r="U380" s="77">
        <v>0</v>
      </c>
      <c r="V380" s="77">
        <v>69</v>
      </c>
      <c r="W380" s="81" t="s">
        <v>3193</v>
      </c>
      <c r="X380" s="83" t="str">
        <f>HYPERLINK("https://www.youtube.com/live/8srFMZx1sjk?feature=share")</f>
        <v>https://www.youtube.com/live/8srFMZx1sjk?feature=share</v>
      </c>
      <c r="Y380" s="77" t="s">
        <v>4225</v>
      </c>
      <c r="Z380" s="77"/>
      <c r="AA380" s="77" t="s">
        <v>4609</v>
      </c>
      <c r="AB380" s="77" t="s">
        <v>5795</v>
      </c>
      <c r="AC380" s="81" t="s">
        <v>5801</v>
      </c>
      <c r="AD380" s="77" t="s">
        <v>5851</v>
      </c>
      <c r="AE380" s="83" t="str">
        <f>HYPERLINK("https://twitter.com/mondinthalles/status/1674973172951597056")</f>
        <v>https://twitter.com/mondinthalles/status/1674973172951597056</v>
      </c>
      <c r="AF380" s="79">
        <v>45108.116875</v>
      </c>
      <c r="AG380" s="85">
        <v>45108</v>
      </c>
      <c r="AH380" s="81" t="s">
        <v>6204</v>
      </c>
      <c r="AI380" s="77" t="b">
        <v>0</v>
      </c>
      <c r="AJ380" s="77"/>
      <c r="AK380" s="77"/>
      <c r="AL380" s="77"/>
      <c r="AM380" s="77"/>
      <c r="AN380" s="77"/>
      <c r="AO380" s="77"/>
      <c r="AP380" s="77"/>
      <c r="AQ380" s="77" t="s">
        <v>8112</v>
      </c>
      <c r="AR380" s="77">
        <v>29094</v>
      </c>
      <c r="AS380" s="77"/>
      <c r="AT380" s="77"/>
      <c r="AU380" s="77"/>
      <c r="AV380" s="83" t="str">
        <f>HYPERLINK("https://pbs.twimg.com/ext_tw_video_thumb/1674973108690714630/pu/img/4wrda380Rvar9GyW.jpg")</f>
        <v>https://pbs.twimg.com/ext_tw_video_thumb/1674973108690714630/pu/img/4wrda380Rvar9GyW.jpg</v>
      </c>
      <c r="AW380" s="81" t="s">
        <v>9650</v>
      </c>
      <c r="AX380" s="81" t="s">
        <v>9650</v>
      </c>
      <c r="AY380" s="77"/>
      <c r="AZ380" s="81" t="s">
        <v>11359</v>
      </c>
      <c r="BA380" s="81" t="s">
        <v>11359</v>
      </c>
      <c r="BB380" s="81" t="s">
        <v>11359</v>
      </c>
      <c r="BC380" s="81" t="s">
        <v>9650</v>
      </c>
      <c r="BD380" s="77">
        <v>3240648647</v>
      </c>
      <c r="BE380" s="77"/>
      <c r="BF380" s="77"/>
      <c r="BG380" s="77"/>
      <c r="BH380" s="77"/>
      <c r="BI380" s="77"/>
    </row>
    <row r="381" spans="1:61" x14ac:dyDescent="0.25">
      <c r="A381" s="62" t="s">
        <v>401</v>
      </c>
      <c r="B381" s="62" t="s">
        <v>401</v>
      </c>
      <c r="C381" s="63"/>
      <c r="D381" s="64"/>
      <c r="E381" s="65"/>
      <c r="F381" s="66"/>
      <c r="G381" s="63"/>
      <c r="H381" s="67"/>
      <c r="I381" s="68"/>
      <c r="J381" s="68"/>
      <c r="K381" s="32"/>
      <c r="L381" s="75">
        <v>381</v>
      </c>
      <c r="M381" s="75"/>
      <c r="N381" s="70"/>
      <c r="O381" s="77" t="s">
        <v>179</v>
      </c>
      <c r="P381" s="79">
        <v>45046.16033564815</v>
      </c>
      <c r="Q381" s="77" t="s">
        <v>1329</v>
      </c>
      <c r="R381" s="77">
        <v>0</v>
      </c>
      <c r="S381" s="77">
        <v>0</v>
      </c>
      <c r="T381" s="77">
        <v>0</v>
      </c>
      <c r="U381" s="77">
        <v>0</v>
      </c>
      <c r="V381" s="77">
        <v>21</v>
      </c>
      <c r="W381" s="81" t="s">
        <v>3194</v>
      </c>
      <c r="X381" s="77"/>
      <c r="Y381" s="77"/>
      <c r="Z381" s="77"/>
      <c r="AA381" s="77" t="s">
        <v>4610</v>
      </c>
      <c r="AB381" s="77" t="s">
        <v>5795</v>
      </c>
      <c r="AC381" s="81" t="s">
        <v>5801</v>
      </c>
      <c r="AD381" s="77" t="s">
        <v>5853</v>
      </c>
      <c r="AE381" s="83" t="str">
        <f>HYPERLINK("https://twitter.com/alucianio/status/1652520875055259650")</f>
        <v>https://twitter.com/alucianio/status/1652520875055259650</v>
      </c>
      <c r="AF381" s="79">
        <v>45046.16033564815</v>
      </c>
      <c r="AG381" s="85">
        <v>45046</v>
      </c>
      <c r="AH381" s="81" t="s">
        <v>6205</v>
      </c>
      <c r="AI381" s="77" t="b">
        <v>0</v>
      </c>
      <c r="AJ381" s="77"/>
      <c r="AK381" s="77"/>
      <c r="AL381" s="77"/>
      <c r="AM381" s="77"/>
      <c r="AN381" s="77"/>
      <c r="AO381" s="77"/>
      <c r="AP381" s="77"/>
      <c r="AQ381" s="77" t="s">
        <v>8113</v>
      </c>
      <c r="AR381" s="77">
        <v>45015</v>
      </c>
      <c r="AS381" s="77"/>
      <c r="AT381" s="77"/>
      <c r="AU381" s="77"/>
      <c r="AV381" s="83" t="str">
        <f>HYPERLINK("https://pbs.twimg.com/ext_tw_video_thumb/1652520792402403329/pu/img/Cs3kctm0po8StB4G.jpg")</f>
        <v>https://pbs.twimg.com/ext_tw_video_thumb/1652520792402403329/pu/img/Cs3kctm0po8StB4G.jpg</v>
      </c>
      <c r="AW381" s="81" t="s">
        <v>9651</v>
      </c>
      <c r="AX381" s="81" t="s">
        <v>9651</v>
      </c>
      <c r="AY381" s="77"/>
      <c r="AZ381" s="81" t="s">
        <v>11359</v>
      </c>
      <c r="BA381" s="81" t="s">
        <v>11359</v>
      </c>
      <c r="BB381" s="81" t="s">
        <v>11359</v>
      </c>
      <c r="BC381" s="81" t="s">
        <v>9651</v>
      </c>
      <c r="BD381" s="81" t="s">
        <v>11491</v>
      </c>
      <c r="BE381" s="77"/>
      <c r="BF381" s="77"/>
      <c r="BG381" s="77"/>
      <c r="BH381" s="77"/>
      <c r="BI381" s="77"/>
    </row>
    <row r="382" spans="1:61" x14ac:dyDescent="0.25">
      <c r="A382" s="62" t="s">
        <v>402</v>
      </c>
      <c r="B382" s="62" t="s">
        <v>402</v>
      </c>
      <c r="C382" s="63"/>
      <c r="D382" s="64"/>
      <c r="E382" s="65"/>
      <c r="F382" s="66"/>
      <c r="G382" s="63"/>
      <c r="H382" s="67"/>
      <c r="I382" s="68"/>
      <c r="J382" s="68"/>
      <c r="K382" s="32"/>
      <c r="L382" s="75">
        <v>382</v>
      </c>
      <c r="M382" s="75"/>
      <c r="N382" s="70"/>
      <c r="O382" s="77" t="s">
        <v>969</v>
      </c>
      <c r="P382" s="79">
        <v>44947.694756944446</v>
      </c>
      <c r="Q382" s="77" t="s">
        <v>1330</v>
      </c>
      <c r="R382" s="77">
        <v>0</v>
      </c>
      <c r="S382" s="77">
        <v>0</v>
      </c>
      <c r="T382" s="77">
        <v>0</v>
      </c>
      <c r="U382" s="77">
        <v>0</v>
      </c>
      <c r="V382" s="77">
        <v>42</v>
      </c>
      <c r="W382" s="81" t="s">
        <v>3195</v>
      </c>
      <c r="X382" s="77"/>
      <c r="Y382" s="77"/>
      <c r="Z382" s="77"/>
      <c r="AA382" s="77"/>
      <c r="AB382" s="77"/>
      <c r="AC382" s="81" t="s">
        <v>5803</v>
      </c>
      <c r="AD382" s="77" t="s">
        <v>5854</v>
      </c>
      <c r="AE382" s="83" t="str">
        <f>HYPERLINK("https://twitter.com/luzpcg/status/1616838143935909889")</f>
        <v>https://twitter.com/luzpcg/status/1616838143935909889</v>
      </c>
      <c r="AF382" s="79">
        <v>44947.694756944446</v>
      </c>
      <c r="AG382" s="85">
        <v>44947</v>
      </c>
      <c r="AH382" s="81" t="s">
        <v>6206</v>
      </c>
      <c r="AI382" s="77"/>
      <c r="AJ382" s="77"/>
      <c r="AK382" s="77"/>
      <c r="AL382" s="77"/>
      <c r="AM382" s="77"/>
      <c r="AN382" s="77"/>
      <c r="AO382" s="77"/>
      <c r="AP382" s="77"/>
      <c r="AQ382" s="77"/>
      <c r="AR382" s="77"/>
      <c r="AS382" s="77"/>
      <c r="AT382" s="77"/>
      <c r="AU382" s="77"/>
      <c r="AV382" s="83" t="str">
        <f>HYPERLINK("https://pbs.twimg.com/profile_images/1577779909153398790/tpfQFRLO_normal.jpg")</f>
        <v>https://pbs.twimg.com/profile_images/1577779909153398790/tpfQFRLO_normal.jpg</v>
      </c>
      <c r="AW382" s="81" t="s">
        <v>9652</v>
      </c>
      <c r="AX382" s="81" t="s">
        <v>11263</v>
      </c>
      <c r="AY382" s="81" t="s">
        <v>11331</v>
      </c>
      <c r="AZ382" s="81" t="s">
        <v>11263</v>
      </c>
      <c r="BA382" s="81" t="s">
        <v>11359</v>
      </c>
      <c r="BB382" s="81" t="s">
        <v>11359</v>
      </c>
      <c r="BC382" s="81" t="s">
        <v>11263</v>
      </c>
      <c r="BD382" s="77">
        <v>322214736</v>
      </c>
      <c r="BE382" s="77"/>
      <c r="BF382" s="77"/>
      <c r="BG382" s="77"/>
      <c r="BH382" s="77"/>
      <c r="BI382" s="77"/>
    </row>
    <row r="383" spans="1:61" x14ac:dyDescent="0.25">
      <c r="A383" s="62" t="s">
        <v>403</v>
      </c>
      <c r="B383" s="62" t="s">
        <v>403</v>
      </c>
      <c r="C383" s="63"/>
      <c r="D383" s="64"/>
      <c r="E383" s="65"/>
      <c r="F383" s="66"/>
      <c r="G383" s="63"/>
      <c r="H383" s="67"/>
      <c r="I383" s="68"/>
      <c r="J383" s="68"/>
      <c r="K383" s="32"/>
      <c r="L383" s="75">
        <v>383</v>
      </c>
      <c r="M383" s="75"/>
      <c r="N383" s="70"/>
      <c r="O383" s="77" t="s">
        <v>179</v>
      </c>
      <c r="P383" s="79">
        <v>45105.846238425926</v>
      </c>
      <c r="Q383" s="77" t="s">
        <v>1331</v>
      </c>
      <c r="R383" s="77">
        <v>0</v>
      </c>
      <c r="S383" s="77">
        <v>0</v>
      </c>
      <c r="T383" s="77">
        <v>0</v>
      </c>
      <c r="U383" s="77">
        <v>0</v>
      </c>
      <c r="V383" s="77">
        <v>21</v>
      </c>
      <c r="W383" s="81" t="s">
        <v>3196</v>
      </c>
      <c r="X383" s="77"/>
      <c r="Y383" s="77"/>
      <c r="Z383" s="77"/>
      <c r="AA383" s="77"/>
      <c r="AB383" s="77"/>
      <c r="AC383" s="81" t="s">
        <v>5803</v>
      </c>
      <c r="AD383" s="77" t="s">
        <v>5850</v>
      </c>
      <c r="AE383" s="83" t="str">
        <f>HYPERLINK("https://twitter.com/soyfelixrojasm/status/1674150322342699009")</f>
        <v>https://twitter.com/soyfelixrojasm/status/1674150322342699009</v>
      </c>
      <c r="AF383" s="79">
        <v>45105.846238425926</v>
      </c>
      <c r="AG383" s="85">
        <v>45105</v>
      </c>
      <c r="AH383" s="81" t="s">
        <v>6004</v>
      </c>
      <c r="AI383" s="77"/>
      <c r="AJ383" s="77" t="s">
        <v>7738</v>
      </c>
      <c r="AK383" s="77" t="s">
        <v>7767</v>
      </c>
      <c r="AL383" s="77" t="s">
        <v>7776</v>
      </c>
      <c r="AM383" s="77" t="s">
        <v>7792</v>
      </c>
      <c r="AN383" s="77" t="s">
        <v>7828</v>
      </c>
      <c r="AO383" s="77" t="s">
        <v>7864</v>
      </c>
      <c r="AP383" s="77" t="s">
        <v>7889</v>
      </c>
      <c r="AQ383" s="77"/>
      <c r="AR383" s="77"/>
      <c r="AS383" s="77"/>
      <c r="AT383" s="77"/>
      <c r="AU383" s="77"/>
      <c r="AV383" s="83" t="str">
        <f>HYPERLINK("https://pbs.twimg.com/profile_images/1635128062403567617/QnEHA3XF_normal.jpg")</f>
        <v>https://pbs.twimg.com/profile_images/1635128062403567617/QnEHA3XF_normal.jpg</v>
      </c>
      <c r="AW383" s="81" t="s">
        <v>9653</v>
      </c>
      <c r="AX383" s="81" t="s">
        <v>9653</v>
      </c>
      <c r="AY383" s="77"/>
      <c r="AZ383" s="81" t="s">
        <v>11359</v>
      </c>
      <c r="BA383" s="81" t="s">
        <v>11359</v>
      </c>
      <c r="BB383" s="81" t="s">
        <v>11359</v>
      </c>
      <c r="BC383" s="81" t="s">
        <v>9653</v>
      </c>
      <c r="BD383" s="81" t="s">
        <v>11492</v>
      </c>
      <c r="BE383" s="77"/>
      <c r="BF383" s="77"/>
      <c r="BG383" s="77"/>
      <c r="BH383" s="77"/>
      <c r="BI383" s="77"/>
    </row>
    <row r="384" spans="1:61" x14ac:dyDescent="0.25">
      <c r="A384" s="62" t="s">
        <v>404</v>
      </c>
      <c r="B384" s="62" t="s">
        <v>404</v>
      </c>
      <c r="C384" s="63"/>
      <c r="D384" s="64"/>
      <c r="E384" s="65"/>
      <c r="F384" s="66"/>
      <c r="G384" s="63"/>
      <c r="H384" s="67"/>
      <c r="I384" s="68"/>
      <c r="J384" s="68"/>
      <c r="K384" s="32"/>
      <c r="L384" s="75">
        <v>384</v>
      </c>
      <c r="M384" s="75"/>
      <c r="N384" s="70"/>
      <c r="O384" s="77" t="s">
        <v>179</v>
      </c>
      <c r="P384" s="79">
        <v>44937.820543981485</v>
      </c>
      <c r="Q384" s="77" t="s">
        <v>1332</v>
      </c>
      <c r="R384" s="77">
        <v>1</v>
      </c>
      <c r="S384" s="77">
        <v>0</v>
      </c>
      <c r="T384" s="77">
        <v>0</v>
      </c>
      <c r="U384" s="77">
        <v>0</v>
      </c>
      <c r="V384" s="77">
        <v>12</v>
      </c>
      <c r="W384" s="81" t="s">
        <v>3197</v>
      </c>
      <c r="X384" s="83" t="str">
        <f>HYPERLINK("http://www.disenio.com.mx")</f>
        <v>http://www.disenio.com.mx</v>
      </c>
      <c r="Y384" s="77" t="s">
        <v>4222</v>
      </c>
      <c r="Z384" s="77"/>
      <c r="AA384" s="77"/>
      <c r="AB384" s="77"/>
      <c r="AC384" s="81" t="s">
        <v>5805</v>
      </c>
      <c r="AD384" s="77" t="s">
        <v>5850</v>
      </c>
      <c r="AE384" s="83" t="str">
        <f>HYPERLINK("https://twitter.com/diseniocapacita/status/1613259849717915664")</f>
        <v>https://twitter.com/diseniocapacita/status/1613259849717915664</v>
      </c>
      <c r="AF384" s="79">
        <v>44937.820543981485</v>
      </c>
      <c r="AG384" s="85">
        <v>44937</v>
      </c>
      <c r="AH384" s="81" t="s">
        <v>6207</v>
      </c>
      <c r="AI384" s="77" t="b">
        <v>0</v>
      </c>
      <c r="AJ384" s="77"/>
      <c r="AK384" s="77"/>
      <c r="AL384" s="77"/>
      <c r="AM384" s="77"/>
      <c r="AN384" s="77"/>
      <c r="AO384" s="77"/>
      <c r="AP384" s="77"/>
      <c r="AQ384" s="77"/>
      <c r="AR384" s="77"/>
      <c r="AS384" s="77"/>
      <c r="AT384" s="77"/>
      <c r="AU384" s="77"/>
      <c r="AV384" s="83" t="str">
        <f>HYPERLINK("https://pbs.twimg.com/profile_images/771685727/LogoDisenioTwitter_normal.jpg")</f>
        <v>https://pbs.twimg.com/profile_images/771685727/LogoDisenioTwitter_normal.jpg</v>
      </c>
      <c r="AW384" s="81" t="s">
        <v>9654</v>
      </c>
      <c r="AX384" s="81" t="s">
        <v>9654</v>
      </c>
      <c r="AY384" s="77"/>
      <c r="AZ384" s="81" t="s">
        <v>11359</v>
      </c>
      <c r="BA384" s="81" t="s">
        <v>11359</v>
      </c>
      <c r="BB384" s="81" t="s">
        <v>11359</v>
      </c>
      <c r="BC384" s="81" t="s">
        <v>9654</v>
      </c>
      <c r="BD384" s="77">
        <v>125691411</v>
      </c>
      <c r="BE384" s="77"/>
      <c r="BF384" s="77"/>
      <c r="BG384" s="77"/>
      <c r="BH384" s="77"/>
      <c r="BI384" s="77"/>
    </row>
    <row r="385" spans="1:61" x14ac:dyDescent="0.25">
      <c r="A385" s="62" t="s">
        <v>405</v>
      </c>
      <c r="B385" s="62" t="s">
        <v>405</v>
      </c>
      <c r="C385" s="63"/>
      <c r="D385" s="64"/>
      <c r="E385" s="65"/>
      <c r="F385" s="66"/>
      <c r="G385" s="63"/>
      <c r="H385" s="67"/>
      <c r="I385" s="68"/>
      <c r="J385" s="68"/>
      <c r="K385" s="32"/>
      <c r="L385" s="75">
        <v>385</v>
      </c>
      <c r="M385" s="75"/>
      <c r="N385" s="70"/>
      <c r="O385" s="77" t="s">
        <v>179</v>
      </c>
      <c r="P385" s="79">
        <v>44950.741446759261</v>
      </c>
      <c r="Q385" s="77" t="s">
        <v>1333</v>
      </c>
      <c r="R385" s="77">
        <v>0</v>
      </c>
      <c r="S385" s="77">
        <v>0</v>
      </c>
      <c r="T385" s="77">
        <v>0</v>
      </c>
      <c r="U385" s="77">
        <v>0</v>
      </c>
      <c r="V385" s="77">
        <v>44</v>
      </c>
      <c r="W385" s="81" t="s">
        <v>3198</v>
      </c>
      <c r="X385" s="83" t="str">
        <f>HYPERLINK("https://vagassa.blogspot.com/2023/01/lebes-abre-vagas-para-vendedores-de.html")</f>
        <v>https://vagassa.blogspot.com/2023/01/lebes-abre-vagas-para-vendedores-de.html</v>
      </c>
      <c r="Y385" s="77" t="s">
        <v>4216</v>
      </c>
      <c r="Z385" s="77"/>
      <c r="AA385" s="77" t="s">
        <v>4611</v>
      </c>
      <c r="AB385" s="77" t="s">
        <v>5794</v>
      </c>
      <c r="AC385" s="81" t="s">
        <v>5805</v>
      </c>
      <c r="AD385" s="77" t="s">
        <v>5851</v>
      </c>
      <c r="AE385" s="83" t="str">
        <f>HYPERLINK("https://twitter.com/vagassa/status/1617942228697223168")</f>
        <v>https://twitter.com/vagassa/status/1617942228697223168</v>
      </c>
      <c r="AF385" s="79">
        <v>44950.741446759261</v>
      </c>
      <c r="AG385" s="85">
        <v>44950</v>
      </c>
      <c r="AH385" s="81" t="s">
        <v>6208</v>
      </c>
      <c r="AI385" s="77" t="b">
        <v>0</v>
      </c>
      <c r="AJ385" s="77"/>
      <c r="AK385" s="77"/>
      <c r="AL385" s="77"/>
      <c r="AM385" s="77"/>
      <c r="AN385" s="77"/>
      <c r="AO385" s="77"/>
      <c r="AP385" s="77"/>
      <c r="AQ385" s="77" t="s">
        <v>8114</v>
      </c>
      <c r="AR385" s="77"/>
      <c r="AS385" s="77"/>
      <c r="AT385" s="77"/>
      <c r="AU385" s="77"/>
      <c r="AV385" s="83" t="str">
        <f>HYPERLINK("https://pbs.twimg.com/media/FnQVypdXEAUpW9j.jpg")</f>
        <v>https://pbs.twimg.com/media/FnQVypdXEAUpW9j.jpg</v>
      </c>
      <c r="AW385" s="81" t="s">
        <v>9655</v>
      </c>
      <c r="AX385" s="81" t="s">
        <v>9655</v>
      </c>
      <c r="AY385" s="77"/>
      <c r="AZ385" s="81" t="s">
        <v>11359</v>
      </c>
      <c r="BA385" s="81" t="s">
        <v>11359</v>
      </c>
      <c r="BB385" s="81" t="s">
        <v>11359</v>
      </c>
      <c r="BC385" s="81" t="s">
        <v>9655</v>
      </c>
      <c r="BD385" s="77">
        <v>378297502</v>
      </c>
      <c r="BE385" s="77"/>
      <c r="BF385" s="77"/>
      <c r="BG385" s="77"/>
      <c r="BH385" s="77"/>
      <c r="BI385" s="77"/>
    </row>
    <row r="386" spans="1:61" x14ac:dyDescent="0.25">
      <c r="A386" s="62" t="s">
        <v>405</v>
      </c>
      <c r="B386" s="62" t="s">
        <v>405</v>
      </c>
      <c r="C386" s="63"/>
      <c r="D386" s="64"/>
      <c r="E386" s="65"/>
      <c r="F386" s="66"/>
      <c r="G386" s="63"/>
      <c r="H386" s="67"/>
      <c r="I386" s="68"/>
      <c r="J386" s="68"/>
      <c r="K386" s="32"/>
      <c r="L386" s="75">
        <v>386</v>
      </c>
      <c r="M386" s="75"/>
      <c r="N386" s="70"/>
      <c r="O386" s="77" t="s">
        <v>179</v>
      </c>
      <c r="P386" s="79">
        <v>44950.734224537038</v>
      </c>
      <c r="Q386" s="77" t="s">
        <v>1334</v>
      </c>
      <c r="R386" s="77">
        <v>0</v>
      </c>
      <c r="S386" s="77">
        <v>0</v>
      </c>
      <c r="T386" s="77">
        <v>0</v>
      </c>
      <c r="U386" s="77">
        <v>0</v>
      </c>
      <c r="V386" s="77">
        <v>29</v>
      </c>
      <c r="W386" s="81" t="s">
        <v>3199</v>
      </c>
      <c r="X386" s="83" t="str">
        <f>HYPERLINK("https://vagassa.blogspot.com/2023/01/mosmann-alimentos-abre-vaga-para.html")</f>
        <v>https://vagassa.blogspot.com/2023/01/mosmann-alimentos-abre-vaga-para.html</v>
      </c>
      <c r="Y386" s="77" t="s">
        <v>4216</v>
      </c>
      <c r="Z386" s="77"/>
      <c r="AA386" s="77" t="s">
        <v>4612</v>
      </c>
      <c r="AB386" s="77" t="s">
        <v>5794</v>
      </c>
      <c r="AC386" s="81" t="s">
        <v>5805</v>
      </c>
      <c r="AD386" s="77" t="s">
        <v>5853</v>
      </c>
      <c r="AE386" s="83" t="str">
        <f>HYPERLINK("https://twitter.com/vagassa/status/1617939608364535808")</f>
        <v>https://twitter.com/vagassa/status/1617939608364535808</v>
      </c>
      <c r="AF386" s="79">
        <v>44950.734224537038</v>
      </c>
      <c r="AG386" s="85">
        <v>44950</v>
      </c>
      <c r="AH386" s="81" t="s">
        <v>6209</v>
      </c>
      <c r="AI386" s="77" t="b">
        <v>0</v>
      </c>
      <c r="AJ386" s="77"/>
      <c r="AK386" s="77"/>
      <c r="AL386" s="77"/>
      <c r="AM386" s="77"/>
      <c r="AN386" s="77"/>
      <c r="AO386" s="77"/>
      <c r="AP386" s="77"/>
      <c r="AQ386" s="77" t="s">
        <v>8115</v>
      </c>
      <c r="AR386" s="77"/>
      <c r="AS386" s="77"/>
      <c r="AT386" s="77"/>
      <c r="AU386" s="77"/>
      <c r="AV386" s="83" t="str">
        <f>HYPERLINK("https://pbs.twimg.com/media/FnQTfPcXEAMEgiG.jpg")</f>
        <v>https://pbs.twimg.com/media/FnQTfPcXEAMEgiG.jpg</v>
      </c>
      <c r="AW386" s="81" t="s">
        <v>9656</v>
      </c>
      <c r="AX386" s="81" t="s">
        <v>9656</v>
      </c>
      <c r="AY386" s="77"/>
      <c r="AZ386" s="81" t="s">
        <v>11359</v>
      </c>
      <c r="BA386" s="81" t="s">
        <v>11359</v>
      </c>
      <c r="BB386" s="81" t="s">
        <v>11359</v>
      </c>
      <c r="BC386" s="81" t="s">
        <v>9656</v>
      </c>
      <c r="BD386" s="77">
        <v>378297502</v>
      </c>
      <c r="BE386" s="77"/>
      <c r="BF386" s="77"/>
      <c r="BG386" s="77"/>
      <c r="BH386" s="77"/>
      <c r="BI386" s="77"/>
    </row>
    <row r="387" spans="1:61" x14ac:dyDescent="0.25">
      <c r="A387" s="62" t="s">
        <v>405</v>
      </c>
      <c r="B387" s="62" t="s">
        <v>405</v>
      </c>
      <c r="C387" s="63"/>
      <c r="D387" s="64"/>
      <c r="E387" s="65"/>
      <c r="F387" s="66"/>
      <c r="G387" s="63"/>
      <c r="H387" s="67"/>
      <c r="I387" s="68"/>
      <c r="J387" s="68"/>
      <c r="K387" s="32"/>
      <c r="L387" s="75">
        <v>387</v>
      </c>
      <c r="M387" s="75"/>
      <c r="N387" s="70"/>
      <c r="O387" s="77" t="s">
        <v>179</v>
      </c>
      <c r="P387" s="79">
        <v>44945.540266203701</v>
      </c>
      <c r="Q387" s="77" t="s">
        <v>1335</v>
      </c>
      <c r="R387" s="77">
        <v>0</v>
      </c>
      <c r="S387" s="77">
        <v>0</v>
      </c>
      <c r="T387" s="77">
        <v>0</v>
      </c>
      <c r="U387" s="77">
        <v>0</v>
      </c>
      <c r="V387" s="77">
        <v>75</v>
      </c>
      <c r="W387" s="81" t="s">
        <v>3200</v>
      </c>
      <c r="X387" s="83" t="str">
        <f>HYPERLINK("https://vagassa.blogspot.com/2023/01/vagas-para-motorista-jovem-aprendiz.html")</f>
        <v>https://vagassa.blogspot.com/2023/01/vagas-para-motorista-jovem-aprendiz.html</v>
      </c>
      <c r="Y387" s="77" t="s">
        <v>4216</v>
      </c>
      <c r="Z387" s="77"/>
      <c r="AA387" s="77" t="s">
        <v>4613</v>
      </c>
      <c r="AB387" s="77" t="s">
        <v>5794</v>
      </c>
      <c r="AC387" s="81" t="s">
        <v>5805</v>
      </c>
      <c r="AD387" s="77" t="s">
        <v>5851</v>
      </c>
      <c r="AE387" s="83" t="str">
        <f>HYPERLINK("https://twitter.com/vagassa/status/1616057382211321861")</f>
        <v>https://twitter.com/vagassa/status/1616057382211321861</v>
      </c>
      <c r="AF387" s="79">
        <v>44945.540266203701</v>
      </c>
      <c r="AG387" s="85">
        <v>44945</v>
      </c>
      <c r="AH387" s="81" t="s">
        <v>6210</v>
      </c>
      <c r="AI387" s="77" t="b">
        <v>0</v>
      </c>
      <c r="AJ387" s="77"/>
      <c r="AK387" s="77"/>
      <c r="AL387" s="77"/>
      <c r="AM387" s="77"/>
      <c r="AN387" s="77"/>
      <c r="AO387" s="77"/>
      <c r="AP387" s="77"/>
      <c r="AQ387" s="77" t="s">
        <v>8116</v>
      </c>
      <c r="AR387" s="77"/>
      <c r="AS387" s="77"/>
      <c r="AT387" s="77"/>
      <c r="AU387" s="77"/>
      <c r="AV387" s="83" t="str">
        <f>HYPERLINK("https://pbs.twimg.com/media/Fm1jkk1XgAAngTx.jpg")</f>
        <v>https://pbs.twimg.com/media/Fm1jkk1XgAAngTx.jpg</v>
      </c>
      <c r="AW387" s="81" t="s">
        <v>9657</v>
      </c>
      <c r="AX387" s="81" t="s">
        <v>9657</v>
      </c>
      <c r="AY387" s="77"/>
      <c r="AZ387" s="81" t="s">
        <v>11359</v>
      </c>
      <c r="BA387" s="81" t="s">
        <v>11359</v>
      </c>
      <c r="BB387" s="81" t="s">
        <v>11359</v>
      </c>
      <c r="BC387" s="81" t="s">
        <v>9657</v>
      </c>
      <c r="BD387" s="77">
        <v>378297502</v>
      </c>
      <c r="BE387" s="77"/>
      <c r="BF387" s="77"/>
      <c r="BG387" s="77"/>
      <c r="BH387" s="77"/>
      <c r="BI387" s="77"/>
    </row>
    <row r="388" spans="1:61" x14ac:dyDescent="0.25">
      <c r="A388" s="62" t="s">
        <v>405</v>
      </c>
      <c r="B388" s="62" t="s">
        <v>405</v>
      </c>
      <c r="C388" s="63"/>
      <c r="D388" s="64"/>
      <c r="E388" s="65"/>
      <c r="F388" s="66"/>
      <c r="G388" s="63"/>
      <c r="H388" s="67"/>
      <c r="I388" s="68"/>
      <c r="J388" s="68"/>
      <c r="K388" s="32"/>
      <c r="L388" s="75">
        <v>388</v>
      </c>
      <c r="M388" s="75"/>
      <c r="N388" s="70"/>
      <c r="O388" s="77" t="s">
        <v>179</v>
      </c>
      <c r="P388" s="79">
        <v>44944.483634259261</v>
      </c>
      <c r="Q388" s="77" t="s">
        <v>1336</v>
      </c>
      <c r="R388" s="77">
        <v>0</v>
      </c>
      <c r="S388" s="77">
        <v>0</v>
      </c>
      <c r="T388" s="77">
        <v>0</v>
      </c>
      <c r="U388" s="77">
        <v>0</v>
      </c>
      <c r="V388" s="77">
        <v>93</v>
      </c>
      <c r="W388" s="81" t="s">
        <v>3201</v>
      </c>
      <c r="X388" s="83" t="str">
        <f>HYPERLINK("https://vagassa.blogspot.com/2023/01/quero-quero-abre-vagas-para-vendedor-e.html")</f>
        <v>https://vagassa.blogspot.com/2023/01/quero-quero-abre-vagas-para-vendedor-e.html</v>
      </c>
      <c r="Y388" s="77" t="s">
        <v>4216</v>
      </c>
      <c r="Z388" s="77"/>
      <c r="AA388" s="77" t="s">
        <v>4614</v>
      </c>
      <c r="AB388" s="77" t="s">
        <v>5794</v>
      </c>
      <c r="AC388" s="81" t="s">
        <v>5805</v>
      </c>
      <c r="AD388" s="77" t="s">
        <v>5851</v>
      </c>
      <c r="AE388" s="83" t="str">
        <f>HYPERLINK("https://twitter.com/vagassa/status/1615674473801302016")</f>
        <v>https://twitter.com/vagassa/status/1615674473801302016</v>
      </c>
      <c r="AF388" s="79">
        <v>44944.483634259261</v>
      </c>
      <c r="AG388" s="85">
        <v>44944</v>
      </c>
      <c r="AH388" s="81" t="s">
        <v>6211</v>
      </c>
      <c r="AI388" s="77" t="b">
        <v>0</v>
      </c>
      <c r="AJ388" s="77"/>
      <c r="AK388" s="77"/>
      <c r="AL388" s="77"/>
      <c r="AM388" s="77"/>
      <c r="AN388" s="77"/>
      <c r="AO388" s="77"/>
      <c r="AP388" s="77"/>
      <c r="AQ388" s="77" t="s">
        <v>8117</v>
      </c>
      <c r="AR388" s="77"/>
      <c r="AS388" s="77"/>
      <c r="AT388" s="77"/>
      <c r="AU388" s="77"/>
      <c r="AV388" s="83" t="str">
        <f>HYPERLINK("https://pbs.twimg.com/media/FmwFvZoXkAYQh5b.jpg")</f>
        <v>https://pbs.twimg.com/media/FmwFvZoXkAYQh5b.jpg</v>
      </c>
      <c r="AW388" s="81" t="s">
        <v>9658</v>
      </c>
      <c r="AX388" s="81" t="s">
        <v>9658</v>
      </c>
      <c r="AY388" s="77"/>
      <c r="AZ388" s="81" t="s">
        <v>11359</v>
      </c>
      <c r="BA388" s="81" t="s">
        <v>11359</v>
      </c>
      <c r="BB388" s="81" t="s">
        <v>11359</v>
      </c>
      <c r="BC388" s="81" t="s">
        <v>9658</v>
      </c>
      <c r="BD388" s="77">
        <v>378297502</v>
      </c>
      <c r="BE388" s="77"/>
      <c r="BF388" s="77"/>
      <c r="BG388" s="77"/>
      <c r="BH388" s="77"/>
      <c r="BI388" s="77"/>
    </row>
    <row r="389" spans="1:61" x14ac:dyDescent="0.25">
      <c r="A389" s="62" t="s">
        <v>405</v>
      </c>
      <c r="B389" s="62" t="s">
        <v>405</v>
      </c>
      <c r="C389" s="63"/>
      <c r="D389" s="64"/>
      <c r="E389" s="65"/>
      <c r="F389" s="66"/>
      <c r="G389" s="63"/>
      <c r="H389" s="67"/>
      <c r="I389" s="68"/>
      <c r="J389" s="68"/>
      <c r="K389" s="32"/>
      <c r="L389" s="75">
        <v>389</v>
      </c>
      <c r="M389" s="75"/>
      <c r="N389" s="70"/>
      <c r="O389" s="77" t="s">
        <v>179</v>
      </c>
      <c r="P389" s="79">
        <v>44935.575057870374</v>
      </c>
      <c r="Q389" s="77" t="s">
        <v>1337</v>
      </c>
      <c r="R389" s="77">
        <v>0</v>
      </c>
      <c r="S389" s="77">
        <v>0</v>
      </c>
      <c r="T389" s="77">
        <v>0</v>
      </c>
      <c r="U389" s="77">
        <v>0</v>
      </c>
      <c r="V389" s="77">
        <v>53</v>
      </c>
      <c r="W389" s="81" t="s">
        <v>3202</v>
      </c>
      <c r="X389" s="83" t="str">
        <f>HYPERLINK("https://vagassa.blogspot.com/2023/01/atacadao-de-moveis-seleciona-vendedores.html")</f>
        <v>https://vagassa.blogspot.com/2023/01/atacadao-de-moveis-seleciona-vendedores.html</v>
      </c>
      <c r="Y389" s="77" t="s">
        <v>4216</v>
      </c>
      <c r="Z389" s="77"/>
      <c r="AA389" s="77" t="s">
        <v>4615</v>
      </c>
      <c r="AB389" s="77" t="s">
        <v>5794</v>
      </c>
      <c r="AC389" s="81" t="s">
        <v>5805</v>
      </c>
      <c r="AD389" s="77" t="s">
        <v>5851</v>
      </c>
      <c r="AE389" s="83" t="str">
        <f>HYPERLINK("https://twitter.com/vagassa/status/1612446111230304257")</f>
        <v>https://twitter.com/vagassa/status/1612446111230304257</v>
      </c>
      <c r="AF389" s="79">
        <v>44935.575057870374</v>
      </c>
      <c r="AG389" s="85">
        <v>44935</v>
      </c>
      <c r="AH389" s="81" t="s">
        <v>6212</v>
      </c>
      <c r="AI389" s="77" t="b">
        <v>0</v>
      </c>
      <c r="AJ389" s="77"/>
      <c r="AK389" s="77"/>
      <c r="AL389" s="77"/>
      <c r="AM389" s="77"/>
      <c r="AN389" s="77"/>
      <c r="AO389" s="77"/>
      <c r="AP389" s="77"/>
      <c r="AQ389" s="77" t="s">
        <v>8118</v>
      </c>
      <c r="AR389" s="77"/>
      <c r="AS389" s="77"/>
      <c r="AT389" s="77"/>
      <c r="AU389" s="77"/>
      <c r="AV389" s="83" t="str">
        <f>HYPERLINK("https://pbs.twimg.com/media/FmCPL8pXkAE7vcP.jpg")</f>
        <v>https://pbs.twimg.com/media/FmCPL8pXkAE7vcP.jpg</v>
      </c>
      <c r="AW389" s="81" t="s">
        <v>9659</v>
      </c>
      <c r="AX389" s="81" t="s">
        <v>9659</v>
      </c>
      <c r="AY389" s="77"/>
      <c r="AZ389" s="81" t="s">
        <v>11359</v>
      </c>
      <c r="BA389" s="81" t="s">
        <v>11359</v>
      </c>
      <c r="BB389" s="81" t="s">
        <v>11359</v>
      </c>
      <c r="BC389" s="81" t="s">
        <v>9659</v>
      </c>
      <c r="BD389" s="77">
        <v>378297502</v>
      </c>
      <c r="BE389" s="77"/>
      <c r="BF389" s="77"/>
      <c r="BG389" s="77"/>
      <c r="BH389" s="77"/>
      <c r="BI389" s="77"/>
    </row>
    <row r="390" spans="1:61" x14ac:dyDescent="0.25">
      <c r="A390" s="62" t="s">
        <v>405</v>
      </c>
      <c r="B390" s="62" t="s">
        <v>405</v>
      </c>
      <c r="C390" s="63"/>
      <c r="D390" s="64"/>
      <c r="E390" s="65"/>
      <c r="F390" s="66"/>
      <c r="G390" s="63"/>
      <c r="H390" s="67"/>
      <c r="I390" s="68"/>
      <c r="J390" s="68"/>
      <c r="K390" s="32"/>
      <c r="L390" s="75">
        <v>390</v>
      </c>
      <c r="M390" s="75"/>
      <c r="N390" s="70"/>
      <c r="O390" s="77" t="s">
        <v>179</v>
      </c>
      <c r="P390" s="79">
        <v>44943.472337962965</v>
      </c>
      <c r="Q390" s="77" t="s">
        <v>1338</v>
      </c>
      <c r="R390" s="77">
        <v>0</v>
      </c>
      <c r="S390" s="77">
        <v>0</v>
      </c>
      <c r="T390" s="77">
        <v>0</v>
      </c>
      <c r="U390" s="77">
        <v>0</v>
      </c>
      <c r="V390" s="77">
        <v>75</v>
      </c>
      <c r="W390" s="81" t="s">
        <v>3203</v>
      </c>
      <c r="X390" s="83" t="str">
        <f>HYPERLINK("https://vagassa.blogspot.com/2023/01/lojas-colombo-abre-vagas-para-vendedor.html")</f>
        <v>https://vagassa.blogspot.com/2023/01/lojas-colombo-abre-vagas-para-vendedor.html</v>
      </c>
      <c r="Y390" s="77" t="s">
        <v>4216</v>
      </c>
      <c r="Z390" s="77"/>
      <c r="AA390" s="77" t="s">
        <v>4616</v>
      </c>
      <c r="AB390" s="77" t="s">
        <v>5794</v>
      </c>
      <c r="AC390" s="81" t="s">
        <v>5805</v>
      </c>
      <c r="AD390" s="77" t="s">
        <v>5851</v>
      </c>
      <c r="AE390" s="83" t="str">
        <f>HYPERLINK("https://twitter.com/vagassa/status/1615307991988699138")</f>
        <v>https://twitter.com/vagassa/status/1615307991988699138</v>
      </c>
      <c r="AF390" s="79">
        <v>44943.472337962965</v>
      </c>
      <c r="AG390" s="85">
        <v>44943</v>
      </c>
      <c r="AH390" s="81" t="s">
        <v>6213</v>
      </c>
      <c r="AI390" s="77" t="b">
        <v>0</v>
      </c>
      <c r="AJ390" s="77"/>
      <c r="AK390" s="77"/>
      <c r="AL390" s="77"/>
      <c r="AM390" s="77"/>
      <c r="AN390" s="77"/>
      <c r="AO390" s="77"/>
      <c r="AP390" s="77"/>
      <c r="AQ390" s="77" t="s">
        <v>8119</v>
      </c>
      <c r="AR390" s="77"/>
      <c r="AS390" s="77"/>
      <c r="AT390" s="77"/>
      <c r="AU390" s="77"/>
      <c r="AV390" s="83" t="str">
        <f>HYPERLINK("https://pbs.twimg.com/media/Fmq6DeZXEAIJQrV.jpg")</f>
        <v>https://pbs.twimg.com/media/Fmq6DeZXEAIJQrV.jpg</v>
      </c>
      <c r="AW390" s="81" t="s">
        <v>9660</v>
      </c>
      <c r="AX390" s="81" t="s">
        <v>9660</v>
      </c>
      <c r="AY390" s="77"/>
      <c r="AZ390" s="81" t="s">
        <v>11359</v>
      </c>
      <c r="BA390" s="81" t="s">
        <v>11359</v>
      </c>
      <c r="BB390" s="81" t="s">
        <v>11359</v>
      </c>
      <c r="BC390" s="81" t="s">
        <v>9660</v>
      </c>
      <c r="BD390" s="77">
        <v>378297502</v>
      </c>
      <c r="BE390" s="77"/>
      <c r="BF390" s="77"/>
      <c r="BG390" s="77"/>
      <c r="BH390" s="77"/>
      <c r="BI390" s="77"/>
    </row>
    <row r="391" spans="1:61" x14ac:dyDescent="0.25">
      <c r="A391" s="62" t="s">
        <v>405</v>
      </c>
      <c r="B391" s="62" t="s">
        <v>405</v>
      </c>
      <c r="C391" s="63"/>
      <c r="D391" s="64"/>
      <c r="E391" s="65"/>
      <c r="F391" s="66"/>
      <c r="G391" s="63"/>
      <c r="H391" s="67"/>
      <c r="I391" s="68"/>
      <c r="J391" s="68"/>
      <c r="K391" s="32"/>
      <c r="L391" s="75">
        <v>391</v>
      </c>
      <c r="M391" s="75"/>
      <c r="N391" s="70"/>
      <c r="O391" s="77" t="s">
        <v>179</v>
      </c>
      <c r="P391" s="79">
        <v>45086.952245370368</v>
      </c>
      <c r="Q391" s="77" t="s">
        <v>1339</v>
      </c>
      <c r="R391" s="77">
        <v>3</v>
      </c>
      <c r="S391" s="77">
        <v>12</v>
      </c>
      <c r="T391" s="77">
        <v>2</v>
      </c>
      <c r="U391" s="77">
        <v>1</v>
      </c>
      <c r="V391" s="77">
        <v>5677</v>
      </c>
      <c r="W391" s="81" t="s">
        <v>3204</v>
      </c>
      <c r="X391" s="83" t="str">
        <f>HYPERLINK("https://vagassa.blogspot.com/2023/06/lojas-renner-abre-diversas-vagas-para.html")</f>
        <v>https://vagassa.blogspot.com/2023/06/lojas-renner-abre-diversas-vagas-para.html</v>
      </c>
      <c r="Y391" s="77" t="s">
        <v>4216</v>
      </c>
      <c r="Z391" s="77"/>
      <c r="AA391" s="77" t="s">
        <v>4617</v>
      </c>
      <c r="AB391" s="77" t="s">
        <v>5794</v>
      </c>
      <c r="AC391" s="81" t="s">
        <v>5805</v>
      </c>
      <c r="AD391" s="77" t="s">
        <v>5851</v>
      </c>
      <c r="AE391" s="83" t="str">
        <f>HYPERLINK("https://twitter.com/vagassa/status/1667303367264071680")</f>
        <v>https://twitter.com/vagassa/status/1667303367264071680</v>
      </c>
      <c r="AF391" s="79">
        <v>45086.952245370368</v>
      </c>
      <c r="AG391" s="85">
        <v>45086</v>
      </c>
      <c r="AH391" s="81" t="s">
        <v>6214</v>
      </c>
      <c r="AI391" s="77" t="b">
        <v>0</v>
      </c>
      <c r="AJ391" s="77"/>
      <c r="AK391" s="77"/>
      <c r="AL391" s="77"/>
      <c r="AM391" s="77"/>
      <c r="AN391" s="77"/>
      <c r="AO391" s="77"/>
      <c r="AP391" s="77"/>
      <c r="AQ391" s="77" t="s">
        <v>8120</v>
      </c>
      <c r="AR391" s="77"/>
      <c r="AS391" s="77"/>
      <c r="AT391" s="77"/>
      <c r="AU391" s="77"/>
      <c r="AV391" s="83" t="str">
        <f>HYPERLINK("https://pbs.twimg.com/media/FyNzBfYX0AMJ971.jpg")</f>
        <v>https://pbs.twimg.com/media/FyNzBfYX0AMJ971.jpg</v>
      </c>
      <c r="AW391" s="81" t="s">
        <v>9661</v>
      </c>
      <c r="AX391" s="81" t="s">
        <v>9661</v>
      </c>
      <c r="AY391" s="77"/>
      <c r="AZ391" s="81" t="s">
        <v>11359</v>
      </c>
      <c r="BA391" s="81" t="s">
        <v>11359</v>
      </c>
      <c r="BB391" s="81" t="s">
        <v>11359</v>
      </c>
      <c r="BC391" s="81" t="s">
        <v>9661</v>
      </c>
      <c r="BD391" s="77">
        <v>378297502</v>
      </c>
      <c r="BE391" s="77"/>
      <c r="BF391" s="77"/>
      <c r="BG391" s="77"/>
      <c r="BH391" s="77"/>
      <c r="BI391" s="77"/>
    </row>
    <row r="392" spans="1:61" x14ac:dyDescent="0.25">
      <c r="A392" s="62" t="s">
        <v>405</v>
      </c>
      <c r="B392" s="62" t="s">
        <v>405</v>
      </c>
      <c r="C392" s="63"/>
      <c r="D392" s="64"/>
      <c r="E392" s="65"/>
      <c r="F392" s="66"/>
      <c r="G392" s="63"/>
      <c r="H392" s="67"/>
      <c r="I392" s="68"/>
      <c r="J392" s="68"/>
      <c r="K392" s="32"/>
      <c r="L392" s="75">
        <v>392</v>
      </c>
      <c r="M392" s="75"/>
      <c r="N392" s="70"/>
      <c r="O392" s="77" t="s">
        <v>179</v>
      </c>
      <c r="P392" s="79">
        <v>45086.476921296293</v>
      </c>
      <c r="Q392" s="77" t="s">
        <v>1340</v>
      </c>
      <c r="R392" s="77">
        <v>0</v>
      </c>
      <c r="S392" s="77">
        <v>0</v>
      </c>
      <c r="T392" s="77">
        <v>0</v>
      </c>
      <c r="U392" s="77">
        <v>0</v>
      </c>
      <c r="V392" s="77">
        <v>126</v>
      </c>
      <c r="W392" s="81" t="s">
        <v>3205</v>
      </c>
      <c r="X392" s="83" t="str">
        <f>HYPERLINK("https://vagassa.blogspot.com/2023/06/leroy-merlin-abre-vagas-para-caixa.html")</f>
        <v>https://vagassa.blogspot.com/2023/06/leroy-merlin-abre-vagas-para-caixa.html</v>
      </c>
      <c r="Y392" s="77" t="s">
        <v>4216</v>
      </c>
      <c r="Z392" s="77"/>
      <c r="AA392" s="77" t="s">
        <v>4618</v>
      </c>
      <c r="AB392" s="77" t="s">
        <v>5794</v>
      </c>
      <c r="AC392" s="81" t="s">
        <v>5805</v>
      </c>
      <c r="AD392" s="77" t="s">
        <v>5851</v>
      </c>
      <c r="AE392" s="83" t="str">
        <f>HYPERLINK("https://twitter.com/vagassa/status/1667131115834834946")</f>
        <v>https://twitter.com/vagassa/status/1667131115834834946</v>
      </c>
      <c r="AF392" s="79">
        <v>45086.476921296293</v>
      </c>
      <c r="AG392" s="85">
        <v>45086</v>
      </c>
      <c r="AH392" s="81" t="s">
        <v>6215</v>
      </c>
      <c r="AI392" s="77" t="b">
        <v>0</v>
      </c>
      <c r="AJ392" s="77"/>
      <c r="AK392" s="77"/>
      <c r="AL392" s="77"/>
      <c r="AM392" s="77"/>
      <c r="AN392" s="77"/>
      <c r="AO392" s="77"/>
      <c r="AP392" s="77"/>
      <c r="AQ392" s="77" t="s">
        <v>8121</v>
      </c>
      <c r="AR392" s="77"/>
      <c r="AS392" s="77"/>
      <c r="AT392" s="77"/>
      <c r="AU392" s="77"/>
      <c r="AV392" s="83" t="str">
        <f>HYPERLINK("https://pbs.twimg.com/media/FyLW0n5WAAIwXWq.jpg")</f>
        <v>https://pbs.twimg.com/media/FyLW0n5WAAIwXWq.jpg</v>
      </c>
      <c r="AW392" s="81" t="s">
        <v>9662</v>
      </c>
      <c r="AX392" s="81" t="s">
        <v>9662</v>
      </c>
      <c r="AY392" s="77"/>
      <c r="AZ392" s="81" t="s">
        <v>11359</v>
      </c>
      <c r="BA392" s="81" t="s">
        <v>11359</v>
      </c>
      <c r="BB392" s="81" t="s">
        <v>11359</v>
      </c>
      <c r="BC392" s="81" t="s">
        <v>9662</v>
      </c>
      <c r="BD392" s="77">
        <v>378297502</v>
      </c>
      <c r="BE392" s="77"/>
      <c r="BF392" s="77"/>
      <c r="BG392" s="77"/>
      <c r="BH392" s="77"/>
      <c r="BI392" s="77"/>
    </row>
    <row r="393" spans="1:61" x14ac:dyDescent="0.25">
      <c r="A393" s="62" t="s">
        <v>405</v>
      </c>
      <c r="B393" s="62" t="s">
        <v>405</v>
      </c>
      <c r="C393" s="63"/>
      <c r="D393" s="64"/>
      <c r="E393" s="65"/>
      <c r="F393" s="66"/>
      <c r="G393" s="63"/>
      <c r="H393" s="67"/>
      <c r="I393" s="68"/>
      <c r="J393" s="68"/>
      <c r="K393" s="32"/>
      <c r="L393" s="75">
        <v>393</v>
      </c>
      <c r="M393" s="75"/>
      <c r="N393" s="70"/>
      <c r="O393" s="77" t="s">
        <v>179</v>
      </c>
      <c r="P393" s="79">
        <v>45085.571111111109</v>
      </c>
      <c r="Q393" s="77" t="s">
        <v>1341</v>
      </c>
      <c r="R393" s="77">
        <v>0</v>
      </c>
      <c r="S393" s="77">
        <v>0</v>
      </c>
      <c r="T393" s="77">
        <v>0</v>
      </c>
      <c r="U393" s="77">
        <v>0</v>
      </c>
      <c r="V393" s="77">
        <v>29</v>
      </c>
      <c r="W393" s="81" t="s">
        <v>3206</v>
      </c>
      <c r="X393" s="83" t="str">
        <f>HYPERLINK("https://vagassa.blogspot.com/2023/06/deltasul-abre-vagas-para-servente-de.html")</f>
        <v>https://vagassa.blogspot.com/2023/06/deltasul-abre-vagas-para-servente-de.html</v>
      </c>
      <c r="Y393" s="77" t="s">
        <v>4216</v>
      </c>
      <c r="Z393" s="77"/>
      <c r="AA393" s="77" t="s">
        <v>4619</v>
      </c>
      <c r="AB393" s="77" t="s">
        <v>5794</v>
      </c>
      <c r="AC393" s="81" t="s">
        <v>5805</v>
      </c>
      <c r="AD393" s="77" t="s">
        <v>5851</v>
      </c>
      <c r="AE393" s="83" t="str">
        <f>HYPERLINK("https://twitter.com/vagassa/status/1666802862519894021")</f>
        <v>https://twitter.com/vagassa/status/1666802862519894021</v>
      </c>
      <c r="AF393" s="79">
        <v>45085.571111111109</v>
      </c>
      <c r="AG393" s="85">
        <v>45085</v>
      </c>
      <c r="AH393" s="81" t="s">
        <v>6216</v>
      </c>
      <c r="AI393" s="77" t="b">
        <v>0</v>
      </c>
      <c r="AJ393" s="77"/>
      <c r="AK393" s="77"/>
      <c r="AL393" s="77"/>
      <c r="AM393" s="77"/>
      <c r="AN393" s="77"/>
      <c r="AO393" s="77"/>
      <c r="AP393" s="77"/>
      <c r="AQ393" s="77" t="s">
        <v>8122</v>
      </c>
      <c r="AR393" s="77"/>
      <c r="AS393" s="77"/>
      <c r="AT393" s="77"/>
      <c r="AU393" s="77"/>
      <c r="AV393" s="83" t="str">
        <f>HYPERLINK("https://pbs.twimg.com/media/FyGsWDZaMAAb2HL.jpg")</f>
        <v>https://pbs.twimg.com/media/FyGsWDZaMAAb2HL.jpg</v>
      </c>
      <c r="AW393" s="81" t="s">
        <v>9663</v>
      </c>
      <c r="AX393" s="81" t="s">
        <v>9663</v>
      </c>
      <c r="AY393" s="77"/>
      <c r="AZ393" s="81" t="s">
        <v>11359</v>
      </c>
      <c r="BA393" s="81" t="s">
        <v>11359</v>
      </c>
      <c r="BB393" s="81" t="s">
        <v>11359</v>
      </c>
      <c r="BC393" s="81" t="s">
        <v>9663</v>
      </c>
      <c r="BD393" s="77">
        <v>378297502</v>
      </c>
      <c r="BE393" s="77"/>
      <c r="BF393" s="77"/>
      <c r="BG393" s="77"/>
      <c r="BH393" s="77"/>
      <c r="BI393" s="77"/>
    </row>
    <row r="394" spans="1:61" x14ac:dyDescent="0.25">
      <c r="A394" s="62" t="s">
        <v>405</v>
      </c>
      <c r="B394" s="62" t="s">
        <v>405</v>
      </c>
      <c r="C394" s="63"/>
      <c r="D394" s="64"/>
      <c r="E394" s="65"/>
      <c r="F394" s="66"/>
      <c r="G394" s="63"/>
      <c r="H394" s="67"/>
      <c r="I394" s="68"/>
      <c r="J394" s="68"/>
      <c r="K394" s="32"/>
      <c r="L394" s="75">
        <v>394</v>
      </c>
      <c r="M394" s="75"/>
      <c r="N394" s="70"/>
      <c r="O394" s="77" t="s">
        <v>179</v>
      </c>
      <c r="P394" s="79">
        <v>45083.506504629629</v>
      </c>
      <c r="Q394" s="77" t="s">
        <v>1342</v>
      </c>
      <c r="R394" s="77">
        <v>0</v>
      </c>
      <c r="S394" s="77">
        <v>0</v>
      </c>
      <c r="T394" s="77">
        <v>0</v>
      </c>
      <c r="U394" s="77">
        <v>0</v>
      </c>
      <c r="V394" s="77">
        <v>48</v>
      </c>
      <c r="W394" s="81" t="s">
        <v>3207</v>
      </c>
      <c r="X394" s="83" t="str">
        <f>HYPERLINK("https://vagassa.blogspot.com/2023/06/colombo-abre-vaga-para-operador-de-loja.html")</f>
        <v>https://vagassa.blogspot.com/2023/06/colombo-abre-vaga-para-operador-de-loja.html</v>
      </c>
      <c r="Y394" s="77" t="s">
        <v>4216</v>
      </c>
      <c r="Z394" s="77"/>
      <c r="AA394" s="77" t="s">
        <v>4620</v>
      </c>
      <c r="AB394" s="77" t="s">
        <v>5794</v>
      </c>
      <c r="AC394" s="81" t="s">
        <v>5805</v>
      </c>
      <c r="AD394" s="77" t="s">
        <v>5850</v>
      </c>
      <c r="AE394" s="83" t="str">
        <f>HYPERLINK("https://twitter.com/vagassa/status/1666054671813804036")</f>
        <v>https://twitter.com/vagassa/status/1666054671813804036</v>
      </c>
      <c r="AF394" s="79">
        <v>45083.506504629629</v>
      </c>
      <c r="AG394" s="85">
        <v>45083</v>
      </c>
      <c r="AH394" s="81" t="s">
        <v>6217</v>
      </c>
      <c r="AI394" s="77" t="b">
        <v>0</v>
      </c>
      <c r="AJ394" s="77"/>
      <c r="AK394" s="77"/>
      <c r="AL394" s="77"/>
      <c r="AM394" s="77"/>
      <c r="AN394" s="77"/>
      <c r="AO394" s="77"/>
      <c r="AP394" s="77"/>
      <c r="AQ394" s="77" t="s">
        <v>8123</v>
      </c>
      <c r="AR394" s="77"/>
      <c r="AS394" s="77"/>
      <c r="AT394" s="77"/>
      <c r="AU394" s="77"/>
      <c r="AV394" s="83" t="str">
        <f>HYPERLINK("https://pbs.twimg.com/media/Fx8D4-AWIAA1jTo.jpg")</f>
        <v>https://pbs.twimg.com/media/Fx8D4-AWIAA1jTo.jpg</v>
      </c>
      <c r="AW394" s="81" t="s">
        <v>9664</v>
      </c>
      <c r="AX394" s="81" t="s">
        <v>9664</v>
      </c>
      <c r="AY394" s="77"/>
      <c r="AZ394" s="81" t="s">
        <v>11359</v>
      </c>
      <c r="BA394" s="81" t="s">
        <v>11359</v>
      </c>
      <c r="BB394" s="81" t="s">
        <v>11359</v>
      </c>
      <c r="BC394" s="81" t="s">
        <v>9664</v>
      </c>
      <c r="BD394" s="77">
        <v>378297502</v>
      </c>
      <c r="BE394" s="77"/>
      <c r="BF394" s="77"/>
      <c r="BG394" s="77"/>
      <c r="BH394" s="77"/>
      <c r="BI394" s="77"/>
    </row>
    <row r="395" spans="1:61" x14ac:dyDescent="0.25">
      <c r="A395" s="62" t="s">
        <v>405</v>
      </c>
      <c r="B395" s="62" t="s">
        <v>405</v>
      </c>
      <c r="C395" s="63"/>
      <c r="D395" s="64"/>
      <c r="E395" s="65"/>
      <c r="F395" s="66"/>
      <c r="G395" s="63"/>
      <c r="H395" s="67"/>
      <c r="I395" s="68"/>
      <c r="J395" s="68"/>
      <c r="K395" s="32"/>
      <c r="L395" s="75">
        <v>395</v>
      </c>
      <c r="M395" s="75"/>
      <c r="N395" s="70"/>
      <c r="O395" s="77" t="s">
        <v>179</v>
      </c>
      <c r="P395" s="79">
        <v>45169.540636574071</v>
      </c>
      <c r="Q395" s="77" t="s">
        <v>1343</v>
      </c>
      <c r="R395" s="77">
        <v>0</v>
      </c>
      <c r="S395" s="77">
        <v>0</v>
      </c>
      <c r="T395" s="77">
        <v>0</v>
      </c>
      <c r="U395" s="77">
        <v>0</v>
      </c>
      <c r="V395" s="77">
        <v>29</v>
      </c>
      <c r="W395" s="81" t="s">
        <v>3208</v>
      </c>
      <c r="X395" s="83" t="str">
        <f>HYPERLINK("https://vagassa.blogspot.com/2023/08/banco-de-oportunidades-tem-706-vagas.html")</f>
        <v>https://vagassa.blogspot.com/2023/08/banco-de-oportunidades-tem-706-vagas.html</v>
      </c>
      <c r="Y395" s="77" t="s">
        <v>4216</v>
      </c>
      <c r="Z395" s="77"/>
      <c r="AA395" s="77" t="s">
        <v>4621</v>
      </c>
      <c r="AB395" s="77" t="s">
        <v>5794</v>
      </c>
      <c r="AC395" s="81" t="s">
        <v>5805</v>
      </c>
      <c r="AD395" s="77" t="s">
        <v>5851</v>
      </c>
      <c r="AE395" s="83" t="str">
        <f>HYPERLINK("https://twitter.com/vagassa/status/1697232399237623879")</f>
        <v>https://twitter.com/vagassa/status/1697232399237623879</v>
      </c>
      <c r="AF395" s="79">
        <v>45169.540636574071</v>
      </c>
      <c r="AG395" s="85">
        <v>45169</v>
      </c>
      <c r="AH395" s="81" t="s">
        <v>6218</v>
      </c>
      <c r="AI395" s="77" t="b">
        <v>0</v>
      </c>
      <c r="AJ395" s="77"/>
      <c r="AK395" s="77"/>
      <c r="AL395" s="77"/>
      <c r="AM395" s="77"/>
      <c r="AN395" s="77"/>
      <c r="AO395" s="77"/>
      <c r="AP395" s="77"/>
      <c r="AQ395" s="77" t="s">
        <v>8124</v>
      </c>
      <c r="AR395" s="77"/>
      <c r="AS395" s="77"/>
      <c r="AT395" s="77"/>
      <c r="AU395" s="77"/>
      <c r="AV395" s="83" t="str">
        <f>HYPERLINK("https://pbs.twimg.com/media/F43HfiqXsAAowLY.jpg")</f>
        <v>https://pbs.twimg.com/media/F43HfiqXsAAowLY.jpg</v>
      </c>
      <c r="AW395" s="81" t="s">
        <v>9665</v>
      </c>
      <c r="AX395" s="81" t="s">
        <v>9665</v>
      </c>
      <c r="AY395" s="77"/>
      <c r="AZ395" s="81" t="s">
        <v>11359</v>
      </c>
      <c r="BA395" s="81" t="s">
        <v>11359</v>
      </c>
      <c r="BB395" s="81" t="s">
        <v>11359</v>
      </c>
      <c r="BC395" s="81" t="s">
        <v>9665</v>
      </c>
      <c r="BD395" s="77">
        <v>378297502</v>
      </c>
      <c r="BE395" s="77"/>
      <c r="BF395" s="77"/>
      <c r="BG395" s="77"/>
      <c r="BH395" s="77"/>
      <c r="BI395" s="77"/>
    </row>
    <row r="396" spans="1:61" x14ac:dyDescent="0.25">
      <c r="A396" s="62" t="s">
        <v>405</v>
      </c>
      <c r="B396" s="62" t="s">
        <v>405</v>
      </c>
      <c r="C396" s="63"/>
      <c r="D396" s="64"/>
      <c r="E396" s="65"/>
      <c r="F396" s="66"/>
      <c r="G396" s="63"/>
      <c r="H396" s="67"/>
      <c r="I396" s="68"/>
      <c r="J396" s="68"/>
      <c r="K396" s="32"/>
      <c r="L396" s="75">
        <v>396</v>
      </c>
      <c r="M396" s="75"/>
      <c r="N396" s="70"/>
      <c r="O396" s="77" t="s">
        <v>179</v>
      </c>
      <c r="P396" s="79">
        <v>45078.507731481484</v>
      </c>
      <c r="Q396" s="77" t="s">
        <v>1344</v>
      </c>
      <c r="R396" s="77">
        <v>0</v>
      </c>
      <c r="S396" s="77">
        <v>0</v>
      </c>
      <c r="T396" s="77">
        <v>0</v>
      </c>
      <c r="U396" s="77">
        <v>0</v>
      </c>
      <c r="V396" s="77">
        <v>45</v>
      </c>
      <c r="W396" s="81" t="s">
        <v>3209</v>
      </c>
      <c r="X396" s="83" t="str">
        <f>HYPERLINK("https://vagassa.blogspot.com/2023/06/tok-abre-vagas-para-vendedor-e.html")</f>
        <v>https://vagassa.blogspot.com/2023/06/tok-abre-vagas-para-vendedor-e.html</v>
      </c>
      <c r="Y396" s="77" t="s">
        <v>4216</v>
      </c>
      <c r="Z396" s="77"/>
      <c r="AA396" s="77" t="s">
        <v>4622</v>
      </c>
      <c r="AB396" s="77" t="s">
        <v>5794</v>
      </c>
      <c r="AC396" s="81" t="s">
        <v>5805</v>
      </c>
      <c r="AD396" s="77" t="s">
        <v>5851</v>
      </c>
      <c r="AE396" s="83" t="str">
        <f>HYPERLINK("https://twitter.com/vagassa/status/1664243176612196354")</f>
        <v>https://twitter.com/vagassa/status/1664243176612196354</v>
      </c>
      <c r="AF396" s="79">
        <v>45078.507731481484</v>
      </c>
      <c r="AG396" s="85">
        <v>45078</v>
      </c>
      <c r="AH396" s="81" t="s">
        <v>6219</v>
      </c>
      <c r="AI396" s="77" t="b">
        <v>0</v>
      </c>
      <c r="AJ396" s="77"/>
      <c r="AK396" s="77"/>
      <c r="AL396" s="77"/>
      <c r="AM396" s="77"/>
      <c r="AN396" s="77"/>
      <c r="AO396" s="77"/>
      <c r="AP396" s="77"/>
      <c r="AQ396" s="77" t="s">
        <v>8125</v>
      </c>
      <c r="AR396" s="77"/>
      <c r="AS396" s="77"/>
      <c r="AT396" s="77"/>
      <c r="AU396" s="77"/>
      <c r="AV396" s="83" t="str">
        <f>HYPERLINK("https://pbs.twimg.com/media/FxiUCBaXsAAxFiy.jpg")</f>
        <v>https://pbs.twimg.com/media/FxiUCBaXsAAxFiy.jpg</v>
      </c>
      <c r="AW396" s="81" t="s">
        <v>9666</v>
      </c>
      <c r="AX396" s="81" t="s">
        <v>9666</v>
      </c>
      <c r="AY396" s="77"/>
      <c r="AZ396" s="81" t="s">
        <v>11359</v>
      </c>
      <c r="BA396" s="81" t="s">
        <v>11359</v>
      </c>
      <c r="BB396" s="81" t="s">
        <v>11359</v>
      </c>
      <c r="BC396" s="81" t="s">
        <v>9666</v>
      </c>
      <c r="BD396" s="77">
        <v>378297502</v>
      </c>
      <c r="BE396" s="77"/>
      <c r="BF396" s="77"/>
      <c r="BG396" s="77"/>
      <c r="BH396" s="77"/>
      <c r="BI396" s="77"/>
    </row>
    <row r="397" spans="1:61" x14ac:dyDescent="0.25">
      <c r="A397" s="62" t="s">
        <v>405</v>
      </c>
      <c r="B397" s="62" t="s">
        <v>405</v>
      </c>
      <c r="C397" s="63"/>
      <c r="D397" s="64"/>
      <c r="E397" s="65"/>
      <c r="F397" s="66"/>
      <c r="G397" s="63"/>
      <c r="H397" s="67"/>
      <c r="I397" s="68"/>
      <c r="J397" s="68"/>
      <c r="K397" s="32"/>
      <c r="L397" s="75">
        <v>397</v>
      </c>
      <c r="M397" s="75"/>
      <c r="N397" s="70"/>
      <c r="O397" s="77" t="s">
        <v>179</v>
      </c>
      <c r="P397" s="79">
        <v>44932.879594907405</v>
      </c>
      <c r="Q397" s="77" t="s">
        <v>1345</v>
      </c>
      <c r="R397" s="77">
        <v>0</v>
      </c>
      <c r="S397" s="77">
        <v>0</v>
      </c>
      <c r="T397" s="77">
        <v>0</v>
      </c>
      <c r="U397" s="77">
        <v>0</v>
      </c>
      <c r="V397" s="77">
        <v>266</v>
      </c>
      <c r="W397" s="81" t="s">
        <v>3210</v>
      </c>
      <c r="X397" s="83" t="str">
        <f>HYPERLINK("https://vagassa.blogspot.com/2023/01/coca-cola-abre-vagas-para-vendedores-em.html")</f>
        <v>https://vagassa.blogspot.com/2023/01/coca-cola-abre-vagas-para-vendedores-em.html</v>
      </c>
      <c r="Y397" s="77" t="s">
        <v>4216</v>
      </c>
      <c r="Z397" s="77"/>
      <c r="AA397" s="77" t="s">
        <v>4623</v>
      </c>
      <c r="AB397" s="77" t="s">
        <v>5794</v>
      </c>
      <c r="AC397" s="81" t="s">
        <v>5805</v>
      </c>
      <c r="AD397" s="77" t="s">
        <v>5851</v>
      </c>
      <c r="AE397" s="83" t="str">
        <f>HYPERLINK("https://twitter.com/vagassa/status/1611469308198109184")</f>
        <v>https://twitter.com/vagassa/status/1611469308198109184</v>
      </c>
      <c r="AF397" s="79">
        <v>44932.879594907405</v>
      </c>
      <c r="AG397" s="85">
        <v>44932</v>
      </c>
      <c r="AH397" s="81" t="s">
        <v>6220</v>
      </c>
      <c r="AI397" s="77" t="b">
        <v>0</v>
      </c>
      <c r="AJ397" s="77"/>
      <c r="AK397" s="77"/>
      <c r="AL397" s="77"/>
      <c r="AM397" s="77"/>
      <c r="AN397" s="77"/>
      <c r="AO397" s="77"/>
      <c r="AP397" s="77"/>
      <c r="AQ397" s="77" t="s">
        <v>8126</v>
      </c>
      <c r="AR397" s="77"/>
      <c r="AS397" s="77"/>
      <c r="AT397" s="77"/>
      <c r="AU397" s="77"/>
      <c r="AV397" s="83" t="str">
        <f>HYPERLINK("https://pbs.twimg.com/media/Fl0Wye7XEAMcVCj.jpg")</f>
        <v>https://pbs.twimg.com/media/Fl0Wye7XEAMcVCj.jpg</v>
      </c>
      <c r="AW397" s="81" t="s">
        <v>9667</v>
      </c>
      <c r="AX397" s="81" t="s">
        <v>9667</v>
      </c>
      <c r="AY397" s="77"/>
      <c r="AZ397" s="81" t="s">
        <v>11359</v>
      </c>
      <c r="BA397" s="81" t="s">
        <v>11359</v>
      </c>
      <c r="BB397" s="81" t="s">
        <v>11359</v>
      </c>
      <c r="BC397" s="81" t="s">
        <v>9667</v>
      </c>
      <c r="BD397" s="77">
        <v>378297502</v>
      </c>
      <c r="BE397" s="77"/>
      <c r="BF397" s="77"/>
      <c r="BG397" s="77"/>
      <c r="BH397" s="77"/>
      <c r="BI397" s="77"/>
    </row>
    <row r="398" spans="1:61" x14ac:dyDescent="0.25">
      <c r="A398" s="62" t="s">
        <v>405</v>
      </c>
      <c r="B398" s="62" t="s">
        <v>405</v>
      </c>
      <c r="C398" s="63"/>
      <c r="D398" s="64"/>
      <c r="E398" s="65"/>
      <c r="F398" s="66"/>
      <c r="G398" s="63"/>
      <c r="H398" s="67"/>
      <c r="I398" s="68"/>
      <c r="J398" s="68"/>
      <c r="K398" s="32"/>
      <c r="L398" s="75">
        <v>398</v>
      </c>
      <c r="M398" s="75"/>
      <c r="N398" s="70"/>
      <c r="O398" s="77" t="s">
        <v>179</v>
      </c>
      <c r="P398" s="79">
        <v>44932.5000462963</v>
      </c>
      <c r="Q398" s="77" t="s">
        <v>1346</v>
      </c>
      <c r="R398" s="77">
        <v>0</v>
      </c>
      <c r="S398" s="77">
        <v>0</v>
      </c>
      <c r="T398" s="77">
        <v>0</v>
      </c>
      <c r="U398" s="77">
        <v>0</v>
      </c>
      <c r="V398" s="77">
        <v>68</v>
      </c>
      <c r="W398" s="81" t="s">
        <v>3211</v>
      </c>
      <c r="X398" s="83" t="str">
        <f>HYPERLINK("https://vagassa.blogspot.com/2023/01/distribuidora-da-nestle-seleciona.html")</f>
        <v>https://vagassa.blogspot.com/2023/01/distribuidora-da-nestle-seleciona.html</v>
      </c>
      <c r="Y398" s="77" t="s">
        <v>4216</v>
      </c>
      <c r="Z398" s="77"/>
      <c r="AA398" s="77" t="s">
        <v>4624</v>
      </c>
      <c r="AB398" s="77" t="s">
        <v>5794</v>
      </c>
      <c r="AC398" s="81" t="s">
        <v>5805</v>
      </c>
      <c r="AD398" s="77" t="s">
        <v>5851</v>
      </c>
      <c r="AE398" s="83" t="str">
        <f>HYPERLINK("https://twitter.com/vagassa/status/1611331765808893953")</f>
        <v>https://twitter.com/vagassa/status/1611331765808893953</v>
      </c>
      <c r="AF398" s="79">
        <v>44932.5000462963</v>
      </c>
      <c r="AG398" s="85">
        <v>44932</v>
      </c>
      <c r="AH398" s="81" t="s">
        <v>6221</v>
      </c>
      <c r="AI398" s="77" t="b">
        <v>0</v>
      </c>
      <c r="AJ398" s="77"/>
      <c r="AK398" s="77"/>
      <c r="AL398" s="77"/>
      <c r="AM398" s="77"/>
      <c r="AN398" s="77"/>
      <c r="AO398" s="77"/>
      <c r="AP398" s="77"/>
      <c r="AQ398" s="77" t="s">
        <v>8127</v>
      </c>
      <c r="AR398" s="77"/>
      <c r="AS398" s="77"/>
      <c r="AT398" s="77"/>
      <c r="AU398" s="77"/>
      <c r="AV398" s="83" t="str">
        <f>HYPERLINK("https://pbs.twimg.com/media/FlyZsmLXgAMGTin.jpg")</f>
        <v>https://pbs.twimg.com/media/FlyZsmLXgAMGTin.jpg</v>
      </c>
      <c r="AW398" s="81" t="s">
        <v>9668</v>
      </c>
      <c r="AX398" s="81" t="s">
        <v>9668</v>
      </c>
      <c r="AY398" s="77"/>
      <c r="AZ398" s="81" t="s">
        <v>11359</v>
      </c>
      <c r="BA398" s="81" t="s">
        <v>11359</v>
      </c>
      <c r="BB398" s="81" t="s">
        <v>11359</v>
      </c>
      <c r="BC398" s="81" t="s">
        <v>9668</v>
      </c>
      <c r="BD398" s="77">
        <v>378297502</v>
      </c>
      <c r="BE398" s="77"/>
      <c r="BF398" s="77"/>
      <c r="BG398" s="77"/>
      <c r="BH398" s="77"/>
      <c r="BI398" s="77"/>
    </row>
    <row r="399" spans="1:61" x14ac:dyDescent="0.25">
      <c r="A399" s="62" t="s">
        <v>405</v>
      </c>
      <c r="B399" s="62" t="s">
        <v>405</v>
      </c>
      <c r="C399" s="63"/>
      <c r="D399" s="64"/>
      <c r="E399" s="65"/>
      <c r="F399" s="66"/>
      <c r="G399" s="63"/>
      <c r="H399" s="67"/>
      <c r="I399" s="68"/>
      <c r="J399" s="68"/>
      <c r="K399" s="32"/>
      <c r="L399" s="75">
        <v>399</v>
      </c>
      <c r="M399" s="75"/>
      <c r="N399" s="70"/>
      <c r="O399" s="77" t="s">
        <v>179</v>
      </c>
      <c r="P399" s="79">
        <v>44928.493773148148</v>
      </c>
      <c r="Q399" s="77" t="s">
        <v>1347</v>
      </c>
      <c r="R399" s="77">
        <v>0</v>
      </c>
      <c r="S399" s="77">
        <v>0</v>
      </c>
      <c r="T399" s="77">
        <v>0</v>
      </c>
      <c r="U399" s="77">
        <v>0</v>
      </c>
      <c r="V399" s="77">
        <v>69</v>
      </c>
      <c r="W399" s="81" t="s">
        <v>3212</v>
      </c>
      <c r="X399" s="83" t="str">
        <f>HYPERLINK("https://vagassa.blogspot.com/2023/01/fruki-abre-vagas-para-auxiliar-de.html")</f>
        <v>https://vagassa.blogspot.com/2023/01/fruki-abre-vagas-para-auxiliar-de.html</v>
      </c>
      <c r="Y399" s="77" t="s">
        <v>4216</v>
      </c>
      <c r="Z399" s="77"/>
      <c r="AA399" s="77" t="s">
        <v>4625</v>
      </c>
      <c r="AB399" s="77" t="s">
        <v>5794</v>
      </c>
      <c r="AC399" s="81" t="s">
        <v>5805</v>
      </c>
      <c r="AD399" s="77" t="s">
        <v>5851</v>
      </c>
      <c r="AE399" s="83" t="str">
        <f>HYPERLINK("https://twitter.com/vagassa/status/1609879940517842944")</f>
        <v>https://twitter.com/vagassa/status/1609879940517842944</v>
      </c>
      <c r="AF399" s="79">
        <v>44928.493773148148</v>
      </c>
      <c r="AG399" s="85">
        <v>44928</v>
      </c>
      <c r="AH399" s="81" t="s">
        <v>6222</v>
      </c>
      <c r="AI399" s="77" t="b">
        <v>0</v>
      </c>
      <c r="AJ399" s="77"/>
      <c r="AK399" s="77"/>
      <c r="AL399" s="77"/>
      <c r="AM399" s="77"/>
      <c r="AN399" s="77"/>
      <c r="AO399" s="77"/>
      <c r="AP399" s="77"/>
      <c r="AQ399" s="77" t="s">
        <v>8128</v>
      </c>
      <c r="AR399" s="77"/>
      <c r="AS399" s="77"/>
      <c r="AT399" s="77"/>
      <c r="AU399" s="77"/>
      <c r="AV399" s="83" t="str">
        <f>HYPERLINK("https://pbs.twimg.com/media/FldxRSVXkAIsOjc.jpg")</f>
        <v>https://pbs.twimg.com/media/FldxRSVXkAIsOjc.jpg</v>
      </c>
      <c r="AW399" s="81" t="s">
        <v>9669</v>
      </c>
      <c r="AX399" s="81" t="s">
        <v>9669</v>
      </c>
      <c r="AY399" s="77"/>
      <c r="AZ399" s="81" t="s">
        <v>11359</v>
      </c>
      <c r="BA399" s="81" t="s">
        <v>11359</v>
      </c>
      <c r="BB399" s="81" t="s">
        <v>11359</v>
      </c>
      <c r="BC399" s="81" t="s">
        <v>9669</v>
      </c>
      <c r="BD399" s="77">
        <v>378297502</v>
      </c>
      <c r="BE399" s="77"/>
      <c r="BF399" s="77"/>
      <c r="BG399" s="77"/>
      <c r="BH399" s="77"/>
      <c r="BI399" s="77"/>
    </row>
    <row r="400" spans="1:61" x14ac:dyDescent="0.25">
      <c r="A400" s="62" t="s">
        <v>406</v>
      </c>
      <c r="B400" s="62" t="s">
        <v>406</v>
      </c>
      <c r="C400" s="63"/>
      <c r="D400" s="64"/>
      <c r="E400" s="65"/>
      <c r="F400" s="66"/>
      <c r="G400" s="63"/>
      <c r="H400" s="67"/>
      <c r="I400" s="68"/>
      <c r="J400" s="68"/>
      <c r="K400" s="32"/>
      <c r="L400" s="75">
        <v>400</v>
      </c>
      <c r="M400" s="75"/>
      <c r="N400" s="70"/>
      <c r="O400" s="77" t="s">
        <v>179</v>
      </c>
      <c r="P400" s="79">
        <v>44949.836840277778</v>
      </c>
      <c r="Q400" s="77" t="s">
        <v>1348</v>
      </c>
      <c r="R400" s="77">
        <v>0</v>
      </c>
      <c r="S400" s="77">
        <v>0</v>
      </c>
      <c r="T400" s="77">
        <v>0</v>
      </c>
      <c r="U400" s="77">
        <v>0</v>
      </c>
      <c r="V400" s="77">
        <v>46</v>
      </c>
      <c r="W400" s="81" t="s">
        <v>3213</v>
      </c>
      <c r="X400" s="77"/>
      <c r="Y400" s="77"/>
      <c r="Z400" s="77"/>
      <c r="AA400" s="77" t="s">
        <v>4626</v>
      </c>
      <c r="AB400" s="77" t="s">
        <v>5797</v>
      </c>
      <c r="AC400" s="81" t="s">
        <v>5808</v>
      </c>
      <c r="AD400" s="77" t="s">
        <v>5851</v>
      </c>
      <c r="AE400" s="83" t="str">
        <f>HYPERLINK("https://twitter.com/asvtech/status/1617614408120733707")</f>
        <v>https://twitter.com/asvtech/status/1617614408120733707</v>
      </c>
      <c r="AF400" s="79">
        <v>44949.836840277778</v>
      </c>
      <c r="AG400" s="85">
        <v>44949</v>
      </c>
      <c r="AH400" s="81" t="s">
        <v>6223</v>
      </c>
      <c r="AI400" s="77" t="b">
        <v>0</v>
      </c>
      <c r="AJ400" s="77"/>
      <c r="AK400" s="77"/>
      <c r="AL400" s="77"/>
      <c r="AM400" s="77"/>
      <c r="AN400" s="77"/>
      <c r="AO400" s="77"/>
      <c r="AP400" s="77"/>
      <c r="AQ400" s="77" t="s">
        <v>8129</v>
      </c>
      <c r="AR400" s="77"/>
      <c r="AS400" s="77"/>
      <c r="AT400" s="77"/>
      <c r="AU400" s="77"/>
      <c r="AV400" s="83" t="str">
        <f>HYPERLINK("https://pbs.twimg.com/media/FnLruyvXECwkhxi.jpg")</f>
        <v>https://pbs.twimg.com/media/FnLruyvXECwkhxi.jpg</v>
      </c>
      <c r="AW400" s="81" t="s">
        <v>9670</v>
      </c>
      <c r="AX400" s="81" t="s">
        <v>9670</v>
      </c>
      <c r="AY400" s="77"/>
      <c r="AZ400" s="81" t="s">
        <v>11359</v>
      </c>
      <c r="BA400" s="81" t="s">
        <v>11359</v>
      </c>
      <c r="BB400" s="81" t="s">
        <v>11359</v>
      </c>
      <c r="BC400" s="81" t="s">
        <v>9670</v>
      </c>
      <c r="BD400" s="81" t="s">
        <v>11493</v>
      </c>
      <c r="BE400" s="77"/>
      <c r="BF400" s="77"/>
      <c r="BG400" s="77"/>
      <c r="BH400" s="77"/>
      <c r="BI400" s="77"/>
    </row>
    <row r="401" spans="1:61" x14ac:dyDescent="0.25">
      <c r="A401" s="62" t="s">
        <v>407</v>
      </c>
      <c r="B401" s="62" t="s">
        <v>407</v>
      </c>
      <c r="C401" s="63"/>
      <c r="D401" s="64"/>
      <c r="E401" s="65"/>
      <c r="F401" s="66"/>
      <c r="G401" s="63"/>
      <c r="H401" s="67"/>
      <c r="I401" s="68"/>
      <c r="J401" s="68"/>
      <c r="K401" s="32"/>
      <c r="L401" s="75">
        <v>401</v>
      </c>
      <c r="M401" s="75"/>
      <c r="N401" s="70"/>
      <c r="O401" s="77" t="s">
        <v>179</v>
      </c>
      <c r="P401" s="79">
        <v>44954.973495370374</v>
      </c>
      <c r="Q401" s="77" t="s">
        <v>1349</v>
      </c>
      <c r="R401" s="77">
        <v>0</v>
      </c>
      <c r="S401" s="77">
        <v>0</v>
      </c>
      <c r="T401" s="77">
        <v>0</v>
      </c>
      <c r="U401" s="77">
        <v>0</v>
      </c>
      <c r="V401" s="77">
        <v>10</v>
      </c>
      <c r="W401" s="81" t="s">
        <v>2947</v>
      </c>
      <c r="X401" s="77"/>
      <c r="Y401" s="77"/>
      <c r="Z401" s="77"/>
      <c r="AA401" s="77"/>
      <c r="AB401" s="77"/>
      <c r="AC401" s="81" t="s">
        <v>5803</v>
      </c>
      <c r="AD401" s="77" t="s">
        <v>5851</v>
      </c>
      <c r="AE401" s="83" t="str">
        <f>HYPERLINK("https://twitter.com/tobiasbrosas/status/1619475872075104256")</f>
        <v>https://twitter.com/tobiasbrosas/status/1619475872075104256</v>
      </c>
      <c r="AF401" s="79">
        <v>44954.973495370374</v>
      </c>
      <c r="AG401" s="85">
        <v>44954</v>
      </c>
      <c r="AH401" s="81" t="s">
        <v>6224</v>
      </c>
      <c r="AI401" s="77"/>
      <c r="AJ401" s="77"/>
      <c r="AK401" s="77"/>
      <c r="AL401" s="77"/>
      <c r="AM401" s="77"/>
      <c r="AN401" s="77"/>
      <c r="AO401" s="77"/>
      <c r="AP401" s="77"/>
      <c r="AQ401" s="77"/>
      <c r="AR401" s="77"/>
      <c r="AS401" s="77"/>
      <c r="AT401" s="77"/>
      <c r="AU401" s="77"/>
      <c r="AV401" s="83" t="str">
        <f>HYPERLINK("https://pbs.twimg.com/profile_images/1659701718714654721/Ad4eg1YR_normal.jpg")</f>
        <v>https://pbs.twimg.com/profile_images/1659701718714654721/Ad4eg1YR_normal.jpg</v>
      </c>
      <c r="AW401" s="81" t="s">
        <v>9671</v>
      </c>
      <c r="AX401" s="81" t="s">
        <v>9671</v>
      </c>
      <c r="AY401" s="77"/>
      <c r="AZ401" s="81" t="s">
        <v>11359</v>
      </c>
      <c r="BA401" s="81" t="s">
        <v>11359</v>
      </c>
      <c r="BB401" s="81" t="s">
        <v>11359</v>
      </c>
      <c r="BC401" s="81" t="s">
        <v>9671</v>
      </c>
      <c r="BD401" s="81" t="s">
        <v>11494</v>
      </c>
      <c r="BE401" s="77"/>
      <c r="BF401" s="77"/>
      <c r="BG401" s="77"/>
      <c r="BH401" s="77"/>
      <c r="BI401" s="77"/>
    </row>
    <row r="402" spans="1:61" x14ac:dyDescent="0.25">
      <c r="A402" s="62" t="s">
        <v>408</v>
      </c>
      <c r="B402" s="62" t="s">
        <v>408</v>
      </c>
      <c r="C402" s="63"/>
      <c r="D402" s="64"/>
      <c r="E402" s="65"/>
      <c r="F402" s="66"/>
      <c r="G402" s="63"/>
      <c r="H402" s="67"/>
      <c r="I402" s="68"/>
      <c r="J402" s="68"/>
      <c r="K402" s="32"/>
      <c r="L402" s="75">
        <v>402</v>
      </c>
      <c r="M402" s="75"/>
      <c r="N402" s="70"/>
      <c r="O402" s="77" t="s">
        <v>179</v>
      </c>
      <c r="P402" s="79">
        <v>45167.681203703702</v>
      </c>
      <c r="Q402" s="77" t="s">
        <v>1350</v>
      </c>
      <c r="R402" s="77">
        <v>0</v>
      </c>
      <c r="S402" s="77">
        <v>0</v>
      </c>
      <c r="T402" s="77">
        <v>0</v>
      </c>
      <c r="U402" s="77">
        <v>0</v>
      </c>
      <c r="V402" s="77">
        <v>47</v>
      </c>
      <c r="W402" s="81" t="s">
        <v>3214</v>
      </c>
      <c r="X402" s="83" t="str">
        <f>HYPERLINK("https://www.visaooeste.com.br/pat-santana-de-parnaiba-realiza-processo-seletivo-para-auxiliar-de-logistica-e-vendedor-nesta-quarta-feira-30/")</f>
        <v>https://www.visaooeste.com.br/pat-santana-de-parnaiba-realiza-processo-seletivo-para-auxiliar-de-logistica-e-vendedor-nesta-quarta-feira-30/</v>
      </c>
      <c r="Y402" s="77" t="s">
        <v>4223</v>
      </c>
      <c r="Z402" s="77"/>
      <c r="AA402" s="77"/>
      <c r="AB402" s="77"/>
      <c r="AC402" s="81" t="s">
        <v>5827</v>
      </c>
      <c r="AD402" s="77" t="s">
        <v>5851</v>
      </c>
      <c r="AE402" s="83" t="str">
        <f>HYPERLINK("https://twitter.com/visaooeste/status/1696558564272230471")</f>
        <v>https://twitter.com/visaooeste/status/1696558564272230471</v>
      </c>
      <c r="AF402" s="79">
        <v>45167.681203703702</v>
      </c>
      <c r="AG402" s="85">
        <v>45167</v>
      </c>
      <c r="AH402" s="81" t="s">
        <v>6225</v>
      </c>
      <c r="AI402" s="77" t="b">
        <v>0</v>
      </c>
      <c r="AJ402" s="77"/>
      <c r="AK402" s="77"/>
      <c r="AL402" s="77"/>
      <c r="AM402" s="77"/>
      <c r="AN402" s="77"/>
      <c r="AO402" s="77"/>
      <c r="AP402" s="77"/>
      <c r="AQ402" s="77"/>
      <c r="AR402" s="77"/>
      <c r="AS402" s="77"/>
      <c r="AT402" s="77"/>
      <c r="AU402" s="77"/>
      <c r="AV402" s="83" t="str">
        <f>HYPERLINK("https://pbs.twimg.com/profile_images/1274497370768781312/_rUvEX6j_normal.png")</f>
        <v>https://pbs.twimg.com/profile_images/1274497370768781312/_rUvEX6j_normal.png</v>
      </c>
      <c r="AW402" s="81" t="s">
        <v>9672</v>
      </c>
      <c r="AX402" s="81" t="s">
        <v>9672</v>
      </c>
      <c r="AY402" s="77"/>
      <c r="AZ402" s="81" t="s">
        <v>11359</v>
      </c>
      <c r="BA402" s="81" t="s">
        <v>11359</v>
      </c>
      <c r="BB402" s="81" t="s">
        <v>11359</v>
      </c>
      <c r="BC402" s="81" t="s">
        <v>9672</v>
      </c>
      <c r="BD402" s="77">
        <v>39816068</v>
      </c>
      <c r="BE402" s="77"/>
      <c r="BF402" s="77"/>
      <c r="BG402" s="77"/>
      <c r="BH402" s="77"/>
      <c r="BI402" s="77"/>
    </row>
    <row r="403" spans="1:61" x14ac:dyDescent="0.25">
      <c r="A403" s="62" t="s">
        <v>409</v>
      </c>
      <c r="B403" s="62" t="s">
        <v>409</v>
      </c>
      <c r="C403" s="63"/>
      <c r="D403" s="64"/>
      <c r="E403" s="65"/>
      <c r="F403" s="66"/>
      <c r="G403" s="63"/>
      <c r="H403" s="67"/>
      <c r="I403" s="68"/>
      <c r="J403" s="68"/>
      <c r="K403" s="32"/>
      <c r="L403" s="75">
        <v>403</v>
      </c>
      <c r="M403" s="75"/>
      <c r="N403" s="70"/>
      <c r="O403" s="77" t="s">
        <v>179</v>
      </c>
      <c r="P403" s="79">
        <v>45120.843599537038</v>
      </c>
      <c r="Q403" s="77" t="s">
        <v>1351</v>
      </c>
      <c r="R403" s="77">
        <v>0</v>
      </c>
      <c r="S403" s="77">
        <v>0</v>
      </c>
      <c r="T403" s="77">
        <v>0</v>
      </c>
      <c r="U403" s="77">
        <v>0</v>
      </c>
      <c r="V403" s="77">
        <v>369</v>
      </c>
      <c r="W403" s="81" t="s">
        <v>3215</v>
      </c>
      <c r="X403" s="77"/>
      <c r="Y403" s="77"/>
      <c r="Z403" s="77"/>
      <c r="AA403" s="77" t="s">
        <v>4627</v>
      </c>
      <c r="AB403" s="77" t="s">
        <v>5795</v>
      </c>
      <c r="AC403" s="81" t="s">
        <v>5805</v>
      </c>
      <c r="AD403" s="77" t="s">
        <v>5851</v>
      </c>
      <c r="AE403" s="83" t="str">
        <f>HYPERLINK("https://twitter.com/nalvesadvocacia/status/1679585182293143552")</f>
        <v>https://twitter.com/nalvesadvocacia/status/1679585182293143552</v>
      </c>
      <c r="AF403" s="79">
        <v>45120.843599537038</v>
      </c>
      <c r="AG403" s="85">
        <v>45120</v>
      </c>
      <c r="AH403" s="81" t="s">
        <v>6226</v>
      </c>
      <c r="AI403" s="77" t="b">
        <v>0</v>
      </c>
      <c r="AJ403" s="77"/>
      <c r="AK403" s="77"/>
      <c r="AL403" s="77"/>
      <c r="AM403" s="77"/>
      <c r="AN403" s="77"/>
      <c r="AO403" s="77"/>
      <c r="AP403" s="77"/>
      <c r="AQ403" s="77" t="s">
        <v>8130</v>
      </c>
      <c r="AR403" s="77">
        <v>56000</v>
      </c>
      <c r="AS403" s="77"/>
      <c r="AT403" s="77"/>
      <c r="AU403" s="77"/>
      <c r="AV403" s="83" t="str">
        <f>HYPERLINK("https://pbs.twimg.com/ext_tw_video_thumb/1679583739435794436/pu/img/H2NCIkNNA_G3gOwQ.jpg")</f>
        <v>https://pbs.twimg.com/ext_tw_video_thumb/1679583739435794436/pu/img/H2NCIkNNA_G3gOwQ.jpg</v>
      </c>
      <c r="AW403" s="81" t="s">
        <v>9673</v>
      </c>
      <c r="AX403" s="81" t="s">
        <v>9673</v>
      </c>
      <c r="AY403" s="77"/>
      <c r="AZ403" s="81" t="s">
        <v>11359</v>
      </c>
      <c r="BA403" s="81" t="s">
        <v>11359</v>
      </c>
      <c r="BB403" s="81" t="s">
        <v>11359</v>
      </c>
      <c r="BC403" s="81" t="s">
        <v>9673</v>
      </c>
      <c r="BD403" s="81" t="s">
        <v>11495</v>
      </c>
      <c r="BE403" s="77"/>
      <c r="BF403" s="77"/>
      <c r="BG403" s="77"/>
      <c r="BH403" s="77"/>
      <c r="BI403" s="77"/>
    </row>
    <row r="404" spans="1:61" x14ac:dyDescent="0.25">
      <c r="A404" s="62" t="s">
        <v>410</v>
      </c>
      <c r="B404" s="62" t="s">
        <v>410</v>
      </c>
      <c r="C404" s="63"/>
      <c r="D404" s="64"/>
      <c r="E404" s="65"/>
      <c r="F404" s="66"/>
      <c r="G404" s="63"/>
      <c r="H404" s="67"/>
      <c r="I404" s="68"/>
      <c r="J404" s="68"/>
      <c r="K404" s="32"/>
      <c r="L404" s="75">
        <v>404</v>
      </c>
      <c r="M404" s="75"/>
      <c r="N404" s="70"/>
      <c r="O404" s="77" t="s">
        <v>179</v>
      </c>
      <c r="P404" s="79">
        <v>45079.478159722225</v>
      </c>
      <c r="Q404" s="77" t="s">
        <v>1352</v>
      </c>
      <c r="R404" s="77">
        <v>0</v>
      </c>
      <c r="S404" s="77">
        <v>0</v>
      </c>
      <c r="T404" s="77">
        <v>0</v>
      </c>
      <c r="U404" s="77">
        <v>0</v>
      </c>
      <c r="V404" s="77">
        <v>16</v>
      </c>
      <c r="W404" s="81" t="s">
        <v>3216</v>
      </c>
      <c r="X404" s="83" t="str">
        <f>HYPERLINK("https://www.infojobs.net/employer/view-offer/index.xhtml?of_codigo=d1892973f44333ad1beec22fe71e56&amp;dgv=5442147918508833700")</f>
        <v>https://www.infojobs.net/employer/view-offer/index.xhtml?of_codigo=d1892973f44333ad1beec22fe71e56&amp;dgv=5442147918508833700</v>
      </c>
      <c r="Y404" s="77" t="s">
        <v>4260</v>
      </c>
      <c r="Z404" s="77"/>
      <c r="AA404" s="77"/>
      <c r="AB404" s="77"/>
      <c r="AC404" s="81" t="s">
        <v>5805</v>
      </c>
      <c r="AD404" s="77" t="s">
        <v>5850</v>
      </c>
      <c r="AE404" s="83" t="str">
        <f>HYPERLINK("https://twitter.com/moblescanbarato/status/1664594847733358594")</f>
        <v>https://twitter.com/moblescanbarato/status/1664594847733358594</v>
      </c>
      <c r="AF404" s="79">
        <v>45079.478159722225</v>
      </c>
      <c r="AG404" s="85">
        <v>45079</v>
      </c>
      <c r="AH404" s="81" t="s">
        <v>6227</v>
      </c>
      <c r="AI404" s="77" t="b">
        <v>0</v>
      </c>
      <c r="AJ404" s="77"/>
      <c r="AK404" s="77"/>
      <c r="AL404" s="77"/>
      <c r="AM404" s="77"/>
      <c r="AN404" s="77"/>
      <c r="AO404" s="77"/>
      <c r="AP404" s="77"/>
      <c r="AQ404" s="77"/>
      <c r="AR404" s="77"/>
      <c r="AS404" s="77"/>
      <c r="AT404" s="77"/>
      <c r="AU404" s="77"/>
      <c r="AV404" s="83" t="str">
        <f>HYPERLINK("https://pbs.twimg.com/profile_images/862237947495690240/cAJZarj__normal.jpg")</f>
        <v>https://pbs.twimg.com/profile_images/862237947495690240/cAJZarj__normal.jpg</v>
      </c>
      <c r="AW404" s="81" t="s">
        <v>9674</v>
      </c>
      <c r="AX404" s="81" t="s">
        <v>9674</v>
      </c>
      <c r="AY404" s="77"/>
      <c r="AZ404" s="81" t="s">
        <v>11359</v>
      </c>
      <c r="BA404" s="81" t="s">
        <v>11359</v>
      </c>
      <c r="BB404" s="81" t="s">
        <v>11359</v>
      </c>
      <c r="BC404" s="81" t="s">
        <v>9674</v>
      </c>
      <c r="BD404" s="81" t="s">
        <v>11496</v>
      </c>
      <c r="BE404" s="77"/>
      <c r="BF404" s="77"/>
      <c r="BG404" s="77"/>
      <c r="BH404" s="77"/>
      <c r="BI404" s="77"/>
    </row>
    <row r="405" spans="1:61" x14ac:dyDescent="0.25">
      <c r="A405" s="62" t="s">
        <v>411</v>
      </c>
      <c r="B405" s="62" t="s">
        <v>411</v>
      </c>
      <c r="C405" s="63"/>
      <c r="D405" s="64"/>
      <c r="E405" s="65"/>
      <c r="F405" s="66"/>
      <c r="G405" s="63"/>
      <c r="H405" s="67"/>
      <c r="I405" s="68"/>
      <c r="J405" s="68"/>
      <c r="K405" s="32"/>
      <c r="L405" s="75">
        <v>405</v>
      </c>
      <c r="M405" s="75"/>
      <c r="N405" s="70"/>
      <c r="O405" s="77" t="s">
        <v>179</v>
      </c>
      <c r="P405" s="79">
        <v>45141.8125</v>
      </c>
      <c r="Q405" s="77" t="s">
        <v>1353</v>
      </c>
      <c r="R405" s="77">
        <v>1</v>
      </c>
      <c r="S405" s="77">
        <v>1</v>
      </c>
      <c r="T405" s="77">
        <v>0</v>
      </c>
      <c r="U405" s="77">
        <v>0</v>
      </c>
      <c r="V405" s="77">
        <v>847</v>
      </c>
      <c r="W405" s="81" t="s">
        <v>3217</v>
      </c>
      <c r="X405" s="83" t="str">
        <f>HYPERLINK("https://mendozantigua.blogspot.com/2023/08/vendedor-callejero-ofreciendo-al.html")</f>
        <v>https://mendozantigua.blogspot.com/2023/08/vendedor-callejero-ofreciendo-al.html</v>
      </c>
      <c r="Y405" s="77" t="s">
        <v>4216</v>
      </c>
      <c r="Z405" s="77"/>
      <c r="AA405" s="77" t="s">
        <v>4628</v>
      </c>
      <c r="AB405" s="77" t="s">
        <v>5794</v>
      </c>
      <c r="AC405" s="81" t="s">
        <v>5805</v>
      </c>
      <c r="AD405" s="77" t="s">
        <v>5850</v>
      </c>
      <c r="AE405" s="83" t="str">
        <f>HYPERLINK("https://twitter.com/mendozantigua/status/1687184057598398464")</f>
        <v>https://twitter.com/mendozantigua/status/1687184057598398464</v>
      </c>
      <c r="AF405" s="79">
        <v>45141.8125</v>
      </c>
      <c r="AG405" s="85">
        <v>45141</v>
      </c>
      <c r="AH405" s="81" t="s">
        <v>6228</v>
      </c>
      <c r="AI405" s="77" t="b">
        <v>0</v>
      </c>
      <c r="AJ405" s="77"/>
      <c r="AK405" s="77"/>
      <c r="AL405" s="77"/>
      <c r="AM405" s="77"/>
      <c r="AN405" s="77"/>
      <c r="AO405" s="77"/>
      <c r="AP405" s="77"/>
      <c r="AQ405" s="77" t="s">
        <v>8131</v>
      </c>
      <c r="AR405" s="77"/>
      <c r="AS405" s="77"/>
      <c r="AT405" s="77"/>
      <c r="AU405" s="77"/>
      <c r="AV405" s="83" t="str">
        <f>HYPERLINK("https://pbs.twimg.com/media/F2nKyCNboAIUez0.jpg")</f>
        <v>https://pbs.twimg.com/media/F2nKyCNboAIUez0.jpg</v>
      </c>
      <c r="AW405" s="81" t="s">
        <v>9675</v>
      </c>
      <c r="AX405" s="81" t="s">
        <v>9675</v>
      </c>
      <c r="AY405" s="77"/>
      <c r="AZ405" s="81" t="s">
        <v>11359</v>
      </c>
      <c r="BA405" s="81" t="s">
        <v>11359</v>
      </c>
      <c r="BB405" s="81" t="s">
        <v>11359</v>
      </c>
      <c r="BC405" s="81" t="s">
        <v>9675</v>
      </c>
      <c r="BD405" s="77">
        <v>864623726</v>
      </c>
      <c r="BE405" s="77"/>
      <c r="BF405" s="77"/>
      <c r="BG405" s="77"/>
      <c r="BH405" s="77"/>
      <c r="BI405" s="77"/>
    </row>
    <row r="406" spans="1:61" x14ac:dyDescent="0.25">
      <c r="A406" s="62" t="s">
        <v>412</v>
      </c>
      <c r="B406" s="62" t="s">
        <v>412</v>
      </c>
      <c r="C406" s="63"/>
      <c r="D406" s="64"/>
      <c r="E406" s="65"/>
      <c r="F406" s="66"/>
      <c r="G406" s="63"/>
      <c r="H406" s="67"/>
      <c r="I406" s="68"/>
      <c r="J406" s="68"/>
      <c r="K406" s="32"/>
      <c r="L406" s="75">
        <v>406</v>
      </c>
      <c r="M406" s="75"/>
      <c r="N406" s="70"/>
      <c r="O406" s="77" t="s">
        <v>179</v>
      </c>
      <c r="P406" s="79">
        <v>45196.750057870369</v>
      </c>
      <c r="Q406" s="77" t="s">
        <v>1354</v>
      </c>
      <c r="R406" s="77">
        <v>0</v>
      </c>
      <c r="S406" s="77">
        <v>1</v>
      </c>
      <c r="T406" s="77">
        <v>0</v>
      </c>
      <c r="U406" s="77">
        <v>0</v>
      </c>
      <c r="V406" s="77">
        <v>24</v>
      </c>
      <c r="W406" s="81" t="s">
        <v>3218</v>
      </c>
      <c r="X406" s="77"/>
      <c r="Y406" s="77"/>
      <c r="Z406" s="77"/>
      <c r="AA406" s="77" t="s">
        <v>4629</v>
      </c>
      <c r="AB406" s="77" t="s">
        <v>5795</v>
      </c>
      <c r="AC406" s="81" t="s">
        <v>5803</v>
      </c>
      <c r="AD406" s="77" t="s">
        <v>5850</v>
      </c>
      <c r="AE406" s="83" t="str">
        <f>HYPERLINK("https://twitter.com/aperfin/status/1707092763387232530")</f>
        <v>https://twitter.com/aperfin/status/1707092763387232530</v>
      </c>
      <c r="AF406" s="79">
        <v>45196.750057870369</v>
      </c>
      <c r="AG406" s="85">
        <v>45196</v>
      </c>
      <c r="AH406" s="81" t="s">
        <v>6229</v>
      </c>
      <c r="AI406" s="77" t="b">
        <v>0</v>
      </c>
      <c r="AJ406" s="77" t="s">
        <v>7739</v>
      </c>
      <c r="AK406" s="77" t="s">
        <v>7767</v>
      </c>
      <c r="AL406" s="77" t="s">
        <v>7776</v>
      </c>
      <c r="AM406" s="77" t="s">
        <v>7793</v>
      </c>
      <c r="AN406" s="77" t="s">
        <v>7829</v>
      </c>
      <c r="AO406" s="77" t="s">
        <v>7865</v>
      </c>
      <c r="AP406" s="77" t="s">
        <v>7889</v>
      </c>
      <c r="AQ406" s="77" t="s">
        <v>8132</v>
      </c>
      <c r="AR406" s="77">
        <v>140006</v>
      </c>
      <c r="AS406" s="77"/>
      <c r="AT406" s="77"/>
      <c r="AU406" s="77"/>
      <c r="AV406" s="83" t="str">
        <f>HYPERLINK("https://pbs.twimg.com/ext_tw_video_thumb/1707092594352619520/pu/img/U3JKPQP64o0LVl9o.jpg")</f>
        <v>https://pbs.twimg.com/ext_tw_video_thumb/1707092594352619520/pu/img/U3JKPQP64o0LVl9o.jpg</v>
      </c>
      <c r="AW406" s="81" t="s">
        <v>9676</v>
      </c>
      <c r="AX406" s="81" t="s">
        <v>9676</v>
      </c>
      <c r="AY406" s="77"/>
      <c r="AZ406" s="81" t="s">
        <v>11359</v>
      </c>
      <c r="BA406" s="81" t="s">
        <v>11359</v>
      </c>
      <c r="BB406" s="81" t="s">
        <v>11359</v>
      </c>
      <c r="BC406" s="81" t="s">
        <v>9676</v>
      </c>
      <c r="BD406" s="77">
        <v>72071626</v>
      </c>
      <c r="BE406" s="77"/>
      <c r="BF406" s="77"/>
      <c r="BG406" s="77"/>
      <c r="BH406" s="77"/>
      <c r="BI406" s="77"/>
    </row>
    <row r="407" spans="1:61" x14ac:dyDescent="0.25">
      <c r="A407" s="62" t="s">
        <v>413</v>
      </c>
      <c r="B407" s="62" t="s">
        <v>903</v>
      </c>
      <c r="C407" s="63"/>
      <c r="D407" s="64"/>
      <c r="E407" s="65"/>
      <c r="F407" s="66"/>
      <c r="G407" s="63"/>
      <c r="H407" s="67"/>
      <c r="I407" s="68"/>
      <c r="J407" s="68"/>
      <c r="K407" s="32"/>
      <c r="L407" s="75">
        <v>407</v>
      </c>
      <c r="M407" s="75"/>
      <c r="N407" s="70"/>
      <c r="O407" s="77" t="s">
        <v>967</v>
      </c>
      <c r="P407" s="79">
        <v>45125.604768518519</v>
      </c>
      <c r="Q407" s="77" t="s">
        <v>1355</v>
      </c>
      <c r="R407" s="77">
        <v>0</v>
      </c>
      <c r="S407" s="77">
        <v>0</v>
      </c>
      <c r="T407" s="77">
        <v>0</v>
      </c>
      <c r="U407" s="77">
        <v>0</v>
      </c>
      <c r="V407" s="77">
        <v>7</v>
      </c>
      <c r="W407" s="81" t="s">
        <v>3219</v>
      </c>
      <c r="X407" s="77"/>
      <c r="Y407" s="77"/>
      <c r="Z407" s="77" t="s">
        <v>903</v>
      </c>
      <c r="AA407" s="77" t="s">
        <v>4630</v>
      </c>
      <c r="AB407" s="77" t="s">
        <v>5794</v>
      </c>
      <c r="AC407" s="81" t="s">
        <v>5801</v>
      </c>
      <c r="AD407" s="77" t="s">
        <v>5851</v>
      </c>
      <c r="AE407" s="83" t="str">
        <f>HYPERLINK("https://twitter.com/vtgsolar/status/1681310574796484617")</f>
        <v>https://twitter.com/vtgsolar/status/1681310574796484617</v>
      </c>
      <c r="AF407" s="79">
        <v>45125.604768518519</v>
      </c>
      <c r="AG407" s="85">
        <v>45125</v>
      </c>
      <c r="AH407" s="81" t="s">
        <v>6230</v>
      </c>
      <c r="AI407" s="77" t="b">
        <v>0</v>
      </c>
      <c r="AJ407" s="77"/>
      <c r="AK407" s="77"/>
      <c r="AL407" s="77"/>
      <c r="AM407" s="77"/>
      <c r="AN407" s="77"/>
      <c r="AO407" s="77"/>
      <c r="AP407" s="77"/>
      <c r="AQ407" s="77" t="s">
        <v>8133</v>
      </c>
      <c r="AR407" s="77"/>
      <c r="AS407" s="77"/>
      <c r="AT407" s="77"/>
      <c r="AU407" s="77"/>
      <c r="AV407" s="83" t="str">
        <f>HYPERLINK("https://pbs.twimg.com/media/F1U3DqCaUAA6DsX.jpg")</f>
        <v>https://pbs.twimg.com/media/F1U3DqCaUAA6DsX.jpg</v>
      </c>
      <c r="AW407" s="81" t="s">
        <v>9677</v>
      </c>
      <c r="AX407" s="81" t="s">
        <v>9677</v>
      </c>
      <c r="AY407" s="77"/>
      <c r="AZ407" s="81" t="s">
        <v>11359</v>
      </c>
      <c r="BA407" s="81" t="s">
        <v>11359</v>
      </c>
      <c r="BB407" s="81" t="s">
        <v>11359</v>
      </c>
      <c r="BC407" s="81" t="s">
        <v>9677</v>
      </c>
      <c r="BD407" s="81" t="s">
        <v>11497</v>
      </c>
      <c r="BE407" s="77"/>
      <c r="BF407" s="77"/>
      <c r="BG407" s="77"/>
      <c r="BH407" s="77"/>
      <c r="BI407" s="77"/>
    </row>
    <row r="408" spans="1:61" x14ac:dyDescent="0.25">
      <c r="A408" s="62" t="s">
        <v>414</v>
      </c>
      <c r="B408" s="62" t="s">
        <v>414</v>
      </c>
      <c r="C408" s="63"/>
      <c r="D408" s="64"/>
      <c r="E408" s="65"/>
      <c r="F408" s="66"/>
      <c r="G408" s="63"/>
      <c r="H408" s="67"/>
      <c r="I408" s="68"/>
      <c r="J408" s="68"/>
      <c r="K408" s="32"/>
      <c r="L408" s="75">
        <v>408</v>
      </c>
      <c r="M408" s="75"/>
      <c r="N408" s="70"/>
      <c r="O408" s="77" t="s">
        <v>179</v>
      </c>
      <c r="P408" s="79">
        <v>45006.895960648151</v>
      </c>
      <c r="Q408" s="77" t="s">
        <v>1356</v>
      </c>
      <c r="R408" s="77">
        <v>0</v>
      </c>
      <c r="S408" s="77">
        <v>0</v>
      </c>
      <c r="T408" s="77">
        <v>0</v>
      </c>
      <c r="U408" s="77">
        <v>0</v>
      </c>
      <c r="V408" s="77">
        <v>11</v>
      </c>
      <c r="W408" s="81" t="s">
        <v>3220</v>
      </c>
      <c r="X408" s="83" t="str">
        <f>HYPERLINK("https://bit.ly/3Za9ZEl")</f>
        <v>https://bit.ly/3Za9ZEl</v>
      </c>
      <c r="Y408" s="77" t="s">
        <v>4213</v>
      </c>
      <c r="Z408" s="77"/>
      <c r="AA408" s="77" t="s">
        <v>4631</v>
      </c>
      <c r="AB408" s="77" t="s">
        <v>5794</v>
      </c>
      <c r="AC408" s="81" t="s">
        <v>5802</v>
      </c>
      <c r="AD408" s="77" t="s">
        <v>5850</v>
      </c>
      <c r="AE408" s="83" t="str">
        <f>HYPERLINK("https://twitter.com/empleocerca/status/1638291940746711040")</f>
        <v>https://twitter.com/empleocerca/status/1638291940746711040</v>
      </c>
      <c r="AF408" s="79">
        <v>45006.895960648151</v>
      </c>
      <c r="AG408" s="85">
        <v>45006</v>
      </c>
      <c r="AH408" s="81" t="s">
        <v>6231</v>
      </c>
      <c r="AI408" s="77" t="b">
        <v>0</v>
      </c>
      <c r="AJ408" s="77"/>
      <c r="AK408" s="77"/>
      <c r="AL408" s="77"/>
      <c r="AM408" s="77"/>
      <c r="AN408" s="77"/>
      <c r="AO408" s="77"/>
      <c r="AP408" s="77"/>
      <c r="AQ408" s="77" t="s">
        <v>8134</v>
      </c>
      <c r="AR408" s="77"/>
      <c r="AS408" s="77"/>
      <c r="AT408" s="77"/>
      <c r="AU408" s="77"/>
      <c r="AV408" s="83" t="str">
        <f>HYPERLINK("https://pbs.twimg.com/media/Frxh1nyWAAATUeV.jpg")</f>
        <v>https://pbs.twimg.com/media/Frxh1nyWAAATUeV.jpg</v>
      </c>
      <c r="AW408" s="81" t="s">
        <v>9678</v>
      </c>
      <c r="AX408" s="81" t="s">
        <v>9678</v>
      </c>
      <c r="AY408" s="77"/>
      <c r="AZ408" s="81" t="s">
        <v>11359</v>
      </c>
      <c r="BA408" s="81" t="s">
        <v>11359</v>
      </c>
      <c r="BB408" s="81" t="s">
        <v>11359</v>
      </c>
      <c r="BC408" s="81" t="s">
        <v>9678</v>
      </c>
      <c r="BD408" s="81" t="s">
        <v>11498</v>
      </c>
      <c r="BE408" s="77"/>
      <c r="BF408" s="77"/>
      <c r="BG408" s="77"/>
      <c r="BH408" s="77"/>
      <c r="BI408" s="77"/>
    </row>
    <row r="409" spans="1:61" x14ac:dyDescent="0.25">
      <c r="A409" s="62" t="s">
        <v>414</v>
      </c>
      <c r="B409" s="62" t="s">
        <v>414</v>
      </c>
      <c r="C409" s="63"/>
      <c r="D409" s="64"/>
      <c r="E409" s="65"/>
      <c r="F409" s="66"/>
      <c r="G409" s="63"/>
      <c r="H409" s="67"/>
      <c r="I409" s="68"/>
      <c r="J409" s="68"/>
      <c r="K409" s="32"/>
      <c r="L409" s="75">
        <v>409</v>
      </c>
      <c r="M409" s="75"/>
      <c r="N409" s="70"/>
      <c r="O409" s="77" t="s">
        <v>179</v>
      </c>
      <c r="P409" s="79">
        <v>45006.895949074074</v>
      </c>
      <c r="Q409" s="77" t="s">
        <v>1357</v>
      </c>
      <c r="R409" s="77">
        <v>0</v>
      </c>
      <c r="S409" s="77">
        <v>0</v>
      </c>
      <c r="T409" s="77">
        <v>0</v>
      </c>
      <c r="U409" s="77">
        <v>0</v>
      </c>
      <c r="V409" s="77">
        <v>8</v>
      </c>
      <c r="W409" s="81" t="s">
        <v>3220</v>
      </c>
      <c r="X409" s="83" t="str">
        <f>HYPERLINK("https://bit.ly/3Za9ZEl")</f>
        <v>https://bit.ly/3Za9ZEl</v>
      </c>
      <c r="Y409" s="77" t="s">
        <v>4213</v>
      </c>
      <c r="Z409" s="77"/>
      <c r="AA409" s="77" t="s">
        <v>4632</v>
      </c>
      <c r="AB409" s="77" t="s">
        <v>5794</v>
      </c>
      <c r="AC409" s="81" t="s">
        <v>5802</v>
      </c>
      <c r="AD409" s="77" t="s">
        <v>5850</v>
      </c>
      <c r="AE409" s="83" t="str">
        <f>HYPERLINK("https://twitter.com/empleocerca/status/1638291938406178816")</f>
        <v>https://twitter.com/empleocerca/status/1638291938406178816</v>
      </c>
      <c r="AF409" s="79">
        <v>45006.895949074074</v>
      </c>
      <c r="AG409" s="85">
        <v>45006</v>
      </c>
      <c r="AH409" s="81" t="s">
        <v>6232</v>
      </c>
      <c r="AI409" s="77" t="b">
        <v>0</v>
      </c>
      <c r="AJ409" s="77"/>
      <c r="AK409" s="77"/>
      <c r="AL409" s="77"/>
      <c r="AM409" s="77"/>
      <c r="AN409" s="77"/>
      <c r="AO409" s="77"/>
      <c r="AP409" s="77"/>
      <c r="AQ409" s="77" t="s">
        <v>8135</v>
      </c>
      <c r="AR409" s="77"/>
      <c r="AS409" s="77"/>
      <c r="AT409" s="77"/>
      <c r="AU409" s="77"/>
      <c r="AV409" s="83" t="str">
        <f>HYPERLINK("https://pbs.twimg.com/media/Frxh1ikXsAAkXIr.jpg")</f>
        <v>https://pbs.twimg.com/media/Frxh1ikXsAAkXIr.jpg</v>
      </c>
      <c r="AW409" s="81" t="s">
        <v>9679</v>
      </c>
      <c r="AX409" s="81" t="s">
        <v>9679</v>
      </c>
      <c r="AY409" s="77"/>
      <c r="AZ409" s="81" t="s">
        <v>11359</v>
      </c>
      <c r="BA409" s="81" t="s">
        <v>11359</v>
      </c>
      <c r="BB409" s="81" t="s">
        <v>11359</v>
      </c>
      <c r="BC409" s="81" t="s">
        <v>9679</v>
      </c>
      <c r="BD409" s="81" t="s">
        <v>11498</v>
      </c>
      <c r="BE409" s="77"/>
      <c r="BF409" s="77"/>
      <c r="BG409" s="77"/>
      <c r="BH409" s="77"/>
      <c r="BI409" s="77"/>
    </row>
    <row r="410" spans="1:61" x14ac:dyDescent="0.25">
      <c r="A410" s="62" t="s">
        <v>415</v>
      </c>
      <c r="B410" s="62" t="s">
        <v>415</v>
      </c>
      <c r="C410" s="63"/>
      <c r="D410" s="64"/>
      <c r="E410" s="65"/>
      <c r="F410" s="66"/>
      <c r="G410" s="63"/>
      <c r="H410" s="67"/>
      <c r="I410" s="68"/>
      <c r="J410" s="68"/>
      <c r="K410" s="32"/>
      <c r="L410" s="75">
        <v>410</v>
      </c>
      <c r="M410" s="75"/>
      <c r="N410" s="70"/>
      <c r="O410" s="77" t="s">
        <v>179</v>
      </c>
      <c r="P410" s="79">
        <v>44946.633263888885</v>
      </c>
      <c r="Q410" s="77" t="s">
        <v>1358</v>
      </c>
      <c r="R410" s="77">
        <v>0</v>
      </c>
      <c r="S410" s="77">
        <v>0</v>
      </c>
      <c r="T410" s="77">
        <v>0</v>
      </c>
      <c r="U410" s="77">
        <v>0</v>
      </c>
      <c r="V410" s="77">
        <v>41</v>
      </c>
      <c r="W410" s="81" t="s">
        <v>3221</v>
      </c>
      <c r="X410" s="83" t="str">
        <f>HYPERLINK("https://cutt.ly/J9tMMyO")</f>
        <v>https://cutt.ly/J9tMMyO</v>
      </c>
      <c r="Y410" s="77" t="s">
        <v>4257</v>
      </c>
      <c r="Z410" s="77"/>
      <c r="AA410" s="77" t="s">
        <v>4633</v>
      </c>
      <c r="AB410" s="77" t="s">
        <v>5795</v>
      </c>
      <c r="AC410" s="81" t="s">
        <v>5805</v>
      </c>
      <c r="AD410" s="77" t="s">
        <v>5851</v>
      </c>
      <c r="AE410" s="83" t="str">
        <f>HYPERLINK("https://twitter.com/diariodoestado/status/1616453469895888899")</f>
        <v>https://twitter.com/diariodoestado/status/1616453469895888899</v>
      </c>
      <c r="AF410" s="79">
        <v>44946.633263888885</v>
      </c>
      <c r="AG410" s="85">
        <v>44946</v>
      </c>
      <c r="AH410" s="81" t="s">
        <v>6233</v>
      </c>
      <c r="AI410" s="77" t="b">
        <v>0</v>
      </c>
      <c r="AJ410" s="77"/>
      <c r="AK410" s="77"/>
      <c r="AL410" s="77"/>
      <c r="AM410" s="77"/>
      <c r="AN410" s="77"/>
      <c r="AO410" s="77"/>
      <c r="AP410" s="77"/>
      <c r="AQ410" s="77" t="s">
        <v>8136</v>
      </c>
      <c r="AR410" s="77">
        <v>24333</v>
      </c>
      <c r="AS410" s="77"/>
      <c r="AT410" s="77"/>
      <c r="AU410" s="77"/>
      <c r="AV410" s="83" t="str">
        <f>HYPERLINK("https://pbs.twimg.com/ext_tw_video_thumb/1616453327381749761/pu/img/JR_06RWk88ubp3P3.jpg")</f>
        <v>https://pbs.twimg.com/ext_tw_video_thumb/1616453327381749761/pu/img/JR_06RWk88ubp3P3.jpg</v>
      </c>
      <c r="AW410" s="81" t="s">
        <v>9680</v>
      </c>
      <c r="AX410" s="81" t="s">
        <v>9680</v>
      </c>
      <c r="AY410" s="77"/>
      <c r="AZ410" s="81" t="s">
        <v>11359</v>
      </c>
      <c r="BA410" s="81" t="s">
        <v>11359</v>
      </c>
      <c r="BB410" s="81" t="s">
        <v>11359</v>
      </c>
      <c r="BC410" s="81" t="s">
        <v>9680</v>
      </c>
      <c r="BD410" s="77">
        <v>54290021</v>
      </c>
      <c r="BE410" s="77"/>
      <c r="BF410" s="77"/>
      <c r="BG410" s="77"/>
      <c r="BH410" s="77"/>
      <c r="BI410" s="77"/>
    </row>
    <row r="411" spans="1:61" x14ac:dyDescent="0.25">
      <c r="A411" s="62" t="s">
        <v>416</v>
      </c>
      <c r="B411" s="62" t="s">
        <v>904</v>
      </c>
      <c r="C411" s="63"/>
      <c r="D411" s="64"/>
      <c r="E411" s="65"/>
      <c r="F411" s="66"/>
      <c r="G411" s="63"/>
      <c r="H411" s="67"/>
      <c r="I411" s="68"/>
      <c r="J411" s="68"/>
      <c r="K411" s="32"/>
      <c r="L411" s="75">
        <v>411</v>
      </c>
      <c r="M411" s="75"/>
      <c r="N411" s="70"/>
      <c r="O411" s="77" t="s">
        <v>967</v>
      </c>
      <c r="P411" s="79">
        <v>44984.146817129629</v>
      </c>
      <c r="Q411" s="77" t="s">
        <v>1359</v>
      </c>
      <c r="R411" s="77">
        <v>0</v>
      </c>
      <c r="S411" s="77">
        <v>0</v>
      </c>
      <c r="T411" s="77">
        <v>0</v>
      </c>
      <c r="U411" s="77">
        <v>0</v>
      </c>
      <c r="V411" s="77">
        <v>159</v>
      </c>
      <c r="W411" s="81" t="s">
        <v>3222</v>
      </c>
      <c r="X411" s="77"/>
      <c r="Y411" s="77"/>
      <c r="Z411" s="77" t="s">
        <v>904</v>
      </c>
      <c r="AA411" s="77" t="s">
        <v>4634</v>
      </c>
      <c r="AB411" s="77" t="s">
        <v>5795</v>
      </c>
      <c r="AC411" s="81" t="s">
        <v>5801</v>
      </c>
      <c r="AD411" s="77" t="s">
        <v>5850</v>
      </c>
      <c r="AE411" s="83" t="str">
        <f>HYPERLINK("https://twitter.com/gisellejacome/status/1630047927774134272")</f>
        <v>https://twitter.com/gisellejacome/status/1630047927774134272</v>
      </c>
      <c r="AF411" s="79">
        <v>44984.146817129629</v>
      </c>
      <c r="AG411" s="85">
        <v>44984</v>
      </c>
      <c r="AH411" s="81" t="s">
        <v>6234</v>
      </c>
      <c r="AI411" s="77" t="b">
        <v>0</v>
      </c>
      <c r="AJ411" s="77"/>
      <c r="AK411" s="77"/>
      <c r="AL411" s="77"/>
      <c r="AM411" s="77"/>
      <c r="AN411" s="77"/>
      <c r="AO411" s="77"/>
      <c r="AP411" s="77"/>
      <c r="AQ411" s="77" t="s">
        <v>8137</v>
      </c>
      <c r="AR411" s="77">
        <v>45000</v>
      </c>
      <c r="AS411" s="77"/>
      <c r="AT411" s="77"/>
      <c r="AU411" s="77"/>
      <c r="AV411" s="83" t="str">
        <f>HYPERLINK("https://pbs.twimg.com/ext_tw_video_thumb/1630047865878790145/pu/img/rbGuu0j2CgDHwfUu.jpg")</f>
        <v>https://pbs.twimg.com/ext_tw_video_thumb/1630047865878790145/pu/img/rbGuu0j2CgDHwfUu.jpg</v>
      </c>
      <c r="AW411" s="81" t="s">
        <v>9681</v>
      </c>
      <c r="AX411" s="81" t="s">
        <v>9681</v>
      </c>
      <c r="AY411" s="77"/>
      <c r="AZ411" s="81" t="s">
        <v>11359</v>
      </c>
      <c r="BA411" s="81" t="s">
        <v>11359</v>
      </c>
      <c r="BB411" s="81" t="s">
        <v>11359</v>
      </c>
      <c r="BC411" s="81" t="s">
        <v>9681</v>
      </c>
      <c r="BD411" s="77">
        <v>487967183</v>
      </c>
      <c r="BE411" s="77"/>
      <c r="BF411" s="77"/>
      <c r="BG411" s="77"/>
      <c r="BH411" s="77"/>
      <c r="BI411" s="77"/>
    </row>
    <row r="412" spans="1:61" x14ac:dyDescent="0.25">
      <c r="A412" s="62" t="s">
        <v>417</v>
      </c>
      <c r="B412" s="62" t="s">
        <v>417</v>
      </c>
      <c r="C412" s="63"/>
      <c r="D412" s="64"/>
      <c r="E412" s="65"/>
      <c r="F412" s="66"/>
      <c r="G412" s="63"/>
      <c r="H412" s="67"/>
      <c r="I412" s="68"/>
      <c r="J412" s="68"/>
      <c r="K412" s="32"/>
      <c r="L412" s="75">
        <v>412</v>
      </c>
      <c r="M412" s="75"/>
      <c r="N412" s="70"/>
      <c r="O412" s="77" t="s">
        <v>179</v>
      </c>
      <c r="P412" s="79">
        <v>45142.585925925923</v>
      </c>
      <c r="Q412" s="77" t="s">
        <v>1360</v>
      </c>
      <c r="R412" s="77">
        <v>0</v>
      </c>
      <c r="S412" s="77">
        <v>1</v>
      </c>
      <c r="T412" s="77">
        <v>0</v>
      </c>
      <c r="U412" s="77">
        <v>0</v>
      </c>
      <c r="V412" s="77">
        <v>10</v>
      </c>
      <c r="W412" s="81" t="s">
        <v>3223</v>
      </c>
      <c r="X412" s="77"/>
      <c r="Y412" s="77"/>
      <c r="Z412" s="77"/>
      <c r="AA412" s="77" t="s">
        <v>4635</v>
      </c>
      <c r="AB412" s="77" t="s">
        <v>5795</v>
      </c>
      <c r="AC412" s="81" t="s">
        <v>5806</v>
      </c>
      <c r="AD412" s="77" t="s">
        <v>5851</v>
      </c>
      <c r="AE412" s="83" t="str">
        <f>HYPERLINK("https://twitter.com/cidorodrigues/status/1687464337097605120")</f>
        <v>https://twitter.com/cidorodrigues/status/1687464337097605120</v>
      </c>
      <c r="AF412" s="79">
        <v>45142.585925925923</v>
      </c>
      <c r="AG412" s="85">
        <v>45142</v>
      </c>
      <c r="AH412" s="81" t="s">
        <v>6235</v>
      </c>
      <c r="AI412" s="77" t="b">
        <v>0</v>
      </c>
      <c r="AJ412" s="77"/>
      <c r="AK412" s="77"/>
      <c r="AL412" s="77"/>
      <c r="AM412" s="77"/>
      <c r="AN412" s="77"/>
      <c r="AO412" s="77"/>
      <c r="AP412" s="77"/>
      <c r="AQ412" s="77" t="s">
        <v>8138</v>
      </c>
      <c r="AR412" s="77">
        <v>52566</v>
      </c>
      <c r="AS412" s="77"/>
      <c r="AT412" s="77"/>
      <c r="AU412" s="77"/>
      <c r="AV412" s="83" t="str">
        <f>HYPERLINK("https://pbs.twimg.com/ext_tw_video_thumb/1687464285872496640/pu/img/DgVhtg-ssgP9vH3X.jpg")</f>
        <v>https://pbs.twimg.com/ext_tw_video_thumb/1687464285872496640/pu/img/DgVhtg-ssgP9vH3X.jpg</v>
      </c>
      <c r="AW412" s="81" t="s">
        <v>9682</v>
      </c>
      <c r="AX412" s="81" t="s">
        <v>9682</v>
      </c>
      <c r="AY412" s="77"/>
      <c r="AZ412" s="81" t="s">
        <v>11359</v>
      </c>
      <c r="BA412" s="81" t="s">
        <v>11359</v>
      </c>
      <c r="BB412" s="81" t="s">
        <v>11359</v>
      </c>
      <c r="BC412" s="81" t="s">
        <v>9682</v>
      </c>
      <c r="BD412" s="77">
        <v>62095109</v>
      </c>
      <c r="BE412" s="77"/>
      <c r="BF412" s="77"/>
      <c r="BG412" s="77"/>
      <c r="BH412" s="77"/>
      <c r="BI412" s="77"/>
    </row>
    <row r="413" spans="1:61" x14ac:dyDescent="0.25">
      <c r="A413" s="62" t="s">
        <v>418</v>
      </c>
      <c r="B413" s="62" t="s">
        <v>418</v>
      </c>
      <c r="C413" s="63"/>
      <c r="D413" s="64"/>
      <c r="E413" s="65"/>
      <c r="F413" s="66"/>
      <c r="G413" s="63"/>
      <c r="H413" s="67"/>
      <c r="I413" s="68"/>
      <c r="J413" s="68"/>
      <c r="K413" s="32"/>
      <c r="L413" s="75">
        <v>413</v>
      </c>
      <c r="M413" s="75"/>
      <c r="N413" s="70"/>
      <c r="O413" s="77" t="s">
        <v>179</v>
      </c>
      <c r="P413" s="79">
        <v>44943.728090277778</v>
      </c>
      <c r="Q413" s="77" t="s">
        <v>1361</v>
      </c>
      <c r="R413" s="77">
        <v>0</v>
      </c>
      <c r="S413" s="77">
        <v>0</v>
      </c>
      <c r="T413" s="77">
        <v>0</v>
      </c>
      <c r="U413" s="77">
        <v>0</v>
      </c>
      <c r="V413" s="77">
        <v>36</v>
      </c>
      <c r="W413" s="81" t="s">
        <v>3224</v>
      </c>
      <c r="X413" s="77"/>
      <c r="Y413" s="77"/>
      <c r="Z413" s="77"/>
      <c r="AA413" s="77"/>
      <c r="AB413" s="77"/>
      <c r="AC413" s="81" t="s">
        <v>5803</v>
      </c>
      <c r="AD413" s="77" t="s">
        <v>5851</v>
      </c>
      <c r="AE413" s="83" t="str">
        <f>HYPERLINK("https://twitter.com/treinadoralexis/status/1615400669787344897")</f>
        <v>https://twitter.com/treinadoralexis/status/1615400669787344897</v>
      </c>
      <c r="AF413" s="79">
        <v>44943.728090277778</v>
      </c>
      <c r="AG413" s="85">
        <v>44943</v>
      </c>
      <c r="AH413" s="81" t="s">
        <v>6236</v>
      </c>
      <c r="AI413" s="77"/>
      <c r="AJ413" s="77"/>
      <c r="AK413" s="77"/>
      <c r="AL413" s="77"/>
      <c r="AM413" s="77"/>
      <c r="AN413" s="77"/>
      <c r="AO413" s="77"/>
      <c r="AP413" s="77"/>
      <c r="AQ413" s="77"/>
      <c r="AR413" s="77"/>
      <c r="AS413" s="77"/>
      <c r="AT413" s="77"/>
      <c r="AU413" s="77"/>
      <c r="AV413" s="83" t="str">
        <f>HYPERLINK("https://pbs.twimg.com/profile_images/1611159902323359746/aUGVQH8Y_normal.jpg")</f>
        <v>https://pbs.twimg.com/profile_images/1611159902323359746/aUGVQH8Y_normal.jpg</v>
      </c>
      <c r="AW413" s="81" t="s">
        <v>9683</v>
      </c>
      <c r="AX413" s="81" t="s">
        <v>9683</v>
      </c>
      <c r="AY413" s="77"/>
      <c r="AZ413" s="81" t="s">
        <v>11359</v>
      </c>
      <c r="BA413" s="81" t="s">
        <v>11359</v>
      </c>
      <c r="BB413" s="81" t="s">
        <v>11359</v>
      </c>
      <c r="BC413" s="81" t="s">
        <v>9683</v>
      </c>
      <c r="BD413" s="81" t="s">
        <v>11499</v>
      </c>
      <c r="BE413" s="77"/>
      <c r="BF413" s="77"/>
      <c r="BG413" s="77"/>
      <c r="BH413" s="77"/>
      <c r="BI413" s="77"/>
    </row>
    <row r="414" spans="1:61" x14ac:dyDescent="0.25">
      <c r="A414" s="62" t="s">
        <v>419</v>
      </c>
      <c r="B414" s="62" t="s">
        <v>419</v>
      </c>
      <c r="C414" s="63"/>
      <c r="D414" s="64"/>
      <c r="E414" s="65"/>
      <c r="F414" s="66"/>
      <c r="G414" s="63"/>
      <c r="H414" s="67"/>
      <c r="I414" s="68"/>
      <c r="J414" s="68"/>
      <c r="K414" s="32"/>
      <c r="L414" s="75">
        <v>414</v>
      </c>
      <c r="M414" s="75"/>
      <c r="N414" s="70"/>
      <c r="O414" s="77" t="s">
        <v>179</v>
      </c>
      <c r="P414" s="79">
        <v>44965.544444444444</v>
      </c>
      <c r="Q414" s="77" t="s">
        <v>1362</v>
      </c>
      <c r="R414" s="77">
        <v>0</v>
      </c>
      <c r="S414" s="77">
        <v>0</v>
      </c>
      <c r="T414" s="77">
        <v>0</v>
      </c>
      <c r="U414" s="77">
        <v>0</v>
      </c>
      <c r="V414" s="77">
        <v>14</v>
      </c>
      <c r="W414" s="81" t="s">
        <v>3010</v>
      </c>
      <c r="X414" s="77"/>
      <c r="Y414" s="77"/>
      <c r="Z414" s="77"/>
      <c r="AA414" s="77" t="s">
        <v>4636</v>
      </c>
      <c r="AB414" s="77" t="s">
        <v>5794</v>
      </c>
      <c r="AC414" s="81" t="s">
        <v>5805</v>
      </c>
      <c r="AD414" s="77" t="s">
        <v>5851</v>
      </c>
      <c r="AE414" s="83" t="str">
        <f>HYPERLINK("https://twitter.com/agenciaguiase/status/1623306652857532416")</f>
        <v>https://twitter.com/agenciaguiase/status/1623306652857532416</v>
      </c>
      <c r="AF414" s="79">
        <v>44965.544444444444</v>
      </c>
      <c r="AG414" s="85">
        <v>44965</v>
      </c>
      <c r="AH414" s="81" t="s">
        <v>6237</v>
      </c>
      <c r="AI414" s="77" t="b">
        <v>0</v>
      </c>
      <c r="AJ414" s="77"/>
      <c r="AK414" s="77"/>
      <c r="AL414" s="77"/>
      <c r="AM414" s="77"/>
      <c r="AN414" s="77"/>
      <c r="AO414" s="77"/>
      <c r="AP414" s="77"/>
      <c r="AQ414" s="77" t="s">
        <v>8139</v>
      </c>
      <c r="AR414" s="77"/>
      <c r="AS414" s="77"/>
      <c r="AT414" s="77"/>
      <c r="AU414" s="77"/>
      <c r="AV414" s="83" t="str">
        <f>HYPERLINK("https://pbs.twimg.com/media/FoTIlDJWAAApYWt.jpg")</f>
        <v>https://pbs.twimg.com/media/FoTIlDJWAAApYWt.jpg</v>
      </c>
      <c r="AW414" s="81" t="s">
        <v>9684</v>
      </c>
      <c r="AX414" s="81" t="s">
        <v>9684</v>
      </c>
      <c r="AY414" s="77"/>
      <c r="AZ414" s="81" t="s">
        <v>11359</v>
      </c>
      <c r="BA414" s="81" t="s">
        <v>11359</v>
      </c>
      <c r="BB414" s="81" t="s">
        <v>11359</v>
      </c>
      <c r="BC414" s="81" t="s">
        <v>9684</v>
      </c>
      <c r="BD414" s="81" t="s">
        <v>11500</v>
      </c>
      <c r="BE414" s="77"/>
      <c r="BF414" s="77"/>
      <c r="BG414" s="77"/>
      <c r="BH414" s="77"/>
      <c r="BI414" s="77"/>
    </row>
    <row r="415" spans="1:61" x14ac:dyDescent="0.25">
      <c r="A415" s="62" t="s">
        <v>420</v>
      </c>
      <c r="B415" s="62" t="s">
        <v>420</v>
      </c>
      <c r="C415" s="63"/>
      <c r="D415" s="64"/>
      <c r="E415" s="65"/>
      <c r="F415" s="66"/>
      <c r="G415" s="63"/>
      <c r="H415" s="67"/>
      <c r="I415" s="68"/>
      <c r="J415" s="68"/>
      <c r="K415" s="32"/>
      <c r="L415" s="75">
        <v>415</v>
      </c>
      <c r="M415" s="75"/>
      <c r="N415" s="70"/>
      <c r="O415" s="77" t="s">
        <v>179</v>
      </c>
      <c r="P415" s="79">
        <v>45029.217476851853</v>
      </c>
      <c r="Q415" s="77" t="s">
        <v>1363</v>
      </c>
      <c r="R415" s="77">
        <v>0</v>
      </c>
      <c r="S415" s="77">
        <v>2</v>
      </c>
      <c r="T415" s="77">
        <v>0</v>
      </c>
      <c r="U415" s="77">
        <v>0</v>
      </c>
      <c r="V415" s="77">
        <v>96</v>
      </c>
      <c r="W415" s="81" t="s">
        <v>3225</v>
      </c>
      <c r="X415" s="77"/>
      <c r="Y415" s="77"/>
      <c r="Z415" s="77"/>
      <c r="AA415" s="77" t="s">
        <v>4637</v>
      </c>
      <c r="AB415" s="77" t="s">
        <v>5795</v>
      </c>
      <c r="AC415" s="81" t="s">
        <v>5803</v>
      </c>
      <c r="AD415" s="77" t="s">
        <v>5855</v>
      </c>
      <c r="AE415" s="83" t="str">
        <f>HYPERLINK("https://twitter.com/applejuicejayy/status/1646380988879228929")</f>
        <v>https://twitter.com/applejuicejayy/status/1646380988879228929</v>
      </c>
      <c r="AF415" s="79">
        <v>45029.217476851853</v>
      </c>
      <c r="AG415" s="85">
        <v>45029</v>
      </c>
      <c r="AH415" s="81" t="s">
        <v>6238</v>
      </c>
      <c r="AI415" s="77" t="b">
        <v>0</v>
      </c>
      <c r="AJ415" s="77"/>
      <c r="AK415" s="77"/>
      <c r="AL415" s="77"/>
      <c r="AM415" s="77"/>
      <c r="AN415" s="77"/>
      <c r="AO415" s="77"/>
      <c r="AP415" s="77"/>
      <c r="AQ415" s="77" t="s">
        <v>8140</v>
      </c>
      <c r="AR415" s="77">
        <v>84703</v>
      </c>
      <c r="AS415" s="77"/>
      <c r="AT415" s="77"/>
      <c r="AU415" s="77"/>
      <c r="AV415" s="83" t="str">
        <f>HYPERLINK("https://pbs.twimg.com/ext_tw_video_thumb/1646380867445723137/pu/img/46OoaJ4NyGITMwP2.jpg")</f>
        <v>https://pbs.twimg.com/ext_tw_video_thumb/1646380867445723137/pu/img/46OoaJ4NyGITMwP2.jpg</v>
      </c>
      <c r="AW415" s="81" t="s">
        <v>9685</v>
      </c>
      <c r="AX415" s="81" t="s">
        <v>9685</v>
      </c>
      <c r="AY415" s="77"/>
      <c r="AZ415" s="81" t="s">
        <v>11359</v>
      </c>
      <c r="BA415" s="81" t="s">
        <v>11359</v>
      </c>
      <c r="BB415" s="81" t="s">
        <v>11359</v>
      </c>
      <c r="BC415" s="81" t="s">
        <v>9685</v>
      </c>
      <c r="BD415" s="81" t="s">
        <v>11501</v>
      </c>
      <c r="BE415" s="77"/>
      <c r="BF415" s="77"/>
      <c r="BG415" s="77"/>
      <c r="BH415" s="77"/>
      <c r="BI415" s="77"/>
    </row>
    <row r="416" spans="1:61" x14ac:dyDescent="0.25">
      <c r="A416" s="62" t="s">
        <v>421</v>
      </c>
      <c r="B416" s="62" t="s">
        <v>421</v>
      </c>
      <c r="C416" s="63"/>
      <c r="D416" s="64"/>
      <c r="E416" s="65"/>
      <c r="F416" s="66"/>
      <c r="G416" s="63"/>
      <c r="H416" s="67"/>
      <c r="I416" s="68"/>
      <c r="J416" s="68"/>
      <c r="K416" s="32"/>
      <c r="L416" s="75">
        <v>416</v>
      </c>
      <c r="M416" s="75"/>
      <c r="N416" s="70"/>
      <c r="O416" s="77" t="s">
        <v>179</v>
      </c>
      <c r="P416" s="79">
        <v>45042.611319444448</v>
      </c>
      <c r="Q416" s="77" t="s">
        <v>1364</v>
      </c>
      <c r="R416" s="77">
        <v>0</v>
      </c>
      <c r="S416" s="77">
        <v>0</v>
      </c>
      <c r="T416" s="77">
        <v>0</v>
      </c>
      <c r="U416" s="77">
        <v>0</v>
      </c>
      <c r="V416" s="77">
        <v>23</v>
      </c>
      <c r="W416" s="81" t="s">
        <v>3226</v>
      </c>
      <c r="X416" s="77" t="s">
        <v>4154</v>
      </c>
      <c r="Y416" s="77" t="s">
        <v>4261</v>
      </c>
      <c r="Z416" s="77"/>
      <c r="AA416" s="77" t="s">
        <v>4638</v>
      </c>
      <c r="AB416" s="77" t="s">
        <v>5794</v>
      </c>
      <c r="AC416" s="81" t="s">
        <v>5808</v>
      </c>
      <c r="AD416" s="77" t="s">
        <v>5851</v>
      </c>
      <c r="AE416" s="83" t="str">
        <f>HYPERLINK("https://twitter.com/agnesrh/status/1651234755873054722")</f>
        <v>https://twitter.com/agnesrh/status/1651234755873054722</v>
      </c>
      <c r="AF416" s="79">
        <v>45042.611319444448</v>
      </c>
      <c r="AG416" s="85">
        <v>45042</v>
      </c>
      <c r="AH416" s="81" t="s">
        <v>6239</v>
      </c>
      <c r="AI416" s="77" t="b">
        <v>0</v>
      </c>
      <c r="AJ416" s="77"/>
      <c r="AK416" s="77"/>
      <c r="AL416" s="77"/>
      <c r="AM416" s="77"/>
      <c r="AN416" s="77"/>
      <c r="AO416" s="77"/>
      <c r="AP416" s="77"/>
      <c r="AQ416" s="77" t="s">
        <v>8141</v>
      </c>
      <c r="AR416" s="77"/>
      <c r="AS416" s="77"/>
      <c r="AT416" s="77"/>
      <c r="AU416" s="77"/>
      <c r="AV416" s="83" t="str">
        <f>HYPERLINK("https://pbs.twimg.com/media/FupdQlPX0AEepMc.jpg")</f>
        <v>https://pbs.twimg.com/media/FupdQlPX0AEepMc.jpg</v>
      </c>
      <c r="AW416" s="81" t="s">
        <v>9686</v>
      </c>
      <c r="AX416" s="81" t="s">
        <v>9686</v>
      </c>
      <c r="AY416" s="77"/>
      <c r="AZ416" s="81" t="s">
        <v>11359</v>
      </c>
      <c r="BA416" s="81" t="s">
        <v>11359</v>
      </c>
      <c r="BB416" s="81" t="s">
        <v>11359</v>
      </c>
      <c r="BC416" s="81" t="s">
        <v>9686</v>
      </c>
      <c r="BD416" s="77">
        <v>183336881</v>
      </c>
      <c r="BE416" s="77"/>
      <c r="BF416" s="77"/>
      <c r="BG416" s="77"/>
      <c r="BH416" s="77"/>
      <c r="BI416" s="77"/>
    </row>
    <row r="417" spans="1:61" x14ac:dyDescent="0.25">
      <c r="A417" s="62" t="s">
        <v>421</v>
      </c>
      <c r="B417" s="62" t="s">
        <v>421</v>
      </c>
      <c r="C417" s="63"/>
      <c r="D417" s="64"/>
      <c r="E417" s="65"/>
      <c r="F417" s="66"/>
      <c r="G417" s="63"/>
      <c r="H417" s="67"/>
      <c r="I417" s="68"/>
      <c r="J417" s="68"/>
      <c r="K417" s="32"/>
      <c r="L417" s="75">
        <v>417</v>
      </c>
      <c r="M417" s="75"/>
      <c r="N417" s="70"/>
      <c r="O417" s="77" t="s">
        <v>179</v>
      </c>
      <c r="P417" s="79">
        <v>45042.607893518521</v>
      </c>
      <c r="Q417" s="77" t="s">
        <v>1365</v>
      </c>
      <c r="R417" s="77">
        <v>0</v>
      </c>
      <c r="S417" s="77">
        <v>0</v>
      </c>
      <c r="T417" s="77">
        <v>0</v>
      </c>
      <c r="U417" s="77">
        <v>0</v>
      </c>
      <c r="V417" s="77">
        <v>25</v>
      </c>
      <c r="W417" s="81" t="s">
        <v>3226</v>
      </c>
      <c r="X417" s="83" t="str">
        <f>HYPERLINK("https://agnesrh.com.br/candidatos/presencial/index.php?p=vaga_info&amp;c=20512")</f>
        <v>https://agnesrh.com.br/candidatos/presencial/index.php?p=vaga_info&amp;c=20512</v>
      </c>
      <c r="Y417" s="77" t="s">
        <v>4223</v>
      </c>
      <c r="Z417" s="77"/>
      <c r="AA417" s="77" t="s">
        <v>4639</v>
      </c>
      <c r="AB417" s="77" t="s">
        <v>5794</v>
      </c>
      <c r="AC417" s="81" t="s">
        <v>5808</v>
      </c>
      <c r="AD417" s="77" t="s">
        <v>5851</v>
      </c>
      <c r="AE417" s="83" t="str">
        <f>HYPERLINK("https://twitter.com/agnesrh/status/1651233510747779075")</f>
        <v>https://twitter.com/agnesrh/status/1651233510747779075</v>
      </c>
      <c r="AF417" s="79">
        <v>45042.607893518521</v>
      </c>
      <c r="AG417" s="85">
        <v>45042</v>
      </c>
      <c r="AH417" s="81" t="s">
        <v>6240</v>
      </c>
      <c r="AI417" s="77" t="b">
        <v>0</v>
      </c>
      <c r="AJ417" s="77"/>
      <c r="AK417" s="77"/>
      <c r="AL417" s="77"/>
      <c r="AM417" s="77"/>
      <c r="AN417" s="77"/>
      <c r="AO417" s="77"/>
      <c r="AP417" s="77"/>
      <c r="AQ417" s="77" t="s">
        <v>8142</v>
      </c>
      <c r="AR417" s="77"/>
      <c r="AS417" s="77"/>
      <c r="AT417" s="77"/>
      <c r="AU417" s="77"/>
      <c r="AV417" s="83" t="str">
        <f>HYPERLINK("https://pbs.twimg.com/media/FupcIGrWYAMGvLO.jpg")</f>
        <v>https://pbs.twimg.com/media/FupcIGrWYAMGvLO.jpg</v>
      </c>
      <c r="AW417" s="81" t="s">
        <v>9687</v>
      </c>
      <c r="AX417" s="81" t="s">
        <v>9687</v>
      </c>
      <c r="AY417" s="77"/>
      <c r="AZ417" s="81" t="s">
        <v>11359</v>
      </c>
      <c r="BA417" s="81" t="s">
        <v>11359</v>
      </c>
      <c r="BB417" s="81" t="s">
        <v>11359</v>
      </c>
      <c r="BC417" s="81" t="s">
        <v>9687</v>
      </c>
      <c r="BD417" s="77">
        <v>183336881</v>
      </c>
      <c r="BE417" s="77"/>
      <c r="BF417" s="77"/>
      <c r="BG417" s="77"/>
      <c r="BH417" s="77"/>
      <c r="BI417" s="77"/>
    </row>
    <row r="418" spans="1:61" x14ac:dyDescent="0.25">
      <c r="A418" s="62" t="s">
        <v>421</v>
      </c>
      <c r="B418" s="62" t="s">
        <v>421</v>
      </c>
      <c r="C418" s="63"/>
      <c r="D418" s="64"/>
      <c r="E418" s="65"/>
      <c r="F418" s="66"/>
      <c r="G418" s="63"/>
      <c r="H418" s="67"/>
      <c r="I418" s="68"/>
      <c r="J418" s="68"/>
      <c r="K418" s="32"/>
      <c r="L418" s="75">
        <v>418</v>
      </c>
      <c r="M418" s="75"/>
      <c r="N418" s="70"/>
      <c r="O418" s="77" t="s">
        <v>179</v>
      </c>
      <c r="P418" s="79">
        <v>45072.767430555556</v>
      </c>
      <c r="Q418" s="77" t="s">
        <v>1366</v>
      </c>
      <c r="R418" s="77">
        <v>0</v>
      </c>
      <c r="S418" s="77">
        <v>0</v>
      </c>
      <c r="T418" s="77">
        <v>0</v>
      </c>
      <c r="U418" s="77">
        <v>0</v>
      </c>
      <c r="V418" s="77">
        <v>18</v>
      </c>
      <c r="W418" s="81" t="s">
        <v>3227</v>
      </c>
      <c r="X418" s="83" t="str">
        <f>HYPERLINK("https://agnesrh.com.br/candidatos/presencial/index.php?p=vaga_info&amp;c=20552")</f>
        <v>https://agnesrh.com.br/candidatos/presencial/index.php?p=vaga_info&amp;c=20552</v>
      </c>
      <c r="Y418" s="77" t="s">
        <v>4223</v>
      </c>
      <c r="Z418" s="77"/>
      <c r="AA418" s="77" t="s">
        <v>4640</v>
      </c>
      <c r="AB418" s="77" t="s">
        <v>5794</v>
      </c>
      <c r="AC418" s="81" t="s">
        <v>5808</v>
      </c>
      <c r="AD418" s="77" t="s">
        <v>5851</v>
      </c>
      <c r="AE418" s="83" t="str">
        <f>HYPERLINK("https://twitter.com/agnesrh/status/1662162960788094991")</f>
        <v>https://twitter.com/agnesrh/status/1662162960788094991</v>
      </c>
      <c r="AF418" s="79">
        <v>45072.767430555556</v>
      </c>
      <c r="AG418" s="85">
        <v>45072</v>
      </c>
      <c r="AH418" s="81" t="s">
        <v>6241</v>
      </c>
      <c r="AI418" s="77" t="b">
        <v>0</v>
      </c>
      <c r="AJ418" s="77"/>
      <c r="AK418" s="77"/>
      <c r="AL418" s="77"/>
      <c r="AM418" s="77"/>
      <c r="AN418" s="77"/>
      <c r="AO418" s="77"/>
      <c r="AP418" s="77"/>
      <c r="AQ418" s="77" t="s">
        <v>8143</v>
      </c>
      <c r="AR418" s="77"/>
      <c r="AS418" s="77"/>
      <c r="AT418" s="77"/>
      <c r="AU418" s="77"/>
      <c r="AV418" s="83" t="str">
        <f>HYPERLINK("https://pbs.twimg.com/media/FxEwZ54WAAkxNba.jpg")</f>
        <v>https://pbs.twimg.com/media/FxEwZ54WAAkxNba.jpg</v>
      </c>
      <c r="AW418" s="81" t="s">
        <v>9688</v>
      </c>
      <c r="AX418" s="81" t="s">
        <v>9688</v>
      </c>
      <c r="AY418" s="77"/>
      <c r="AZ418" s="81" t="s">
        <v>11359</v>
      </c>
      <c r="BA418" s="81" t="s">
        <v>11359</v>
      </c>
      <c r="BB418" s="81" t="s">
        <v>11359</v>
      </c>
      <c r="BC418" s="81" t="s">
        <v>9688</v>
      </c>
      <c r="BD418" s="77">
        <v>183336881</v>
      </c>
      <c r="BE418" s="77"/>
      <c r="BF418" s="77"/>
      <c r="BG418" s="77"/>
      <c r="BH418" s="77"/>
      <c r="BI418" s="77"/>
    </row>
    <row r="419" spans="1:61" x14ac:dyDescent="0.25">
      <c r="A419" s="62" t="s">
        <v>422</v>
      </c>
      <c r="B419" s="62" t="s">
        <v>422</v>
      </c>
      <c r="C419" s="63"/>
      <c r="D419" s="64"/>
      <c r="E419" s="65"/>
      <c r="F419" s="66"/>
      <c r="G419" s="63"/>
      <c r="H419" s="67"/>
      <c r="I419" s="68"/>
      <c r="J419" s="68"/>
      <c r="K419" s="32"/>
      <c r="L419" s="75">
        <v>419</v>
      </c>
      <c r="M419" s="75"/>
      <c r="N419" s="70"/>
      <c r="O419" s="77" t="s">
        <v>179</v>
      </c>
      <c r="P419" s="79">
        <v>44929.834409722222</v>
      </c>
      <c r="Q419" s="77" t="s">
        <v>1367</v>
      </c>
      <c r="R419" s="77">
        <v>2</v>
      </c>
      <c r="S419" s="77">
        <v>4</v>
      </c>
      <c r="T419" s="77">
        <v>0</v>
      </c>
      <c r="U419" s="77">
        <v>0</v>
      </c>
      <c r="V419" s="77">
        <v>556</v>
      </c>
      <c r="W419" s="81" t="s">
        <v>3228</v>
      </c>
      <c r="X419" s="77"/>
      <c r="Y419" s="77"/>
      <c r="Z419" s="77"/>
      <c r="AA419" s="77" t="s">
        <v>4641</v>
      </c>
      <c r="AB419" s="77" t="s">
        <v>5794</v>
      </c>
      <c r="AC419" s="81" t="s">
        <v>5801</v>
      </c>
      <c r="AD419" s="77" t="s">
        <v>5850</v>
      </c>
      <c r="AE419" s="83" t="str">
        <f>HYPERLINK("https://twitter.com/montparnassemx/status/1610365769321451521")</f>
        <v>https://twitter.com/montparnassemx/status/1610365769321451521</v>
      </c>
      <c r="AF419" s="79">
        <v>44929.834409722222</v>
      </c>
      <c r="AG419" s="85">
        <v>44929</v>
      </c>
      <c r="AH419" s="81" t="s">
        <v>6242</v>
      </c>
      <c r="AI419" s="77" t="b">
        <v>0</v>
      </c>
      <c r="AJ419" s="77"/>
      <c r="AK419" s="77"/>
      <c r="AL419" s="77"/>
      <c r="AM419" s="77"/>
      <c r="AN419" s="77"/>
      <c r="AO419" s="77"/>
      <c r="AP419" s="77"/>
      <c r="AQ419" s="77" t="s">
        <v>8144</v>
      </c>
      <c r="AR419" s="77"/>
      <c r="AS419" s="77"/>
      <c r="AT419" s="77"/>
      <c r="AU419" s="77"/>
      <c r="AV419" s="83" t="str">
        <f>HYPERLINK("https://pbs.twimg.com/media/FlkrIZnaEAAdMcn.jpg")</f>
        <v>https://pbs.twimg.com/media/FlkrIZnaEAAdMcn.jpg</v>
      </c>
      <c r="AW419" s="81" t="s">
        <v>9689</v>
      </c>
      <c r="AX419" s="81" t="s">
        <v>9689</v>
      </c>
      <c r="AY419" s="77"/>
      <c r="AZ419" s="81" t="s">
        <v>11359</v>
      </c>
      <c r="BA419" s="81" t="s">
        <v>11359</v>
      </c>
      <c r="BB419" s="81" t="s">
        <v>11359</v>
      </c>
      <c r="BC419" s="81" t="s">
        <v>9689</v>
      </c>
      <c r="BD419" s="77">
        <v>444142948</v>
      </c>
      <c r="BE419" s="77"/>
      <c r="BF419" s="77"/>
      <c r="BG419" s="77"/>
      <c r="BH419" s="77"/>
      <c r="BI419" s="77"/>
    </row>
    <row r="420" spans="1:61" x14ac:dyDescent="0.25">
      <c r="A420" s="62" t="s">
        <v>422</v>
      </c>
      <c r="B420" s="62" t="s">
        <v>422</v>
      </c>
      <c r="C420" s="63"/>
      <c r="D420" s="64"/>
      <c r="E420" s="65"/>
      <c r="F420" s="66"/>
      <c r="G420" s="63"/>
      <c r="H420" s="67"/>
      <c r="I420" s="68"/>
      <c r="J420" s="68"/>
      <c r="K420" s="32"/>
      <c r="L420" s="75">
        <v>420</v>
      </c>
      <c r="M420" s="75"/>
      <c r="N420" s="70"/>
      <c r="O420" s="77" t="s">
        <v>179</v>
      </c>
      <c r="P420" s="79">
        <v>44961.830092592594</v>
      </c>
      <c r="Q420" s="77" t="s">
        <v>1368</v>
      </c>
      <c r="R420" s="77">
        <v>1</v>
      </c>
      <c r="S420" s="77">
        <v>6</v>
      </c>
      <c r="T420" s="77">
        <v>0</v>
      </c>
      <c r="U420" s="77">
        <v>0</v>
      </c>
      <c r="V420" s="77">
        <v>343</v>
      </c>
      <c r="W420" s="81" t="s">
        <v>3228</v>
      </c>
      <c r="X420" s="77"/>
      <c r="Y420" s="77"/>
      <c r="Z420" s="77"/>
      <c r="AA420" s="77" t="s">
        <v>4642</v>
      </c>
      <c r="AB420" s="77" t="s">
        <v>5794</v>
      </c>
      <c r="AC420" s="81" t="s">
        <v>5801</v>
      </c>
      <c r="AD420" s="77" t="s">
        <v>5850</v>
      </c>
      <c r="AE420" s="83" t="str">
        <f>HYPERLINK("https://twitter.com/montparnassemx/status/1621960619426455554")</f>
        <v>https://twitter.com/montparnassemx/status/1621960619426455554</v>
      </c>
      <c r="AF420" s="79">
        <v>44961.830092592594</v>
      </c>
      <c r="AG420" s="85">
        <v>44961</v>
      </c>
      <c r="AH420" s="81" t="s">
        <v>6243</v>
      </c>
      <c r="AI420" s="77" t="b">
        <v>0</v>
      </c>
      <c r="AJ420" s="77"/>
      <c r="AK420" s="77"/>
      <c r="AL420" s="77"/>
      <c r="AM420" s="77"/>
      <c r="AN420" s="77"/>
      <c r="AO420" s="77"/>
      <c r="AP420" s="77"/>
      <c r="AQ420" s="77" t="s">
        <v>8145</v>
      </c>
      <c r="AR420" s="77"/>
      <c r="AS420" s="77"/>
      <c r="AT420" s="77"/>
      <c r="AU420" s="77"/>
      <c r="AV420" s="83" t="str">
        <f>HYPERLINK("https://pbs.twimg.com/media/FoJclklXkAE6lPe.jpg")</f>
        <v>https://pbs.twimg.com/media/FoJclklXkAE6lPe.jpg</v>
      </c>
      <c r="AW420" s="81" t="s">
        <v>9690</v>
      </c>
      <c r="AX420" s="81" t="s">
        <v>9690</v>
      </c>
      <c r="AY420" s="77"/>
      <c r="AZ420" s="81" t="s">
        <v>11359</v>
      </c>
      <c r="BA420" s="81" t="s">
        <v>11359</v>
      </c>
      <c r="BB420" s="81" t="s">
        <v>11359</v>
      </c>
      <c r="BC420" s="81" t="s">
        <v>9690</v>
      </c>
      <c r="BD420" s="77">
        <v>444142948</v>
      </c>
      <c r="BE420" s="77"/>
      <c r="BF420" s="77"/>
      <c r="BG420" s="77"/>
      <c r="BH420" s="77"/>
      <c r="BI420" s="77"/>
    </row>
    <row r="421" spans="1:61" x14ac:dyDescent="0.25">
      <c r="A421" s="62" t="s">
        <v>423</v>
      </c>
      <c r="B421" s="62" t="s">
        <v>423</v>
      </c>
      <c r="C421" s="63"/>
      <c r="D421" s="64"/>
      <c r="E421" s="65"/>
      <c r="F421" s="66"/>
      <c r="G421" s="63"/>
      <c r="H421" s="67"/>
      <c r="I421" s="68"/>
      <c r="J421" s="68"/>
      <c r="K421" s="32"/>
      <c r="L421" s="75">
        <v>421</v>
      </c>
      <c r="M421" s="75"/>
      <c r="N421" s="70"/>
      <c r="O421" s="77" t="s">
        <v>179</v>
      </c>
      <c r="P421" s="79">
        <v>45113.849560185183</v>
      </c>
      <c r="Q421" s="77" t="s">
        <v>1369</v>
      </c>
      <c r="R421" s="77">
        <v>0</v>
      </c>
      <c r="S421" s="77">
        <v>0</v>
      </c>
      <c r="T421" s="77">
        <v>0</v>
      </c>
      <c r="U421" s="77">
        <v>0</v>
      </c>
      <c r="V421" s="77">
        <v>39</v>
      </c>
      <c r="W421" s="81" t="s">
        <v>3229</v>
      </c>
      <c r="X421" s="77" t="s">
        <v>4155</v>
      </c>
      <c r="Y421" s="77" t="s">
        <v>4262</v>
      </c>
      <c r="Z421" s="77"/>
      <c r="AA421" s="77"/>
      <c r="AB421" s="77"/>
      <c r="AC421" s="81" t="s">
        <v>5810</v>
      </c>
      <c r="AD421" s="77" t="s">
        <v>5850</v>
      </c>
      <c r="AE421" s="83" t="str">
        <f>HYPERLINK("https://twitter.com/roberto_j_parra/status/1677050627443105793")</f>
        <v>https://twitter.com/roberto_j_parra/status/1677050627443105793</v>
      </c>
      <c r="AF421" s="79">
        <v>45113.849560185183</v>
      </c>
      <c r="AG421" s="85">
        <v>45113</v>
      </c>
      <c r="AH421" s="81" t="s">
        <v>6244</v>
      </c>
      <c r="AI421" s="77" t="b">
        <v>0</v>
      </c>
      <c r="AJ421" s="77"/>
      <c r="AK421" s="77"/>
      <c r="AL421" s="77"/>
      <c r="AM421" s="77"/>
      <c r="AN421" s="77"/>
      <c r="AO421" s="77"/>
      <c r="AP421" s="77"/>
      <c r="AQ421" s="77"/>
      <c r="AR421" s="77"/>
      <c r="AS421" s="77"/>
      <c r="AT421" s="77"/>
      <c r="AU421" s="77"/>
      <c r="AV421" s="83" t="str">
        <f>HYPERLINK("https://pbs.twimg.com/profile_images/1680665562743988225/-HfU78ID_normal.jpg")</f>
        <v>https://pbs.twimg.com/profile_images/1680665562743988225/-HfU78ID_normal.jpg</v>
      </c>
      <c r="AW421" s="81" t="s">
        <v>9691</v>
      </c>
      <c r="AX421" s="81" t="s">
        <v>9691</v>
      </c>
      <c r="AY421" s="77"/>
      <c r="AZ421" s="81" t="s">
        <v>11359</v>
      </c>
      <c r="BA421" s="81" t="s">
        <v>11359</v>
      </c>
      <c r="BB421" s="81" t="s">
        <v>11359</v>
      </c>
      <c r="BC421" s="81" t="s">
        <v>9691</v>
      </c>
      <c r="BD421" s="77">
        <v>133925507</v>
      </c>
      <c r="BE421" s="77"/>
      <c r="BF421" s="77"/>
      <c r="BG421" s="77"/>
      <c r="BH421" s="77"/>
      <c r="BI421" s="77"/>
    </row>
    <row r="422" spans="1:61" x14ac:dyDescent="0.25">
      <c r="A422" s="62" t="s">
        <v>424</v>
      </c>
      <c r="B422" s="62" t="s">
        <v>424</v>
      </c>
      <c r="C422" s="63"/>
      <c r="D422" s="64"/>
      <c r="E422" s="65"/>
      <c r="F422" s="66"/>
      <c r="G422" s="63"/>
      <c r="H422" s="67"/>
      <c r="I422" s="68"/>
      <c r="J422" s="68"/>
      <c r="K422" s="32"/>
      <c r="L422" s="75">
        <v>422</v>
      </c>
      <c r="M422" s="75"/>
      <c r="N422" s="70"/>
      <c r="O422" s="77" t="s">
        <v>179</v>
      </c>
      <c r="P422" s="79">
        <v>44935.542685185188</v>
      </c>
      <c r="Q422" s="77" t="s">
        <v>1370</v>
      </c>
      <c r="R422" s="77">
        <v>0</v>
      </c>
      <c r="S422" s="77">
        <v>0</v>
      </c>
      <c r="T422" s="77">
        <v>0</v>
      </c>
      <c r="U422" s="77">
        <v>0</v>
      </c>
      <c r="V422" s="77">
        <v>30</v>
      </c>
      <c r="W422" s="81" t="s">
        <v>3230</v>
      </c>
      <c r="X422" s="83" t="str">
        <f>HYPERLINK("http://www.recrutadora.com.br/vagas.php")</f>
        <v>http://www.recrutadora.com.br/vagas.php</v>
      </c>
      <c r="Y422" s="77" t="s">
        <v>4223</v>
      </c>
      <c r="Z422" s="77"/>
      <c r="AA422" s="77" t="s">
        <v>4643</v>
      </c>
      <c r="AB422" s="77" t="s">
        <v>5794</v>
      </c>
      <c r="AC422" s="81" t="s">
        <v>5806</v>
      </c>
      <c r="AD422" s="77" t="s">
        <v>5851</v>
      </c>
      <c r="AE422" s="83" t="str">
        <f>HYPERLINK("https://twitter.com/rrecrutadora/status/1612434380068163585")</f>
        <v>https://twitter.com/rrecrutadora/status/1612434380068163585</v>
      </c>
      <c r="AF422" s="79">
        <v>44935.542685185188</v>
      </c>
      <c r="AG422" s="85">
        <v>44935</v>
      </c>
      <c r="AH422" s="81" t="s">
        <v>6245</v>
      </c>
      <c r="AI422" s="77" t="b">
        <v>0</v>
      </c>
      <c r="AJ422" s="77"/>
      <c r="AK422" s="77"/>
      <c r="AL422" s="77"/>
      <c r="AM422" s="77"/>
      <c r="AN422" s="77"/>
      <c r="AO422" s="77"/>
      <c r="AP422" s="77"/>
      <c r="AQ422" s="77" t="s">
        <v>8146</v>
      </c>
      <c r="AR422" s="77"/>
      <c r="AS422" s="77"/>
      <c r="AT422" s="77"/>
      <c r="AU422" s="77"/>
      <c r="AV422" s="83" t="str">
        <f>HYPERLINK("https://pbs.twimg.com/media/FmCEhiRWQAEoYhZ.jpg")</f>
        <v>https://pbs.twimg.com/media/FmCEhiRWQAEoYhZ.jpg</v>
      </c>
      <c r="AW422" s="81" t="s">
        <v>9692</v>
      </c>
      <c r="AX422" s="81" t="s">
        <v>9692</v>
      </c>
      <c r="AY422" s="77"/>
      <c r="AZ422" s="81" t="s">
        <v>11359</v>
      </c>
      <c r="BA422" s="81" t="s">
        <v>11359</v>
      </c>
      <c r="BB422" s="81" t="s">
        <v>11359</v>
      </c>
      <c r="BC422" s="81" t="s">
        <v>9692</v>
      </c>
      <c r="BD422" s="81" t="s">
        <v>11502</v>
      </c>
      <c r="BE422" s="77"/>
      <c r="BF422" s="77"/>
      <c r="BG422" s="77"/>
      <c r="BH422" s="77"/>
      <c r="BI422" s="77"/>
    </row>
    <row r="423" spans="1:61" x14ac:dyDescent="0.25">
      <c r="A423" s="62" t="s">
        <v>424</v>
      </c>
      <c r="B423" s="62" t="s">
        <v>424</v>
      </c>
      <c r="C423" s="63"/>
      <c r="D423" s="64"/>
      <c r="E423" s="65"/>
      <c r="F423" s="66"/>
      <c r="G423" s="63"/>
      <c r="H423" s="67"/>
      <c r="I423" s="68"/>
      <c r="J423" s="68"/>
      <c r="K423" s="32"/>
      <c r="L423" s="75">
        <v>423</v>
      </c>
      <c r="M423" s="75"/>
      <c r="N423" s="70"/>
      <c r="O423" s="77" t="s">
        <v>179</v>
      </c>
      <c r="P423" s="79">
        <v>44997.521041666667</v>
      </c>
      <c r="Q423" s="77" t="s">
        <v>1371</v>
      </c>
      <c r="R423" s="77">
        <v>0</v>
      </c>
      <c r="S423" s="77">
        <v>0</v>
      </c>
      <c r="T423" s="77">
        <v>0</v>
      </c>
      <c r="U423" s="77">
        <v>0</v>
      </c>
      <c r="V423" s="77">
        <v>20</v>
      </c>
      <c r="W423" s="81" t="s">
        <v>3230</v>
      </c>
      <c r="X423" s="83" t="str">
        <f>HYPERLINK("http://www.recrutadora.com.br/vagas.php")</f>
        <v>http://www.recrutadora.com.br/vagas.php</v>
      </c>
      <c r="Y423" s="77" t="s">
        <v>4223</v>
      </c>
      <c r="Z423" s="77"/>
      <c r="AA423" s="77" t="s">
        <v>4644</v>
      </c>
      <c r="AB423" s="77" t="s">
        <v>5794</v>
      </c>
      <c r="AC423" s="81" t="s">
        <v>5806</v>
      </c>
      <c r="AD423" s="77" t="s">
        <v>5851</v>
      </c>
      <c r="AE423" s="83" t="str">
        <f>HYPERLINK("https://twitter.com/rrecrutadora/status/1634894586328883201")</f>
        <v>https://twitter.com/rrecrutadora/status/1634894586328883201</v>
      </c>
      <c r="AF423" s="79">
        <v>44997.521041666667</v>
      </c>
      <c r="AG423" s="85">
        <v>44997</v>
      </c>
      <c r="AH423" s="81" t="s">
        <v>6246</v>
      </c>
      <c r="AI423" s="77" t="b">
        <v>0</v>
      </c>
      <c r="AJ423" s="77"/>
      <c r="AK423" s="77"/>
      <c r="AL423" s="77"/>
      <c r="AM423" s="77"/>
      <c r="AN423" s="77"/>
      <c r="AO423" s="77"/>
      <c r="AP423" s="77"/>
      <c r="AQ423" s="77" t="s">
        <v>8147</v>
      </c>
      <c r="AR423" s="77"/>
      <c r="AS423" s="77"/>
      <c r="AT423" s="77"/>
      <c r="AU423" s="77"/>
      <c r="AV423" s="83" t="str">
        <f>HYPERLINK("https://pbs.twimg.com/media/FrBP9klXoAA0K87.jpg")</f>
        <v>https://pbs.twimg.com/media/FrBP9klXoAA0K87.jpg</v>
      </c>
      <c r="AW423" s="81" t="s">
        <v>9693</v>
      </c>
      <c r="AX423" s="81" t="s">
        <v>9693</v>
      </c>
      <c r="AY423" s="77"/>
      <c r="AZ423" s="81" t="s">
        <v>11359</v>
      </c>
      <c r="BA423" s="81" t="s">
        <v>11359</v>
      </c>
      <c r="BB423" s="81" t="s">
        <v>11359</v>
      </c>
      <c r="BC423" s="81" t="s">
        <v>9693</v>
      </c>
      <c r="BD423" s="81" t="s">
        <v>11502</v>
      </c>
      <c r="BE423" s="77"/>
      <c r="BF423" s="77"/>
      <c r="BG423" s="77"/>
      <c r="BH423" s="77"/>
      <c r="BI423" s="77"/>
    </row>
    <row r="424" spans="1:61" x14ac:dyDescent="0.25">
      <c r="A424" s="62" t="s">
        <v>424</v>
      </c>
      <c r="B424" s="62" t="s">
        <v>424</v>
      </c>
      <c r="C424" s="63"/>
      <c r="D424" s="64"/>
      <c r="E424" s="65"/>
      <c r="F424" s="66"/>
      <c r="G424" s="63"/>
      <c r="H424" s="67"/>
      <c r="I424" s="68"/>
      <c r="J424" s="68"/>
      <c r="K424" s="32"/>
      <c r="L424" s="75">
        <v>424</v>
      </c>
      <c r="M424" s="75"/>
      <c r="N424" s="70"/>
      <c r="O424" s="77" t="s">
        <v>179</v>
      </c>
      <c r="P424" s="79">
        <v>44967.462002314816</v>
      </c>
      <c r="Q424" s="77" t="s">
        <v>1372</v>
      </c>
      <c r="R424" s="77">
        <v>0</v>
      </c>
      <c r="S424" s="77">
        <v>0</v>
      </c>
      <c r="T424" s="77">
        <v>0</v>
      </c>
      <c r="U424" s="77">
        <v>0</v>
      </c>
      <c r="V424" s="77">
        <v>20</v>
      </c>
      <c r="W424" s="81" t="s">
        <v>3230</v>
      </c>
      <c r="X424" s="83" t="str">
        <f>HYPERLINK("http://www.recrutadora.com.br/vagas.php")</f>
        <v>http://www.recrutadora.com.br/vagas.php</v>
      </c>
      <c r="Y424" s="77" t="s">
        <v>4223</v>
      </c>
      <c r="Z424" s="77"/>
      <c r="AA424" s="77" t="s">
        <v>4645</v>
      </c>
      <c r="AB424" s="77" t="s">
        <v>5794</v>
      </c>
      <c r="AC424" s="81" t="s">
        <v>5806</v>
      </c>
      <c r="AD424" s="77" t="s">
        <v>5851</v>
      </c>
      <c r="AE424" s="83" t="str">
        <f>HYPERLINK("https://twitter.com/rrecrutadora/status/1624001554620510218")</f>
        <v>https://twitter.com/rrecrutadora/status/1624001554620510218</v>
      </c>
      <c r="AF424" s="79">
        <v>44967.462002314816</v>
      </c>
      <c r="AG424" s="85">
        <v>44967</v>
      </c>
      <c r="AH424" s="81" t="s">
        <v>6247</v>
      </c>
      <c r="AI424" s="77" t="b">
        <v>0</v>
      </c>
      <c r="AJ424" s="77"/>
      <c r="AK424" s="77"/>
      <c r="AL424" s="77"/>
      <c r="AM424" s="77"/>
      <c r="AN424" s="77"/>
      <c r="AO424" s="77"/>
      <c r="AP424" s="77"/>
      <c r="AQ424" s="77" t="s">
        <v>8148</v>
      </c>
      <c r="AR424" s="77"/>
      <c r="AS424" s="77"/>
      <c r="AT424" s="77"/>
      <c r="AU424" s="77"/>
      <c r="AV424" s="83" t="str">
        <f>HYPERLINK("https://pbs.twimg.com/media/FomczpiXEAALrOO.jpg")</f>
        <v>https://pbs.twimg.com/media/FomczpiXEAALrOO.jpg</v>
      </c>
      <c r="AW424" s="81" t="s">
        <v>9694</v>
      </c>
      <c r="AX424" s="81" t="s">
        <v>9694</v>
      </c>
      <c r="AY424" s="77"/>
      <c r="AZ424" s="81" t="s">
        <v>11359</v>
      </c>
      <c r="BA424" s="81" t="s">
        <v>11359</v>
      </c>
      <c r="BB424" s="81" t="s">
        <v>11359</v>
      </c>
      <c r="BC424" s="81" t="s">
        <v>9694</v>
      </c>
      <c r="BD424" s="81" t="s">
        <v>11502</v>
      </c>
      <c r="BE424" s="77"/>
      <c r="BF424" s="77"/>
      <c r="BG424" s="77"/>
      <c r="BH424" s="77"/>
      <c r="BI424" s="77"/>
    </row>
    <row r="425" spans="1:61" x14ac:dyDescent="0.25">
      <c r="A425" s="62" t="s">
        <v>424</v>
      </c>
      <c r="B425" s="62" t="s">
        <v>424</v>
      </c>
      <c r="C425" s="63"/>
      <c r="D425" s="64"/>
      <c r="E425" s="65"/>
      <c r="F425" s="66"/>
      <c r="G425" s="63"/>
      <c r="H425" s="67"/>
      <c r="I425" s="68"/>
      <c r="J425" s="68"/>
      <c r="K425" s="32"/>
      <c r="L425" s="75">
        <v>425</v>
      </c>
      <c r="M425" s="75"/>
      <c r="N425" s="70"/>
      <c r="O425" s="77" t="s">
        <v>179</v>
      </c>
      <c r="P425" s="79">
        <v>44966.876111111109</v>
      </c>
      <c r="Q425" s="77" t="s">
        <v>1373</v>
      </c>
      <c r="R425" s="77">
        <v>0</v>
      </c>
      <c r="S425" s="77">
        <v>0</v>
      </c>
      <c r="T425" s="77">
        <v>0</v>
      </c>
      <c r="U425" s="77">
        <v>0</v>
      </c>
      <c r="V425" s="77">
        <v>25</v>
      </c>
      <c r="W425" s="81" t="s">
        <v>3230</v>
      </c>
      <c r="X425" s="83" t="str">
        <f>HYPERLINK("http://www.recrutadora.com.br/vagas.php")</f>
        <v>http://www.recrutadora.com.br/vagas.php</v>
      </c>
      <c r="Y425" s="77" t="s">
        <v>4223</v>
      </c>
      <c r="Z425" s="77"/>
      <c r="AA425" s="77" t="s">
        <v>4646</v>
      </c>
      <c r="AB425" s="77" t="s">
        <v>5794</v>
      </c>
      <c r="AC425" s="81" t="s">
        <v>5806</v>
      </c>
      <c r="AD425" s="77" t="s">
        <v>5851</v>
      </c>
      <c r="AE425" s="83" t="str">
        <f>HYPERLINK("https://twitter.com/rrecrutadora/status/1623789232987725824")</f>
        <v>https://twitter.com/rrecrutadora/status/1623789232987725824</v>
      </c>
      <c r="AF425" s="79">
        <v>44966.876111111109</v>
      </c>
      <c r="AG425" s="85">
        <v>44966</v>
      </c>
      <c r="AH425" s="81" t="s">
        <v>6248</v>
      </c>
      <c r="AI425" s="77" t="b">
        <v>0</v>
      </c>
      <c r="AJ425" s="77"/>
      <c r="AK425" s="77"/>
      <c r="AL425" s="77"/>
      <c r="AM425" s="77"/>
      <c r="AN425" s="77"/>
      <c r="AO425" s="77"/>
      <c r="AP425" s="77"/>
      <c r="AQ425" s="77" t="s">
        <v>8149</v>
      </c>
      <c r="AR425" s="77"/>
      <c r="AS425" s="77"/>
      <c r="AT425" s="77"/>
      <c r="AU425" s="77"/>
      <c r="AV425" s="83" t="str">
        <f>HYPERLINK("https://pbs.twimg.com/media/Fojbs66XgAACRgG.jpg")</f>
        <v>https://pbs.twimg.com/media/Fojbs66XgAACRgG.jpg</v>
      </c>
      <c r="AW425" s="81" t="s">
        <v>9695</v>
      </c>
      <c r="AX425" s="81" t="s">
        <v>9695</v>
      </c>
      <c r="AY425" s="77"/>
      <c r="AZ425" s="81" t="s">
        <v>11359</v>
      </c>
      <c r="BA425" s="81" t="s">
        <v>11359</v>
      </c>
      <c r="BB425" s="81" t="s">
        <v>11359</v>
      </c>
      <c r="BC425" s="81" t="s">
        <v>9695</v>
      </c>
      <c r="BD425" s="81" t="s">
        <v>11502</v>
      </c>
      <c r="BE425" s="77"/>
      <c r="BF425" s="77"/>
      <c r="BG425" s="77"/>
      <c r="BH425" s="77"/>
      <c r="BI425" s="77"/>
    </row>
    <row r="426" spans="1:61" x14ac:dyDescent="0.25">
      <c r="A426" s="62" t="s">
        <v>424</v>
      </c>
      <c r="B426" s="62" t="s">
        <v>424</v>
      </c>
      <c r="C426" s="63"/>
      <c r="D426" s="64"/>
      <c r="E426" s="65"/>
      <c r="F426" s="66"/>
      <c r="G426" s="63"/>
      <c r="H426" s="67"/>
      <c r="I426" s="68"/>
      <c r="J426" s="68"/>
      <c r="K426" s="32"/>
      <c r="L426" s="75">
        <v>426</v>
      </c>
      <c r="M426" s="75"/>
      <c r="N426" s="70"/>
      <c r="O426" s="77" t="s">
        <v>179</v>
      </c>
      <c r="P426" s="79">
        <v>44966.857835648145</v>
      </c>
      <c r="Q426" s="77" t="s">
        <v>1374</v>
      </c>
      <c r="R426" s="77">
        <v>0</v>
      </c>
      <c r="S426" s="77">
        <v>0</v>
      </c>
      <c r="T426" s="77">
        <v>0</v>
      </c>
      <c r="U426" s="77">
        <v>0</v>
      </c>
      <c r="V426" s="77">
        <v>20</v>
      </c>
      <c r="W426" s="81" t="s">
        <v>3230</v>
      </c>
      <c r="X426" s="83" t="str">
        <f>HYPERLINK("http://www.recrutadora.com.br/vagas.php")</f>
        <v>http://www.recrutadora.com.br/vagas.php</v>
      </c>
      <c r="Y426" s="77" t="s">
        <v>4223</v>
      </c>
      <c r="Z426" s="77"/>
      <c r="AA426" s="77" t="s">
        <v>4647</v>
      </c>
      <c r="AB426" s="77" t="s">
        <v>5794</v>
      </c>
      <c r="AC426" s="81" t="s">
        <v>5806</v>
      </c>
      <c r="AD426" s="77" t="s">
        <v>5851</v>
      </c>
      <c r="AE426" s="83" t="str">
        <f>HYPERLINK("https://twitter.com/rrecrutadora/status/1623782609753890817")</f>
        <v>https://twitter.com/rrecrutadora/status/1623782609753890817</v>
      </c>
      <c r="AF426" s="79">
        <v>44966.857835648145</v>
      </c>
      <c r="AG426" s="85">
        <v>44966</v>
      </c>
      <c r="AH426" s="81" t="s">
        <v>6249</v>
      </c>
      <c r="AI426" s="77" t="b">
        <v>0</v>
      </c>
      <c r="AJ426" s="77"/>
      <c r="AK426" s="77"/>
      <c r="AL426" s="77"/>
      <c r="AM426" s="77"/>
      <c r="AN426" s="77"/>
      <c r="AO426" s="77"/>
      <c r="AP426" s="77"/>
      <c r="AQ426" s="77" t="s">
        <v>8150</v>
      </c>
      <c r="AR426" s="77"/>
      <c r="AS426" s="77"/>
      <c r="AT426" s="77"/>
      <c r="AU426" s="77"/>
      <c r="AV426" s="83" t="str">
        <f>HYPERLINK("https://pbs.twimg.com/media/FojVrZIXoAMLsj5.jpg")</f>
        <v>https://pbs.twimg.com/media/FojVrZIXoAMLsj5.jpg</v>
      </c>
      <c r="AW426" s="81" t="s">
        <v>9696</v>
      </c>
      <c r="AX426" s="81" t="s">
        <v>9696</v>
      </c>
      <c r="AY426" s="77"/>
      <c r="AZ426" s="81" t="s">
        <v>11359</v>
      </c>
      <c r="BA426" s="81" t="s">
        <v>11359</v>
      </c>
      <c r="BB426" s="81" t="s">
        <v>11359</v>
      </c>
      <c r="BC426" s="81" t="s">
        <v>9696</v>
      </c>
      <c r="BD426" s="81" t="s">
        <v>11502</v>
      </c>
      <c r="BE426" s="77"/>
      <c r="BF426" s="77"/>
      <c r="BG426" s="77"/>
      <c r="BH426" s="77"/>
      <c r="BI426" s="77"/>
    </row>
    <row r="427" spans="1:61" x14ac:dyDescent="0.25">
      <c r="A427" s="62" t="s">
        <v>424</v>
      </c>
      <c r="B427" s="62" t="s">
        <v>424</v>
      </c>
      <c r="C427" s="63"/>
      <c r="D427" s="64"/>
      <c r="E427" s="65"/>
      <c r="F427" s="66"/>
      <c r="G427" s="63"/>
      <c r="H427" s="67"/>
      <c r="I427" s="68"/>
      <c r="J427" s="68"/>
      <c r="K427" s="32"/>
      <c r="L427" s="75">
        <v>427</v>
      </c>
      <c r="M427" s="75"/>
      <c r="N427" s="70"/>
      <c r="O427" s="77" t="s">
        <v>179</v>
      </c>
      <c r="P427" s="79">
        <v>44965.750358796293</v>
      </c>
      <c r="Q427" s="77" t="s">
        <v>1375</v>
      </c>
      <c r="R427" s="77">
        <v>0</v>
      </c>
      <c r="S427" s="77">
        <v>0</v>
      </c>
      <c r="T427" s="77">
        <v>0</v>
      </c>
      <c r="U427" s="77">
        <v>0</v>
      </c>
      <c r="V427" s="77">
        <v>22</v>
      </c>
      <c r="W427" s="81" t="s">
        <v>3231</v>
      </c>
      <c r="X427" s="83" t="str">
        <f>HYPERLINK("http://www.recrutadora.com.br/vagas.php")</f>
        <v>http://www.recrutadora.com.br/vagas.php</v>
      </c>
      <c r="Y427" s="77" t="s">
        <v>4223</v>
      </c>
      <c r="Z427" s="77"/>
      <c r="AA427" s="77" t="s">
        <v>4648</v>
      </c>
      <c r="AB427" s="77" t="s">
        <v>5794</v>
      </c>
      <c r="AC427" s="81" t="s">
        <v>5806</v>
      </c>
      <c r="AD427" s="77" t="s">
        <v>5851</v>
      </c>
      <c r="AE427" s="83" t="str">
        <f>HYPERLINK("https://twitter.com/rrecrutadora/status/1623381274835427354")</f>
        <v>https://twitter.com/rrecrutadora/status/1623381274835427354</v>
      </c>
      <c r="AF427" s="79">
        <v>44965.750358796293</v>
      </c>
      <c r="AG427" s="85">
        <v>44965</v>
      </c>
      <c r="AH427" s="81" t="s">
        <v>5922</v>
      </c>
      <c r="AI427" s="77" t="b">
        <v>0</v>
      </c>
      <c r="AJ427" s="77"/>
      <c r="AK427" s="77"/>
      <c r="AL427" s="77"/>
      <c r="AM427" s="77"/>
      <c r="AN427" s="77"/>
      <c r="AO427" s="77"/>
      <c r="AP427" s="77"/>
      <c r="AQ427" s="77" t="s">
        <v>8151</v>
      </c>
      <c r="AR427" s="77"/>
      <c r="AS427" s="77"/>
      <c r="AT427" s="77"/>
      <c r="AU427" s="77"/>
      <c r="AV427" s="83" t="str">
        <f>HYPERLINK("https://pbs.twimg.com/media/FodoqrVX0AE0lfk.jpg")</f>
        <v>https://pbs.twimg.com/media/FodoqrVX0AE0lfk.jpg</v>
      </c>
      <c r="AW427" s="81" t="s">
        <v>9697</v>
      </c>
      <c r="AX427" s="81" t="s">
        <v>9697</v>
      </c>
      <c r="AY427" s="77"/>
      <c r="AZ427" s="81" t="s">
        <v>11359</v>
      </c>
      <c r="BA427" s="81" t="s">
        <v>11359</v>
      </c>
      <c r="BB427" s="81" t="s">
        <v>11359</v>
      </c>
      <c r="BC427" s="81" t="s">
        <v>9697</v>
      </c>
      <c r="BD427" s="81" t="s">
        <v>11502</v>
      </c>
      <c r="BE427" s="77"/>
      <c r="BF427" s="77"/>
      <c r="BG427" s="77"/>
      <c r="BH427" s="77"/>
      <c r="BI427" s="77"/>
    </row>
    <row r="428" spans="1:61" x14ac:dyDescent="0.25">
      <c r="A428" s="62" t="s">
        <v>424</v>
      </c>
      <c r="B428" s="62" t="s">
        <v>424</v>
      </c>
      <c r="C428" s="63"/>
      <c r="D428" s="64"/>
      <c r="E428" s="65"/>
      <c r="F428" s="66"/>
      <c r="G428" s="63"/>
      <c r="H428" s="67"/>
      <c r="I428" s="68"/>
      <c r="J428" s="68"/>
      <c r="K428" s="32"/>
      <c r="L428" s="75">
        <v>428</v>
      </c>
      <c r="M428" s="75"/>
      <c r="N428" s="70"/>
      <c r="O428" s="77" t="s">
        <v>179</v>
      </c>
      <c r="P428" s="79">
        <v>45111.646053240744</v>
      </c>
      <c r="Q428" s="77" t="s">
        <v>1376</v>
      </c>
      <c r="R428" s="77">
        <v>0</v>
      </c>
      <c r="S428" s="77">
        <v>0</v>
      </c>
      <c r="T428" s="77">
        <v>0</v>
      </c>
      <c r="U428" s="77">
        <v>0</v>
      </c>
      <c r="V428" s="77">
        <v>14</v>
      </c>
      <c r="W428" s="81" t="s">
        <v>3232</v>
      </c>
      <c r="X428" s="83" t="str">
        <f>HYPERLINK("http://www.recrutadora.com.br/vagas.php")</f>
        <v>http://www.recrutadora.com.br/vagas.php</v>
      </c>
      <c r="Y428" s="77" t="s">
        <v>4223</v>
      </c>
      <c r="Z428" s="77"/>
      <c r="AA428" s="77" t="s">
        <v>4649</v>
      </c>
      <c r="AB428" s="77" t="s">
        <v>5794</v>
      </c>
      <c r="AC428" s="81" t="s">
        <v>5806</v>
      </c>
      <c r="AD428" s="77" t="s">
        <v>5851</v>
      </c>
      <c r="AE428" s="83" t="str">
        <f>HYPERLINK("https://twitter.com/rrecrutadora/status/1676252105131040769")</f>
        <v>https://twitter.com/rrecrutadora/status/1676252105131040769</v>
      </c>
      <c r="AF428" s="79">
        <v>45111.646053240744</v>
      </c>
      <c r="AG428" s="85">
        <v>45111</v>
      </c>
      <c r="AH428" s="81" t="s">
        <v>6250</v>
      </c>
      <c r="AI428" s="77" t="b">
        <v>0</v>
      </c>
      <c r="AJ428" s="77"/>
      <c r="AK428" s="77"/>
      <c r="AL428" s="77"/>
      <c r="AM428" s="77"/>
      <c r="AN428" s="77"/>
      <c r="AO428" s="77"/>
      <c r="AP428" s="77"/>
      <c r="AQ428" s="77" t="s">
        <v>8152</v>
      </c>
      <c r="AR428" s="77"/>
      <c r="AS428" s="77"/>
      <c r="AT428" s="77"/>
      <c r="AU428" s="77"/>
      <c r="AV428" s="83" t="str">
        <f>HYPERLINK("https://pbs.twimg.com/media/F0M-Z-4XoAMK2uh.jpg")</f>
        <v>https://pbs.twimg.com/media/F0M-Z-4XoAMK2uh.jpg</v>
      </c>
      <c r="AW428" s="81" t="s">
        <v>9698</v>
      </c>
      <c r="AX428" s="81" t="s">
        <v>9698</v>
      </c>
      <c r="AY428" s="77"/>
      <c r="AZ428" s="81" t="s">
        <v>11359</v>
      </c>
      <c r="BA428" s="81" t="s">
        <v>11359</v>
      </c>
      <c r="BB428" s="81" t="s">
        <v>11359</v>
      </c>
      <c r="BC428" s="81" t="s">
        <v>9698</v>
      </c>
      <c r="BD428" s="81" t="s">
        <v>11502</v>
      </c>
      <c r="BE428" s="77"/>
      <c r="BF428" s="77"/>
      <c r="BG428" s="77"/>
      <c r="BH428" s="77"/>
      <c r="BI428" s="77"/>
    </row>
    <row r="429" spans="1:61" x14ac:dyDescent="0.25">
      <c r="A429" s="62" t="s">
        <v>424</v>
      </c>
      <c r="B429" s="62" t="s">
        <v>424</v>
      </c>
      <c r="C429" s="63"/>
      <c r="D429" s="64"/>
      <c r="E429" s="65"/>
      <c r="F429" s="66"/>
      <c r="G429" s="63"/>
      <c r="H429" s="67"/>
      <c r="I429" s="68"/>
      <c r="J429" s="68"/>
      <c r="K429" s="32"/>
      <c r="L429" s="75">
        <v>429</v>
      </c>
      <c r="M429" s="75"/>
      <c r="N429" s="70"/>
      <c r="O429" s="77" t="s">
        <v>179</v>
      </c>
      <c r="P429" s="79">
        <v>45026.521087962959</v>
      </c>
      <c r="Q429" s="77" t="s">
        <v>1377</v>
      </c>
      <c r="R429" s="77">
        <v>0</v>
      </c>
      <c r="S429" s="77">
        <v>0</v>
      </c>
      <c r="T429" s="77">
        <v>0</v>
      </c>
      <c r="U429" s="77">
        <v>0</v>
      </c>
      <c r="V429" s="77">
        <v>29</v>
      </c>
      <c r="W429" s="81" t="s">
        <v>3233</v>
      </c>
      <c r="X429" s="77" t="s">
        <v>4156</v>
      </c>
      <c r="Y429" s="77" t="s">
        <v>4263</v>
      </c>
      <c r="Z429" s="77"/>
      <c r="AA429" s="77" t="s">
        <v>4650</v>
      </c>
      <c r="AB429" s="77" t="s">
        <v>5794</v>
      </c>
      <c r="AC429" s="81" t="s">
        <v>5806</v>
      </c>
      <c r="AD429" s="77" t="s">
        <v>5851</v>
      </c>
      <c r="AE429" s="83" t="str">
        <f>HYPERLINK("https://twitter.com/rrecrutadora/status/1645403847509114880")</f>
        <v>https://twitter.com/rrecrutadora/status/1645403847509114880</v>
      </c>
      <c r="AF429" s="79">
        <v>45026.521087962959</v>
      </c>
      <c r="AG429" s="85">
        <v>45026</v>
      </c>
      <c r="AH429" s="81" t="s">
        <v>6251</v>
      </c>
      <c r="AI429" s="77" t="b">
        <v>0</v>
      </c>
      <c r="AJ429" s="77"/>
      <c r="AK429" s="77"/>
      <c r="AL429" s="77"/>
      <c r="AM429" s="77"/>
      <c r="AN429" s="77"/>
      <c r="AO429" s="77"/>
      <c r="AP429" s="77"/>
      <c r="AQ429" s="77" t="s">
        <v>8153</v>
      </c>
      <c r="AR429" s="77"/>
      <c r="AS429" s="77"/>
      <c r="AT429" s="77"/>
      <c r="AU429" s="77"/>
      <c r="AV429" s="83" t="str">
        <f>HYPERLINK("https://pbs.twimg.com/media/FtWmFG6WAAIE7RI.jpg")</f>
        <v>https://pbs.twimg.com/media/FtWmFG6WAAIE7RI.jpg</v>
      </c>
      <c r="AW429" s="81" t="s">
        <v>9699</v>
      </c>
      <c r="AX429" s="81" t="s">
        <v>9699</v>
      </c>
      <c r="AY429" s="77"/>
      <c r="AZ429" s="81" t="s">
        <v>11359</v>
      </c>
      <c r="BA429" s="81" t="s">
        <v>11359</v>
      </c>
      <c r="BB429" s="81" t="s">
        <v>11359</v>
      </c>
      <c r="BC429" s="81" t="s">
        <v>9699</v>
      </c>
      <c r="BD429" s="81" t="s">
        <v>11502</v>
      </c>
      <c r="BE429" s="77"/>
      <c r="BF429" s="77"/>
      <c r="BG429" s="77"/>
      <c r="BH429" s="77"/>
      <c r="BI429" s="77"/>
    </row>
    <row r="430" spans="1:61" x14ac:dyDescent="0.25">
      <c r="A430" s="62" t="s">
        <v>424</v>
      </c>
      <c r="B430" s="62" t="s">
        <v>424</v>
      </c>
      <c r="C430" s="63"/>
      <c r="D430" s="64"/>
      <c r="E430" s="65"/>
      <c r="F430" s="66"/>
      <c r="G430" s="63"/>
      <c r="H430" s="67"/>
      <c r="I430" s="68"/>
      <c r="J430" s="68"/>
      <c r="K430" s="32"/>
      <c r="L430" s="75">
        <v>430</v>
      </c>
      <c r="M430" s="75"/>
      <c r="N430" s="70"/>
      <c r="O430" s="77" t="s">
        <v>179</v>
      </c>
      <c r="P430" s="79">
        <v>45125.729386574072</v>
      </c>
      <c r="Q430" s="77" t="s">
        <v>1378</v>
      </c>
      <c r="R430" s="77">
        <v>0</v>
      </c>
      <c r="S430" s="77">
        <v>0</v>
      </c>
      <c r="T430" s="77">
        <v>0</v>
      </c>
      <c r="U430" s="77">
        <v>0</v>
      </c>
      <c r="V430" s="77">
        <v>10</v>
      </c>
      <c r="W430" s="81" t="s">
        <v>3234</v>
      </c>
      <c r="X430" s="83" t="str">
        <f>HYPERLINK("http://www.recrutadora.com.br/vagas.php")</f>
        <v>http://www.recrutadora.com.br/vagas.php</v>
      </c>
      <c r="Y430" s="77" t="s">
        <v>4223</v>
      </c>
      <c r="Z430" s="77"/>
      <c r="AA430" s="77" t="s">
        <v>4651</v>
      </c>
      <c r="AB430" s="77" t="s">
        <v>5794</v>
      </c>
      <c r="AC430" s="81" t="s">
        <v>5806</v>
      </c>
      <c r="AD430" s="77" t="s">
        <v>5851</v>
      </c>
      <c r="AE430" s="83" t="str">
        <f>HYPERLINK("https://twitter.com/rrecrutadora/status/1681355734724886529")</f>
        <v>https://twitter.com/rrecrutadora/status/1681355734724886529</v>
      </c>
      <c r="AF430" s="79">
        <v>45125.729386574072</v>
      </c>
      <c r="AG430" s="85">
        <v>45125</v>
      </c>
      <c r="AH430" s="81" t="s">
        <v>6252</v>
      </c>
      <c r="AI430" s="77" t="b">
        <v>0</v>
      </c>
      <c r="AJ430" s="77"/>
      <c r="AK430" s="77"/>
      <c r="AL430" s="77"/>
      <c r="AM430" s="77"/>
      <c r="AN430" s="77"/>
      <c r="AO430" s="77"/>
      <c r="AP430" s="77"/>
      <c r="AQ430" s="77" t="s">
        <v>8154</v>
      </c>
      <c r="AR430" s="77"/>
      <c r="AS430" s="77"/>
      <c r="AT430" s="77"/>
      <c r="AU430" s="77"/>
      <c r="AV430" s="83" t="str">
        <f>HYPERLINK("https://pbs.twimg.com/media/F1VgIUYXwBs9QqD.jpg")</f>
        <v>https://pbs.twimg.com/media/F1VgIUYXwBs9QqD.jpg</v>
      </c>
      <c r="AW430" s="81" t="s">
        <v>9700</v>
      </c>
      <c r="AX430" s="81" t="s">
        <v>9700</v>
      </c>
      <c r="AY430" s="77"/>
      <c r="AZ430" s="81" t="s">
        <v>11359</v>
      </c>
      <c r="BA430" s="81" t="s">
        <v>11359</v>
      </c>
      <c r="BB430" s="81" t="s">
        <v>11359</v>
      </c>
      <c r="BC430" s="81" t="s">
        <v>9700</v>
      </c>
      <c r="BD430" s="81" t="s">
        <v>11502</v>
      </c>
      <c r="BE430" s="77"/>
      <c r="BF430" s="77"/>
      <c r="BG430" s="77"/>
      <c r="BH430" s="77"/>
      <c r="BI430" s="77"/>
    </row>
    <row r="431" spans="1:61" x14ac:dyDescent="0.25">
      <c r="A431" s="62" t="s">
        <v>424</v>
      </c>
      <c r="B431" s="62" t="s">
        <v>424</v>
      </c>
      <c r="C431" s="63"/>
      <c r="D431" s="64"/>
      <c r="E431" s="65"/>
      <c r="F431" s="66"/>
      <c r="G431" s="63"/>
      <c r="H431" s="67"/>
      <c r="I431" s="68"/>
      <c r="J431" s="68"/>
      <c r="K431" s="32"/>
      <c r="L431" s="75">
        <v>431</v>
      </c>
      <c r="M431" s="75"/>
      <c r="N431" s="70"/>
      <c r="O431" s="77" t="s">
        <v>179</v>
      </c>
      <c r="P431" s="79">
        <v>44963.626018518517</v>
      </c>
      <c r="Q431" s="77" t="s">
        <v>1379</v>
      </c>
      <c r="R431" s="77">
        <v>0</v>
      </c>
      <c r="S431" s="77">
        <v>0</v>
      </c>
      <c r="T431" s="77">
        <v>0</v>
      </c>
      <c r="U431" s="77">
        <v>0</v>
      </c>
      <c r="V431" s="77">
        <v>25</v>
      </c>
      <c r="W431" s="81" t="s">
        <v>3235</v>
      </c>
      <c r="X431" s="83" t="str">
        <f>HYPERLINK("http://www.recrutadora.com.br/vagas.php")</f>
        <v>http://www.recrutadora.com.br/vagas.php</v>
      </c>
      <c r="Y431" s="77" t="s">
        <v>4223</v>
      </c>
      <c r="Z431" s="77"/>
      <c r="AA431" s="77" t="s">
        <v>4652</v>
      </c>
      <c r="AB431" s="77" t="s">
        <v>5794</v>
      </c>
      <c r="AC431" s="81" t="s">
        <v>5806</v>
      </c>
      <c r="AD431" s="77" t="s">
        <v>5851</v>
      </c>
      <c r="AE431" s="83" t="str">
        <f>HYPERLINK("https://twitter.com/rrecrutadora/status/1622611438358478848")</f>
        <v>https://twitter.com/rrecrutadora/status/1622611438358478848</v>
      </c>
      <c r="AF431" s="79">
        <v>44963.626018518517</v>
      </c>
      <c r="AG431" s="85">
        <v>44963</v>
      </c>
      <c r="AH431" s="81" t="s">
        <v>6253</v>
      </c>
      <c r="AI431" s="77" t="b">
        <v>0</v>
      </c>
      <c r="AJ431" s="77"/>
      <c r="AK431" s="77"/>
      <c r="AL431" s="77"/>
      <c r="AM431" s="77"/>
      <c r="AN431" s="77"/>
      <c r="AO431" s="77"/>
      <c r="AP431" s="77"/>
      <c r="AQ431" s="77" t="s">
        <v>8155</v>
      </c>
      <c r="AR431" s="77"/>
      <c r="AS431" s="77"/>
      <c r="AT431" s="77"/>
      <c r="AU431" s="77"/>
      <c r="AV431" s="83" t="str">
        <f>HYPERLINK("https://pbs.twimg.com/media/FoSsgS0XEAEGjR7.jpg")</f>
        <v>https://pbs.twimg.com/media/FoSsgS0XEAEGjR7.jpg</v>
      </c>
      <c r="AW431" s="81" t="s">
        <v>9701</v>
      </c>
      <c r="AX431" s="81" t="s">
        <v>9701</v>
      </c>
      <c r="AY431" s="77"/>
      <c r="AZ431" s="81" t="s">
        <v>11359</v>
      </c>
      <c r="BA431" s="81" t="s">
        <v>11359</v>
      </c>
      <c r="BB431" s="81" t="s">
        <v>11359</v>
      </c>
      <c r="BC431" s="81" t="s">
        <v>9701</v>
      </c>
      <c r="BD431" s="81" t="s">
        <v>11502</v>
      </c>
      <c r="BE431" s="77"/>
      <c r="BF431" s="77"/>
      <c r="BG431" s="77"/>
      <c r="BH431" s="77"/>
      <c r="BI431" s="77"/>
    </row>
    <row r="432" spans="1:61" x14ac:dyDescent="0.25">
      <c r="A432" s="62" t="s">
        <v>424</v>
      </c>
      <c r="B432" s="62" t="s">
        <v>424</v>
      </c>
      <c r="C432" s="63"/>
      <c r="D432" s="64"/>
      <c r="E432" s="65"/>
      <c r="F432" s="66"/>
      <c r="G432" s="63"/>
      <c r="H432" s="67"/>
      <c r="I432" s="68"/>
      <c r="J432" s="68"/>
      <c r="K432" s="32"/>
      <c r="L432" s="75">
        <v>432</v>
      </c>
      <c r="M432" s="75"/>
      <c r="N432" s="70"/>
      <c r="O432" s="77" t="s">
        <v>179</v>
      </c>
      <c r="P432" s="79">
        <v>44963.543379629627</v>
      </c>
      <c r="Q432" s="77" t="s">
        <v>1380</v>
      </c>
      <c r="R432" s="77">
        <v>0</v>
      </c>
      <c r="S432" s="77">
        <v>0</v>
      </c>
      <c r="T432" s="77">
        <v>0</v>
      </c>
      <c r="U432" s="77">
        <v>0</v>
      </c>
      <c r="V432" s="77">
        <v>25</v>
      </c>
      <c r="W432" s="81" t="s">
        <v>3231</v>
      </c>
      <c r="X432" s="83" t="str">
        <f>HYPERLINK("http://www.recrutadora.com.br/vagas.php")</f>
        <v>http://www.recrutadora.com.br/vagas.php</v>
      </c>
      <c r="Y432" s="77" t="s">
        <v>4223</v>
      </c>
      <c r="Z432" s="77"/>
      <c r="AA432" s="77" t="s">
        <v>4653</v>
      </c>
      <c r="AB432" s="77" t="s">
        <v>5794</v>
      </c>
      <c r="AC432" s="81" t="s">
        <v>5806</v>
      </c>
      <c r="AD432" s="77" t="s">
        <v>5851</v>
      </c>
      <c r="AE432" s="83" t="str">
        <f>HYPERLINK("https://twitter.com/rrecrutadora/status/1622581490147000322")</f>
        <v>https://twitter.com/rrecrutadora/status/1622581490147000322</v>
      </c>
      <c r="AF432" s="79">
        <v>44963.543379629627</v>
      </c>
      <c r="AG432" s="85">
        <v>44963</v>
      </c>
      <c r="AH432" s="81" t="s">
        <v>6254</v>
      </c>
      <c r="AI432" s="77" t="b">
        <v>0</v>
      </c>
      <c r="AJ432" s="77"/>
      <c r="AK432" s="77"/>
      <c r="AL432" s="77"/>
      <c r="AM432" s="77"/>
      <c r="AN432" s="77"/>
      <c r="AO432" s="77"/>
      <c r="AP432" s="77"/>
      <c r="AQ432" s="77" t="s">
        <v>8156</v>
      </c>
      <c r="AR432" s="77"/>
      <c r="AS432" s="77"/>
      <c r="AT432" s="77"/>
      <c r="AU432" s="77"/>
      <c r="AV432" s="83" t="str">
        <f>HYPERLINK("https://pbs.twimg.com/media/FoSRRDbWcAADoyx.jpg")</f>
        <v>https://pbs.twimg.com/media/FoSRRDbWcAADoyx.jpg</v>
      </c>
      <c r="AW432" s="81" t="s">
        <v>9702</v>
      </c>
      <c r="AX432" s="81" t="s">
        <v>9702</v>
      </c>
      <c r="AY432" s="77"/>
      <c r="AZ432" s="81" t="s">
        <v>11359</v>
      </c>
      <c r="BA432" s="81" t="s">
        <v>11359</v>
      </c>
      <c r="BB432" s="81" t="s">
        <v>11359</v>
      </c>
      <c r="BC432" s="81" t="s">
        <v>9702</v>
      </c>
      <c r="BD432" s="81" t="s">
        <v>11502</v>
      </c>
      <c r="BE432" s="77"/>
      <c r="BF432" s="77"/>
      <c r="BG432" s="77"/>
      <c r="BH432" s="77"/>
      <c r="BI432" s="77"/>
    </row>
    <row r="433" spans="1:61" x14ac:dyDescent="0.25">
      <c r="A433" s="62" t="s">
        <v>424</v>
      </c>
      <c r="B433" s="62" t="s">
        <v>424</v>
      </c>
      <c r="C433" s="63"/>
      <c r="D433" s="64"/>
      <c r="E433" s="65"/>
      <c r="F433" s="66"/>
      <c r="G433" s="63"/>
      <c r="H433" s="67"/>
      <c r="I433" s="68"/>
      <c r="J433" s="68"/>
      <c r="K433" s="32"/>
      <c r="L433" s="75">
        <v>433</v>
      </c>
      <c r="M433" s="75"/>
      <c r="N433" s="70"/>
      <c r="O433" s="77" t="s">
        <v>179</v>
      </c>
      <c r="P433" s="79">
        <v>44962.437662037039</v>
      </c>
      <c r="Q433" s="77" t="s">
        <v>1381</v>
      </c>
      <c r="R433" s="77">
        <v>0</v>
      </c>
      <c r="S433" s="77">
        <v>0</v>
      </c>
      <c r="T433" s="77">
        <v>0</v>
      </c>
      <c r="U433" s="77">
        <v>0</v>
      </c>
      <c r="V433" s="77">
        <v>18</v>
      </c>
      <c r="W433" s="81" t="s">
        <v>3230</v>
      </c>
      <c r="X433" s="83" t="str">
        <f>HYPERLINK("http://www.recrutadora.com.br/vagas.php")</f>
        <v>http://www.recrutadora.com.br/vagas.php</v>
      </c>
      <c r="Y433" s="77" t="s">
        <v>4223</v>
      </c>
      <c r="Z433" s="77"/>
      <c r="AA433" s="77" t="s">
        <v>4654</v>
      </c>
      <c r="AB433" s="77" t="s">
        <v>5794</v>
      </c>
      <c r="AC433" s="81" t="s">
        <v>5806</v>
      </c>
      <c r="AD433" s="77" t="s">
        <v>5851</v>
      </c>
      <c r="AE433" s="83" t="str">
        <f>HYPERLINK("https://twitter.com/rrecrutadora/status/1622180794369286144")</f>
        <v>https://twitter.com/rrecrutadora/status/1622180794369286144</v>
      </c>
      <c r="AF433" s="79">
        <v>44962.437662037039</v>
      </c>
      <c r="AG433" s="85">
        <v>44962</v>
      </c>
      <c r="AH433" s="81" t="s">
        <v>6255</v>
      </c>
      <c r="AI433" s="77" t="b">
        <v>0</v>
      </c>
      <c r="AJ433" s="77"/>
      <c r="AK433" s="77"/>
      <c r="AL433" s="77"/>
      <c r="AM433" s="77"/>
      <c r="AN433" s="77"/>
      <c r="AO433" s="77"/>
      <c r="AP433" s="77"/>
      <c r="AQ433" s="77" t="s">
        <v>8157</v>
      </c>
      <c r="AR433" s="77"/>
      <c r="AS433" s="77"/>
      <c r="AT433" s="77"/>
      <c r="AU433" s="77"/>
      <c r="AV433" s="83" t="str">
        <f>HYPERLINK("https://pbs.twimg.com/media/FoMk1exXgAUAPF_.jpg")</f>
        <v>https://pbs.twimg.com/media/FoMk1exXgAUAPF_.jpg</v>
      </c>
      <c r="AW433" s="81" t="s">
        <v>9703</v>
      </c>
      <c r="AX433" s="81" t="s">
        <v>9703</v>
      </c>
      <c r="AY433" s="77"/>
      <c r="AZ433" s="81" t="s">
        <v>11359</v>
      </c>
      <c r="BA433" s="81" t="s">
        <v>11359</v>
      </c>
      <c r="BB433" s="81" t="s">
        <v>11359</v>
      </c>
      <c r="BC433" s="81" t="s">
        <v>9703</v>
      </c>
      <c r="BD433" s="81" t="s">
        <v>11502</v>
      </c>
      <c r="BE433" s="77"/>
      <c r="BF433" s="77"/>
      <c r="BG433" s="77"/>
      <c r="BH433" s="77"/>
      <c r="BI433" s="77"/>
    </row>
    <row r="434" spans="1:61" x14ac:dyDescent="0.25">
      <c r="A434" s="62" t="s">
        <v>424</v>
      </c>
      <c r="B434" s="62" t="s">
        <v>424</v>
      </c>
      <c r="C434" s="63"/>
      <c r="D434" s="64"/>
      <c r="E434" s="65"/>
      <c r="F434" s="66"/>
      <c r="G434" s="63"/>
      <c r="H434" s="67"/>
      <c r="I434" s="68"/>
      <c r="J434" s="68"/>
      <c r="K434" s="32"/>
      <c r="L434" s="75">
        <v>434</v>
      </c>
      <c r="M434" s="75"/>
      <c r="N434" s="70"/>
      <c r="O434" s="77" t="s">
        <v>179</v>
      </c>
      <c r="P434" s="79">
        <v>44957.791932870372</v>
      </c>
      <c r="Q434" s="77" t="s">
        <v>1382</v>
      </c>
      <c r="R434" s="77">
        <v>0</v>
      </c>
      <c r="S434" s="77">
        <v>0</v>
      </c>
      <c r="T434" s="77">
        <v>0</v>
      </c>
      <c r="U434" s="77">
        <v>0</v>
      </c>
      <c r="V434" s="77">
        <v>16</v>
      </c>
      <c r="W434" s="81" t="s">
        <v>3230</v>
      </c>
      <c r="X434" s="83" t="str">
        <f>HYPERLINK("http://www.recrutadora.com.br/vagas.php")</f>
        <v>http://www.recrutadora.com.br/vagas.php</v>
      </c>
      <c r="Y434" s="77" t="s">
        <v>4223</v>
      </c>
      <c r="Z434" s="77"/>
      <c r="AA434" s="77" t="s">
        <v>4655</v>
      </c>
      <c r="AB434" s="77" t="s">
        <v>5794</v>
      </c>
      <c r="AC434" s="81" t="s">
        <v>5806</v>
      </c>
      <c r="AD434" s="77" t="s">
        <v>5851</v>
      </c>
      <c r="AE434" s="83" t="str">
        <f>HYPERLINK("https://twitter.com/rrecrutadora/status/1620497238681165842")</f>
        <v>https://twitter.com/rrecrutadora/status/1620497238681165842</v>
      </c>
      <c r="AF434" s="79">
        <v>44957.791932870372</v>
      </c>
      <c r="AG434" s="85">
        <v>44957</v>
      </c>
      <c r="AH434" s="81" t="s">
        <v>6256</v>
      </c>
      <c r="AI434" s="77" t="b">
        <v>0</v>
      </c>
      <c r="AJ434" s="77"/>
      <c r="AK434" s="77"/>
      <c r="AL434" s="77"/>
      <c r="AM434" s="77"/>
      <c r="AN434" s="77"/>
      <c r="AO434" s="77"/>
      <c r="AP434" s="77"/>
      <c r="AQ434" s="77" t="s">
        <v>8158</v>
      </c>
      <c r="AR434" s="77"/>
      <c r="AS434" s="77"/>
      <c r="AT434" s="77"/>
      <c r="AU434" s="77"/>
      <c r="AV434" s="83" t="str">
        <f>HYPERLINK("https://pbs.twimg.com/media/Fn0ppraXoB4Xw6w.jpg")</f>
        <v>https://pbs.twimg.com/media/Fn0ppraXoB4Xw6w.jpg</v>
      </c>
      <c r="AW434" s="81" t="s">
        <v>9704</v>
      </c>
      <c r="AX434" s="81" t="s">
        <v>9704</v>
      </c>
      <c r="AY434" s="77"/>
      <c r="AZ434" s="81" t="s">
        <v>11359</v>
      </c>
      <c r="BA434" s="81" t="s">
        <v>11359</v>
      </c>
      <c r="BB434" s="81" t="s">
        <v>11359</v>
      </c>
      <c r="BC434" s="81" t="s">
        <v>9704</v>
      </c>
      <c r="BD434" s="81" t="s">
        <v>11502</v>
      </c>
      <c r="BE434" s="77"/>
      <c r="BF434" s="77"/>
      <c r="BG434" s="77"/>
      <c r="BH434" s="77"/>
      <c r="BI434" s="77"/>
    </row>
    <row r="435" spans="1:61" x14ac:dyDescent="0.25">
      <c r="A435" s="62" t="s">
        <v>424</v>
      </c>
      <c r="B435" s="62" t="s">
        <v>424</v>
      </c>
      <c r="C435" s="63"/>
      <c r="D435" s="64"/>
      <c r="E435" s="65"/>
      <c r="F435" s="66"/>
      <c r="G435" s="63"/>
      <c r="H435" s="67"/>
      <c r="I435" s="68"/>
      <c r="J435" s="68"/>
      <c r="K435" s="32"/>
      <c r="L435" s="75">
        <v>435</v>
      </c>
      <c r="M435" s="75"/>
      <c r="N435" s="70"/>
      <c r="O435" s="77" t="s">
        <v>179</v>
      </c>
      <c r="P435" s="79">
        <v>45132.709050925929</v>
      </c>
      <c r="Q435" s="77" t="s">
        <v>1383</v>
      </c>
      <c r="R435" s="77">
        <v>0</v>
      </c>
      <c r="S435" s="77">
        <v>0</v>
      </c>
      <c r="T435" s="77">
        <v>0</v>
      </c>
      <c r="U435" s="77">
        <v>0</v>
      </c>
      <c r="V435" s="77">
        <v>18</v>
      </c>
      <c r="W435" s="81" t="s">
        <v>3236</v>
      </c>
      <c r="X435" s="83" t="str">
        <f>HYPERLINK("http://www.recrutadora.com.br/vagas.php")</f>
        <v>http://www.recrutadora.com.br/vagas.php</v>
      </c>
      <c r="Y435" s="77" t="s">
        <v>4223</v>
      </c>
      <c r="Z435" s="77"/>
      <c r="AA435" s="77" t="s">
        <v>4656</v>
      </c>
      <c r="AB435" s="77" t="s">
        <v>5794</v>
      </c>
      <c r="AC435" s="81" t="s">
        <v>5808</v>
      </c>
      <c r="AD435" s="77" t="s">
        <v>5851</v>
      </c>
      <c r="AE435" s="83" t="str">
        <f>HYPERLINK("https://twitter.com/rrecrutadora/status/1683885080018661404")</f>
        <v>https://twitter.com/rrecrutadora/status/1683885080018661404</v>
      </c>
      <c r="AF435" s="79">
        <v>45132.709050925929</v>
      </c>
      <c r="AG435" s="85">
        <v>45132</v>
      </c>
      <c r="AH435" s="81" t="s">
        <v>6257</v>
      </c>
      <c r="AI435" s="77" t="b">
        <v>0</v>
      </c>
      <c r="AJ435" s="77"/>
      <c r="AK435" s="77"/>
      <c r="AL435" s="77"/>
      <c r="AM435" s="77"/>
      <c r="AN435" s="77"/>
      <c r="AO435" s="77"/>
      <c r="AP435" s="77"/>
      <c r="AQ435" s="77" t="s">
        <v>8159</v>
      </c>
      <c r="AR435" s="77"/>
      <c r="AS435" s="77"/>
      <c r="AT435" s="77"/>
      <c r="AU435" s="77"/>
      <c r="AV435" s="83" t="str">
        <f>HYPERLINK("https://pbs.twimg.com/media/F15cjkMXsAUgsFU.jpg")</f>
        <v>https://pbs.twimg.com/media/F15cjkMXsAUgsFU.jpg</v>
      </c>
      <c r="AW435" s="81" t="s">
        <v>9705</v>
      </c>
      <c r="AX435" s="81" t="s">
        <v>9705</v>
      </c>
      <c r="AY435" s="77"/>
      <c r="AZ435" s="81" t="s">
        <v>11359</v>
      </c>
      <c r="BA435" s="81" t="s">
        <v>11359</v>
      </c>
      <c r="BB435" s="81" t="s">
        <v>11359</v>
      </c>
      <c r="BC435" s="81" t="s">
        <v>9705</v>
      </c>
      <c r="BD435" s="81" t="s">
        <v>11502</v>
      </c>
      <c r="BE435" s="77"/>
      <c r="BF435" s="77"/>
      <c r="BG435" s="77"/>
      <c r="BH435" s="77"/>
      <c r="BI435" s="77"/>
    </row>
    <row r="436" spans="1:61" x14ac:dyDescent="0.25">
      <c r="A436" s="62" t="s">
        <v>424</v>
      </c>
      <c r="B436" s="62" t="s">
        <v>424</v>
      </c>
      <c r="C436" s="63"/>
      <c r="D436" s="64"/>
      <c r="E436" s="65"/>
      <c r="F436" s="66"/>
      <c r="G436" s="63"/>
      <c r="H436" s="67"/>
      <c r="I436" s="68"/>
      <c r="J436" s="68"/>
      <c r="K436" s="32"/>
      <c r="L436" s="75">
        <v>436</v>
      </c>
      <c r="M436" s="75"/>
      <c r="N436" s="70"/>
      <c r="O436" s="77" t="s">
        <v>179</v>
      </c>
      <c r="P436" s="79">
        <v>45124.834016203706</v>
      </c>
      <c r="Q436" s="77" t="s">
        <v>1384</v>
      </c>
      <c r="R436" s="77">
        <v>0</v>
      </c>
      <c r="S436" s="77">
        <v>0</v>
      </c>
      <c r="T436" s="77">
        <v>0</v>
      </c>
      <c r="U436" s="77">
        <v>0</v>
      </c>
      <c r="V436" s="77">
        <v>10</v>
      </c>
      <c r="W436" s="81" t="s">
        <v>3236</v>
      </c>
      <c r="X436" s="83" t="str">
        <f>HYPERLINK("http://www.recrutadora.com.br/vagas.php")</f>
        <v>http://www.recrutadora.com.br/vagas.php</v>
      </c>
      <c r="Y436" s="77" t="s">
        <v>4223</v>
      </c>
      <c r="Z436" s="77"/>
      <c r="AA436" s="77" t="s">
        <v>4657</v>
      </c>
      <c r="AB436" s="77" t="s">
        <v>5794</v>
      </c>
      <c r="AC436" s="81" t="s">
        <v>5808</v>
      </c>
      <c r="AD436" s="77" t="s">
        <v>5851</v>
      </c>
      <c r="AE436" s="83" t="str">
        <f>HYPERLINK("https://twitter.com/rrecrutadora/status/1681031260255158273")</f>
        <v>https://twitter.com/rrecrutadora/status/1681031260255158273</v>
      </c>
      <c r="AF436" s="79">
        <v>45124.834016203706</v>
      </c>
      <c r="AG436" s="85">
        <v>45124</v>
      </c>
      <c r="AH436" s="81" t="s">
        <v>6258</v>
      </c>
      <c r="AI436" s="77" t="b">
        <v>0</v>
      </c>
      <c r="AJ436" s="77"/>
      <c r="AK436" s="77"/>
      <c r="AL436" s="77"/>
      <c r="AM436" s="77"/>
      <c r="AN436" s="77"/>
      <c r="AO436" s="77"/>
      <c r="AP436" s="77"/>
      <c r="AQ436" s="77" t="s">
        <v>8160</v>
      </c>
      <c r="AR436" s="77"/>
      <c r="AS436" s="77"/>
      <c r="AT436" s="77"/>
      <c r="AU436" s="77"/>
      <c r="AV436" s="83" t="str">
        <f>HYPERLINK("https://pbs.twimg.com/media/F1Q5BdzWYAElj0F.jpg")</f>
        <v>https://pbs.twimg.com/media/F1Q5BdzWYAElj0F.jpg</v>
      </c>
      <c r="AW436" s="81" t="s">
        <v>9706</v>
      </c>
      <c r="AX436" s="81" t="s">
        <v>9706</v>
      </c>
      <c r="AY436" s="77"/>
      <c r="AZ436" s="81" t="s">
        <v>11359</v>
      </c>
      <c r="BA436" s="81" t="s">
        <v>11359</v>
      </c>
      <c r="BB436" s="81" t="s">
        <v>11359</v>
      </c>
      <c r="BC436" s="81" t="s">
        <v>9706</v>
      </c>
      <c r="BD436" s="81" t="s">
        <v>11502</v>
      </c>
      <c r="BE436" s="77"/>
      <c r="BF436" s="77"/>
      <c r="BG436" s="77"/>
      <c r="BH436" s="77"/>
      <c r="BI436" s="77"/>
    </row>
    <row r="437" spans="1:61" x14ac:dyDescent="0.25">
      <c r="A437" s="62" t="s">
        <v>424</v>
      </c>
      <c r="B437" s="62" t="s">
        <v>424</v>
      </c>
      <c r="C437" s="63"/>
      <c r="D437" s="64"/>
      <c r="E437" s="65"/>
      <c r="F437" s="66"/>
      <c r="G437" s="63"/>
      <c r="H437" s="67"/>
      <c r="I437" s="68"/>
      <c r="J437" s="68"/>
      <c r="K437" s="32"/>
      <c r="L437" s="75">
        <v>437</v>
      </c>
      <c r="M437" s="75"/>
      <c r="N437" s="70"/>
      <c r="O437" s="77" t="s">
        <v>179</v>
      </c>
      <c r="P437" s="79">
        <v>45119.500335648147</v>
      </c>
      <c r="Q437" s="77" t="s">
        <v>1385</v>
      </c>
      <c r="R437" s="77">
        <v>0</v>
      </c>
      <c r="S437" s="77">
        <v>0</v>
      </c>
      <c r="T437" s="77">
        <v>0</v>
      </c>
      <c r="U437" s="77">
        <v>0</v>
      </c>
      <c r="V437" s="77">
        <v>12</v>
      </c>
      <c r="W437" s="81" t="s">
        <v>3232</v>
      </c>
      <c r="X437" s="83" t="str">
        <f>HYPERLINK("http://www.recrutadora.com.br/vagas.php")</f>
        <v>http://www.recrutadora.com.br/vagas.php</v>
      </c>
      <c r="Y437" s="77" t="s">
        <v>4223</v>
      </c>
      <c r="Z437" s="77"/>
      <c r="AA437" s="77" t="s">
        <v>4658</v>
      </c>
      <c r="AB437" s="77" t="s">
        <v>5794</v>
      </c>
      <c r="AC437" s="81" t="s">
        <v>5806</v>
      </c>
      <c r="AD437" s="77" t="s">
        <v>5851</v>
      </c>
      <c r="AE437" s="83" t="str">
        <f>HYPERLINK("https://twitter.com/rrecrutadora/status/1679098399600041992")</f>
        <v>https://twitter.com/rrecrutadora/status/1679098399600041992</v>
      </c>
      <c r="AF437" s="79">
        <v>45119.500335648147</v>
      </c>
      <c r="AG437" s="85">
        <v>45119</v>
      </c>
      <c r="AH437" s="81" t="s">
        <v>6259</v>
      </c>
      <c r="AI437" s="77" t="b">
        <v>0</v>
      </c>
      <c r="AJ437" s="77"/>
      <c r="AK437" s="77"/>
      <c r="AL437" s="77"/>
      <c r="AM437" s="77"/>
      <c r="AN437" s="77"/>
      <c r="AO437" s="77"/>
      <c r="AP437" s="77"/>
      <c r="AQ437" s="77" t="s">
        <v>8161</v>
      </c>
      <c r="AR437" s="77"/>
      <c r="AS437" s="77"/>
      <c r="AT437" s="77"/>
      <c r="AU437" s="77"/>
      <c r="AV437" s="83" t="str">
        <f>HYPERLINK("https://pbs.twimg.com/media/F01bGKjWcAElC60.jpg")</f>
        <v>https://pbs.twimg.com/media/F01bGKjWcAElC60.jpg</v>
      </c>
      <c r="AW437" s="81" t="s">
        <v>9707</v>
      </c>
      <c r="AX437" s="81" t="s">
        <v>9707</v>
      </c>
      <c r="AY437" s="77"/>
      <c r="AZ437" s="81" t="s">
        <v>11359</v>
      </c>
      <c r="BA437" s="81" t="s">
        <v>11359</v>
      </c>
      <c r="BB437" s="81" t="s">
        <v>11359</v>
      </c>
      <c r="BC437" s="81" t="s">
        <v>9707</v>
      </c>
      <c r="BD437" s="81" t="s">
        <v>11502</v>
      </c>
      <c r="BE437" s="77"/>
      <c r="BF437" s="77"/>
      <c r="BG437" s="77"/>
      <c r="BH437" s="77"/>
      <c r="BI437" s="77"/>
    </row>
    <row r="438" spans="1:61" x14ac:dyDescent="0.25">
      <c r="A438" s="62" t="s">
        <v>424</v>
      </c>
      <c r="B438" s="62" t="s">
        <v>424</v>
      </c>
      <c r="C438" s="63"/>
      <c r="D438" s="64"/>
      <c r="E438" s="65"/>
      <c r="F438" s="66"/>
      <c r="G438" s="63"/>
      <c r="H438" s="67"/>
      <c r="I438" s="68"/>
      <c r="J438" s="68"/>
      <c r="K438" s="32"/>
      <c r="L438" s="75">
        <v>438</v>
      </c>
      <c r="M438" s="75"/>
      <c r="N438" s="70"/>
      <c r="O438" s="77" t="s">
        <v>179</v>
      </c>
      <c r="P438" s="79">
        <v>45118.729398148149</v>
      </c>
      <c r="Q438" s="77" t="s">
        <v>1386</v>
      </c>
      <c r="R438" s="77">
        <v>0</v>
      </c>
      <c r="S438" s="77">
        <v>0</v>
      </c>
      <c r="T438" s="77">
        <v>0</v>
      </c>
      <c r="U438" s="77">
        <v>0</v>
      </c>
      <c r="V438" s="77">
        <v>11</v>
      </c>
      <c r="W438" s="81" t="s">
        <v>3237</v>
      </c>
      <c r="X438" s="83" t="str">
        <f>HYPERLINK("http://www.recrutadora.com.br/vagas.php")</f>
        <v>http://www.recrutadora.com.br/vagas.php</v>
      </c>
      <c r="Y438" s="77" t="s">
        <v>4223</v>
      </c>
      <c r="Z438" s="77"/>
      <c r="AA438" s="77" t="s">
        <v>4659</v>
      </c>
      <c r="AB438" s="77" t="s">
        <v>5794</v>
      </c>
      <c r="AC438" s="81" t="s">
        <v>5806</v>
      </c>
      <c r="AD438" s="77" t="s">
        <v>5851</v>
      </c>
      <c r="AE438" s="83" t="str">
        <f>HYPERLINK("https://twitter.com/rrecrutadora/status/1678819023318925312")</f>
        <v>https://twitter.com/rrecrutadora/status/1678819023318925312</v>
      </c>
      <c r="AF438" s="79">
        <v>45118.729398148149</v>
      </c>
      <c r="AG438" s="85">
        <v>45118</v>
      </c>
      <c r="AH438" s="81" t="s">
        <v>6260</v>
      </c>
      <c r="AI438" s="77" t="b">
        <v>0</v>
      </c>
      <c r="AJ438" s="77"/>
      <c r="AK438" s="77"/>
      <c r="AL438" s="77"/>
      <c r="AM438" s="77"/>
      <c r="AN438" s="77"/>
      <c r="AO438" s="77"/>
      <c r="AP438" s="77"/>
      <c r="AQ438" s="77" t="s">
        <v>8162</v>
      </c>
      <c r="AR438" s="77"/>
      <c r="AS438" s="77"/>
      <c r="AT438" s="77"/>
      <c r="AU438" s="77"/>
      <c r="AV438" s="83" t="str">
        <f>HYPERLINK("https://pbs.twimg.com/media/F0xdAS9WcBAOUDi.jpg")</f>
        <v>https://pbs.twimg.com/media/F0xdAS9WcBAOUDi.jpg</v>
      </c>
      <c r="AW438" s="81" t="s">
        <v>9708</v>
      </c>
      <c r="AX438" s="81" t="s">
        <v>9708</v>
      </c>
      <c r="AY438" s="77"/>
      <c r="AZ438" s="81" t="s">
        <v>11359</v>
      </c>
      <c r="BA438" s="81" t="s">
        <v>11359</v>
      </c>
      <c r="BB438" s="81" t="s">
        <v>11359</v>
      </c>
      <c r="BC438" s="81" t="s">
        <v>9708</v>
      </c>
      <c r="BD438" s="81" t="s">
        <v>11502</v>
      </c>
      <c r="BE438" s="77"/>
      <c r="BF438" s="77"/>
      <c r="BG438" s="77"/>
      <c r="BH438" s="77"/>
      <c r="BI438" s="77"/>
    </row>
    <row r="439" spans="1:61" x14ac:dyDescent="0.25">
      <c r="A439" s="62" t="s">
        <v>424</v>
      </c>
      <c r="B439" s="62" t="s">
        <v>424</v>
      </c>
      <c r="C439" s="63"/>
      <c r="D439" s="64"/>
      <c r="E439" s="65"/>
      <c r="F439" s="66"/>
      <c r="G439" s="63"/>
      <c r="H439" s="67"/>
      <c r="I439" s="68"/>
      <c r="J439" s="68"/>
      <c r="K439" s="32"/>
      <c r="L439" s="75">
        <v>439</v>
      </c>
      <c r="M439" s="75"/>
      <c r="N439" s="70"/>
      <c r="O439" s="77" t="s">
        <v>179</v>
      </c>
      <c r="P439" s="79">
        <v>44956.667037037034</v>
      </c>
      <c r="Q439" s="77" t="s">
        <v>1387</v>
      </c>
      <c r="R439" s="77">
        <v>0</v>
      </c>
      <c r="S439" s="77">
        <v>0</v>
      </c>
      <c r="T439" s="77">
        <v>0</v>
      </c>
      <c r="U439" s="77">
        <v>0</v>
      </c>
      <c r="V439" s="77">
        <v>13</v>
      </c>
      <c r="W439" s="81" t="s">
        <v>3235</v>
      </c>
      <c r="X439" s="83" t="str">
        <f>HYPERLINK("http://www.recrutadora.com.br/vagas.php")</f>
        <v>http://www.recrutadora.com.br/vagas.php</v>
      </c>
      <c r="Y439" s="77" t="s">
        <v>4223</v>
      </c>
      <c r="Z439" s="77"/>
      <c r="AA439" s="77" t="s">
        <v>4660</v>
      </c>
      <c r="AB439" s="77" t="s">
        <v>5794</v>
      </c>
      <c r="AC439" s="81" t="s">
        <v>5806</v>
      </c>
      <c r="AD439" s="77" t="s">
        <v>5851</v>
      </c>
      <c r="AE439" s="83" t="str">
        <f>HYPERLINK("https://twitter.com/rrecrutadora/status/1620089587795202048")</f>
        <v>https://twitter.com/rrecrutadora/status/1620089587795202048</v>
      </c>
      <c r="AF439" s="79">
        <v>44956.667037037034</v>
      </c>
      <c r="AG439" s="85">
        <v>44956</v>
      </c>
      <c r="AH439" s="81" t="s">
        <v>6261</v>
      </c>
      <c r="AI439" s="77" t="b">
        <v>0</v>
      </c>
      <c r="AJ439" s="77"/>
      <c r="AK439" s="77"/>
      <c r="AL439" s="77"/>
      <c r="AM439" s="77"/>
      <c r="AN439" s="77"/>
      <c r="AO439" s="77"/>
      <c r="AP439" s="77"/>
      <c r="AQ439" s="77" t="s">
        <v>8163</v>
      </c>
      <c r="AR439" s="77"/>
      <c r="AS439" s="77"/>
      <c r="AT439" s="77"/>
      <c r="AU439" s="77"/>
      <c r="AV439" s="83" t="str">
        <f>HYPERLINK("https://pbs.twimg.com/media/Fnu25RHXgAIOzPI.jpg")</f>
        <v>https://pbs.twimg.com/media/Fnu25RHXgAIOzPI.jpg</v>
      </c>
      <c r="AW439" s="81" t="s">
        <v>9709</v>
      </c>
      <c r="AX439" s="81" t="s">
        <v>9709</v>
      </c>
      <c r="AY439" s="77"/>
      <c r="AZ439" s="81" t="s">
        <v>11359</v>
      </c>
      <c r="BA439" s="81" t="s">
        <v>11359</v>
      </c>
      <c r="BB439" s="81" t="s">
        <v>11359</v>
      </c>
      <c r="BC439" s="81" t="s">
        <v>9709</v>
      </c>
      <c r="BD439" s="81" t="s">
        <v>11502</v>
      </c>
      <c r="BE439" s="77"/>
      <c r="BF439" s="77"/>
      <c r="BG439" s="77"/>
      <c r="BH439" s="77"/>
      <c r="BI439" s="77"/>
    </row>
    <row r="440" spans="1:61" x14ac:dyDescent="0.25">
      <c r="A440" s="62" t="s">
        <v>424</v>
      </c>
      <c r="B440" s="62" t="s">
        <v>424</v>
      </c>
      <c r="C440" s="63"/>
      <c r="D440" s="64"/>
      <c r="E440" s="65"/>
      <c r="F440" s="66"/>
      <c r="G440" s="63"/>
      <c r="H440" s="67"/>
      <c r="I440" s="68"/>
      <c r="J440" s="68"/>
      <c r="K440" s="32"/>
      <c r="L440" s="75">
        <v>440</v>
      </c>
      <c r="M440" s="75"/>
      <c r="N440" s="70"/>
      <c r="O440" s="77" t="s">
        <v>179</v>
      </c>
      <c r="P440" s="79">
        <v>44954.729317129626</v>
      </c>
      <c r="Q440" s="77" t="s">
        <v>1388</v>
      </c>
      <c r="R440" s="77">
        <v>0</v>
      </c>
      <c r="S440" s="77">
        <v>0</v>
      </c>
      <c r="T440" s="77">
        <v>0</v>
      </c>
      <c r="U440" s="77">
        <v>0</v>
      </c>
      <c r="V440" s="77">
        <v>6</v>
      </c>
      <c r="W440" s="81" t="s">
        <v>3234</v>
      </c>
      <c r="X440" s="83" t="str">
        <f>HYPERLINK("http://www.recrutadora.com.br/vagas.php")</f>
        <v>http://www.recrutadora.com.br/vagas.php</v>
      </c>
      <c r="Y440" s="77" t="s">
        <v>4223</v>
      </c>
      <c r="Z440" s="77"/>
      <c r="AA440" s="77" t="s">
        <v>4661</v>
      </c>
      <c r="AB440" s="77" t="s">
        <v>5794</v>
      </c>
      <c r="AC440" s="81" t="s">
        <v>5806</v>
      </c>
      <c r="AD440" s="77" t="s">
        <v>5851</v>
      </c>
      <c r="AE440" s="83" t="str">
        <f>HYPERLINK("https://twitter.com/rrecrutadora/status/1619387381936709633")</f>
        <v>https://twitter.com/rrecrutadora/status/1619387381936709633</v>
      </c>
      <c r="AF440" s="79">
        <v>44954.729317129626</v>
      </c>
      <c r="AG440" s="85">
        <v>44954</v>
      </c>
      <c r="AH440" s="81" t="s">
        <v>6262</v>
      </c>
      <c r="AI440" s="77" t="b">
        <v>0</v>
      </c>
      <c r="AJ440" s="77"/>
      <c r="AK440" s="77"/>
      <c r="AL440" s="77"/>
      <c r="AM440" s="77"/>
      <c r="AN440" s="77"/>
      <c r="AO440" s="77"/>
      <c r="AP440" s="77"/>
      <c r="AQ440" s="77" t="s">
        <v>8164</v>
      </c>
      <c r="AR440" s="77"/>
      <c r="AS440" s="77"/>
      <c r="AT440" s="77"/>
      <c r="AU440" s="77"/>
      <c r="AV440" s="83" t="str">
        <f>HYPERLINK("https://pbs.twimg.com/media/Fnk4PcRXwAAYPw1.jpg")</f>
        <v>https://pbs.twimg.com/media/Fnk4PcRXwAAYPw1.jpg</v>
      </c>
      <c r="AW440" s="81" t="s">
        <v>9710</v>
      </c>
      <c r="AX440" s="81" t="s">
        <v>9710</v>
      </c>
      <c r="AY440" s="77"/>
      <c r="AZ440" s="81" t="s">
        <v>11359</v>
      </c>
      <c r="BA440" s="81" t="s">
        <v>11359</v>
      </c>
      <c r="BB440" s="81" t="s">
        <v>11359</v>
      </c>
      <c r="BC440" s="81" t="s">
        <v>9710</v>
      </c>
      <c r="BD440" s="81" t="s">
        <v>11502</v>
      </c>
      <c r="BE440" s="77"/>
      <c r="BF440" s="77"/>
      <c r="BG440" s="77"/>
      <c r="BH440" s="77"/>
      <c r="BI440" s="77"/>
    </row>
    <row r="441" spans="1:61" x14ac:dyDescent="0.25">
      <c r="A441" s="62" t="s">
        <v>424</v>
      </c>
      <c r="B441" s="62" t="s">
        <v>424</v>
      </c>
      <c r="C441" s="63"/>
      <c r="D441" s="64"/>
      <c r="E441" s="65"/>
      <c r="F441" s="66"/>
      <c r="G441" s="63"/>
      <c r="H441" s="67"/>
      <c r="I441" s="68"/>
      <c r="J441" s="68"/>
      <c r="K441" s="32"/>
      <c r="L441" s="75">
        <v>441</v>
      </c>
      <c r="M441" s="75"/>
      <c r="N441" s="70"/>
      <c r="O441" s="77" t="s">
        <v>179</v>
      </c>
      <c r="P441" s="79">
        <v>44952.459340277775</v>
      </c>
      <c r="Q441" s="77" t="s">
        <v>1389</v>
      </c>
      <c r="R441" s="77">
        <v>0</v>
      </c>
      <c r="S441" s="77">
        <v>0</v>
      </c>
      <c r="T441" s="77">
        <v>0</v>
      </c>
      <c r="U441" s="77">
        <v>0</v>
      </c>
      <c r="V441" s="77">
        <v>4</v>
      </c>
      <c r="W441" s="81" t="s">
        <v>3234</v>
      </c>
      <c r="X441" s="83" t="str">
        <f>HYPERLINK("http://www.recrutadora.com.br/vagas.php")</f>
        <v>http://www.recrutadora.com.br/vagas.php</v>
      </c>
      <c r="Y441" s="77" t="s">
        <v>4223</v>
      </c>
      <c r="Z441" s="77"/>
      <c r="AA441" s="77" t="s">
        <v>4662</v>
      </c>
      <c r="AB441" s="77" t="s">
        <v>5794</v>
      </c>
      <c r="AC441" s="81" t="s">
        <v>5806</v>
      </c>
      <c r="AD441" s="77" t="s">
        <v>5851</v>
      </c>
      <c r="AE441" s="83" t="str">
        <f>HYPERLINK("https://twitter.com/rrecrutadora/status/1618564770931556352")</f>
        <v>https://twitter.com/rrecrutadora/status/1618564770931556352</v>
      </c>
      <c r="AF441" s="79">
        <v>44952.459340277775</v>
      </c>
      <c r="AG441" s="85">
        <v>44952</v>
      </c>
      <c r="AH441" s="81" t="s">
        <v>6263</v>
      </c>
      <c r="AI441" s="77" t="b">
        <v>0</v>
      </c>
      <c r="AJ441" s="77"/>
      <c r="AK441" s="77"/>
      <c r="AL441" s="77"/>
      <c r="AM441" s="77"/>
      <c r="AN441" s="77"/>
      <c r="AO441" s="77"/>
      <c r="AP441" s="77"/>
      <c r="AQ441" s="77" t="s">
        <v>8165</v>
      </c>
      <c r="AR441" s="77"/>
      <c r="AS441" s="77"/>
      <c r="AT441" s="77"/>
      <c r="AU441" s="77"/>
      <c r="AV441" s="83" t="str">
        <f>HYPERLINK("https://pbs.twimg.com/media/FnZMFONXoAATwv5.jpg")</f>
        <v>https://pbs.twimg.com/media/FnZMFONXoAATwv5.jpg</v>
      </c>
      <c r="AW441" s="81" t="s">
        <v>9711</v>
      </c>
      <c r="AX441" s="81" t="s">
        <v>9711</v>
      </c>
      <c r="AY441" s="77"/>
      <c r="AZ441" s="81" t="s">
        <v>11359</v>
      </c>
      <c r="BA441" s="81" t="s">
        <v>11359</v>
      </c>
      <c r="BB441" s="81" t="s">
        <v>11359</v>
      </c>
      <c r="BC441" s="81" t="s">
        <v>9711</v>
      </c>
      <c r="BD441" s="81" t="s">
        <v>11502</v>
      </c>
      <c r="BE441" s="77"/>
      <c r="BF441" s="77"/>
      <c r="BG441" s="77"/>
      <c r="BH441" s="77"/>
      <c r="BI441" s="77"/>
    </row>
    <row r="442" spans="1:61" x14ac:dyDescent="0.25">
      <c r="A442" s="62" t="s">
        <v>424</v>
      </c>
      <c r="B442" s="62" t="s">
        <v>424</v>
      </c>
      <c r="C442" s="63"/>
      <c r="D442" s="64"/>
      <c r="E442" s="65"/>
      <c r="F442" s="66"/>
      <c r="G442" s="63"/>
      <c r="H442" s="67"/>
      <c r="I442" s="68"/>
      <c r="J442" s="68"/>
      <c r="K442" s="32"/>
      <c r="L442" s="75">
        <v>442</v>
      </c>
      <c r="M442" s="75"/>
      <c r="N442" s="70"/>
      <c r="O442" s="77" t="s">
        <v>179</v>
      </c>
      <c r="P442" s="79">
        <v>45186.70921296296</v>
      </c>
      <c r="Q442" s="77" t="s">
        <v>1390</v>
      </c>
      <c r="R442" s="77">
        <v>0</v>
      </c>
      <c r="S442" s="77">
        <v>0</v>
      </c>
      <c r="T442" s="77">
        <v>0</v>
      </c>
      <c r="U442" s="77">
        <v>0</v>
      </c>
      <c r="V442" s="77">
        <v>33</v>
      </c>
      <c r="W442" s="81" t="s">
        <v>3236</v>
      </c>
      <c r="X442" s="83" t="str">
        <f>HYPERLINK("http://www.recrutadora.com.br/vagas.php")</f>
        <v>http://www.recrutadora.com.br/vagas.php</v>
      </c>
      <c r="Y442" s="77" t="s">
        <v>4223</v>
      </c>
      <c r="Z442" s="77"/>
      <c r="AA442" s="77" t="s">
        <v>4663</v>
      </c>
      <c r="AB442" s="77" t="s">
        <v>5795</v>
      </c>
      <c r="AC442" s="81" t="s">
        <v>5806</v>
      </c>
      <c r="AD442" s="77" t="s">
        <v>5851</v>
      </c>
      <c r="AE442" s="83" t="str">
        <f>HYPERLINK("https://twitter.com/rrecrutadora/status/1703454080977260751")</f>
        <v>https://twitter.com/rrecrutadora/status/1703454080977260751</v>
      </c>
      <c r="AF442" s="79">
        <v>45186.70921296296</v>
      </c>
      <c r="AG442" s="85">
        <v>45186</v>
      </c>
      <c r="AH442" s="81" t="s">
        <v>6264</v>
      </c>
      <c r="AI442" s="77" t="b">
        <v>0</v>
      </c>
      <c r="AJ442" s="77"/>
      <c r="AK442" s="77"/>
      <c r="AL442" s="77"/>
      <c r="AM442" s="77"/>
      <c r="AN442" s="77"/>
      <c r="AO442" s="77"/>
      <c r="AP442" s="77"/>
      <c r="AQ442" s="77" t="s">
        <v>8166</v>
      </c>
      <c r="AR442" s="77">
        <v>5000</v>
      </c>
      <c r="AS442" s="77"/>
      <c r="AT442" s="77"/>
      <c r="AU442" s="77"/>
      <c r="AV442" s="83" t="str">
        <f>HYPERLINK("https://pbs.twimg.com/ext_tw_video_thumb/1703454037117382656/pu/img/Hr2K1kq0wUlXlR38.jpg")</f>
        <v>https://pbs.twimg.com/ext_tw_video_thumb/1703454037117382656/pu/img/Hr2K1kq0wUlXlR38.jpg</v>
      </c>
      <c r="AW442" s="81" t="s">
        <v>9712</v>
      </c>
      <c r="AX442" s="81" t="s">
        <v>9712</v>
      </c>
      <c r="AY442" s="77"/>
      <c r="AZ442" s="81" t="s">
        <v>11359</v>
      </c>
      <c r="BA442" s="81" t="s">
        <v>11359</v>
      </c>
      <c r="BB442" s="81" t="s">
        <v>11359</v>
      </c>
      <c r="BC442" s="81" t="s">
        <v>9712</v>
      </c>
      <c r="BD442" s="81" t="s">
        <v>11502</v>
      </c>
      <c r="BE442" s="77"/>
      <c r="BF442" s="77"/>
      <c r="BG442" s="77"/>
      <c r="BH442" s="77"/>
      <c r="BI442" s="77"/>
    </row>
    <row r="443" spans="1:61" x14ac:dyDescent="0.25">
      <c r="A443" s="62" t="s">
        <v>424</v>
      </c>
      <c r="B443" s="62" t="s">
        <v>424</v>
      </c>
      <c r="C443" s="63"/>
      <c r="D443" s="64"/>
      <c r="E443" s="65"/>
      <c r="F443" s="66"/>
      <c r="G443" s="63"/>
      <c r="H443" s="67"/>
      <c r="I443" s="68"/>
      <c r="J443" s="68"/>
      <c r="K443" s="32"/>
      <c r="L443" s="75">
        <v>443</v>
      </c>
      <c r="M443" s="75"/>
      <c r="N443" s="70"/>
      <c r="O443" s="77" t="s">
        <v>179</v>
      </c>
      <c r="P443" s="79">
        <v>45136.583877314813</v>
      </c>
      <c r="Q443" s="77" t="s">
        <v>1391</v>
      </c>
      <c r="R443" s="77">
        <v>0</v>
      </c>
      <c r="S443" s="77">
        <v>0</v>
      </c>
      <c r="T443" s="77">
        <v>0</v>
      </c>
      <c r="U443" s="77">
        <v>0</v>
      </c>
      <c r="V443" s="77">
        <v>14</v>
      </c>
      <c r="W443" s="81" t="s">
        <v>3236</v>
      </c>
      <c r="X443" s="83" t="str">
        <f>HYPERLINK("http://www.recrutadora.com.br/vagas.php")</f>
        <v>http://www.recrutadora.com.br/vagas.php</v>
      </c>
      <c r="Y443" s="77" t="s">
        <v>4223</v>
      </c>
      <c r="Z443" s="77"/>
      <c r="AA443" s="77" t="s">
        <v>4664</v>
      </c>
      <c r="AB443" s="77" t="s">
        <v>5794</v>
      </c>
      <c r="AC443" s="81" t="s">
        <v>5808</v>
      </c>
      <c r="AD443" s="77" t="s">
        <v>5851</v>
      </c>
      <c r="AE443" s="83" t="str">
        <f>HYPERLINK("https://twitter.com/rrecrutadora/status/1685289268460109824")</f>
        <v>https://twitter.com/rrecrutadora/status/1685289268460109824</v>
      </c>
      <c r="AF443" s="79">
        <v>45136.583877314813</v>
      </c>
      <c r="AG443" s="85">
        <v>45136</v>
      </c>
      <c r="AH443" s="81" t="s">
        <v>6265</v>
      </c>
      <c r="AI443" s="77" t="b">
        <v>0</v>
      </c>
      <c r="AJ443" s="77"/>
      <c r="AK443" s="77"/>
      <c r="AL443" s="77"/>
      <c r="AM443" s="77"/>
      <c r="AN443" s="77"/>
      <c r="AO443" s="77"/>
      <c r="AP443" s="77"/>
      <c r="AQ443" s="77" t="s">
        <v>8167</v>
      </c>
      <c r="AR443" s="77"/>
      <c r="AS443" s="77"/>
      <c r="AT443" s="77"/>
      <c r="AU443" s="77"/>
      <c r="AV443" s="83" t="str">
        <f>HYPERLINK("https://pbs.twimg.com/media/F2NZqK1XgAAEBKs.jpg")</f>
        <v>https://pbs.twimg.com/media/F2NZqK1XgAAEBKs.jpg</v>
      </c>
      <c r="AW443" s="81" t="s">
        <v>9713</v>
      </c>
      <c r="AX443" s="81" t="s">
        <v>9713</v>
      </c>
      <c r="AY443" s="77"/>
      <c r="AZ443" s="81" t="s">
        <v>11359</v>
      </c>
      <c r="BA443" s="81" t="s">
        <v>11359</v>
      </c>
      <c r="BB443" s="81" t="s">
        <v>11359</v>
      </c>
      <c r="BC443" s="81" t="s">
        <v>9713</v>
      </c>
      <c r="BD443" s="81" t="s">
        <v>11502</v>
      </c>
      <c r="BE443" s="77"/>
      <c r="BF443" s="77"/>
      <c r="BG443" s="77"/>
      <c r="BH443" s="77"/>
      <c r="BI443" s="77"/>
    </row>
    <row r="444" spans="1:61" x14ac:dyDescent="0.25">
      <c r="A444" s="62" t="s">
        <v>424</v>
      </c>
      <c r="B444" s="62" t="s">
        <v>424</v>
      </c>
      <c r="C444" s="63"/>
      <c r="D444" s="64"/>
      <c r="E444" s="65"/>
      <c r="F444" s="66"/>
      <c r="G444" s="63"/>
      <c r="H444" s="67"/>
      <c r="I444" s="68"/>
      <c r="J444" s="68"/>
      <c r="K444" s="32"/>
      <c r="L444" s="75">
        <v>444</v>
      </c>
      <c r="M444" s="75"/>
      <c r="N444" s="70"/>
      <c r="O444" s="77" t="s">
        <v>179</v>
      </c>
      <c r="P444" s="79">
        <v>44968.58357638889</v>
      </c>
      <c r="Q444" s="77" t="s">
        <v>1392</v>
      </c>
      <c r="R444" s="77">
        <v>0</v>
      </c>
      <c r="S444" s="77">
        <v>0</v>
      </c>
      <c r="T444" s="77">
        <v>0</v>
      </c>
      <c r="U444" s="77">
        <v>0</v>
      </c>
      <c r="V444" s="77">
        <v>21</v>
      </c>
      <c r="W444" s="81" t="s">
        <v>3234</v>
      </c>
      <c r="X444" s="83" t="str">
        <f>HYPERLINK("http://www.recrutadora.com.br/vagas.php")</f>
        <v>http://www.recrutadora.com.br/vagas.php</v>
      </c>
      <c r="Y444" s="77" t="s">
        <v>4223</v>
      </c>
      <c r="Z444" s="77"/>
      <c r="AA444" s="77" t="s">
        <v>4665</v>
      </c>
      <c r="AB444" s="77" t="s">
        <v>5794</v>
      </c>
      <c r="AC444" s="81" t="s">
        <v>5806</v>
      </c>
      <c r="AD444" s="77" t="s">
        <v>5851</v>
      </c>
      <c r="AE444" s="83" t="str">
        <f>HYPERLINK("https://twitter.com/rrecrutadora/status/1624407997974814727")</f>
        <v>https://twitter.com/rrecrutadora/status/1624407997974814727</v>
      </c>
      <c r="AF444" s="79">
        <v>44968.58357638889</v>
      </c>
      <c r="AG444" s="85">
        <v>44968</v>
      </c>
      <c r="AH444" s="81" t="s">
        <v>6266</v>
      </c>
      <c r="AI444" s="77" t="b">
        <v>0</v>
      </c>
      <c r="AJ444" s="77"/>
      <c r="AK444" s="77"/>
      <c r="AL444" s="77"/>
      <c r="AM444" s="77"/>
      <c r="AN444" s="77"/>
      <c r="AO444" s="77"/>
      <c r="AP444" s="77"/>
      <c r="AQ444" s="77" t="s">
        <v>8168</v>
      </c>
      <c r="AR444" s="77"/>
      <c r="AS444" s="77"/>
      <c r="AT444" s="77"/>
      <c r="AU444" s="77"/>
      <c r="AV444" s="83" t="str">
        <f>HYPERLINK("https://pbs.twimg.com/media/FosOd1EXgAIbyBV.jpg")</f>
        <v>https://pbs.twimg.com/media/FosOd1EXgAIbyBV.jpg</v>
      </c>
      <c r="AW444" s="81" t="s">
        <v>9714</v>
      </c>
      <c r="AX444" s="81" t="s">
        <v>9714</v>
      </c>
      <c r="AY444" s="77"/>
      <c r="AZ444" s="81" t="s">
        <v>11359</v>
      </c>
      <c r="BA444" s="81" t="s">
        <v>11359</v>
      </c>
      <c r="BB444" s="81" t="s">
        <v>11359</v>
      </c>
      <c r="BC444" s="81" t="s">
        <v>9714</v>
      </c>
      <c r="BD444" s="81" t="s">
        <v>11502</v>
      </c>
      <c r="BE444" s="77"/>
      <c r="BF444" s="77"/>
      <c r="BG444" s="77"/>
      <c r="BH444" s="77"/>
      <c r="BI444" s="77"/>
    </row>
    <row r="445" spans="1:61" x14ac:dyDescent="0.25">
      <c r="A445" s="62" t="s">
        <v>424</v>
      </c>
      <c r="B445" s="62" t="s">
        <v>424</v>
      </c>
      <c r="C445" s="63"/>
      <c r="D445" s="64"/>
      <c r="E445" s="65"/>
      <c r="F445" s="66"/>
      <c r="G445" s="63"/>
      <c r="H445" s="67"/>
      <c r="I445" s="68"/>
      <c r="J445" s="68"/>
      <c r="K445" s="32"/>
      <c r="L445" s="75">
        <v>445</v>
      </c>
      <c r="M445" s="75"/>
      <c r="N445" s="70"/>
      <c r="O445" s="77" t="s">
        <v>179</v>
      </c>
      <c r="P445" s="79">
        <v>44968.542592592596</v>
      </c>
      <c r="Q445" s="77" t="s">
        <v>1393</v>
      </c>
      <c r="R445" s="77">
        <v>0</v>
      </c>
      <c r="S445" s="77">
        <v>0</v>
      </c>
      <c r="T445" s="77">
        <v>0</v>
      </c>
      <c r="U445" s="77">
        <v>0</v>
      </c>
      <c r="V445" s="77">
        <v>21</v>
      </c>
      <c r="W445" s="81" t="s">
        <v>3230</v>
      </c>
      <c r="X445" s="83" t="str">
        <f>HYPERLINK("http://www.recrutadora.com.br/vagas.php")</f>
        <v>http://www.recrutadora.com.br/vagas.php</v>
      </c>
      <c r="Y445" s="77" t="s">
        <v>4223</v>
      </c>
      <c r="Z445" s="77"/>
      <c r="AA445" s="77" t="s">
        <v>4666</v>
      </c>
      <c r="AB445" s="77" t="s">
        <v>5794</v>
      </c>
      <c r="AC445" s="81" t="s">
        <v>5806</v>
      </c>
      <c r="AD445" s="77" t="s">
        <v>5851</v>
      </c>
      <c r="AE445" s="83" t="str">
        <f>HYPERLINK("https://twitter.com/rrecrutadora/status/1624393147005513731")</f>
        <v>https://twitter.com/rrecrutadora/status/1624393147005513731</v>
      </c>
      <c r="AF445" s="79">
        <v>44968.542592592596</v>
      </c>
      <c r="AG445" s="85">
        <v>44968</v>
      </c>
      <c r="AH445" s="81" t="s">
        <v>6267</v>
      </c>
      <c r="AI445" s="77" t="b">
        <v>0</v>
      </c>
      <c r="AJ445" s="77"/>
      <c r="AK445" s="77"/>
      <c r="AL445" s="77"/>
      <c r="AM445" s="77"/>
      <c r="AN445" s="77"/>
      <c r="AO445" s="77"/>
      <c r="AP445" s="77"/>
      <c r="AQ445" s="77" t="s">
        <v>8169</v>
      </c>
      <c r="AR445" s="77"/>
      <c r="AS445" s="77"/>
      <c r="AT445" s="77"/>
      <c r="AU445" s="77"/>
      <c r="AV445" s="83" t="str">
        <f>HYPERLINK("https://pbs.twimg.com/media/FosA9YeWIAAUWFm.jpg")</f>
        <v>https://pbs.twimg.com/media/FosA9YeWIAAUWFm.jpg</v>
      </c>
      <c r="AW445" s="81" t="s">
        <v>9715</v>
      </c>
      <c r="AX445" s="81" t="s">
        <v>9715</v>
      </c>
      <c r="AY445" s="77"/>
      <c r="AZ445" s="81" t="s">
        <v>11359</v>
      </c>
      <c r="BA445" s="81" t="s">
        <v>11359</v>
      </c>
      <c r="BB445" s="81" t="s">
        <v>11359</v>
      </c>
      <c r="BC445" s="81" t="s">
        <v>9715</v>
      </c>
      <c r="BD445" s="81" t="s">
        <v>11502</v>
      </c>
      <c r="BE445" s="77"/>
      <c r="BF445" s="77"/>
      <c r="BG445" s="77"/>
      <c r="BH445" s="77"/>
      <c r="BI445" s="77"/>
    </row>
    <row r="446" spans="1:61" x14ac:dyDescent="0.25">
      <c r="A446" s="62" t="s">
        <v>424</v>
      </c>
      <c r="B446" s="62" t="s">
        <v>424</v>
      </c>
      <c r="C446" s="63"/>
      <c r="D446" s="64"/>
      <c r="E446" s="65"/>
      <c r="F446" s="66"/>
      <c r="G446" s="63"/>
      <c r="H446" s="67"/>
      <c r="I446" s="68"/>
      <c r="J446" s="68"/>
      <c r="K446" s="32"/>
      <c r="L446" s="75">
        <v>446</v>
      </c>
      <c r="M446" s="75"/>
      <c r="N446" s="70"/>
      <c r="O446" s="77" t="s">
        <v>179</v>
      </c>
      <c r="P446" s="79">
        <v>44968.437696759262</v>
      </c>
      <c r="Q446" s="77" t="s">
        <v>1394</v>
      </c>
      <c r="R446" s="77">
        <v>0</v>
      </c>
      <c r="S446" s="77">
        <v>0</v>
      </c>
      <c r="T446" s="77">
        <v>0</v>
      </c>
      <c r="U446" s="77">
        <v>0</v>
      </c>
      <c r="V446" s="77">
        <v>21</v>
      </c>
      <c r="W446" s="81" t="s">
        <v>3230</v>
      </c>
      <c r="X446" s="83" t="str">
        <f>HYPERLINK("http://www.recrutadora.com.br/vagas.php")</f>
        <v>http://www.recrutadora.com.br/vagas.php</v>
      </c>
      <c r="Y446" s="77" t="s">
        <v>4223</v>
      </c>
      <c r="Z446" s="77"/>
      <c r="AA446" s="77" t="s">
        <v>4667</v>
      </c>
      <c r="AB446" s="77" t="s">
        <v>5794</v>
      </c>
      <c r="AC446" s="81" t="s">
        <v>5806</v>
      </c>
      <c r="AD446" s="77" t="s">
        <v>5851</v>
      </c>
      <c r="AE446" s="83" t="str">
        <f>HYPERLINK("https://twitter.com/rrecrutadora/status/1624355133252329472")</f>
        <v>https://twitter.com/rrecrutadora/status/1624355133252329472</v>
      </c>
      <c r="AF446" s="79">
        <v>44968.437696759262</v>
      </c>
      <c r="AG446" s="85">
        <v>44968</v>
      </c>
      <c r="AH446" s="81" t="s">
        <v>6268</v>
      </c>
      <c r="AI446" s="77" t="b">
        <v>0</v>
      </c>
      <c r="AJ446" s="77"/>
      <c r="AK446" s="77"/>
      <c r="AL446" s="77"/>
      <c r="AM446" s="77"/>
      <c r="AN446" s="77"/>
      <c r="AO446" s="77"/>
      <c r="AP446" s="77"/>
      <c r="AQ446" s="77" t="s">
        <v>8170</v>
      </c>
      <c r="AR446" s="77"/>
      <c r="AS446" s="77"/>
      <c r="AT446" s="77"/>
      <c r="AU446" s="77"/>
      <c r="AV446" s="83" t="str">
        <f>HYPERLINK("https://pbs.twimg.com/media/ForeYskXgAQRBEq.jpg")</f>
        <v>https://pbs.twimg.com/media/ForeYskXgAQRBEq.jpg</v>
      </c>
      <c r="AW446" s="81" t="s">
        <v>9716</v>
      </c>
      <c r="AX446" s="81" t="s">
        <v>9716</v>
      </c>
      <c r="AY446" s="77"/>
      <c r="AZ446" s="81" t="s">
        <v>11359</v>
      </c>
      <c r="BA446" s="81" t="s">
        <v>11359</v>
      </c>
      <c r="BB446" s="81" t="s">
        <v>11359</v>
      </c>
      <c r="BC446" s="81" t="s">
        <v>9716</v>
      </c>
      <c r="BD446" s="81" t="s">
        <v>11502</v>
      </c>
      <c r="BE446" s="77"/>
      <c r="BF446" s="77"/>
      <c r="BG446" s="77"/>
      <c r="BH446" s="77"/>
      <c r="BI446" s="77"/>
    </row>
    <row r="447" spans="1:61" x14ac:dyDescent="0.25">
      <c r="A447" s="62" t="s">
        <v>424</v>
      </c>
      <c r="B447" s="62" t="s">
        <v>424</v>
      </c>
      <c r="C447" s="63"/>
      <c r="D447" s="64"/>
      <c r="E447" s="65"/>
      <c r="F447" s="66"/>
      <c r="G447" s="63"/>
      <c r="H447" s="67"/>
      <c r="I447" s="68"/>
      <c r="J447" s="68"/>
      <c r="K447" s="32"/>
      <c r="L447" s="75">
        <v>447</v>
      </c>
      <c r="M447" s="75"/>
      <c r="N447" s="70"/>
      <c r="O447" s="77" t="s">
        <v>179</v>
      </c>
      <c r="P447" s="79">
        <v>44967.583715277775</v>
      </c>
      <c r="Q447" s="77" t="s">
        <v>1395</v>
      </c>
      <c r="R447" s="77">
        <v>0</v>
      </c>
      <c r="S447" s="77">
        <v>0</v>
      </c>
      <c r="T447" s="77">
        <v>0</v>
      </c>
      <c r="U447" s="77">
        <v>0</v>
      </c>
      <c r="V447" s="77">
        <v>44</v>
      </c>
      <c r="W447" s="81" t="s">
        <v>3231</v>
      </c>
      <c r="X447" s="83" t="str">
        <f>HYPERLINK("http://www.recrutadora.com.br/vagas.php")</f>
        <v>http://www.recrutadora.com.br/vagas.php</v>
      </c>
      <c r="Y447" s="77" t="s">
        <v>4223</v>
      </c>
      <c r="Z447" s="77"/>
      <c r="AA447" s="77" t="s">
        <v>4668</v>
      </c>
      <c r="AB447" s="77" t="s">
        <v>5794</v>
      </c>
      <c r="AC447" s="81" t="s">
        <v>5806</v>
      </c>
      <c r="AD447" s="77" t="s">
        <v>5851</v>
      </c>
      <c r="AE447" s="83" t="str">
        <f>HYPERLINK("https://twitter.com/rrecrutadora/status/1624045658977050627")</f>
        <v>https://twitter.com/rrecrutadora/status/1624045658977050627</v>
      </c>
      <c r="AF447" s="79">
        <v>44967.583715277775</v>
      </c>
      <c r="AG447" s="85">
        <v>44967</v>
      </c>
      <c r="AH447" s="81" t="s">
        <v>6269</v>
      </c>
      <c r="AI447" s="77" t="b">
        <v>0</v>
      </c>
      <c r="AJ447" s="77"/>
      <c r="AK447" s="77"/>
      <c r="AL447" s="77"/>
      <c r="AM447" s="77"/>
      <c r="AN447" s="77"/>
      <c r="AO447" s="77"/>
      <c r="AP447" s="77"/>
      <c r="AQ447" s="77" t="s">
        <v>8171</v>
      </c>
      <c r="AR447" s="77"/>
      <c r="AS447" s="77"/>
      <c r="AT447" s="77"/>
      <c r="AU447" s="77"/>
      <c r="AV447" s="83" t="str">
        <f>HYPERLINK("https://pbs.twimg.com/media/FonE653XwAcRROu.jpg")</f>
        <v>https://pbs.twimg.com/media/FonE653XwAcRROu.jpg</v>
      </c>
      <c r="AW447" s="81" t="s">
        <v>9717</v>
      </c>
      <c r="AX447" s="81" t="s">
        <v>9717</v>
      </c>
      <c r="AY447" s="77"/>
      <c r="AZ447" s="81" t="s">
        <v>11359</v>
      </c>
      <c r="BA447" s="81" t="s">
        <v>11359</v>
      </c>
      <c r="BB447" s="81" t="s">
        <v>11359</v>
      </c>
      <c r="BC447" s="81" t="s">
        <v>9717</v>
      </c>
      <c r="BD447" s="81" t="s">
        <v>11502</v>
      </c>
      <c r="BE447" s="77"/>
      <c r="BF447" s="77"/>
      <c r="BG447" s="77"/>
      <c r="BH447" s="77"/>
      <c r="BI447" s="77"/>
    </row>
    <row r="448" spans="1:61" x14ac:dyDescent="0.25">
      <c r="A448" s="62" t="s">
        <v>424</v>
      </c>
      <c r="B448" s="62" t="s">
        <v>424</v>
      </c>
      <c r="C448" s="63"/>
      <c r="D448" s="64"/>
      <c r="E448" s="65"/>
      <c r="F448" s="66"/>
      <c r="G448" s="63"/>
      <c r="H448" s="67"/>
      <c r="I448" s="68"/>
      <c r="J448" s="68"/>
      <c r="K448" s="32"/>
      <c r="L448" s="75">
        <v>448</v>
      </c>
      <c r="M448" s="75"/>
      <c r="N448" s="70"/>
      <c r="O448" s="77" t="s">
        <v>179</v>
      </c>
      <c r="P448" s="79">
        <v>44933.708587962959</v>
      </c>
      <c r="Q448" s="77" t="s">
        <v>1396</v>
      </c>
      <c r="R448" s="77">
        <v>0</v>
      </c>
      <c r="S448" s="77">
        <v>0</v>
      </c>
      <c r="T448" s="77">
        <v>0</v>
      </c>
      <c r="U448" s="77">
        <v>0</v>
      </c>
      <c r="V448" s="77">
        <v>15</v>
      </c>
      <c r="W448" s="81" t="s">
        <v>3230</v>
      </c>
      <c r="X448" s="83" t="str">
        <f>HYPERLINK("http://www.recrutadora.com.br/vagas.php")</f>
        <v>http://www.recrutadora.com.br/vagas.php</v>
      </c>
      <c r="Y448" s="77" t="s">
        <v>4223</v>
      </c>
      <c r="Z448" s="77"/>
      <c r="AA448" s="77" t="s">
        <v>4669</v>
      </c>
      <c r="AB448" s="77" t="s">
        <v>5794</v>
      </c>
      <c r="AC448" s="81" t="s">
        <v>5806</v>
      </c>
      <c r="AD448" s="77" t="s">
        <v>5851</v>
      </c>
      <c r="AE448" s="83" t="str">
        <f>HYPERLINK("https://twitter.com/rrecrutadora/status/1611769726845206535")</f>
        <v>https://twitter.com/rrecrutadora/status/1611769726845206535</v>
      </c>
      <c r="AF448" s="79">
        <v>44933.708587962959</v>
      </c>
      <c r="AG448" s="85">
        <v>44933</v>
      </c>
      <c r="AH448" s="81" t="s">
        <v>6270</v>
      </c>
      <c r="AI448" s="77" t="b">
        <v>0</v>
      </c>
      <c r="AJ448" s="77"/>
      <c r="AK448" s="77"/>
      <c r="AL448" s="77"/>
      <c r="AM448" s="77"/>
      <c r="AN448" s="77"/>
      <c r="AO448" s="77"/>
      <c r="AP448" s="77"/>
      <c r="AQ448" s="77" t="s">
        <v>8172</v>
      </c>
      <c r="AR448" s="77"/>
      <c r="AS448" s="77"/>
      <c r="AT448" s="77"/>
      <c r="AU448" s="77"/>
      <c r="AV448" s="83" t="str">
        <f>HYPERLINK("https://pbs.twimg.com/media/Fl4oBoWWAAAtKW3.jpg")</f>
        <v>https://pbs.twimg.com/media/Fl4oBoWWAAAtKW3.jpg</v>
      </c>
      <c r="AW448" s="81" t="s">
        <v>9718</v>
      </c>
      <c r="AX448" s="81" t="s">
        <v>9718</v>
      </c>
      <c r="AY448" s="77"/>
      <c r="AZ448" s="81" t="s">
        <v>11359</v>
      </c>
      <c r="BA448" s="81" t="s">
        <v>11359</v>
      </c>
      <c r="BB448" s="81" t="s">
        <v>11359</v>
      </c>
      <c r="BC448" s="81" t="s">
        <v>9718</v>
      </c>
      <c r="BD448" s="81" t="s">
        <v>11502</v>
      </c>
      <c r="BE448" s="77"/>
      <c r="BF448" s="77"/>
      <c r="BG448" s="77"/>
      <c r="BH448" s="77"/>
      <c r="BI448" s="77"/>
    </row>
    <row r="449" spans="1:61" x14ac:dyDescent="0.25">
      <c r="A449" s="62" t="s">
        <v>424</v>
      </c>
      <c r="B449" s="62" t="s">
        <v>424</v>
      </c>
      <c r="C449" s="63"/>
      <c r="D449" s="64"/>
      <c r="E449" s="65"/>
      <c r="F449" s="66"/>
      <c r="G449" s="63"/>
      <c r="H449" s="67"/>
      <c r="I449" s="68"/>
      <c r="J449" s="68"/>
      <c r="K449" s="32"/>
      <c r="L449" s="75">
        <v>449</v>
      </c>
      <c r="M449" s="75"/>
      <c r="N449" s="70"/>
      <c r="O449" s="77" t="s">
        <v>179</v>
      </c>
      <c r="P449" s="79">
        <v>44932.854351851849</v>
      </c>
      <c r="Q449" s="77" t="s">
        <v>1397</v>
      </c>
      <c r="R449" s="77">
        <v>0</v>
      </c>
      <c r="S449" s="77">
        <v>0</v>
      </c>
      <c r="T449" s="77">
        <v>0</v>
      </c>
      <c r="U449" s="77">
        <v>0</v>
      </c>
      <c r="V449" s="77">
        <v>16</v>
      </c>
      <c r="W449" s="81" t="s">
        <v>3235</v>
      </c>
      <c r="X449" s="83" t="str">
        <f>HYPERLINK("http://www.recrutadora.com.br/vagas.php")</f>
        <v>http://www.recrutadora.com.br/vagas.php</v>
      </c>
      <c r="Y449" s="77" t="s">
        <v>4223</v>
      </c>
      <c r="Z449" s="77"/>
      <c r="AA449" s="77" t="s">
        <v>4670</v>
      </c>
      <c r="AB449" s="77" t="s">
        <v>5794</v>
      </c>
      <c r="AC449" s="81" t="s">
        <v>5806</v>
      </c>
      <c r="AD449" s="77" t="s">
        <v>5851</v>
      </c>
      <c r="AE449" s="83" t="str">
        <f>HYPERLINK("https://twitter.com/rrecrutadora/status/1611460162266570752")</f>
        <v>https://twitter.com/rrecrutadora/status/1611460162266570752</v>
      </c>
      <c r="AF449" s="79">
        <v>44932.854351851849</v>
      </c>
      <c r="AG449" s="85">
        <v>44932</v>
      </c>
      <c r="AH449" s="81" t="s">
        <v>6271</v>
      </c>
      <c r="AI449" s="77" t="b">
        <v>0</v>
      </c>
      <c r="AJ449" s="77"/>
      <c r="AK449" s="77"/>
      <c r="AL449" s="77"/>
      <c r="AM449" s="77"/>
      <c r="AN449" s="77"/>
      <c r="AO449" s="77"/>
      <c r="AP449" s="77"/>
      <c r="AQ449" s="77" t="s">
        <v>8173</v>
      </c>
      <c r="AR449" s="77"/>
      <c r="AS449" s="77"/>
      <c r="AT449" s="77"/>
      <c r="AU449" s="77"/>
      <c r="AV449" s="83" t="str">
        <f>HYPERLINK("https://pbs.twimg.com/media/Fl0OekDWIAMqy47.jpg")</f>
        <v>https://pbs.twimg.com/media/Fl0OekDWIAMqy47.jpg</v>
      </c>
      <c r="AW449" s="81" t="s">
        <v>9719</v>
      </c>
      <c r="AX449" s="81" t="s">
        <v>9719</v>
      </c>
      <c r="AY449" s="77"/>
      <c r="AZ449" s="81" t="s">
        <v>11359</v>
      </c>
      <c r="BA449" s="81" t="s">
        <v>11359</v>
      </c>
      <c r="BB449" s="81" t="s">
        <v>11359</v>
      </c>
      <c r="BC449" s="81" t="s">
        <v>9719</v>
      </c>
      <c r="BD449" s="81" t="s">
        <v>11502</v>
      </c>
      <c r="BE449" s="77"/>
      <c r="BF449" s="77"/>
      <c r="BG449" s="77"/>
      <c r="BH449" s="77"/>
      <c r="BI449" s="77"/>
    </row>
    <row r="450" spans="1:61" x14ac:dyDescent="0.25">
      <c r="A450" s="62" t="s">
        <v>424</v>
      </c>
      <c r="B450" s="62" t="s">
        <v>424</v>
      </c>
      <c r="C450" s="63"/>
      <c r="D450" s="64"/>
      <c r="E450" s="65"/>
      <c r="F450" s="66"/>
      <c r="G450" s="63"/>
      <c r="H450" s="67"/>
      <c r="I450" s="68"/>
      <c r="J450" s="68"/>
      <c r="K450" s="32"/>
      <c r="L450" s="75">
        <v>450</v>
      </c>
      <c r="M450" s="75"/>
      <c r="N450" s="70"/>
      <c r="O450" s="77" t="s">
        <v>179</v>
      </c>
      <c r="P450" s="79">
        <v>44931.501006944447</v>
      </c>
      <c r="Q450" s="77" t="s">
        <v>1398</v>
      </c>
      <c r="R450" s="77">
        <v>0</v>
      </c>
      <c r="S450" s="77">
        <v>0</v>
      </c>
      <c r="T450" s="77">
        <v>0</v>
      </c>
      <c r="U450" s="77">
        <v>0</v>
      </c>
      <c r="V450" s="77">
        <v>11</v>
      </c>
      <c r="W450" s="81" t="s">
        <v>3230</v>
      </c>
      <c r="X450" s="83" t="str">
        <f>HYPERLINK("http://www.recrutadora.com.br/vagas.php")</f>
        <v>http://www.recrutadora.com.br/vagas.php</v>
      </c>
      <c r="Y450" s="77" t="s">
        <v>4223</v>
      </c>
      <c r="Z450" s="77"/>
      <c r="AA450" s="77" t="s">
        <v>4671</v>
      </c>
      <c r="AB450" s="77" t="s">
        <v>5794</v>
      </c>
      <c r="AC450" s="81" t="s">
        <v>5806</v>
      </c>
      <c r="AD450" s="77" t="s">
        <v>5851</v>
      </c>
      <c r="AE450" s="83" t="str">
        <f>HYPERLINK("https://twitter.com/rrecrutadora/status/1610969726875799555")</f>
        <v>https://twitter.com/rrecrutadora/status/1610969726875799555</v>
      </c>
      <c r="AF450" s="79">
        <v>44931.501006944447</v>
      </c>
      <c r="AG450" s="85">
        <v>44931</v>
      </c>
      <c r="AH450" s="81" t="s">
        <v>6272</v>
      </c>
      <c r="AI450" s="77" t="b">
        <v>0</v>
      </c>
      <c r="AJ450" s="77"/>
      <c r="AK450" s="77"/>
      <c r="AL450" s="77"/>
      <c r="AM450" s="77"/>
      <c r="AN450" s="77"/>
      <c r="AO450" s="77"/>
      <c r="AP450" s="77"/>
      <c r="AQ450" s="77" t="s">
        <v>8174</v>
      </c>
      <c r="AR450" s="77"/>
      <c r="AS450" s="77"/>
      <c r="AT450" s="77"/>
      <c r="AU450" s="77"/>
      <c r="AV450" s="83" t="str">
        <f>HYPERLINK("https://pbs.twimg.com/media/FltQbepWIAIGvQU.jpg")</f>
        <v>https://pbs.twimg.com/media/FltQbepWIAIGvQU.jpg</v>
      </c>
      <c r="AW450" s="81" t="s">
        <v>9720</v>
      </c>
      <c r="AX450" s="81" t="s">
        <v>9720</v>
      </c>
      <c r="AY450" s="77"/>
      <c r="AZ450" s="81" t="s">
        <v>11359</v>
      </c>
      <c r="BA450" s="81" t="s">
        <v>11359</v>
      </c>
      <c r="BB450" s="81" t="s">
        <v>11359</v>
      </c>
      <c r="BC450" s="81" t="s">
        <v>9720</v>
      </c>
      <c r="BD450" s="81" t="s">
        <v>11502</v>
      </c>
      <c r="BE450" s="77"/>
      <c r="BF450" s="77"/>
      <c r="BG450" s="77"/>
      <c r="BH450" s="77"/>
      <c r="BI450" s="77"/>
    </row>
    <row r="451" spans="1:61" x14ac:dyDescent="0.25">
      <c r="A451" s="62" t="s">
        <v>424</v>
      </c>
      <c r="B451" s="62" t="s">
        <v>424</v>
      </c>
      <c r="C451" s="63"/>
      <c r="D451" s="64"/>
      <c r="E451" s="65"/>
      <c r="F451" s="66"/>
      <c r="G451" s="63"/>
      <c r="H451" s="67"/>
      <c r="I451" s="68"/>
      <c r="J451" s="68"/>
      <c r="K451" s="32"/>
      <c r="L451" s="75">
        <v>451</v>
      </c>
      <c r="M451" s="75"/>
      <c r="N451" s="70"/>
      <c r="O451" s="77" t="s">
        <v>179</v>
      </c>
      <c r="P451" s="79">
        <v>44930.646064814813</v>
      </c>
      <c r="Q451" s="77" t="s">
        <v>1399</v>
      </c>
      <c r="R451" s="77">
        <v>0</v>
      </c>
      <c r="S451" s="77">
        <v>0</v>
      </c>
      <c r="T451" s="77">
        <v>0</v>
      </c>
      <c r="U451" s="77">
        <v>0</v>
      </c>
      <c r="V451" s="77">
        <v>19</v>
      </c>
      <c r="W451" s="81" t="s">
        <v>3238</v>
      </c>
      <c r="X451" s="83" t="str">
        <f>HYPERLINK("http://www.recrutadora.com.br/vagas.php")</f>
        <v>http://www.recrutadora.com.br/vagas.php</v>
      </c>
      <c r="Y451" s="77" t="s">
        <v>4223</v>
      </c>
      <c r="Z451" s="77"/>
      <c r="AA451" s="77" t="s">
        <v>4672</v>
      </c>
      <c r="AB451" s="77" t="s">
        <v>5794</v>
      </c>
      <c r="AC451" s="81" t="s">
        <v>5806</v>
      </c>
      <c r="AD451" s="77" t="s">
        <v>5851</v>
      </c>
      <c r="AE451" s="83" t="str">
        <f>HYPERLINK("https://twitter.com/rrecrutadora/status/1610659903978315777")</f>
        <v>https://twitter.com/rrecrutadora/status/1610659903978315777</v>
      </c>
      <c r="AF451" s="79">
        <v>44930.646064814813</v>
      </c>
      <c r="AG451" s="85">
        <v>44930</v>
      </c>
      <c r="AH451" s="81" t="s">
        <v>6273</v>
      </c>
      <c r="AI451" s="77" t="b">
        <v>0</v>
      </c>
      <c r="AJ451" s="77"/>
      <c r="AK451" s="77"/>
      <c r="AL451" s="77"/>
      <c r="AM451" s="77"/>
      <c r="AN451" s="77"/>
      <c r="AO451" s="77"/>
      <c r="AP451" s="77"/>
      <c r="AQ451" s="77" t="s">
        <v>8175</v>
      </c>
      <c r="AR451" s="77"/>
      <c r="AS451" s="77"/>
      <c r="AT451" s="77"/>
      <c r="AU451" s="77"/>
      <c r="AV451" s="83" t="str">
        <f>HYPERLINK("https://pbs.twimg.com/media/Flo2pZrWAAEDlct.jpg")</f>
        <v>https://pbs.twimg.com/media/Flo2pZrWAAEDlct.jpg</v>
      </c>
      <c r="AW451" s="81" t="s">
        <v>9721</v>
      </c>
      <c r="AX451" s="81" t="s">
        <v>9721</v>
      </c>
      <c r="AY451" s="77"/>
      <c r="AZ451" s="81" t="s">
        <v>11359</v>
      </c>
      <c r="BA451" s="81" t="s">
        <v>11359</v>
      </c>
      <c r="BB451" s="81" t="s">
        <v>11359</v>
      </c>
      <c r="BC451" s="81" t="s">
        <v>9721</v>
      </c>
      <c r="BD451" s="81" t="s">
        <v>11502</v>
      </c>
      <c r="BE451" s="77"/>
      <c r="BF451" s="77"/>
      <c r="BG451" s="77"/>
      <c r="BH451" s="77"/>
      <c r="BI451" s="77"/>
    </row>
    <row r="452" spans="1:61" x14ac:dyDescent="0.25">
      <c r="A452" s="62" t="s">
        <v>424</v>
      </c>
      <c r="B452" s="62" t="s">
        <v>424</v>
      </c>
      <c r="C452" s="63"/>
      <c r="D452" s="64"/>
      <c r="E452" s="65"/>
      <c r="F452" s="66"/>
      <c r="G452" s="63"/>
      <c r="H452" s="67"/>
      <c r="I452" s="68"/>
      <c r="J452" s="68"/>
      <c r="K452" s="32"/>
      <c r="L452" s="75">
        <v>452</v>
      </c>
      <c r="M452" s="75"/>
      <c r="N452" s="70"/>
      <c r="O452" s="77" t="s">
        <v>179</v>
      </c>
      <c r="P452" s="79">
        <v>44929.687743055554</v>
      </c>
      <c r="Q452" s="77" t="s">
        <v>1400</v>
      </c>
      <c r="R452" s="77">
        <v>0</v>
      </c>
      <c r="S452" s="77">
        <v>0</v>
      </c>
      <c r="T452" s="77">
        <v>0</v>
      </c>
      <c r="U452" s="77">
        <v>0</v>
      </c>
      <c r="V452" s="77">
        <v>12</v>
      </c>
      <c r="W452" s="81" t="s">
        <v>3230</v>
      </c>
      <c r="X452" s="83" t="str">
        <f>HYPERLINK("http://www.recrutadora.com.br/vagas.php")</f>
        <v>http://www.recrutadora.com.br/vagas.php</v>
      </c>
      <c r="Y452" s="77" t="s">
        <v>4223</v>
      </c>
      <c r="Z452" s="77"/>
      <c r="AA452" s="77" t="s">
        <v>4673</v>
      </c>
      <c r="AB452" s="77" t="s">
        <v>5794</v>
      </c>
      <c r="AC452" s="81" t="s">
        <v>5806</v>
      </c>
      <c r="AD452" s="77" t="s">
        <v>5851</v>
      </c>
      <c r="AE452" s="83" t="str">
        <f>HYPERLINK("https://twitter.com/rrecrutadora/status/1610312621160267777")</f>
        <v>https://twitter.com/rrecrutadora/status/1610312621160267777</v>
      </c>
      <c r="AF452" s="79">
        <v>44929.687743055554</v>
      </c>
      <c r="AG452" s="85">
        <v>44929</v>
      </c>
      <c r="AH452" s="81" t="s">
        <v>6274</v>
      </c>
      <c r="AI452" s="77" t="b">
        <v>0</v>
      </c>
      <c r="AJ452" s="77"/>
      <c r="AK452" s="77"/>
      <c r="AL452" s="77"/>
      <c r="AM452" s="77"/>
      <c r="AN452" s="77"/>
      <c r="AO452" s="77"/>
      <c r="AP452" s="77"/>
      <c r="AQ452" s="77" t="s">
        <v>8176</v>
      </c>
      <c r="AR452" s="77"/>
      <c r="AS452" s="77"/>
      <c r="AT452" s="77"/>
      <c r="AU452" s="77"/>
      <c r="AV452" s="83" t="str">
        <f>HYPERLINK("https://pbs.twimg.com/media/Flj6y4vWQAIO07i.jpg")</f>
        <v>https://pbs.twimg.com/media/Flj6y4vWQAIO07i.jpg</v>
      </c>
      <c r="AW452" s="81" t="s">
        <v>9722</v>
      </c>
      <c r="AX452" s="81" t="s">
        <v>9722</v>
      </c>
      <c r="AY452" s="77"/>
      <c r="AZ452" s="81" t="s">
        <v>11359</v>
      </c>
      <c r="BA452" s="81" t="s">
        <v>11359</v>
      </c>
      <c r="BB452" s="81" t="s">
        <v>11359</v>
      </c>
      <c r="BC452" s="81" t="s">
        <v>9722</v>
      </c>
      <c r="BD452" s="81" t="s">
        <v>11502</v>
      </c>
      <c r="BE452" s="77"/>
      <c r="BF452" s="77"/>
      <c r="BG452" s="77"/>
      <c r="BH452" s="77"/>
      <c r="BI452" s="77"/>
    </row>
    <row r="453" spans="1:61" x14ac:dyDescent="0.25">
      <c r="A453" s="62" t="s">
        <v>424</v>
      </c>
      <c r="B453" s="62" t="s">
        <v>424</v>
      </c>
      <c r="C453" s="63"/>
      <c r="D453" s="64"/>
      <c r="E453" s="65"/>
      <c r="F453" s="66"/>
      <c r="G453" s="63"/>
      <c r="H453" s="67"/>
      <c r="I453" s="68"/>
      <c r="J453" s="68"/>
      <c r="K453" s="32"/>
      <c r="L453" s="75">
        <v>453</v>
      </c>
      <c r="M453" s="75"/>
      <c r="N453" s="70"/>
      <c r="O453" s="77" t="s">
        <v>179</v>
      </c>
      <c r="P453" s="79">
        <v>44928.812696759262</v>
      </c>
      <c r="Q453" s="77" t="s">
        <v>1401</v>
      </c>
      <c r="R453" s="77">
        <v>0</v>
      </c>
      <c r="S453" s="77">
        <v>0</v>
      </c>
      <c r="T453" s="77">
        <v>0</v>
      </c>
      <c r="U453" s="77">
        <v>0</v>
      </c>
      <c r="V453" s="77">
        <v>51</v>
      </c>
      <c r="W453" s="81" t="s">
        <v>3238</v>
      </c>
      <c r="X453" s="83" t="str">
        <f>HYPERLINK("http://www.recrutadora.com.br/vagas.php")</f>
        <v>http://www.recrutadora.com.br/vagas.php</v>
      </c>
      <c r="Y453" s="77" t="s">
        <v>4223</v>
      </c>
      <c r="Z453" s="77"/>
      <c r="AA453" s="77" t="s">
        <v>4674</v>
      </c>
      <c r="AB453" s="77" t="s">
        <v>5794</v>
      </c>
      <c r="AC453" s="81" t="s">
        <v>5806</v>
      </c>
      <c r="AD453" s="77" t="s">
        <v>5851</v>
      </c>
      <c r="AE453" s="83" t="str">
        <f>HYPERLINK("https://twitter.com/rrecrutadora/status/1609995514317094913")</f>
        <v>https://twitter.com/rrecrutadora/status/1609995514317094913</v>
      </c>
      <c r="AF453" s="79">
        <v>44928.812696759262</v>
      </c>
      <c r="AG453" s="85">
        <v>44928</v>
      </c>
      <c r="AH453" s="81" t="s">
        <v>6275</v>
      </c>
      <c r="AI453" s="77" t="b">
        <v>0</v>
      </c>
      <c r="AJ453" s="77"/>
      <c r="AK453" s="77"/>
      <c r="AL453" s="77"/>
      <c r="AM453" s="77"/>
      <c r="AN453" s="77"/>
      <c r="AO453" s="77"/>
      <c r="AP453" s="77"/>
      <c r="AQ453" s="77" t="s">
        <v>8177</v>
      </c>
      <c r="AR453" s="77"/>
      <c r="AS453" s="77"/>
      <c r="AT453" s="77"/>
      <c r="AU453" s="77"/>
      <c r="AV453" s="83" t="str">
        <f>HYPERLINK("https://pbs.twimg.com/media/FlfaY3DWYAMHUcL.jpg")</f>
        <v>https://pbs.twimg.com/media/FlfaY3DWYAMHUcL.jpg</v>
      </c>
      <c r="AW453" s="81" t="s">
        <v>9723</v>
      </c>
      <c r="AX453" s="81" t="s">
        <v>9723</v>
      </c>
      <c r="AY453" s="77"/>
      <c r="AZ453" s="81" t="s">
        <v>11359</v>
      </c>
      <c r="BA453" s="81" t="s">
        <v>11359</v>
      </c>
      <c r="BB453" s="81" t="s">
        <v>11359</v>
      </c>
      <c r="BC453" s="81" t="s">
        <v>9723</v>
      </c>
      <c r="BD453" s="81" t="s">
        <v>11502</v>
      </c>
      <c r="BE453" s="77"/>
      <c r="BF453" s="77"/>
      <c r="BG453" s="77"/>
      <c r="BH453" s="77"/>
      <c r="BI453" s="77"/>
    </row>
    <row r="454" spans="1:61" x14ac:dyDescent="0.25">
      <c r="A454" s="62" t="s">
        <v>424</v>
      </c>
      <c r="B454" s="62" t="s">
        <v>424</v>
      </c>
      <c r="C454" s="63"/>
      <c r="D454" s="64"/>
      <c r="E454" s="65"/>
      <c r="F454" s="66"/>
      <c r="G454" s="63"/>
      <c r="H454" s="67"/>
      <c r="I454" s="68"/>
      <c r="J454" s="68"/>
      <c r="K454" s="32"/>
      <c r="L454" s="75">
        <v>454</v>
      </c>
      <c r="M454" s="75"/>
      <c r="N454" s="70"/>
      <c r="O454" s="77" t="s">
        <v>179</v>
      </c>
      <c r="P454" s="79">
        <v>44928.791886574072</v>
      </c>
      <c r="Q454" s="77" t="s">
        <v>1402</v>
      </c>
      <c r="R454" s="77">
        <v>0</v>
      </c>
      <c r="S454" s="77">
        <v>0</v>
      </c>
      <c r="T454" s="77">
        <v>0</v>
      </c>
      <c r="U454" s="77">
        <v>0</v>
      </c>
      <c r="V454" s="77">
        <v>34</v>
      </c>
      <c r="W454" s="81" t="s">
        <v>3239</v>
      </c>
      <c r="X454" s="83" t="str">
        <f>HYPERLINK("http://www.recrutadora.com.br/vagas.php")</f>
        <v>http://www.recrutadora.com.br/vagas.php</v>
      </c>
      <c r="Y454" s="77" t="s">
        <v>4223</v>
      </c>
      <c r="Z454" s="77"/>
      <c r="AA454" s="77" t="s">
        <v>4675</v>
      </c>
      <c r="AB454" s="77" t="s">
        <v>5794</v>
      </c>
      <c r="AC454" s="81" t="s">
        <v>5806</v>
      </c>
      <c r="AD454" s="77" t="s">
        <v>5851</v>
      </c>
      <c r="AE454" s="83" t="str">
        <f>HYPERLINK("https://twitter.com/rrecrutadora/status/1609987972136407048")</f>
        <v>https://twitter.com/rrecrutadora/status/1609987972136407048</v>
      </c>
      <c r="AF454" s="79">
        <v>44928.791886574072</v>
      </c>
      <c r="AG454" s="85">
        <v>44928</v>
      </c>
      <c r="AH454" s="81" t="s">
        <v>6276</v>
      </c>
      <c r="AI454" s="77" t="b">
        <v>0</v>
      </c>
      <c r="AJ454" s="77"/>
      <c r="AK454" s="77"/>
      <c r="AL454" s="77"/>
      <c r="AM454" s="77"/>
      <c r="AN454" s="77"/>
      <c r="AO454" s="77"/>
      <c r="AP454" s="77"/>
      <c r="AQ454" s="77" t="s">
        <v>8178</v>
      </c>
      <c r="AR454" s="77"/>
      <c r="AS454" s="77"/>
      <c r="AT454" s="77"/>
      <c r="AU454" s="77"/>
      <c r="AV454" s="83" t="str">
        <f>HYPERLINK("https://pbs.twimg.com/media/FlfTh2EXoAMsIFG.jpg")</f>
        <v>https://pbs.twimg.com/media/FlfTh2EXoAMsIFG.jpg</v>
      </c>
      <c r="AW454" s="81" t="s">
        <v>9724</v>
      </c>
      <c r="AX454" s="81" t="s">
        <v>9724</v>
      </c>
      <c r="AY454" s="77"/>
      <c r="AZ454" s="81" t="s">
        <v>11359</v>
      </c>
      <c r="BA454" s="81" t="s">
        <v>11359</v>
      </c>
      <c r="BB454" s="81" t="s">
        <v>11359</v>
      </c>
      <c r="BC454" s="81" t="s">
        <v>9724</v>
      </c>
      <c r="BD454" s="81" t="s">
        <v>11502</v>
      </c>
      <c r="BE454" s="77"/>
      <c r="BF454" s="77"/>
      <c r="BG454" s="77"/>
      <c r="BH454" s="77"/>
      <c r="BI454" s="77"/>
    </row>
    <row r="455" spans="1:61" x14ac:dyDescent="0.25">
      <c r="A455" s="62" t="s">
        <v>424</v>
      </c>
      <c r="B455" s="62" t="s">
        <v>424</v>
      </c>
      <c r="C455" s="63"/>
      <c r="D455" s="64"/>
      <c r="E455" s="65"/>
      <c r="F455" s="66"/>
      <c r="G455" s="63"/>
      <c r="H455" s="67"/>
      <c r="I455" s="68"/>
      <c r="J455" s="68"/>
      <c r="K455" s="32"/>
      <c r="L455" s="75">
        <v>455</v>
      </c>
      <c r="M455" s="75"/>
      <c r="N455" s="70"/>
      <c r="O455" s="77" t="s">
        <v>179</v>
      </c>
      <c r="P455" s="79">
        <v>44928.625937500001</v>
      </c>
      <c r="Q455" s="77" t="s">
        <v>1403</v>
      </c>
      <c r="R455" s="77">
        <v>0</v>
      </c>
      <c r="S455" s="77">
        <v>0</v>
      </c>
      <c r="T455" s="77">
        <v>0</v>
      </c>
      <c r="U455" s="77">
        <v>0</v>
      </c>
      <c r="V455" s="77">
        <v>36</v>
      </c>
      <c r="W455" s="81" t="s">
        <v>3239</v>
      </c>
      <c r="X455" s="83" t="str">
        <f>HYPERLINK("http://www.recrutadora.com.br/vagas.php")</f>
        <v>http://www.recrutadora.com.br/vagas.php</v>
      </c>
      <c r="Y455" s="77" t="s">
        <v>4223</v>
      </c>
      <c r="Z455" s="77"/>
      <c r="AA455" s="77" t="s">
        <v>4676</v>
      </c>
      <c r="AB455" s="77" t="s">
        <v>5794</v>
      </c>
      <c r="AC455" s="81" t="s">
        <v>5806</v>
      </c>
      <c r="AD455" s="77" t="s">
        <v>5851</v>
      </c>
      <c r="AE455" s="83" t="str">
        <f>HYPERLINK("https://twitter.com/rrecrutadora/status/1609927836604813312")</f>
        <v>https://twitter.com/rrecrutadora/status/1609927836604813312</v>
      </c>
      <c r="AF455" s="79">
        <v>44928.625937500001</v>
      </c>
      <c r="AG455" s="85">
        <v>44928</v>
      </c>
      <c r="AH455" s="81" t="s">
        <v>6277</v>
      </c>
      <c r="AI455" s="77" t="b">
        <v>0</v>
      </c>
      <c r="AJ455" s="77"/>
      <c r="AK455" s="77"/>
      <c r="AL455" s="77"/>
      <c r="AM455" s="77"/>
      <c r="AN455" s="77"/>
      <c r="AO455" s="77"/>
      <c r="AP455" s="77"/>
      <c r="AQ455" s="77" t="s">
        <v>8179</v>
      </c>
      <c r="AR455" s="77"/>
      <c r="AS455" s="77"/>
      <c r="AT455" s="77"/>
      <c r="AU455" s="77"/>
      <c r="AV455" s="83" t="str">
        <f>HYPERLINK("https://pbs.twimg.com/media/Flec1epX0AMsGMK.jpg")</f>
        <v>https://pbs.twimg.com/media/Flec1epX0AMsGMK.jpg</v>
      </c>
      <c r="AW455" s="81" t="s">
        <v>9725</v>
      </c>
      <c r="AX455" s="81" t="s">
        <v>9725</v>
      </c>
      <c r="AY455" s="77"/>
      <c r="AZ455" s="81" t="s">
        <v>11359</v>
      </c>
      <c r="BA455" s="81" t="s">
        <v>11359</v>
      </c>
      <c r="BB455" s="81" t="s">
        <v>11359</v>
      </c>
      <c r="BC455" s="81" t="s">
        <v>9725</v>
      </c>
      <c r="BD455" s="81" t="s">
        <v>11502</v>
      </c>
      <c r="BE455" s="77"/>
      <c r="BF455" s="77"/>
      <c r="BG455" s="77"/>
      <c r="BH455" s="77"/>
      <c r="BI455" s="77"/>
    </row>
    <row r="456" spans="1:61" x14ac:dyDescent="0.25">
      <c r="A456" s="62" t="s">
        <v>424</v>
      </c>
      <c r="B456" s="62" t="s">
        <v>424</v>
      </c>
      <c r="C456" s="63"/>
      <c r="D456" s="64"/>
      <c r="E456" s="65"/>
      <c r="F456" s="66"/>
      <c r="G456" s="63"/>
      <c r="H456" s="67"/>
      <c r="I456" s="68"/>
      <c r="J456" s="68"/>
      <c r="K456" s="32"/>
      <c r="L456" s="75">
        <v>456</v>
      </c>
      <c r="M456" s="75"/>
      <c r="N456" s="70"/>
      <c r="O456" s="77" t="s">
        <v>179</v>
      </c>
      <c r="P456" s="79">
        <v>45196.604930555557</v>
      </c>
      <c r="Q456" s="77" t="s">
        <v>1404</v>
      </c>
      <c r="R456" s="77">
        <v>0</v>
      </c>
      <c r="S456" s="77">
        <v>0</v>
      </c>
      <c r="T456" s="77">
        <v>0</v>
      </c>
      <c r="U456" s="77">
        <v>0</v>
      </c>
      <c r="V456" s="77">
        <v>7</v>
      </c>
      <c r="W456" s="81" t="s">
        <v>3236</v>
      </c>
      <c r="X456" s="83" t="str">
        <f>HYPERLINK("http://www.recrutadora.com.br/vagas.php")</f>
        <v>http://www.recrutadora.com.br/vagas.php</v>
      </c>
      <c r="Y456" s="77" t="s">
        <v>4223</v>
      </c>
      <c r="Z456" s="77"/>
      <c r="AA456" s="77" t="s">
        <v>4677</v>
      </c>
      <c r="AB456" s="77" t="s">
        <v>5795</v>
      </c>
      <c r="AC456" s="81" t="s">
        <v>5806</v>
      </c>
      <c r="AD456" s="77" t="s">
        <v>5851</v>
      </c>
      <c r="AE456" s="83" t="str">
        <f>HYPERLINK("https://twitter.com/rrecrutadora/status/1707040168396378495")</f>
        <v>https://twitter.com/rrecrutadora/status/1707040168396378495</v>
      </c>
      <c r="AF456" s="79">
        <v>45196.604930555557</v>
      </c>
      <c r="AG456" s="85">
        <v>45196</v>
      </c>
      <c r="AH456" s="81" t="s">
        <v>6278</v>
      </c>
      <c r="AI456" s="77" t="b">
        <v>0</v>
      </c>
      <c r="AJ456" s="77"/>
      <c r="AK456" s="77"/>
      <c r="AL456" s="77"/>
      <c r="AM456" s="77"/>
      <c r="AN456" s="77"/>
      <c r="AO456" s="77"/>
      <c r="AP456" s="77"/>
      <c r="AQ456" s="77" t="s">
        <v>8180</v>
      </c>
      <c r="AR456" s="77">
        <v>5000</v>
      </c>
      <c r="AS456" s="77"/>
      <c r="AT456" s="77"/>
      <c r="AU456" s="77"/>
      <c r="AV456" s="83" t="str">
        <f>HYPERLINK("https://pbs.twimg.com/ext_tw_video_thumb/1707040124729524224/pu/img/yW1lfnwx-kSEnqeb.jpg")</f>
        <v>https://pbs.twimg.com/ext_tw_video_thumb/1707040124729524224/pu/img/yW1lfnwx-kSEnqeb.jpg</v>
      </c>
      <c r="AW456" s="81" t="s">
        <v>9726</v>
      </c>
      <c r="AX456" s="81" t="s">
        <v>9726</v>
      </c>
      <c r="AY456" s="77"/>
      <c r="AZ456" s="81" t="s">
        <v>11359</v>
      </c>
      <c r="BA456" s="81" t="s">
        <v>11359</v>
      </c>
      <c r="BB456" s="81" t="s">
        <v>11359</v>
      </c>
      <c r="BC456" s="81" t="s">
        <v>9726</v>
      </c>
      <c r="BD456" s="81" t="s">
        <v>11502</v>
      </c>
      <c r="BE456" s="77"/>
      <c r="BF456" s="77"/>
      <c r="BG456" s="77"/>
      <c r="BH456" s="77"/>
      <c r="BI456" s="77"/>
    </row>
    <row r="457" spans="1:61" x14ac:dyDescent="0.25">
      <c r="A457" s="62" t="s">
        <v>424</v>
      </c>
      <c r="B457" s="62" t="s">
        <v>424</v>
      </c>
      <c r="C457" s="63"/>
      <c r="D457" s="64"/>
      <c r="E457" s="65"/>
      <c r="F457" s="66"/>
      <c r="G457" s="63"/>
      <c r="H457" s="67"/>
      <c r="I457" s="68"/>
      <c r="J457" s="68"/>
      <c r="K457" s="32"/>
      <c r="L457" s="75">
        <v>457</v>
      </c>
      <c r="M457" s="75"/>
      <c r="N457" s="70"/>
      <c r="O457" s="77" t="s">
        <v>179</v>
      </c>
      <c r="P457" s="79">
        <v>45194.792349537034</v>
      </c>
      <c r="Q457" s="77" t="s">
        <v>1405</v>
      </c>
      <c r="R457" s="77">
        <v>0</v>
      </c>
      <c r="S457" s="77">
        <v>0</v>
      </c>
      <c r="T457" s="77">
        <v>0</v>
      </c>
      <c r="U457" s="77">
        <v>0</v>
      </c>
      <c r="V457" s="77">
        <v>18</v>
      </c>
      <c r="W457" s="81" t="s">
        <v>3236</v>
      </c>
      <c r="X457" s="83" t="str">
        <f>HYPERLINK("http://www.recrutadora.com.br/vagas.php")</f>
        <v>http://www.recrutadora.com.br/vagas.php</v>
      </c>
      <c r="Y457" s="77" t="s">
        <v>4223</v>
      </c>
      <c r="Z457" s="77"/>
      <c r="AA457" s="77" t="s">
        <v>4678</v>
      </c>
      <c r="AB457" s="77" t="s">
        <v>5795</v>
      </c>
      <c r="AC457" s="81" t="s">
        <v>5806</v>
      </c>
      <c r="AD457" s="77" t="s">
        <v>5851</v>
      </c>
      <c r="AE457" s="83" t="str">
        <f>HYPERLINK("https://twitter.com/rrecrutadora/status/1706383313701585246")</f>
        <v>https://twitter.com/rrecrutadora/status/1706383313701585246</v>
      </c>
      <c r="AF457" s="79">
        <v>45194.792349537034</v>
      </c>
      <c r="AG457" s="85">
        <v>45194</v>
      </c>
      <c r="AH457" s="81" t="s">
        <v>6279</v>
      </c>
      <c r="AI457" s="77" t="b">
        <v>0</v>
      </c>
      <c r="AJ457" s="77"/>
      <c r="AK457" s="77"/>
      <c r="AL457" s="77"/>
      <c r="AM457" s="77"/>
      <c r="AN457" s="77"/>
      <c r="AO457" s="77"/>
      <c r="AP457" s="77"/>
      <c r="AQ457" s="77" t="s">
        <v>8181</v>
      </c>
      <c r="AR457" s="77">
        <v>5000</v>
      </c>
      <c r="AS457" s="77"/>
      <c r="AT457" s="77"/>
      <c r="AU457" s="77"/>
      <c r="AV457" s="83" t="str">
        <f>HYPERLINK("https://pbs.twimg.com/ext_tw_video_thumb/1706383270017941505/pu/img/MjVLHT-HvkO3jYdL.jpg")</f>
        <v>https://pbs.twimg.com/ext_tw_video_thumb/1706383270017941505/pu/img/MjVLHT-HvkO3jYdL.jpg</v>
      </c>
      <c r="AW457" s="81" t="s">
        <v>9727</v>
      </c>
      <c r="AX457" s="81" t="s">
        <v>9727</v>
      </c>
      <c r="AY457" s="77"/>
      <c r="AZ457" s="81" t="s">
        <v>11359</v>
      </c>
      <c r="BA457" s="81" t="s">
        <v>11359</v>
      </c>
      <c r="BB457" s="81" t="s">
        <v>11359</v>
      </c>
      <c r="BC457" s="81" t="s">
        <v>9727</v>
      </c>
      <c r="BD457" s="81" t="s">
        <v>11502</v>
      </c>
      <c r="BE457" s="77"/>
      <c r="BF457" s="77"/>
      <c r="BG457" s="77"/>
      <c r="BH457" s="77"/>
      <c r="BI457" s="77"/>
    </row>
    <row r="458" spans="1:61" x14ac:dyDescent="0.25">
      <c r="A458" s="62" t="s">
        <v>424</v>
      </c>
      <c r="B458" s="62" t="s">
        <v>424</v>
      </c>
      <c r="C458" s="63"/>
      <c r="D458" s="64"/>
      <c r="E458" s="65"/>
      <c r="F458" s="66"/>
      <c r="G458" s="63"/>
      <c r="H458" s="67"/>
      <c r="I458" s="68"/>
      <c r="J458" s="68"/>
      <c r="K458" s="32"/>
      <c r="L458" s="75">
        <v>458</v>
      </c>
      <c r="M458" s="75"/>
      <c r="N458" s="70"/>
      <c r="O458" s="77" t="s">
        <v>179</v>
      </c>
      <c r="P458" s="79">
        <v>45192.792337962965</v>
      </c>
      <c r="Q458" s="77" t="s">
        <v>1406</v>
      </c>
      <c r="R458" s="77">
        <v>0</v>
      </c>
      <c r="S458" s="77">
        <v>0</v>
      </c>
      <c r="T458" s="77">
        <v>0</v>
      </c>
      <c r="U458" s="77">
        <v>0</v>
      </c>
      <c r="V458" s="77">
        <v>16</v>
      </c>
      <c r="W458" s="81" t="s">
        <v>3236</v>
      </c>
      <c r="X458" s="83" t="str">
        <f>HYPERLINK("http://www.recrutadora.com.br/vagas.php")</f>
        <v>http://www.recrutadora.com.br/vagas.php</v>
      </c>
      <c r="Y458" s="77" t="s">
        <v>4223</v>
      </c>
      <c r="Z458" s="77"/>
      <c r="AA458" s="77" t="s">
        <v>4679</v>
      </c>
      <c r="AB458" s="77" t="s">
        <v>5795</v>
      </c>
      <c r="AC458" s="81" t="s">
        <v>5806</v>
      </c>
      <c r="AD458" s="77" t="s">
        <v>5851</v>
      </c>
      <c r="AE458" s="83" t="str">
        <f>HYPERLINK("https://twitter.com/rrecrutadora/status/1705658533415428148")</f>
        <v>https://twitter.com/rrecrutadora/status/1705658533415428148</v>
      </c>
      <c r="AF458" s="79">
        <v>45192.792337962965</v>
      </c>
      <c r="AG458" s="85">
        <v>45192</v>
      </c>
      <c r="AH458" s="81" t="s">
        <v>6280</v>
      </c>
      <c r="AI458" s="77" t="b">
        <v>0</v>
      </c>
      <c r="AJ458" s="77"/>
      <c r="AK458" s="77"/>
      <c r="AL458" s="77"/>
      <c r="AM458" s="77"/>
      <c r="AN458" s="77"/>
      <c r="AO458" s="77"/>
      <c r="AP458" s="77"/>
      <c r="AQ458" s="77" t="s">
        <v>8182</v>
      </c>
      <c r="AR458" s="77">
        <v>5000</v>
      </c>
      <c r="AS458" s="77"/>
      <c r="AT458" s="77"/>
      <c r="AU458" s="77"/>
      <c r="AV458" s="83" t="str">
        <f>HYPERLINK("https://pbs.twimg.com/ext_tw_video_thumb/1705658489685647360/pu/img/Z84RhILmxQRT49Xd.jpg")</f>
        <v>https://pbs.twimg.com/ext_tw_video_thumb/1705658489685647360/pu/img/Z84RhILmxQRT49Xd.jpg</v>
      </c>
      <c r="AW458" s="81" t="s">
        <v>9728</v>
      </c>
      <c r="AX458" s="81" t="s">
        <v>9728</v>
      </c>
      <c r="AY458" s="77"/>
      <c r="AZ458" s="81" t="s">
        <v>11359</v>
      </c>
      <c r="BA458" s="81" t="s">
        <v>11359</v>
      </c>
      <c r="BB458" s="81" t="s">
        <v>11359</v>
      </c>
      <c r="BC458" s="81" t="s">
        <v>9728</v>
      </c>
      <c r="BD458" s="81" t="s">
        <v>11502</v>
      </c>
      <c r="BE458" s="77"/>
      <c r="BF458" s="77"/>
      <c r="BG458" s="77"/>
      <c r="BH458" s="77"/>
      <c r="BI458" s="77"/>
    </row>
    <row r="459" spans="1:61" x14ac:dyDescent="0.25">
      <c r="A459" s="62" t="s">
        <v>424</v>
      </c>
      <c r="B459" s="62" t="s">
        <v>424</v>
      </c>
      <c r="C459" s="63"/>
      <c r="D459" s="64"/>
      <c r="E459" s="65"/>
      <c r="F459" s="66"/>
      <c r="G459" s="63"/>
      <c r="H459" s="67"/>
      <c r="I459" s="68"/>
      <c r="J459" s="68"/>
      <c r="K459" s="32"/>
      <c r="L459" s="75">
        <v>459</v>
      </c>
      <c r="M459" s="75"/>
      <c r="N459" s="70"/>
      <c r="O459" s="77" t="s">
        <v>179</v>
      </c>
      <c r="P459" s="79">
        <v>45190.750937500001</v>
      </c>
      <c r="Q459" s="77" t="s">
        <v>1407</v>
      </c>
      <c r="R459" s="77">
        <v>0</v>
      </c>
      <c r="S459" s="77">
        <v>0</v>
      </c>
      <c r="T459" s="77">
        <v>0</v>
      </c>
      <c r="U459" s="77">
        <v>0</v>
      </c>
      <c r="V459" s="77">
        <v>15</v>
      </c>
      <c r="W459" s="81" t="s">
        <v>3236</v>
      </c>
      <c r="X459" s="83" t="str">
        <f>HYPERLINK("http://www.recrutadora.com.br/vagas.php")</f>
        <v>http://www.recrutadora.com.br/vagas.php</v>
      </c>
      <c r="Y459" s="77" t="s">
        <v>4223</v>
      </c>
      <c r="Z459" s="77"/>
      <c r="AA459" s="77" t="s">
        <v>4680</v>
      </c>
      <c r="AB459" s="77" t="s">
        <v>5795</v>
      </c>
      <c r="AC459" s="81" t="s">
        <v>5806</v>
      </c>
      <c r="AD459" s="77" t="s">
        <v>5851</v>
      </c>
      <c r="AE459" s="83" t="str">
        <f>HYPERLINK("https://twitter.com/rrecrutadora/status/1704918754189103345")</f>
        <v>https://twitter.com/rrecrutadora/status/1704918754189103345</v>
      </c>
      <c r="AF459" s="79">
        <v>45190.750937500001</v>
      </c>
      <c r="AG459" s="85">
        <v>45190</v>
      </c>
      <c r="AH459" s="81" t="s">
        <v>6281</v>
      </c>
      <c r="AI459" s="77" t="b">
        <v>0</v>
      </c>
      <c r="AJ459" s="77"/>
      <c r="AK459" s="77"/>
      <c r="AL459" s="77"/>
      <c r="AM459" s="77"/>
      <c r="AN459" s="77"/>
      <c r="AO459" s="77"/>
      <c r="AP459" s="77"/>
      <c r="AQ459" s="77" t="s">
        <v>8183</v>
      </c>
      <c r="AR459" s="77">
        <v>5000</v>
      </c>
      <c r="AS459" s="77"/>
      <c r="AT459" s="77"/>
      <c r="AU459" s="77"/>
      <c r="AV459" s="83" t="str">
        <f>HYPERLINK("https://pbs.twimg.com/ext_tw_video_thumb/1704918710429929472/pu/img/2teromROYs0cTWzh.jpg")</f>
        <v>https://pbs.twimg.com/ext_tw_video_thumb/1704918710429929472/pu/img/2teromROYs0cTWzh.jpg</v>
      </c>
      <c r="AW459" s="81" t="s">
        <v>9729</v>
      </c>
      <c r="AX459" s="81" t="s">
        <v>9729</v>
      </c>
      <c r="AY459" s="77"/>
      <c r="AZ459" s="81" t="s">
        <v>11359</v>
      </c>
      <c r="BA459" s="81" t="s">
        <v>11359</v>
      </c>
      <c r="BB459" s="81" t="s">
        <v>11359</v>
      </c>
      <c r="BC459" s="81" t="s">
        <v>9729</v>
      </c>
      <c r="BD459" s="81" t="s">
        <v>11502</v>
      </c>
      <c r="BE459" s="77"/>
      <c r="BF459" s="77"/>
      <c r="BG459" s="77"/>
      <c r="BH459" s="77"/>
      <c r="BI459" s="77"/>
    </row>
    <row r="460" spans="1:61" x14ac:dyDescent="0.25">
      <c r="A460" s="62" t="s">
        <v>424</v>
      </c>
      <c r="B460" s="62" t="s">
        <v>424</v>
      </c>
      <c r="C460" s="63"/>
      <c r="D460" s="64"/>
      <c r="E460" s="65"/>
      <c r="F460" s="66"/>
      <c r="G460" s="63"/>
      <c r="H460" s="67"/>
      <c r="I460" s="68"/>
      <c r="J460" s="68"/>
      <c r="K460" s="32"/>
      <c r="L460" s="75">
        <v>460</v>
      </c>
      <c r="M460" s="75"/>
      <c r="N460" s="70"/>
      <c r="O460" s="77" t="s">
        <v>179</v>
      </c>
      <c r="P460" s="79">
        <v>45168.5627662037</v>
      </c>
      <c r="Q460" s="77" t="s">
        <v>1408</v>
      </c>
      <c r="R460" s="77">
        <v>0</v>
      </c>
      <c r="S460" s="77">
        <v>0</v>
      </c>
      <c r="T460" s="77">
        <v>0</v>
      </c>
      <c r="U460" s="77">
        <v>0</v>
      </c>
      <c r="V460" s="77">
        <v>16</v>
      </c>
      <c r="W460" s="81" t="s">
        <v>3234</v>
      </c>
      <c r="X460" s="83" t="str">
        <f>HYPERLINK("http://www.recrutadora.com.br/vagas.php")</f>
        <v>http://www.recrutadora.com.br/vagas.php</v>
      </c>
      <c r="Y460" s="77" t="s">
        <v>4223</v>
      </c>
      <c r="Z460" s="77"/>
      <c r="AA460" s="77" t="s">
        <v>4681</v>
      </c>
      <c r="AB460" s="77" t="s">
        <v>5794</v>
      </c>
      <c r="AC460" s="81" t="s">
        <v>5806</v>
      </c>
      <c r="AD460" s="77" t="s">
        <v>5851</v>
      </c>
      <c r="AE460" s="83" t="str">
        <f>HYPERLINK("https://twitter.com/rrecrutadora/status/1696878029476090212")</f>
        <v>https://twitter.com/rrecrutadora/status/1696878029476090212</v>
      </c>
      <c r="AF460" s="79">
        <v>45168.5627662037</v>
      </c>
      <c r="AG460" s="85">
        <v>45168</v>
      </c>
      <c r="AH460" s="81" t="s">
        <v>6282</v>
      </c>
      <c r="AI460" s="77" t="b">
        <v>0</v>
      </c>
      <c r="AJ460" s="77"/>
      <c r="AK460" s="77"/>
      <c r="AL460" s="77"/>
      <c r="AM460" s="77"/>
      <c r="AN460" s="77"/>
      <c r="AO460" s="77"/>
      <c r="AP460" s="77"/>
      <c r="AQ460" s="77" t="s">
        <v>8184</v>
      </c>
      <c r="AR460" s="77"/>
      <c r="AS460" s="77"/>
      <c r="AT460" s="77"/>
      <c r="AU460" s="77"/>
      <c r="AV460" s="83" t="str">
        <f>HYPERLINK("https://pbs.twimg.com/media/F4yFkzrW4AAHR-h.jpg")</f>
        <v>https://pbs.twimg.com/media/F4yFkzrW4AAHR-h.jpg</v>
      </c>
      <c r="AW460" s="81" t="s">
        <v>9730</v>
      </c>
      <c r="AX460" s="81" t="s">
        <v>9730</v>
      </c>
      <c r="AY460" s="77"/>
      <c r="AZ460" s="81" t="s">
        <v>11359</v>
      </c>
      <c r="BA460" s="81" t="s">
        <v>11359</v>
      </c>
      <c r="BB460" s="81" t="s">
        <v>11359</v>
      </c>
      <c r="BC460" s="81" t="s">
        <v>9730</v>
      </c>
      <c r="BD460" s="81" t="s">
        <v>11502</v>
      </c>
      <c r="BE460" s="77"/>
      <c r="BF460" s="77"/>
      <c r="BG460" s="77"/>
      <c r="BH460" s="77"/>
      <c r="BI460" s="77"/>
    </row>
    <row r="461" spans="1:61" x14ac:dyDescent="0.25">
      <c r="A461" s="62" t="s">
        <v>424</v>
      </c>
      <c r="B461" s="62" t="s">
        <v>424</v>
      </c>
      <c r="C461" s="63"/>
      <c r="D461" s="64"/>
      <c r="E461" s="65"/>
      <c r="F461" s="66"/>
      <c r="G461" s="63"/>
      <c r="H461" s="67"/>
      <c r="I461" s="68"/>
      <c r="J461" s="68"/>
      <c r="K461" s="32"/>
      <c r="L461" s="75">
        <v>461</v>
      </c>
      <c r="M461" s="75"/>
      <c r="N461" s="70"/>
      <c r="O461" s="77" t="s">
        <v>179</v>
      </c>
      <c r="P461" s="79">
        <v>45145.687731481485</v>
      </c>
      <c r="Q461" s="77" t="s">
        <v>1409</v>
      </c>
      <c r="R461" s="77">
        <v>0</v>
      </c>
      <c r="S461" s="77">
        <v>0</v>
      </c>
      <c r="T461" s="77">
        <v>0</v>
      </c>
      <c r="U461" s="77">
        <v>0</v>
      </c>
      <c r="V461" s="77">
        <v>7</v>
      </c>
      <c r="W461" s="81" t="s">
        <v>3240</v>
      </c>
      <c r="X461" s="83" t="str">
        <f>HYPERLINK("http://www.recrutadora.com.br/vagas.php")</f>
        <v>http://www.recrutadora.com.br/vagas.php</v>
      </c>
      <c r="Y461" s="77" t="s">
        <v>4223</v>
      </c>
      <c r="Z461" s="77"/>
      <c r="AA461" s="77" t="s">
        <v>4682</v>
      </c>
      <c r="AB461" s="77" t="s">
        <v>5794</v>
      </c>
      <c r="AC461" s="81" t="s">
        <v>5806</v>
      </c>
      <c r="AD461" s="77" t="s">
        <v>5851</v>
      </c>
      <c r="AE461" s="83" t="str">
        <f>HYPERLINK("https://twitter.com/rrecrutadora/status/1688588394908073991")</f>
        <v>https://twitter.com/rrecrutadora/status/1688588394908073991</v>
      </c>
      <c r="AF461" s="79">
        <v>45145.687731481485</v>
      </c>
      <c r="AG461" s="85">
        <v>45145</v>
      </c>
      <c r="AH461" s="81" t="s">
        <v>6283</v>
      </c>
      <c r="AI461" s="77" t="b">
        <v>0</v>
      </c>
      <c r="AJ461" s="77"/>
      <c r="AK461" s="77"/>
      <c r="AL461" s="77"/>
      <c r="AM461" s="77"/>
      <c r="AN461" s="77"/>
      <c r="AO461" s="77"/>
      <c r="AP461" s="77"/>
      <c r="AQ461" s="77" t="s">
        <v>8185</v>
      </c>
      <c r="AR461" s="77"/>
      <c r="AS461" s="77"/>
      <c r="AT461" s="77"/>
      <c r="AU461" s="77"/>
      <c r="AV461" s="83" t="str">
        <f>HYPERLINK("https://pbs.twimg.com/media/F28SMkVXwA0bjpe.jpg")</f>
        <v>https://pbs.twimg.com/media/F28SMkVXwA0bjpe.jpg</v>
      </c>
      <c r="AW461" s="81" t="s">
        <v>9731</v>
      </c>
      <c r="AX461" s="81" t="s">
        <v>9731</v>
      </c>
      <c r="AY461" s="77"/>
      <c r="AZ461" s="81" t="s">
        <v>11359</v>
      </c>
      <c r="BA461" s="81" t="s">
        <v>11359</v>
      </c>
      <c r="BB461" s="81" t="s">
        <v>11359</v>
      </c>
      <c r="BC461" s="81" t="s">
        <v>9731</v>
      </c>
      <c r="BD461" s="81" t="s">
        <v>11502</v>
      </c>
      <c r="BE461" s="77"/>
      <c r="BF461" s="77"/>
      <c r="BG461" s="77"/>
      <c r="BH461" s="77"/>
      <c r="BI461" s="77"/>
    </row>
    <row r="462" spans="1:61" x14ac:dyDescent="0.25">
      <c r="A462" s="62" t="s">
        <v>425</v>
      </c>
      <c r="B462" s="62" t="s">
        <v>425</v>
      </c>
      <c r="C462" s="63"/>
      <c r="D462" s="64"/>
      <c r="E462" s="65"/>
      <c r="F462" s="66"/>
      <c r="G462" s="63"/>
      <c r="H462" s="67"/>
      <c r="I462" s="68"/>
      <c r="J462" s="68"/>
      <c r="K462" s="32"/>
      <c r="L462" s="75">
        <v>462</v>
      </c>
      <c r="M462" s="75"/>
      <c r="N462" s="70"/>
      <c r="O462" s="77" t="s">
        <v>179</v>
      </c>
      <c r="P462" s="79">
        <v>45181.6875</v>
      </c>
      <c r="Q462" s="77" t="s">
        <v>1410</v>
      </c>
      <c r="R462" s="77">
        <v>0</v>
      </c>
      <c r="S462" s="77">
        <v>0</v>
      </c>
      <c r="T462" s="77">
        <v>0</v>
      </c>
      <c r="U462" s="77">
        <v>0</v>
      </c>
      <c r="V462" s="77">
        <v>46</v>
      </c>
      <c r="W462" s="81" t="s">
        <v>3241</v>
      </c>
      <c r="X462" s="83" t="str">
        <f>HYPERLINK("https://hubs.li/Q021S6pb0")</f>
        <v>https://hubs.li/Q021S6pb0</v>
      </c>
      <c r="Y462" s="77" t="s">
        <v>4264</v>
      </c>
      <c r="Z462" s="77"/>
      <c r="AA462" s="77" t="s">
        <v>4683</v>
      </c>
      <c r="AB462" s="77" t="s">
        <v>5794</v>
      </c>
      <c r="AC462" s="81" t="s">
        <v>5807</v>
      </c>
      <c r="AD462" s="77" t="s">
        <v>5850</v>
      </c>
      <c r="AE462" s="83" t="str">
        <f>HYPERLINK("https://twitter.com/thelogisticswd/status/1701634275592794275")</f>
        <v>https://twitter.com/thelogisticswd/status/1701634275592794275</v>
      </c>
      <c r="AF462" s="79">
        <v>45181.6875</v>
      </c>
      <c r="AG462" s="85">
        <v>45181</v>
      </c>
      <c r="AH462" s="81" t="s">
        <v>6155</v>
      </c>
      <c r="AI462" s="77" t="b">
        <v>0</v>
      </c>
      <c r="AJ462" s="77"/>
      <c r="AK462" s="77"/>
      <c r="AL462" s="77"/>
      <c r="AM462" s="77"/>
      <c r="AN462" s="77"/>
      <c r="AO462" s="77"/>
      <c r="AP462" s="77"/>
      <c r="AQ462" s="77" t="s">
        <v>8186</v>
      </c>
      <c r="AR462" s="77"/>
      <c r="AS462" s="77"/>
      <c r="AT462" s="77"/>
      <c r="AU462" s="77"/>
      <c r="AV462" s="83" t="str">
        <f>HYPERLINK("https://pbs.twimg.com/media/F51rWzNWIAAQ3hS.jpg")</f>
        <v>https://pbs.twimg.com/media/F51rWzNWIAAQ3hS.jpg</v>
      </c>
      <c r="AW462" s="81" t="s">
        <v>9732</v>
      </c>
      <c r="AX462" s="81" t="s">
        <v>9732</v>
      </c>
      <c r="AY462" s="77"/>
      <c r="AZ462" s="81" t="s">
        <v>11359</v>
      </c>
      <c r="BA462" s="81" t="s">
        <v>11359</v>
      </c>
      <c r="BB462" s="81" t="s">
        <v>11359</v>
      </c>
      <c r="BC462" s="81" t="s">
        <v>9732</v>
      </c>
      <c r="BD462" s="77">
        <v>65728582</v>
      </c>
      <c r="BE462" s="77"/>
      <c r="BF462" s="77"/>
      <c r="BG462" s="77"/>
      <c r="BH462" s="77"/>
      <c r="BI462" s="77"/>
    </row>
    <row r="463" spans="1:61" x14ac:dyDescent="0.25">
      <c r="A463" s="62" t="s">
        <v>426</v>
      </c>
      <c r="B463" s="62" t="s">
        <v>627</v>
      </c>
      <c r="C463" s="63"/>
      <c r="D463" s="64"/>
      <c r="E463" s="65"/>
      <c r="F463" s="66"/>
      <c r="G463" s="63"/>
      <c r="H463" s="67"/>
      <c r="I463" s="68"/>
      <c r="J463" s="68"/>
      <c r="K463" s="32"/>
      <c r="L463" s="75">
        <v>463</v>
      </c>
      <c r="M463" s="75"/>
      <c r="N463" s="70"/>
      <c r="O463" s="77" t="s">
        <v>967</v>
      </c>
      <c r="P463" s="79">
        <v>44989.552222222221</v>
      </c>
      <c r="Q463" s="77" t="s">
        <v>1411</v>
      </c>
      <c r="R463" s="77">
        <v>0</v>
      </c>
      <c r="S463" s="77">
        <v>0</v>
      </c>
      <c r="T463" s="77">
        <v>0</v>
      </c>
      <c r="U463" s="77">
        <v>0</v>
      </c>
      <c r="V463" s="77">
        <v>83</v>
      </c>
      <c r="W463" s="81" t="s">
        <v>3242</v>
      </c>
      <c r="X463" s="83" t="str">
        <f>HYPERLINK("https://cybersecuritynews.es/cuales-son-los-beneficios-de-la-debida-diligencia/")</f>
        <v>https://cybersecuritynews.es/cuales-son-los-beneficios-de-la-debida-diligencia/</v>
      </c>
      <c r="Y463" s="77" t="s">
        <v>4265</v>
      </c>
      <c r="Z463" s="77" t="s">
        <v>627</v>
      </c>
      <c r="AA463" s="77"/>
      <c r="AB463" s="77"/>
      <c r="AC463" s="81" t="s">
        <v>5803</v>
      </c>
      <c r="AD463" s="77" t="s">
        <v>5850</v>
      </c>
      <c r="AE463" s="83" t="str">
        <f>HYPERLINK("https://twitter.com/ovationamericas/status/1632006783081369634")</f>
        <v>https://twitter.com/ovationamericas/status/1632006783081369634</v>
      </c>
      <c r="AF463" s="79">
        <v>44989.552222222221</v>
      </c>
      <c r="AG463" s="85">
        <v>44989</v>
      </c>
      <c r="AH463" s="81" t="s">
        <v>6284</v>
      </c>
      <c r="AI463" s="77" t="b">
        <v>0</v>
      </c>
      <c r="AJ463" s="77"/>
      <c r="AK463" s="77"/>
      <c r="AL463" s="77"/>
      <c r="AM463" s="77"/>
      <c r="AN463" s="77"/>
      <c r="AO463" s="77"/>
      <c r="AP463" s="77"/>
      <c r="AQ463" s="77"/>
      <c r="AR463" s="77"/>
      <c r="AS463" s="77"/>
      <c r="AT463" s="77"/>
      <c r="AU463" s="77"/>
      <c r="AV463" s="83" t="str">
        <f>HYPERLINK("https://pbs.twimg.com/profile_images/1369765937214263302/NjSYgajo_normal.jpg")</f>
        <v>https://pbs.twimg.com/profile_images/1369765937214263302/NjSYgajo_normal.jpg</v>
      </c>
      <c r="AW463" s="81" t="s">
        <v>9733</v>
      </c>
      <c r="AX463" s="81" t="s">
        <v>9733</v>
      </c>
      <c r="AY463" s="77"/>
      <c r="AZ463" s="81" t="s">
        <v>11359</v>
      </c>
      <c r="BA463" s="81" t="s">
        <v>11359</v>
      </c>
      <c r="BB463" s="81" t="s">
        <v>11359</v>
      </c>
      <c r="BC463" s="81" t="s">
        <v>9733</v>
      </c>
      <c r="BD463" s="81" t="s">
        <v>11503</v>
      </c>
      <c r="BE463" s="77"/>
      <c r="BF463" s="77"/>
      <c r="BG463" s="77"/>
      <c r="BH463" s="77"/>
      <c r="BI463" s="77"/>
    </row>
    <row r="464" spans="1:61" x14ac:dyDescent="0.25">
      <c r="A464" s="62" t="s">
        <v>427</v>
      </c>
      <c r="B464" s="62" t="s">
        <v>427</v>
      </c>
      <c r="C464" s="63"/>
      <c r="D464" s="64"/>
      <c r="E464" s="65"/>
      <c r="F464" s="66"/>
      <c r="G464" s="63"/>
      <c r="H464" s="67"/>
      <c r="I464" s="68"/>
      <c r="J464" s="68"/>
      <c r="K464" s="32"/>
      <c r="L464" s="75">
        <v>464</v>
      </c>
      <c r="M464" s="75"/>
      <c r="N464" s="70"/>
      <c r="O464" s="77" t="s">
        <v>179</v>
      </c>
      <c r="P464" s="79">
        <v>45118.795300925929</v>
      </c>
      <c r="Q464" s="77" t="s">
        <v>1412</v>
      </c>
      <c r="R464" s="77">
        <v>0</v>
      </c>
      <c r="S464" s="77">
        <v>1</v>
      </c>
      <c r="T464" s="77">
        <v>0</v>
      </c>
      <c r="U464" s="77">
        <v>0</v>
      </c>
      <c r="V464" s="77">
        <v>27</v>
      </c>
      <c r="W464" s="81" t="s">
        <v>3243</v>
      </c>
      <c r="X464" s="77"/>
      <c r="Y464" s="77"/>
      <c r="Z464" s="77"/>
      <c r="AA464" s="77" t="s">
        <v>4684</v>
      </c>
      <c r="AB464" s="77" t="s">
        <v>5795</v>
      </c>
      <c r="AC464" s="81" t="s">
        <v>5803</v>
      </c>
      <c r="AD464" s="77" t="s">
        <v>5850</v>
      </c>
      <c r="AE464" s="83" t="str">
        <f>HYPERLINK("https://twitter.com/grupotsalach/status/1678842904725397505")</f>
        <v>https://twitter.com/grupotsalach/status/1678842904725397505</v>
      </c>
      <c r="AF464" s="79">
        <v>45118.795300925929</v>
      </c>
      <c r="AG464" s="85">
        <v>45118</v>
      </c>
      <c r="AH464" s="81" t="s">
        <v>6285</v>
      </c>
      <c r="AI464" s="77" t="b">
        <v>0</v>
      </c>
      <c r="AJ464" s="77"/>
      <c r="AK464" s="77"/>
      <c r="AL464" s="77"/>
      <c r="AM464" s="77"/>
      <c r="AN464" s="77"/>
      <c r="AO464" s="77"/>
      <c r="AP464" s="77"/>
      <c r="AQ464" s="77" t="s">
        <v>8187</v>
      </c>
      <c r="AR464" s="77">
        <v>45005</v>
      </c>
      <c r="AS464" s="77"/>
      <c r="AT464" s="77"/>
      <c r="AU464" s="77"/>
      <c r="AV464" s="83" t="str">
        <f>HYPERLINK("https://pbs.twimg.com/ext_tw_video_thumb/1678842831144615936/pu/img/aK9Wq2exFo0RQSa-.jpg")</f>
        <v>https://pbs.twimg.com/ext_tw_video_thumb/1678842831144615936/pu/img/aK9Wq2exFo0RQSa-.jpg</v>
      </c>
      <c r="AW464" s="81" t="s">
        <v>9734</v>
      </c>
      <c r="AX464" s="81" t="s">
        <v>9734</v>
      </c>
      <c r="AY464" s="77"/>
      <c r="AZ464" s="81" t="s">
        <v>11359</v>
      </c>
      <c r="BA464" s="81" t="s">
        <v>11359</v>
      </c>
      <c r="BB464" s="81" t="s">
        <v>11359</v>
      </c>
      <c r="BC464" s="81" t="s">
        <v>9734</v>
      </c>
      <c r="BD464" s="81" t="s">
        <v>11504</v>
      </c>
      <c r="BE464" s="77"/>
      <c r="BF464" s="77"/>
      <c r="BG464" s="77"/>
      <c r="BH464" s="77"/>
      <c r="BI464" s="77"/>
    </row>
    <row r="465" spans="1:61" x14ac:dyDescent="0.25">
      <c r="A465" s="62" t="s">
        <v>428</v>
      </c>
      <c r="B465" s="62" t="s">
        <v>428</v>
      </c>
      <c r="C465" s="63"/>
      <c r="D465" s="64"/>
      <c r="E465" s="65"/>
      <c r="F465" s="66"/>
      <c r="G465" s="63"/>
      <c r="H465" s="67"/>
      <c r="I465" s="68"/>
      <c r="J465" s="68"/>
      <c r="K465" s="32"/>
      <c r="L465" s="75">
        <v>465</v>
      </c>
      <c r="M465" s="75"/>
      <c r="N465" s="70"/>
      <c r="O465" s="77" t="s">
        <v>179</v>
      </c>
      <c r="P465" s="79">
        <v>45160.502847222226</v>
      </c>
      <c r="Q465" s="77" t="s">
        <v>1413</v>
      </c>
      <c r="R465" s="77">
        <v>0</v>
      </c>
      <c r="S465" s="77">
        <v>1</v>
      </c>
      <c r="T465" s="77">
        <v>0</v>
      </c>
      <c r="U465" s="77">
        <v>0</v>
      </c>
      <c r="V465" s="77">
        <v>117</v>
      </c>
      <c r="W465" s="81" t="s">
        <v>3244</v>
      </c>
      <c r="X465" s="77"/>
      <c r="Y465" s="77"/>
      <c r="Z465" s="77"/>
      <c r="AA465" s="77" t="s">
        <v>4685</v>
      </c>
      <c r="AB465" s="77" t="s">
        <v>5794</v>
      </c>
      <c r="AC465" s="81" t="s">
        <v>5805</v>
      </c>
      <c r="AD465" s="77" t="s">
        <v>5850</v>
      </c>
      <c r="AE465" s="83" t="str">
        <f>HYPERLINK("https://twitter.com/tneaar/status/1693957211993547150")</f>
        <v>https://twitter.com/tneaar/status/1693957211993547150</v>
      </c>
      <c r="AF465" s="79">
        <v>45160.502847222226</v>
      </c>
      <c r="AG465" s="85">
        <v>45160</v>
      </c>
      <c r="AH465" s="81" t="s">
        <v>6286</v>
      </c>
      <c r="AI465" s="77" t="b">
        <v>0</v>
      </c>
      <c r="AJ465" s="77"/>
      <c r="AK465" s="77"/>
      <c r="AL465" s="77"/>
      <c r="AM465" s="77"/>
      <c r="AN465" s="77"/>
      <c r="AO465" s="77"/>
      <c r="AP465" s="77"/>
      <c r="AQ465" s="77" t="s">
        <v>8188</v>
      </c>
      <c r="AR465" s="77"/>
      <c r="AS465" s="77"/>
      <c r="AT465" s="77"/>
      <c r="AU465" s="77"/>
      <c r="AV465" s="83" t="str">
        <f>HYPERLINK("https://pbs.twimg.com/media/F4IlGmMWQAA_tjg.jpg")</f>
        <v>https://pbs.twimg.com/media/F4IlGmMWQAA_tjg.jpg</v>
      </c>
      <c r="AW465" s="81" t="s">
        <v>9735</v>
      </c>
      <c r="AX465" s="81" t="s">
        <v>9735</v>
      </c>
      <c r="AY465" s="77"/>
      <c r="AZ465" s="81" t="s">
        <v>11359</v>
      </c>
      <c r="BA465" s="81" t="s">
        <v>11359</v>
      </c>
      <c r="BB465" s="81" t="s">
        <v>11359</v>
      </c>
      <c r="BC465" s="81" t="s">
        <v>9735</v>
      </c>
      <c r="BD465" s="77">
        <v>493423213</v>
      </c>
      <c r="BE465" s="77"/>
      <c r="BF465" s="77"/>
      <c r="BG465" s="77"/>
      <c r="BH465" s="77"/>
      <c r="BI465" s="77"/>
    </row>
    <row r="466" spans="1:61" x14ac:dyDescent="0.25">
      <c r="A466" s="62" t="s">
        <v>428</v>
      </c>
      <c r="B466" s="62" t="s">
        <v>428</v>
      </c>
      <c r="C466" s="63"/>
      <c r="D466" s="64"/>
      <c r="E466" s="65"/>
      <c r="F466" s="66"/>
      <c r="G466" s="63"/>
      <c r="H466" s="67"/>
      <c r="I466" s="68"/>
      <c r="J466" s="68"/>
      <c r="K466" s="32"/>
      <c r="L466" s="75">
        <v>466</v>
      </c>
      <c r="M466" s="75"/>
      <c r="N466" s="70"/>
      <c r="O466" s="77" t="s">
        <v>179</v>
      </c>
      <c r="P466" s="79">
        <v>45160.496944444443</v>
      </c>
      <c r="Q466" s="77" t="s">
        <v>1414</v>
      </c>
      <c r="R466" s="77">
        <v>0</v>
      </c>
      <c r="S466" s="77">
        <v>0</v>
      </c>
      <c r="T466" s="77">
        <v>0</v>
      </c>
      <c r="U466" s="77">
        <v>0</v>
      </c>
      <c r="V466" s="77">
        <v>52</v>
      </c>
      <c r="W466" s="81" t="s">
        <v>3245</v>
      </c>
      <c r="X466" s="77"/>
      <c r="Y466" s="77"/>
      <c r="Z466" s="77"/>
      <c r="AA466" s="77" t="s">
        <v>4686</v>
      </c>
      <c r="AB466" s="77" t="s">
        <v>5794</v>
      </c>
      <c r="AC466" s="81" t="s">
        <v>5805</v>
      </c>
      <c r="AD466" s="77" t="s">
        <v>5850</v>
      </c>
      <c r="AE466" s="83" t="str">
        <f>HYPERLINK("https://twitter.com/tneaar/status/1693955075406803430")</f>
        <v>https://twitter.com/tneaar/status/1693955075406803430</v>
      </c>
      <c r="AF466" s="79">
        <v>45160.496944444443</v>
      </c>
      <c r="AG466" s="85">
        <v>45160</v>
      </c>
      <c r="AH466" s="81" t="s">
        <v>6287</v>
      </c>
      <c r="AI466" s="77" t="b">
        <v>0</v>
      </c>
      <c r="AJ466" s="77"/>
      <c r="AK466" s="77"/>
      <c r="AL466" s="77"/>
      <c r="AM466" s="77"/>
      <c r="AN466" s="77"/>
      <c r="AO466" s="77"/>
      <c r="AP466" s="77"/>
      <c r="AQ466" s="77" t="s">
        <v>8189</v>
      </c>
      <c r="AR466" s="77"/>
      <c r="AS466" s="77"/>
      <c r="AT466" s="77"/>
      <c r="AU466" s="77"/>
      <c r="AV466" s="83" t="str">
        <f>HYPERLINK("https://pbs.twimg.com/media/F4IiobbWYAETCi8.jpg")</f>
        <v>https://pbs.twimg.com/media/F4IiobbWYAETCi8.jpg</v>
      </c>
      <c r="AW466" s="81" t="s">
        <v>9736</v>
      </c>
      <c r="AX466" s="81" t="s">
        <v>9736</v>
      </c>
      <c r="AY466" s="77"/>
      <c r="AZ466" s="81" t="s">
        <v>11359</v>
      </c>
      <c r="BA466" s="81" t="s">
        <v>11359</v>
      </c>
      <c r="BB466" s="81" t="s">
        <v>11359</v>
      </c>
      <c r="BC466" s="81" t="s">
        <v>9736</v>
      </c>
      <c r="BD466" s="77">
        <v>493423213</v>
      </c>
      <c r="BE466" s="77"/>
      <c r="BF466" s="77"/>
      <c r="BG466" s="77"/>
      <c r="BH466" s="77"/>
      <c r="BI466" s="77"/>
    </row>
    <row r="467" spans="1:61" x14ac:dyDescent="0.25">
      <c r="A467" s="62" t="s">
        <v>428</v>
      </c>
      <c r="B467" s="62" t="s">
        <v>428</v>
      </c>
      <c r="C467" s="63"/>
      <c r="D467" s="64"/>
      <c r="E467" s="65"/>
      <c r="F467" s="66"/>
      <c r="G467" s="63"/>
      <c r="H467" s="67"/>
      <c r="I467" s="68"/>
      <c r="J467" s="68"/>
      <c r="K467" s="32"/>
      <c r="L467" s="75">
        <v>467</v>
      </c>
      <c r="M467" s="75"/>
      <c r="N467" s="70"/>
      <c r="O467" s="77" t="s">
        <v>179</v>
      </c>
      <c r="P467" s="79">
        <v>45160.493252314816</v>
      </c>
      <c r="Q467" s="77" t="s">
        <v>1415</v>
      </c>
      <c r="R467" s="77">
        <v>2</v>
      </c>
      <c r="S467" s="77">
        <v>0</v>
      </c>
      <c r="T467" s="77">
        <v>0</v>
      </c>
      <c r="U467" s="77">
        <v>0</v>
      </c>
      <c r="V467" s="77">
        <v>92</v>
      </c>
      <c r="W467" s="81" t="s">
        <v>3246</v>
      </c>
      <c r="X467" s="77"/>
      <c r="Y467" s="77"/>
      <c r="Z467" s="77"/>
      <c r="AA467" s="77" t="s">
        <v>4687</v>
      </c>
      <c r="AB467" s="77" t="s">
        <v>5794</v>
      </c>
      <c r="AC467" s="81" t="s">
        <v>5805</v>
      </c>
      <c r="AD467" s="77" t="s">
        <v>5850</v>
      </c>
      <c r="AE467" s="83" t="str">
        <f>HYPERLINK("https://twitter.com/tneaar/status/1693953734840123457")</f>
        <v>https://twitter.com/tneaar/status/1693953734840123457</v>
      </c>
      <c r="AF467" s="79">
        <v>45160.493252314816</v>
      </c>
      <c r="AG467" s="85">
        <v>45160</v>
      </c>
      <c r="AH467" s="81" t="s">
        <v>6288</v>
      </c>
      <c r="AI467" s="77" t="b">
        <v>0</v>
      </c>
      <c r="AJ467" s="77"/>
      <c r="AK467" s="77"/>
      <c r="AL467" s="77"/>
      <c r="AM467" s="77"/>
      <c r="AN467" s="77"/>
      <c r="AO467" s="77"/>
      <c r="AP467" s="77"/>
      <c r="AQ467" s="77" t="s">
        <v>8190</v>
      </c>
      <c r="AR467" s="77"/>
      <c r="AS467" s="77"/>
      <c r="AT467" s="77"/>
      <c r="AU467" s="77"/>
      <c r="AV467" s="83" t="str">
        <f>HYPERLINK("https://pbs.twimg.com/media/F4Ih8KcWsAEduXh.jpg")</f>
        <v>https://pbs.twimg.com/media/F4Ih8KcWsAEduXh.jpg</v>
      </c>
      <c r="AW467" s="81" t="s">
        <v>9737</v>
      </c>
      <c r="AX467" s="81" t="s">
        <v>9737</v>
      </c>
      <c r="AY467" s="77"/>
      <c r="AZ467" s="81" t="s">
        <v>11359</v>
      </c>
      <c r="BA467" s="81" t="s">
        <v>11359</v>
      </c>
      <c r="BB467" s="81" t="s">
        <v>11359</v>
      </c>
      <c r="BC467" s="81" t="s">
        <v>9737</v>
      </c>
      <c r="BD467" s="77">
        <v>493423213</v>
      </c>
      <c r="BE467" s="77"/>
      <c r="BF467" s="77"/>
      <c r="BG467" s="77"/>
      <c r="BH467" s="77"/>
      <c r="BI467" s="77"/>
    </row>
    <row r="468" spans="1:61" x14ac:dyDescent="0.25">
      <c r="A468" s="62" t="s">
        <v>428</v>
      </c>
      <c r="B468" s="62" t="s">
        <v>428</v>
      </c>
      <c r="C468" s="63"/>
      <c r="D468" s="64"/>
      <c r="E468" s="65"/>
      <c r="F468" s="66"/>
      <c r="G468" s="63"/>
      <c r="H468" s="67"/>
      <c r="I468" s="68"/>
      <c r="J468" s="68"/>
      <c r="K468" s="32"/>
      <c r="L468" s="75">
        <v>468</v>
      </c>
      <c r="M468" s="75"/>
      <c r="N468" s="70"/>
      <c r="O468" s="77" t="s">
        <v>179</v>
      </c>
      <c r="P468" s="79">
        <v>45157.075092592589</v>
      </c>
      <c r="Q468" s="77" t="s">
        <v>1416</v>
      </c>
      <c r="R468" s="77">
        <v>0</v>
      </c>
      <c r="S468" s="77">
        <v>0</v>
      </c>
      <c r="T468" s="77">
        <v>0</v>
      </c>
      <c r="U468" s="77">
        <v>0</v>
      </c>
      <c r="V468" s="77">
        <v>112</v>
      </c>
      <c r="W468" s="81" t="s">
        <v>3247</v>
      </c>
      <c r="X468" s="77"/>
      <c r="Y468" s="77"/>
      <c r="Z468" s="77"/>
      <c r="AA468" s="77" t="s">
        <v>4688</v>
      </c>
      <c r="AB468" s="77" t="s">
        <v>5794</v>
      </c>
      <c r="AC468" s="81" t="s">
        <v>5805</v>
      </c>
      <c r="AD468" s="77" t="s">
        <v>5850</v>
      </c>
      <c r="AE468" s="83" t="str">
        <f>HYPERLINK("https://twitter.com/tneaar/status/1692715035020124213")</f>
        <v>https://twitter.com/tneaar/status/1692715035020124213</v>
      </c>
      <c r="AF468" s="79">
        <v>45157.075092592589</v>
      </c>
      <c r="AG468" s="85">
        <v>45157</v>
      </c>
      <c r="AH468" s="81" t="s">
        <v>6289</v>
      </c>
      <c r="AI468" s="77" t="b">
        <v>0</v>
      </c>
      <c r="AJ468" s="77"/>
      <c r="AK468" s="77"/>
      <c r="AL468" s="77"/>
      <c r="AM468" s="77"/>
      <c r="AN468" s="77"/>
      <c r="AO468" s="77"/>
      <c r="AP468" s="77"/>
      <c r="AQ468" s="77" t="s">
        <v>8191</v>
      </c>
      <c r="AR468" s="77"/>
      <c r="AS468" s="77"/>
      <c r="AT468" s="77"/>
      <c r="AU468" s="77"/>
      <c r="AV468" s="83" t="str">
        <f>HYPERLINK("https://pbs.twimg.com/media/F327WUvWsAE4-JM.jpg")</f>
        <v>https://pbs.twimg.com/media/F327WUvWsAE4-JM.jpg</v>
      </c>
      <c r="AW468" s="81" t="s">
        <v>9738</v>
      </c>
      <c r="AX468" s="81" t="s">
        <v>9738</v>
      </c>
      <c r="AY468" s="77"/>
      <c r="AZ468" s="81" t="s">
        <v>11359</v>
      </c>
      <c r="BA468" s="81" t="s">
        <v>11359</v>
      </c>
      <c r="BB468" s="81" t="s">
        <v>11359</v>
      </c>
      <c r="BC468" s="81" t="s">
        <v>9738</v>
      </c>
      <c r="BD468" s="77">
        <v>493423213</v>
      </c>
      <c r="BE468" s="77"/>
      <c r="BF468" s="77"/>
      <c r="BG468" s="77"/>
      <c r="BH468" s="77"/>
      <c r="BI468" s="77"/>
    </row>
    <row r="469" spans="1:61" x14ac:dyDescent="0.25">
      <c r="A469" s="62" t="s">
        <v>428</v>
      </c>
      <c r="B469" s="62" t="s">
        <v>428</v>
      </c>
      <c r="C469" s="63"/>
      <c r="D469" s="64"/>
      <c r="E469" s="65"/>
      <c r="F469" s="66"/>
      <c r="G469" s="63"/>
      <c r="H469" s="67"/>
      <c r="I469" s="68"/>
      <c r="J469" s="68"/>
      <c r="K469" s="32"/>
      <c r="L469" s="75">
        <v>469</v>
      </c>
      <c r="M469" s="75"/>
      <c r="N469" s="70"/>
      <c r="O469" s="77" t="s">
        <v>179</v>
      </c>
      <c r="P469" s="79">
        <v>45136.885694444441</v>
      </c>
      <c r="Q469" s="77" t="s">
        <v>1417</v>
      </c>
      <c r="R469" s="77">
        <v>0</v>
      </c>
      <c r="S469" s="77">
        <v>0</v>
      </c>
      <c r="T469" s="77">
        <v>0</v>
      </c>
      <c r="U469" s="77">
        <v>0</v>
      </c>
      <c r="V469" s="77">
        <v>147</v>
      </c>
      <c r="W469" s="81" t="s">
        <v>3246</v>
      </c>
      <c r="X469" s="77"/>
      <c r="Y469" s="77"/>
      <c r="Z469" s="77"/>
      <c r="AA469" s="77" t="s">
        <v>4689</v>
      </c>
      <c r="AB469" s="77" t="s">
        <v>5794</v>
      </c>
      <c r="AC469" s="81" t="s">
        <v>5805</v>
      </c>
      <c r="AD469" s="77" t="s">
        <v>5850</v>
      </c>
      <c r="AE469" s="83" t="str">
        <f>HYPERLINK("https://twitter.com/tneaar/status/1685398644206268417")</f>
        <v>https://twitter.com/tneaar/status/1685398644206268417</v>
      </c>
      <c r="AF469" s="79">
        <v>45136.885694444441</v>
      </c>
      <c r="AG469" s="85">
        <v>45136</v>
      </c>
      <c r="AH469" s="81" t="s">
        <v>6290</v>
      </c>
      <c r="AI469" s="77" t="b">
        <v>0</v>
      </c>
      <c r="AJ469" s="77"/>
      <c r="AK469" s="77"/>
      <c r="AL469" s="77"/>
      <c r="AM469" s="77"/>
      <c r="AN469" s="77"/>
      <c r="AO469" s="77"/>
      <c r="AP469" s="77"/>
      <c r="AQ469" s="77" t="s">
        <v>8192</v>
      </c>
      <c r="AR469" s="77"/>
      <c r="AS469" s="77"/>
      <c r="AT469" s="77"/>
      <c r="AU469" s="77"/>
      <c r="AV469" s="83" t="str">
        <f>HYPERLINK("https://pbs.twimg.com/media/F2O9ITYWAAEwEjt.jpg")</f>
        <v>https://pbs.twimg.com/media/F2O9ITYWAAEwEjt.jpg</v>
      </c>
      <c r="AW469" s="81" t="s">
        <v>9739</v>
      </c>
      <c r="AX469" s="81" t="s">
        <v>9739</v>
      </c>
      <c r="AY469" s="77"/>
      <c r="AZ469" s="81" t="s">
        <v>11359</v>
      </c>
      <c r="BA469" s="81" t="s">
        <v>11359</v>
      </c>
      <c r="BB469" s="81" t="s">
        <v>11359</v>
      </c>
      <c r="BC469" s="81" t="s">
        <v>9739</v>
      </c>
      <c r="BD469" s="77">
        <v>493423213</v>
      </c>
      <c r="BE469" s="77"/>
      <c r="BF469" s="77"/>
      <c r="BG469" s="77"/>
      <c r="BH469" s="77"/>
      <c r="BI469" s="77"/>
    </row>
    <row r="470" spans="1:61" x14ac:dyDescent="0.25">
      <c r="A470" s="62" t="s">
        <v>428</v>
      </c>
      <c r="B470" s="62" t="s">
        <v>428</v>
      </c>
      <c r="C470" s="63"/>
      <c r="D470" s="64"/>
      <c r="E470" s="65"/>
      <c r="F470" s="66"/>
      <c r="G470" s="63"/>
      <c r="H470" s="67"/>
      <c r="I470" s="68"/>
      <c r="J470" s="68"/>
      <c r="K470" s="32"/>
      <c r="L470" s="75">
        <v>470</v>
      </c>
      <c r="M470" s="75"/>
      <c r="N470" s="70"/>
      <c r="O470" s="77" t="s">
        <v>179</v>
      </c>
      <c r="P470" s="79">
        <v>45091.980925925927</v>
      </c>
      <c r="Q470" s="77" t="s">
        <v>1418</v>
      </c>
      <c r="R470" s="77">
        <v>0</v>
      </c>
      <c r="S470" s="77">
        <v>1</v>
      </c>
      <c r="T470" s="77">
        <v>0</v>
      </c>
      <c r="U470" s="77">
        <v>0</v>
      </c>
      <c r="V470" s="77">
        <v>92</v>
      </c>
      <c r="W470" s="81" t="s">
        <v>3248</v>
      </c>
      <c r="X470" s="77"/>
      <c r="Y470" s="77"/>
      <c r="Z470" s="77"/>
      <c r="AA470" s="77" t="s">
        <v>4690</v>
      </c>
      <c r="AB470" s="77" t="s">
        <v>5794</v>
      </c>
      <c r="AC470" s="81" t="s">
        <v>5805</v>
      </c>
      <c r="AD470" s="77" t="s">
        <v>5850</v>
      </c>
      <c r="AE470" s="83" t="str">
        <f>HYPERLINK("https://twitter.com/tneaar/status/1669125699850981381")</f>
        <v>https://twitter.com/tneaar/status/1669125699850981381</v>
      </c>
      <c r="AF470" s="79">
        <v>45091.980925925927</v>
      </c>
      <c r="AG470" s="85">
        <v>45091</v>
      </c>
      <c r="AH470" s="81" t="s">
        <v>6291</v>
      </c>
      <c r="AI470" s="77" t="b">
        <v>0</v>
      </c>
      <c r="AJ470" s="77"/>
      <c r="AK470" s="77"/>
      <c r="AL470" s="77"/>
      <c r="AM470" s="77"/>
      <c r="AN470" s="77"/>
      <c r="AO470" s="77"/>
      <c r="AP470" s="77"/>
      <c r="AQ470" s="77" t="s">
        <v>8193</v>
      </c>
      <c r="AR470" s="77"/>
      <c r="AS470" s="77"/>
      <c r="AT470" s="77"/>
      <c r="AU470" s="77"/>
      <c r="AV470" s="83" t="str">
        <f>HYPERLINK("https://pbs.twimg.com/media/Fyns-UHWIAES_7b.jpg")</f>
        <v>https://pbs.twimg.com/media/Fyns-UHWIAES_7b.jpg</v>
      </c>
      <c r="AW470" s="81" t="s">
        <v>9740</v>
      </c>
      <c r="AX470" s="81" t="s">
        <v>9740</v>
      </c>
      <c r="AY470" s="77"/>
      <c r="AZ470" s="81" t="s">
        <v>11359</v>
      </c>
      <c r="BA470" s="81" t="s">
        <v>11359</v>
      </c>
      <c r="BB470" s="81" t="s">
        <v>11359</v>
      </c>
      <c r="BC470" s="81" t="s">
        <v>9740</v>
      </c>
      <c r="BD470" s="77">
        <v>493423213</v>
      </c>
      <c r="BE470" s="77"/>
      <c r="BF470" s="77"/>
      <c r="BG470" s="77"/>
      <c r="BH470" s="77"/>
      <c r="BI470" s="77"/>
    </row>
    <row r="471" spans="1:61" x14ac:dyDescent="0.25">
      <c r="A471" s="62" t="s">
        <v>428</v>
      </c>
      <c r="B471" s="62" t="s">
        <v>428</v>
      </c>
      <c r="C471" s="63"/>
      <c r="D471" s="64"/>
      <c r="E471" s="65"/>
      <c r="F471" s="66"/>
      <c r="G471" s="63"/>
      <c r="H471" s="67"/>
      <c r="I471" s="68"/>
      <c r="J471" s="68"/>
      <c r="K471" s="32"/>
      <c r="L471" s="75">
        <v>471</v>
      </c>
      <c r="M471" s="75"/>
      <c r="N471" s="70"/>
      <c r="O471" s="77" t="s">
        <v>179</v>
      </c>
      <c r="P471" s="79">
        <v>45075.036516203705</v>
      </c>
      <c r="Q471" s="77" t="s">
        <v>1419</v>
      </c>
      <c r="R471" s="77">
        <v>0</v>
      </c>
      <c r="S471" s="77">
        <v>0</v>
      </c>
      <c r="T471" s="77">
        <v>0</v>
      </c>
      <c r="U471" s="77">
        <v>0</v>
      </c>
      <c r="V471" s="77">
        <v>118</v>
      </c>
      <c r="W471" s="81" t="s">
        <v>3249</v>
      </c>
      <c r="X471" s="77"/>
      <c r="Y471" s="77"/>
      <c r="Z471" s="77"/>
      <c r="AA471" s="77" t="s">
        <v>4691</v>
      </c>
      <c r="AB471" s="77" t="s">
        <v>5794</v>
      </c>
      <c r="AC471" s="81" t="s">
        <v>5805</v>
      </c>
      <c r="AD471" s="77" t="s">
        <v>5850</v>
      </c>
      <c r="AE471" s="83" t="str">
        <f>HYPERLINK("https://twitter.com/tneaar/status/1662985251939921921")</f>
        <v>https://twitter.com/tneaar/status/1662985251939921921</v>
      </c>
      <c r="AF471" s="79">
        <v>45075.036516203705</v>
      </c>
      <c r="AG471" s="85">
        <v>45075</v>
      </c>
      <c r="AH471" s="81" t="s">
        <v>6292</v>
      </c>
      <c r="AI471" s="77" t="b">
        <v>0</v>
      </c>
      <c r="AJ471" s="77"/>
      <c r="AK471" s="77"/>
      <c r="AL471" s="77"/>
      <c r="AM471" s="77"/>
      <c r="AN471" s="77"/>
      <c r="AO471" s="77"/>
      <c r="AP471" s="77"/>
      <c r="AQ471" s="77" t="s">
        <v>8194</v>
      </c>
      <c r="AR471" s="77"/>
      <c r="AS471" s="77"/>
      <c r="AT471" s="77"/>
      <c r="AU471" s="77"/>
      <c r="AV471" s="83" t="str">
        <f>HYPERLINK("https://pbs.twimg.com/media/FxQcRUxXgAIC2Hn.jpg")</f>
        <v>https://pbs.twimg.com/media/FxQcRUxXgAIC2Hn.jpg</v>
      </c>
      <c r="AW471" s="81" t="s">
        <v>9741</v>
      </c>
      <c r="AX471" s="81" t="s">
        <v>9741</v>
      </c>
      <c r="AY471" s="77"/>
      <c r="AZ471" s="81" t="s">
        <v>11359</v>
      </c>
      <c r="BA471" s="81" t="s">
        <v>11359</v>
      </c>
      <c r="BB471" s="81" t="s">
        <v>11359</v>
      </c>
      <c r="BC471" s="81" t="s">
        <v>9741</v>
      </c>
      <c r="BD471" s="77">
        <v>493423213</v>
      </c>
      <c r="BE471" s="77"/>
      <c r="BF471" s="77"/>
      <c r="BG471" s="77"/>
      <c r="BH471" s="77"/>
      <c r="BI471" s="77"/>
    </row>
    <row r="472" spans="1:61" x14ac:dyDescent="0.25">
      <c r="A472" s="62" t="s">
        <v>428</v>
      </c>
      <c r="B472" s="62" t="s">
        <v>428</v>
      </c>
      <c r="C472" s="63"/>
      <c r="D472" s="64"/>
      <c r="E472" s="65"/>
      <c r="F472" s="66"/>
      <c r="G472" s="63"/>
      <c r="H472" s="67"/>
      <c r="I472" s="68"/>
      <c r="J472" s="68"/>
      <c r="K472" s="32"/>
      <c r="L472" s="75">
        <v>472</v>
      </c>
      <c r="M472" s="75"/>
      <c r="N472" s="70"/>
      <c r="O472" s="77" t="s">
        <v>179</v>
      </c>
      <c r="P472" s="79">
        <v>45033.49728009259</v>
      </c>
      <c r="Q472" s="77" t="s">
        <v>1420</v>
      </c>
      <c r="R472" s="77">
        <v>0</v>
      </c>
      <c r="S472" s="77">
        <v>0</v>
      </c>
      <c r="T472" s="77">
        <v>0</v>
      </c>
      <c r="U472" s="77">
        <v>0</v>
      </c>
      <c r="V472" s="77">
        <v>55</v>
      </c>
      <c r="W472" s="81" t="s">
        <v>3250</v>
      </c>
      <c r="X472" s="83" t="str">
        <f>HYPERLINK("https://wa.link/c93i3r")</f>
        <v>https://wa.link/c93i3r</v>
      </c>
      <c r="Y472" s="77" t="s">
        <v>4266</v>
      </c>
      <c r="Z472" s="77"/>
      <c r="AA472" s="77" t="s">
        <v>4692</v>
      </c>
      <c r="AB472" s="77" t="s">
        <v>5794</v>
      </c>
      <c r="AC472" s="81" t="s">
        <v>5805</v>
      </c>
      <c r="AD472" s="77" t="s">
        <v>5850</v>
      </c>
      <c r="AE472" s="83" t="str">
        <f>HYPERLINK("https://twitter.com/tneaar/status/1647931937128951809")</f>
        <v>https://twitter.com/tneaar/status/1647931937128951809</v>
      </c>
      <c r="AF472" s="79">
        <v>45033.49728009259</v>
      </c>
      <c r="AG472" s="85">
        <v>45033</v>
      </c>
      <c r="AH472" s="81" t="s">
        <v>6293</v>
      </c>
      <c r="AI472" s="77" t="b">
        <v>0</v>
      </c>
      <c r="AJ472" s="77"/>
      <c r="AK472" s="77"/>
      <c r="AL472" s="77"/>
      <c r="AM472" s="77"/>
      <c r="AN472" s="77"/>
      <c r="AO472" s="77"/>
      <c r="AP472" s="77"/>
      <c r="AQ472" s="77" t="s">
        <v>8195</v>
      </c>
      <c r="AR472" s="77"/>
      <c r="AS472" s="77"/>
      <c r="AT472" s="77"/>
      <c r="AU472" s="77"/>
      <c r="AV472" s="83" t="str">
        <f>HYPERLINK("https://pbs.twimg.com/media/Ft6hVsMXwAA68mk.jpg")</f>
        <v>https://pbs.twimg.com/media/Ft6hVsMXwAA68mk.jpg</v>
      </c>
      <c r="AW472" s="81" t="s">
        <v>9742</v>
      </c>
      <c r="AX472" s="81" t="s">
        <v>9742</v>
      </c>
      <c r="AY472" s="77"/>
      <c r="AZ472" s="81" t="s">
        <v>11359</v>
      </c>
      <c r="BA472" s="81" t="s">
        <v>11359</v>
      </c>
      <c r="BB472" s="81" t="s">
        <v>11359</v>
      </c>
      <c r="BC472" s="81" t="s">
        <v>9742</v>
      </c>
      <c r="BD472" s="77">
        <v>493423213</v>
      </c>
      <c r="BE472" s="77"/>
      <c r="BF472" s="77"/>
      <c r="BG472" s="77"/>
      <c r="BH472" s="77"/>
      <c r="BI472" s="77"/>
    </row>
    <row r="473" spans="1:61" x14ac:dyDescent="0.25">
      <c r="A473" s="62" t="s">
        <v>428</v>
      </c>
      <c r="B473" s="62" t="s">
        <v>428</v>
      </c>
      <c r="C473" s="63"/>
      <c r="D473" s="64"/>
      <c r="E473" s="65"/>
      <c r="F473" s="66"/>
      <c r="G473" s="63"/>
      <c r="H473" s="67"/>
      <c r="I473" s="68"/>
      <c r="J473" s="68"/>
      <c r="K473" s="32"/>
      <c r="L473" s="75">
        <v>473</v>
      </c>
      <c r="M473" s="75"/>
      <c r="N473" s="70"/>
      <c r="O473" s="77" t="s">
        <v>179</v>
      </c>
      <c r="P473" s="79">
        <v>45033.49559027778</v>
      </c>
      <c r="Q473" s="77" t="s">
        <v>1421</v>
      </c>
      <c r="R473" s="77">
        <v>0</v>
      </c>
      <c r="S473" s="77">
        <v>0</v>
      </c>
      <c r="T473" s="77">
        <v>0</v>
      </c>
      <c r="U473" s="77">
        <v>0</v>
      </c>
      <c r="V473" s="77">
        <v>32</v>
      </c>
      <c r="W473" s="81" t="s">
        <v>3251</v>
      </c>
      <c r="X473" s="77"/>
      <c r="Y473" s="77"/>
      <c r="Z473" s="77"/>
      <c r="AA473" s="77" t="s">
        <v>4693</v>
      </c>
      <c r="AB473" s="77" t="s">
        <v>5794</v>
      </c>
      <c r="AC473" s="81" t="s">
        <v>5805</v>
      </c>
      <c r="AD473" s="77" t="s">
        <v>5850</v>
      </c>
      <c r="AE473" s="83" t="str">
        <f>HYPERLINK("https://twitter.com/tneaar/status/1647931323481305088")</f>
        <v>https://twitter.com/tneaar/status/1647931323481305088</v>
      </c>
      <c r="AF473" s="79">
        <v>45033.49559027778</v>
      </c>
      <c r="AG473" s="85">
        <v>45033</v>
      </c>
      <c r="AH473" s="81" t="s">
        <v>6294</v>
      </c>
      <c r="AI473" s="77" t="b">
        <v>0</v>
      </c>
      <c r="AJ473" s="77"/>
      <c r="AK473" s="77"/>
      <c r="AL473" s="77"/>
      <c r="AM473" s="77"/>
      <c r="AN473" s="77"/>
      <c r="AO473" s="77"/>
      <c r="AP473" s="77"/>
      <c r="AQ473" s="77" t="s">
        <v>8196</v>
      </c>
      <c r="AR473" s="77"/>
      <c r="AS473" s="77"/>
      <c r="AT473" s="77"/>
      <c r="AU473" s="77"/>
      <c r="AV473" s="83" t="str">
        <f>HYPERLINK("https://pbs.twimg.com/media/Ft6gy-CWIAEbjie.jpg")</f>
        <v>https://pbs.twimg.com/media/Ft6gy-CWIAEbjie.jpg</v>
      </c>
      <c r="AW473" s="81" t="s">
        <v>9743</v>
      </c>
      <c r="AX473" s="81" t="s">
        <v>9743</v>
      </c>
      <c r="AY473" s="77"/>
      <c r="AZ473" s="81" t="s">
        <v>11359</v>
      </c>
      <c r="BA473" s="81" t="s">
        <v>11359</v>
      </c>
      <c r="BB473" s="81" t="s">
        <v>11359</v>
      </c>
      <c r="BC473" s="81" t="s">
        <v>9743</v>
      </c>
      <c r="BD473" s="77">
        <v>493423213</v>
      </c>
      <c r="BE473" s="77"/>
      <c r="BF473" s="77"/>
      <c r="BG473" s="77"/>
      <c r="BH473" s="77"/>
      <c r="BI473" s="77"/>
    </row>
    <row r="474" spans="1:61" x14ac:dyDescent="0.25">
      <c r="A474" s="62" t="s">
        <v>428</v>
      </c>
      <c r="B474" s="62" t="s">
        <v>428</v>
      </c>
      <c r="C474" s="63"/>
      <c r="D474" s="64"/>
      <c r="E474" s="65"/>
      <c r="F474" s="66"/>
      <c r="G474" s="63"/>
      <c r="H474" s="67"/>
      <c r="I474" s="68"/>
      <c r="J474" s="68"/>
      <c r="K474" s="32"/>
      <c r="L474" s="75">
        <v>474</v>
      </c>
      <c r="M474" s="75"/>
      <c r="N474" s="70"/>
      <c r="O474" s="77" t="s">
        <v>179</v>
      </c>
      <c r="P474" s="79">
        <v>45001.677372685182</v>
      </c>
      <c r="Q474" s="77" t="s">
        <v>1422</v>
      </c>
      <c r="R474" s="77">
        <v>1</v>
      </c>
      <c r="S474" s="77">
        <v>0</v>
      </c>
      <c r="T474" s="77">
        <v>0</v>
      </c>
      <c r="U474" s="77">
        <v>0</v>
      </c>
      <c r="V474" s="77">
        <v>87</v>
      </c>
      <c r="W474" s="81" t="s">
        <v>3252</v>
      </c>
      <c r="X474" s="83" t="str">
        <f>HYPERLINK("https://bit.ly/SumateSMP")</f>
        <v>https://bit.ly/SumateSMP</v>
      </c>
      <c r="Y474" s="77" t="s">
        <v>4213</v>
      </c>
      <c r="Z474" s="77"/>
      <c r="AA474" s="77" t="s">
        <v>4694</v>
      </c>
      <c r="AB474" s="77" t="s">
        <v>5794</v>
      </c>
      <c r="AC474" s="81" t="s">
        <v>5805</v>
      </c>
      <c r="AD474" s="77" t="s">
        <v>5850</v>
      </c>
      <c r="AE474" s="83" t="str">
        <f>HYPERLINK("https://twitter.com/tneaar/status/1636400788624007169")</f>
        <v>https://twitter.com/tneaar/status/1636400788624007169</v>
      </c>
      <c r="AF474" s="79">
        <v>45001.677372685182</v>
      </c>
      <c r="AG474" s="85">
        <v>45001</v>
      </c>
      <c r="AH474" s="81" t="s">
        <v>6295</v>
      </c>
      <c r="AI474" s="77" t="b">
        <v>0</v>
      </c>
      <c r="AJ474" s="77"/>
      <c r="AK474" s="77"/>
      <c r="AL474" s="77"/>
      <c r="AM474" s="77"/>
      <c r="AN474" s="77"/>
      <c r="AO474" s="77"/>
      <c r="AP474" s="77"/>
      <c r="AQ474" s="77" t="s">
        <v>8197</v>
      </c>
      <c r="AR474" s="77"/>
      <c r="AS474" s="77"/>
      <c r="AT474" s="77"/>
      <c r="AU474" s="77"/>
      <c r="AV474" s="83" t="str">
        <f>HYPERLINK("https://pbs.twimg.com/media/FrWp1w0XsAIPv4t.jpg")</f>
        <v>https://pbs.twimg.com/media/FrWp1w0XsAIPv4t.jpg</v>
      </c>
      <c r="AW474" s="81" t="s">
        <v>9744</v>
      </c>
      <c r="AX474" s="81" t="s">
        <v>9744</v>
      </c>
      <c r="AY474" s="77"/>
      <c r="AZ474" s="81" t="s">
        <v>11359</v>
      </c>
      <c r="BA474" s="81" t="s">
        <v>11359</v>
      </c>
      <c r="BB474" s="81" t="s">
        <v>11359</v>
      </c>
      <c r="BC474" s="81" t="s">
        <v>9744</v>
      </c>
      <c r="BD474" s="77">
        <v>493423213</v>
      </c>
      <c r="BE474" s="77"/>
      <c r="BF474" s="77"/>
      <c r="BG474" s="77"/>
      <c r="BH474" s="77"/>
      <c r="BI474" s="77"/>
    </row>
    <row r="475" spans="1:61" x14ac:dyDescent="0.25">
      <c r="A475" s="62" t="s">
        <v>428</v>
      </c>
      <c r="B475" s="62" t="s">
        <v>428</v>
      </c>
      <c r="C475" s="63"/>
      <c r="D475" s="64"/>
      <c r="E475" s="65"/>
      <c r="F475" s="66"/>
      <c r="G475" s="63"/>
      <c r="H475" s="67"/>
      <c r="I475" s="68"/>
      <c r="J475" s="68"/>
      <c r="K475" s="32"/>
      <c r="L475" s="75">
        <v>475</v>
      </c>
      <c r="M475" s="75"/>
      <c r="N475" s="70"/>
      <c r="O475" s="77" t="s">
        <v>179</v>
      </c>
      <c r="P475" s="79">
        <v>45001.122847222221</v>
      </c>
      <c r="Q475" s="77" t="s">
        <v>1423</v>
      </c>
      <c r="R475" s="77">
        <v>0</v>
      </c>
      <c r="S475" s="77">
        <v>0</v>
      </c>
      <c r="T475" s="77">
        <v>0</v>
      </c>
      <c r="U475" s="77">
        <v>0</v>
      </c>
      <c r="V475" s="77">
        <v>82</v>
      </c>
      <c r="W475" s="81" t="s">
        <v>3253</v>
      </c>
      <c r="X475" s="77"/>
      <c r="Y475" s="77"/>
      <c r="Z475" s="77"/>
      <c r="AA475" s="77" t="s">
        <v>4695</v>
      </c>
      <c r="AB475" s="77" t="s">
        <v>5794</v>
      </c>
      <c r="AC475" s="81" t="s">
        <v>5805</v>
      </c>
      <c r="AD475" s="77" t="s">
        <v>5850</v>
      </c>
      <c r="AE475" s="83" t="str">
        <f>HYPERLINK("https://twitter.com/tneaar/status/1636199834871799813")</f>
        <v>https://twitter.com/tneaar/status/1636199834871799813</v>
      </c>
      <c r="AF475" s="79">
        <v>45001.122847222221</v>
      </c>
      <c r="AG475" s="85">
        <v>45001</v>
      </c>
      <c r="AH475" s="81" t="s">
        <v>6296</v>
      </c>
      <c r="AI475" s="77" t="b">
        <v>0</v>
      </c>
      <c r="AJ475" s="77"/>
      <c r="AK475" s="77"/>
      <c r="AL475" s="77"/>
      <c r="AM475" s="77"/>
      <c r="AN475" s="77"/>
      <c r="AO475" s="77"/>
      <c r="AP475" s="77"/>
      <c r="AQ475" s="77" t="s">
        <v>8198</v>
      </c>
      <c r="AR475" s="77"/>
      <c r="AS475" s="77"/>
      <c r="AT475" s="77"/>
      <c r="AU475" s="77"/>
      <c r="AV475" s="83" t="str">
        <f>HYPERLINK("https://pbs.twimg.com/media/FrTzEuXWcAMFBRA.jpg")</f>
        <v>https://pbs.twimg.com/media/FrTzEuXWcAMFBRA.jpg</v>
      </c>
      <c r="AW475" s="81" t="s">
        <v>9745</v>
      </c>
      <c r="AX475" s="81" t="s">
        <v>9745</v>
      </c>
      <c r="AY475" s="77"/>
      <c r="AZ475" s="81" t="s">
        <v>11359</v>
      </c>
      <c r="BA475" s="81" t="s">
        <v>11359</v>
      </c>
      <c r="BB475" s="81" t="s">
        <v>11359</v>
      </c>
      <c r="BC475" s="81" t="s">
        <v>9745</v>
      </c>
      <c r="BD475" s="77">
        <v>493423213</v>
      </c>
      <c r="BE475" s="77"/>
      <c r="BF475" s="77"/>
      <c r="BG475" s="77"/>
      <c r="BH475" s="77"/>
      <c r="BI475" s="77"/>
    </row>
    <row r="476" spans="1:61" x14ac:dyDescent="0.25">
      <c r="A476" s="62" t="s">
        <v>428</v>
      </c>
      <c r="B476" s="62" t="s">
        <v>428</v>
      </c>
      <c r="C476" s="63"/>
      <c r="D476" s="64"/>
      <c r="E476" s="65"/>
      <c r="F476" s="66"/>
      <c r="G476" s="63"/>
      <c r="H476" s="67"/>
      <c r="I476" s="68"/>
      <c r="J476" s="68"/>
      <c r="K476" s="32"/>
      <c r="L476" s="75">
        <v>476</v>
      </c>
      <c r="M476" s="75"/>
      <c r="N476" s="70"/>
      <c r="O476" s="77" t="s">
        <v>179</v>
      </c>
      <c r="P476" s="79">
        <v>44971.943124999998</v>
      </c>
      <c r="Q476" s="77" t="s">
        <v>1424</v>
      </c>
      <c r="R476" s="77">
        <v>0</v>
      </c>
      <c r="S476" s="77">
        <v>0</v>
      </c>
      <c r="T476" s="77">
        <v>0</v>
      </c>
      <c r="U476" s="77">
        <v>0</v>
      </c>
      <c r="V476" s="77">
        <v>160</v>
      </c>
      <c r="W476" s="81" t="s">
        <v>3254</v>
      </c>
      <c r="X476" s="77"/>
      <c r="Y476" s="77"/>
      <c r="Z476" s="77"/>
      <c r="AA476" s="77" t="s">
        <v>4696</v>
      </c>
      <c r="AB476" s="77" t="s">
        <v>5794</v>
      </c>
      <c r="AC476" s="81" t="s">
        <v>5805</v>
      </c>
      <c r="AD476" s="77" t="s">
        <v>5850</v>
      </c>
      <c r="AE476" s="83" t="str">
        <f>HYPERLINK("https://twitter.com/tneaar/status/1625625456513896450")</f>
        <v>https://twitter.com/tneaar/status/1625625456513896450</v>
      </c>
      <c r="AF476" s="79">
        <v>44971.943124999998</v>
      </c>
      <c r="AG476" s="85">
        <v>44971</v>
      </c>
      <c r="AH476" s="81" t="s">
        <v>6297</v>
      </c>
      <c r="AI476" s="77" t="b">
        <v>0</v>
      </c>
      <c r="AJ476" s="77"/>
      <c r="AK476" s="77"/>
      <c r="AL476" s="77"/>
      <c r="AM476" s="77"/>
      <c r="AN476" s="77"/>
      <c r="AO476" s="77"/>
      <c r="AP476" s="77"/>
      <c r="AQ476" s="77" t="s">
        <v>8199</v>
      </c>
      <c r="AR476" s="77"/>
      <c r="AS476" s="77"/>
      <c r="AT476" s="77"/>
      <c r="AU476" s="77"/>
      <c r="AV476" s="83" t="str">
        <f>HYPERLINK("https://pbs.twimg.com/media/Fo9husFXwAARkrr.jpg")</f>
        <v>https://pbs.twimg.com/media/Fo9husFXwAARkrr.jpg</v>
      </c>
      <c r="AW476" s="81" t="s">
        <v>9746</v>
      </c>
      <c r="AX476" s="81" t="s">
        <v>9746</v>
      </c>
      <c r="AY476" s="77"/>
      <c r="AZ476" s="81" t="s">
        <v>11359</v>
      </c>
      <c r="BA476" s="81" t="s">
        <v>11359</v>
      </c>
      <c r="BB476" s="81" t="s">
        <v>11359</v>
      </c>
      <c r="BC476" s="81" t="s">
        <v>9746</v>
      </c>
      <c r="BD476" s="77">
        <v>493423213</v>
      </c>
      <c r="BE476" s="77"/>
      <c r="BF476" s="77"/>
      <c r="BG476" s="77"/>
      <c r="BH476" s="77"/>
      <c r="BI476" s="77"/>
    </row>
    <row r="477" spans="1:61" x14ac:dyDescent="0.25">
      <c r="A477" s="62" t="s">
        <v>428</v>
      </c>
      <c r="B477" s="62" t="s">
        <v>428</v>
      </c>
      <c r="C477" s="63"/>
      <c r="D477" s="64"/>
      <c r="E477" s="65"/>
      <c r="F477" s="66"/>
      <c r="G477" s="63"/>
      <c r="H477" s="67"/>
      <c r="I477" s="68"/>
      <c r="J477" s="68"/>
      <c r="K477" s="32"/>
      <c r="L477" s="75">
        <v>477</v>
      </c>
      <c r="M477" s="75"/>
      <c r="N477" s="70"/>
      <c r="O477" s="77" t="s">
        <v>179</v>
      </c>
      <c r="P477" s="79">
        <v>44941.946134259262</v>
      </c>
      <c r="Q477" s="77" t="s">
        <v>1425</v>
      </c>
      <c r="R477" s="77">
        <v>0</v>
      </c>
      <c r="S477" s="77">
        <v>0</v>
      </c>
      <c r="T477" s="77">
        <v>0</v>
      </c>
      <c r="U477" s="77">
        <v>0</v>
      </c>
      <c r="V477" s="77">
        <v>85</v>
      </c>
      <c r="W477" s="81" t="s">
        <v>3255</v>
      </c>
      <c r="X477" s="77"/>
      <c r="Y477" s="77"/>
      <c r="Z477" s="77"/>
      <c r="AA477" s="77" t="s">
        <v>4697</v>
      </c>
      <c r="AB477" s="77" t="s">
        <v>5794</v>
      </c>
      <c r="AC477" s="81" t="s">
        <v>5805</v>
      </c>
      <c r="AD477" s="77" t="s">
        <v>5850</v>
      </c>
      <c r="AE477" s="83" t="str">
        <f>HYPERLINK("https://twitter.com/tneaar/status/1614754912969134080")</f>
        <v>https://twitter.com/tneaar/status/1614754912969134080</v>
      </c>
      <c r="AF477" s="79">
        <v>44941.946134259262</v>
      </c>
      <c r="AG477" s="85">
        <v>44941</v>
      </c>
      <c r="AH477" s="81" t="s">
        <v>6298</v>
      </c>
      <c r="AI477" s="77" t="b">
        <v>0</v>
      </c>
      <c r="AJ477" s="77"/>
      <c r="AK477" s="77"/>
      <c r="AL477" s="77"/>
      <c r="AM477" s="77"/>
      <c r="AN477" s="77"/>
      <c r="AO477" s="77"/>
      <c r="AP477" s="77"/>
      <c r="AQ477" s="77" t="s">
        <v>8200</v>
      </c>
      <c r="AR477" s="77"/>
      <c r="AS477" s="77"/>
      <c r="AT477" s="77"/>
      <c r="AU477" s="77"/>
      <c r="AV477" s="83" t="str">
        <f>HYPERLINK("https://pbs.twimg.com/media/FmjDCESXwAA-QF9.jpg")</f>
        <v>https://pbs.twimg.com/media/FmjDCESXwAA-QF9.jpg</v>
      </c>
      <c r="AW477" s="81" t="s">
        <v>9747</v>
      </c>
      <c r="AX477" s="81" t="s">
        <v>9747</v>
      </c>
      <c r="AY477" s="77"/>
      <c r="AZ477" s="81" t="s">
        <v>11359</v>
      </c>
      <c r="BA477" s="81" t="s">
        <v>11359</v>
      </c>
      <c r="BB477" s="81" t="s">
        <v>11359</v>
      </c>
      <c r="BC477" s="81" t="s">
        <v>9747</v>
      </c>
      <c r="BD477" s="77">
        <v>493423213</v>
      </c>
      <c r="BE477" s="77"/>
      <c r="BF477" s="77"/>
      <c r="BG477" s="77"/>
      <c r="BH477" s="77"/>
      <c r="BI477" s="77"/>
    </row>
    <row r="478" spans="1:61" x14ac:dyDescent="0.25">
      <c r="A478" s="62" t="s">
        <v>428</v>
      </c>
      <c r="B478" s="62" t="s">
        <v>428</v>
      </c>
      <c r="C478" s="63"/>
      <c r="D478" s="64"/>
      <c r="E478" s="65"/>
      <c r="F478" s="66"/>
      <c r="G478" s="63"/>
      <c r="H478" s="67"/>
      <c r="I478" s="68"/>
      <c r="J478" s="68"/>
      <c r="K478" s="32"/>
      <c r="L478" s="75">
        <v>478</v>
      </c>
      <c r="M478" s="75"/>
      <c r="N478" s="70"/>
      <c r="O478" s="77" t="s">
        <v>179</v>
      </c>
      <c r="P478" s="79">
        <v>44941.943506944444</v>
      </c>
      <c r="Q478" s="77" t="s">
        <v>1426</v>
      </c>
      <c r="R478" s="77">
        <v>0</v>
      </c>
      <c r="S478" s="77">
        <v>0</v>
      </c>
      <c r="T478" s="77">
        <v>0</v>
      </c>
      <c r="U478" s="77">
        <v>0</v>
      </c>
      <c r="V478" s="77">
        <v>86</v>
      </c>
      <c r="W478" s="81" t="s">
        <v>3256</v>
      </c>
      <c r="X478" s="77"/>
      <c r="Y478" s="77"/>
      <c r="Z478" s="77"/>
      <c r="AA478" s="77" t="s">
        <v>4698</v>
      </c>
      <c r="AB478" s="77" t="s">
        <v>5794</v>
      </c>
      <c r="AC478" s="81" t="s">
        <v>5805</v>
      </c>
      <c r="AD478" s="77" t="s">
        <v>5850</v>
      </c>
      <c r="AE478" s="83" t="str">
        <f>HYPERLINK("https://twitter.com/tneaar/status/1614753959733858306")</f>
        <v>https://twitter.com/tneaar/status/1614753959733858306</v>
      </c>
      <c r="AF478" s="79">
        <v>44941.943506944444</v>
      </c>
      <c r="AG478" s="85">
        <v>44941</v>
      </c>
      <c r="AH478" s="81" t="s">
        <v>6299</v>
      </c>
      <c r="AI478" s="77" t="b">
        <v>0</v>
      </c>
      <c r="AJ478" s="77"/>
      <c r="AK478" s="77"/>
      <c r="AL478" s="77"/>
      <c r="AM478" s="77"/>
      <c r="AN478" s="77"/>
      <c r="AO478" s="77"/>
      <c r="AP478" s="77"/>
      <c r="AQ478" s="77" t="s">
        <v>8201</v>
      </c>
      <c r="AR478" s="77"/>
      <c r="AS478" s="77"/>
      <c r="AT478" s="77"/>
      <c r="AU478" s="77"/>
      <c r="AV478" s="83" t="str">
        <f>HYPERLINK("https://pbs.twimg.com/media/FmjCKlxXwAQRxeX.png")</f>
        <v>https://pbs.twimg.com/media/FmjCKlxXwAQRxeX.png</v>
      </c>
      <c r="AW478" s="81" t="s">
        <v>9748</v>
      </c>
      <c r="AX478" s="81" t="s">
        <v>9748</v>
      </c>
      <c r="AY478" s="77"/>
      <c r="AZ478" s="81" t="s">
        <v>11359</v>
      </c>
      <c r="BA478" s="81" t="s">
        <v>11359</v>
      </c>
      <c r="BB478" s="81" t="s">
        <v>11359</v>
      </c>
      <c r="BC478" s="81" t="s">
        <v>9748</v>
      </c>
      <c r="BD478" s="77">
        <v>493423213</v>
      </c>
      <c r="BE478" s="77"/>
      <c r="BF478" s="77"/>
      <c r="BG478" s="77"/>
      <c r="BH478" s="77"/>
      <c r="BI478" s="77"/>
    </row>
    <row r="479" spans="1:61" x14ac:dyDescent="0.25">
      <c r="A479" s="62" t="s">
        <v>428</v>
      </c>
      <c r="B479" s="62" t="s">
        <v>428</v>
      </c>
      <c r="C479" s="63"/>
      <c r="D479" s="64"/>
      <c r="E479" s="65"/>
      <c r="F479" s="66"/>
      <c r="G479" s="63"/>
      <c r="H479" s="67"/>
      <c r="I479" s="68"/>
      <c r="J479" s="68"/>
      <c r="K479" s="32"/>
      <c r="L479" s="75">
        <v>479</v>
      </c>
      <c r="M479" s="75"/>
      <c r="N479" s="70"/>
      <c r="O479" s="77" t="s">
        <v>179</v>
      </c>
      <c r="P479" s="79">
        <v>44941.935949074075</v>
      </c>
      <c r="Q479" s="77" t="s">
        <v>1427</v>
      </c>
      <c r="R479" s="77">
        <v>0</v>
      </c>
      <c r="S479" s="77">
        <v>0</v>
      </c>
      <c r="T479" s="77">
        <v>0</v>
      </c>
      <c r="U479" s="77">
        <v>0</v>
      </c>
      <c r="V479" s="77">
        <v>63</v>
      </c>
      <c r="W479" s="81" t="s">
        <v>3257</v>
      </c>
      <c r="X479" s="77"/>
      <c r="Y479" s="77"/>
      <c r="Z479" s="77"/>
      <c r="AA479" s="77" t="s">
        <v>4699</v>
      </c>
      <c r="AB479" s="77" t="s">
        <v>5794</v>
      </c>
      <c r="AC479" s="81" t="s">
        <v>5805</v>
      </c>
      <c r="AD479" s="77" t="s">
        <v>5850</v>
      </c>
      <c r="AE479" s="83" t="str">
        <f>HYPERLINK("https://twitter.com/tneaar/status/1614751221838913541")</f>
        <v>https://twitter.com/tneaar/status/1614751221838913541</v>
      </c>
      <c r="AF479" s="79">
        <v>44941.935949074075</v>
      </c>
      <c r="AG479" s="85">
        <v>44941</v>
      </c>
      <c r="AH479" s="81" t="s">
        <v>6300</v>
      </c>
      <c r="AI479" s="77" t="b">
        <v>0</v>
      </c>
      <c r="AJ479" s="77"/>
      <c r="AK479" s="77"/>
      <c r="AL479" s="77"/>
      <c r="AM479" s="77"/>
      <c r="AN479" s="77"/>
      <c r="AO479" s="77"/>
      <c r="AP479" s="77"/>
      <c r="AQ479" s="77" t="s">
        <v>8202</v>
      </c>
      <c r="AR479" s="77"/>
      <c r="AS479" s="77"/>
      <c r="AT479" s="77"/>
      <c r="AU479" s="77"/>
      <c r="AV479" s="83" t="str">
        <f>HYPERLINK("https://pbs.twimg.com/media/Fmi_rO6WAAE5tch.jpg")</f>
        <v>https://pbs.twimg.com/media/Fmi_rO6WAAE5tch.jpg</v>
      </c>
      <c r="AW479" s="81" t="s">
        <v>9749</v>
      </c>
      <c r="AX479" s="81" t="s">
        <v>9749</v>
      </c>
      <c r="AY479" s="77"/>
      <c r="AZ479" s="81" t="s">
        <v>11359</v>
      </c>
      <c r="BA479" s="81" t="s">
        <v>11359</v>
      </c>
      <c r="BB479" s="81" t="s">
        <v>11359</v>
      </c>
      <c r="BC479" s="81" t="s">
        <v>9749</v>
      </c>
      <c r="BD479" s="77">
        <v>493423213</v>
      </c>
      <c r="BE479" s="77"/>
      <c r="BF479" s="77"/>
      <c r="BG479" s="77"/>
      <c r="BH479" s="77"/>
      <c r="BI479" s="77"/>
    </row>
    <row r="480" spans="1:61" x14ac:dyDescent="0.25">
      <c r="A480" s="62" t="s">
        <v>428</v>
      </c>
      <c r="B480" s="62" t="s">
        <v>428</v>
      </c>
      <c r="C480" s="63"/>
      <c r="D480" s="64"/>
      <c r="E480" s="65"/>
      <c r="F480" s="66"/>
      <c r="G480" s="63"/>
      <c r="H480" s="67"/>
      <c r="I480" s="68"/>
      <c r="J480" s="68"/>
      <c r="K480" s="32"/>
      <c r="L480" s="75">
        <v>480</v>
      </c>
      <c r="M480" s="75"/>
      <c r="N480" s="70"/>
      <c r="O480" s="77" t="s">
        <v>179</v>
      </c>
      <c r="P480" s="79">
        <v>44941.934039351851</v>
      </c>
      <c r="Q480" s="77" t="s">
        <v>1428</v>
      </c>
      <c r="R480" s="77">
        <v>0</v>
      </c>
      <c r="S480" s="77">
        <v>0</v>
      </c>
      <c r="T480" s="77">
        <v>0</v>
      </c>
      <c r="U480" s="77">
        <v>0</v>
      </c>
      <c r="V480" s="77">
        <v>53</v>
      </c>
      <c r="W480" s="81" t="s">
        <v>3258</v>
      </c>
      <c r="X480" s="77"/>
      <c r="Y480" s="77"/>
      <c r="Z480" s="77"/>
      <c r="AA480" s="77" t="s">
        <v>4700</v>
      </c>
      <c r="AB480" s="77" t="s">
        <v>5794</v>
      </c>
      <c r="AC480" s="81" t="s">
        <v>5805</v>
      </c>
      <c r="AD480" s="77" t="s">
        <v>5850</v>
      </c>
      <c r="AE480" s="83" t="str">
        <f>HYPERLINK("https://twitter.com/tneaar/status/1614750530118586370")</f>
        <v>https://twitter.com/tneaar/status/1614750530118586370</v>
      </c>
      <c r="AF480" s="79">
        <v>44941.934039351851</v>
      </c>
      <c r="AG480" s="85">
        <v>44941</v>
      </c>
      <c r="AH480" s="81" t="s">
        <v>6301</v>
      </c>
      <c r="AI480" s="77" t="b">
        <v>0</v>
      </c>
      <c r="AJ480" s="77"/>
      <c r="AK480" s="77"/>
      <c r="AL480" s="77"/>
      <c r="AM480" s="77"/>
      <c r="AN480" s="77"/>
      <c r="AO480" s="77"/>
      <c r="AP480" s="77"/>
      <c r="AQ480" s="77" t="s">
        <v>8203</v>
      </c>
      <c r="AR480" s="77"/>
      <c r="AS480" s="77"/>
      <c r="AT480" s="77"/>
      <c r="AU480" s="77"/>
      <c r="AV480" s="83" t="str">
        <f>HYPERLINK("https://pbs.twimg.com/media/Fmi_C-9WAAYe76j.jpg")</f>
        <v>https://pbs.twimg.com/media/Fmi_C-9WAAYe76j.jpg</v>
      </c>
      <c r="AW480" s="81" t="s">
        <v>9750</v>
      </c>
      <c r="AX480" s="81" t="s">
        <v>9750</v>
      </c>
      <c r="AY480" s="77"/>
      <c r="AZ480" s="81" t="s">
        <v>11359</v>
      </c>
      <c r="BA480" s="81" t="s">
        <v>11359</v>
      </c>
      <c r="BB480" s="81" t="s">
        <v>11359</v>
      </c>
      <c r="BC480" s="81" t="s">
        <v>9750</v>
      </c>
      <c r="BD480" s="77">
        <v>493423213</v>
      </c>
      <c r="BE480" s="77"/>
      <c r="BF480" s="77"/>
      <c r="BG480" s="77"/>
      <c r="BH480" s="77"/>
      <c r="BI480" s="77"/>
    </row>
    <row r="481" spans="1:61" x14ac:dyDescent="0.25">
      <c r="A481" s="62" t="s">
        <v>428</v>
      </c>
      <c r="B481" s="62" t="s">
        <v>428</v>
      </c>
      <c r="C481" s="63"/>
      <c r="D481" s="64"/>
      <c r="E481" s="65"/>
      <c r="F481" s="66"/>
      <c r="G481" s="63"/>
      <c r="H481" s="67"/>
      <c r="I481" s="68"/>
      <c r="J481" s="68"/>
      <c r="K481" s="32"/>
      <c r="L481" s="75">
        <v>481</v>
      </c>
      <c r="M481" s="75"/>
      <c r="N481" s="70"/>
      <c r="O481" s="77" t="s">
        <v>179</v>
      </c>
      <c r="P481" s="79">
        <v>44939.705034722225</v>
      </c>
      <c r="Q481" s="77" t="s">
        <v>1429</v>
      </c>
      <c r="R481" s="77">
        <v>0</v>
      </c>
      <c r="S481" s="77">
        <v>0</v>
      </c>
      <c r="T481" s="77">
        <v>0</v>
      </c>
      <c r="U481" s="77">
        <v>0</v>
      </c>
      <c r="V481" s="77">
        <v>58</v>
      </c>
      <c r="W481" s="81" t="s">
        <v>3259</v>
      </c>
      <c r="X481" s="77" t="s">
        <v>4157</v>
      </c>
      <c r="Y481" s="77" t="s">
        <v>4267</v>
      </c>
      <c r="Z481" s="77"/>
      <c r="AA481" s="77" t="s">
        <v>4701</v>
      </c>
      <c r="AB481" s="77" t="s">
        <v>5794</v>
      </c>
      <c r="AC481" s="81" t="s">
        <v>5805</v>
      </c>
      <c r="AD481" s="77" t="s">
        <v>5850</v>
      </c>
      <c r="AE481" s="83" t="str">
        <f>HYPERLINK("https://twitter.com/tneaar/status/1613942766534262785")</f>
        <v>https://twitter.com/tneaar/status/1613942766534262785</v>
      </c>
      <c r="AF481" s="79">
        <v>44939.705034722225</v>
      </c>
      <c r="AG481" s="85">
        <v>44939</v>
      </c>
      <c r="AH481" s="81" t="s">
        <v>6302</v>
      </c>
      <c r="AI481" s="77" t="b">
        <v>0</v>
      </c>
      <c r="AJ481" s="77"/>
      <c r="AK481" s="77"/>
      <c r="AL481" s="77"/>
      <c r="AM481" s="77"/>
      <c r="AN481" s="77"/>
      <c r="AO481" s="77"/>
      <c r="AP481" s="77"/>
      <c r="AQ481" s="77" t="s">
        <v>8204</v>
      </c>
      <c r="AR481" s="77"/>
      <c r="AS481" s="77"/>
      <c r="AT481" s="77"/>
      <c r="AU481" s="77"/>
      <c r="AV481" s="83" t="str">
        <f>HYPERLINK("https://pbs.twimg.com/media/FmXgY51XkA8fcFo.jpg")</f>
        <v>https://pbs.twimg.com/media/FmXgY51XkA8fcFo.jpg</v>
      </c>
      <c r="AW481" s="81" t="s">
        <v>9751</v>
      </c>
      <c r="AX481" s="81" t="s">
        <v>9751</v>
      </c>
      <c r="AY481" s="77"/>
      <c r="AZ481" s="81" t="s">
        <v>11359</v>
      </c>
      <c r="BA481" s="81" t="s">
        <v>11359</v>
      </c>
      <c r="BB481" s="81" t="s">
        <v>11359</v>
      </c>
      <c r="BC481" s="81" t="s">
        <v>9751</v>
      </c>
      <c r="BD481" s="77">
        <v>493423213</v>
      </c>
      <c r="BE481" s="77"/>
      <c r="BF481" s="77"/>
      <c r="BG481" s="77"/>
      <c r="BH481" s="77"/>
      <c r="BI481" s="77"/>
    </row>
    <row r="482" spans="1:61" x14ac:dyDescent="0.25">
      <c r="A482" s="62" t="s">
        <v>428</v>
      </c>
      <c r="B482" s="62" t="s">
        <v>428</v>
      </c>
      <c r="C482" s="63"/>
      <c r="D482" s="64"/>
      <c r="E482" s="65"/>
      <c r="F482" s="66"/>
      <c r="G482" s="63"/>
      <c r="H482" s="67"/>
      <c r="I482" s="68"/>
      <c r="J482" s="68"/>
      <c r="K482" s="32"/>
      <c r="L482" s="75">
        <v>482</v>
      </c>
      <c r="M482" s="75"/>
      <c r="N482" s="70"/>
      <c r="O482" s="77" t="s">
        <v>179</v>
      </c>
      <c r="P482" s="79">
        <v>45180.589131944442</v>
      </c>
      <c r="Q482" s="77" t="s">
        <v>1430</v>
      </c>
      <c r="R482" s="77">
        <v>1</v>
      </c>
      <c r="S482" s="77">
        <v>0</v>
      </c>
      <c r="T482" s="77">
        <v>0</v>
      </c>
      <c r="U482" s="77">
        <v>0</v>
      </c>
      <c r="V482" s="77">
        <v>158</v>
      </c>
      <c r="W482" s="81" t="s">
        <v>3260</v>
      </c>
      <c r="X482" s="77"/>
      <c r="Y482" s="77"/>
      <c r="Z482" s="77"/>
      <c r="AA482" s="77" t="s">
        <v>4702</v>
      </c>
      <c r="AB482" s="77" t="s">
        <v>5794</v>
      </c>
      <c r="AC482" s="81" t="s">
        <v>5805</v>
      </c>
      <c r="AD482" s="77" t="s">
        <v>5850</v>
      </c>
      <c r="AE482" s="83" t="str">
        <f>HYPERLINK("https://twitter.com/tneaar/status/1701236237581869286")</f>
        <v>https://twitter.com/tneaar/status/1701236237581869286</v>
      </c>
      <c r="AF482" s="79">
        <v>45180.589131944442</v>
      </c>
      <c r="AG482" s="85">
        <v>45180</v>
      </c>
      <c r="AH482" s="81" t="s">
        <v>6303</v>
      </c>
      <c r="AI482" s="77" t="b">
        <v>0</v>
      </c>
      <c r="AJ482" s="77"/>
      <c r="AK482" s="77"/>
      <c r="AL482" s="77"/>
      <c r="AM482" s="77"/>
      <c r="AN482" s="77"/>
      <c r="AO482" s="77"/>
      <c r="AP482" s="77"/>
      <c r="AQ482" s="77" t="s">
        <v>8205</v>
      </c>
      <c r="AR482" s="77"/>
      <c r="AS482" s="77"/>
      <c r="AT482" s="77"/>
      <c r="AU482" s="77"/>
      <c r="AV482" s="83" t="str">
        <f>HYPERLINK("https://pbs.twimg.com/media/F5wBVo-W4AEA2HP.jpg")</f>
        <v>https://pbs.twimg.com/media/F5wBVo-W4AEA2HP.jpg</v>
      </c>
      <c r="AW482" s="81" t="s">
        <v>9752</v>
      </c>
      <c r="AX482" s="81" t="s">
        <v>9752</v>
      </c>
      <c r="AY482" s="77"/>
      <c r="AZ482" s="81" t="s">
        <v>11359</v>
      </c>
      <c r="BA482" s="81" t="s">
        <v>11359</v>
      </c>
      <c r="BB482" s="81" t="s">
        <v>11359</v>
      </c>
      <c r="BC482" s="81" t="s">
        <v>9752</v>
      </c>
      <c r="BD482" s="77">
        <v>493423213</v>
      </c>
      <c r="BE482" s="77"/>
      <c r="BF482" s="77"/>
      <c r="BG482" s="77"/>
      <c r="BH482" s="77"/>
      <c r="BI482" s="77"/>
    </row>
    <row r="483" spans="1:61" x14ac:dyDescent="0.25">
      <c r="A483" s="62" t="s">
        <v>428</v>
      </c>
      <c r="B483" s="62" t="s">
        <v>428</v>
      </c>
      <c r="C483" s="63"/>
      <c r="D483" s="64"/>
      <c r="E483" s="65"/>
      <c r="F483" s="66"/>
      <c r="G483" s="63"/>
      <c r="H483" s="67"/>
      <c r="I483" s="68"/>
      <c r="J483" s="68"/>
      <c r="K483" s="32"/>
      <c r="L483" s="75">
        <v>483</v>
      </c>
      <c r="M483" s="75"/>
      <c r="N483" s="70"/>
      <c r="O483" s="77" t="s">
        <v>179</v>
      </c>
      <c r="P483" s="79">
        <v>45180.581562500003</v>
      </c>
      <c r="Q483" s="77" t="s">
        <v>1431</v>
      </c>
      <c r="R483" s="77">
        <v>0</v>
      </c>
      <c r="S483" s="77">
        <v>0</v>
      </c>
      <c r="T483" s="77">
        <v>0</v>
      </c>
      <c r="U483" s="77">
        <v>0</v>
      </c>
      <c r="V483" s="77">
        <v>23</v>
      </c>
      <c r="W483" s="81" t="s">
        <v>3260</v>
      </c>
      <c r="X483" s="77"/>
      <c r="Y483" s="77"/>
      <c r="Z483" s="77"/>
      <c r="AA483" s="77" t="s">
        <v>4703</v>
      </c>
      <c r="AB483" s="77" t="s">
        <v>5794</v>
      </c>
      <c r="AC483" s="81" t="s">
        <v>5805</v>
      </c>
      <c r="AD483" s="77" t="s">
        <v>5850</v>
      </c>
      <c r="AE483" s="83" t="str">
        <f>HYPERLINK("https://twitter.com/tneaar/status/1701233495220035723")</f>
        <v>https://twitter.com/tneaar/status/1701233495220035723</v>
      </c>
      <c r="AF483" s="79">
        <v>45180.581562500003</v>
      </c>
      <c r="AG483" s="85">
        <v>45180</v>
      </c>
      <c r="AH483" s="81" t="s">
        <v>6044</v>
      </c>
      <c r="AI483" s="77" t="b">
        <v>0</v>
      </c>
      <c r="AJ483" s="77"/>
      <c r="AK483" s="77"/>
      <c r="AL483" s="77"/>
      <c r="AM483" s="77"/>
      <c r="AN483" s="77"/>
      <c r="AO483" s="77"/>
      <c r="AP483" s="77"/>
      <c r="AQ483" s="77" t="s">
        <v>8206</v>
      </c>
      <c r="AR483" s="77"/>
      <c r="AS483" s="77"/>
      <c r="AT483" s="77"/>
      <c r="AU483" s="77"/>
      <c r="AV483" s="83" t="str">
        <f>HYPERLINK("https://pbs.twimg.com/media/F5v-2HLWsAAyscT.jpg")</f>
        <v>https://pbs.twimg.com/media/F5v-2HLWsAAyscT.jpg</v>
      </c>
      <c r="AW483" s="81" t="s">
        <v>9753</v>
      </c>
      <c r="AX483" s="81" t="s">
        <v>9753</v>
      </c>
      <c r="AY483" s="77"/>
      <c r="AZ483" s="81" t="s">
        <v>11359</v>
      </c>
      <c r="BA483" s="81" t="s">
        <v>11359</v>
      </c>
      <c r="BB483" s="81" t="s">
        <v>11359</v>
      </c>
      <c r="BC483" s="81" t="s">
        <v>9753</v>
      </c>
      <c r="BD483" s="77">
        <v>493423213</v>
      </c>
      <c r="BE483" s="77"/>
      <c r="BF483" s="77"/>
      <c r="BG483" s="77"/>
      <c r="BH483" s="77"/>
      <c r="BI483" s="77"/>
    </row>
    <row r="484" spans="1:61" x14ac:dyDescent="0.25">
      <c r="A484" s="62" t="s">
        <v>428</v>
      </c>
      <c r="B484" s="62" t="s">
        <v>428</v>
      </c>
      <c r="C484" s="63"/>
      <c r="D484" s="64"/>
      <c r="E484" s="65"/>
      <c r="F484" s="66"/>
      <c r="G484" s="63"/>
      <c r="H484" s="67"/>
      <c r="I484" s="68"/>
      <c r="J484" s="68"/>
      <c r="K484" s="32"/>
      <c r="L484" s="75">
        <v>484</v>
      </c>
      <c r="M484" s="75"/>
      <c r="N484" s="70"/>
      <c r="O484" s="77" t="s">
        <v>179</v>
      </c>
      <c r="P484" s="79">
        <v>45180.570868055554</v>
      </c>
      <c r="Q484" s="77" t="s">
        <v>1432</v>
      </c>
      <c r="R484" s="77">
        <v>0</v>
      </c>
      <c r="S484" s="77">
        <v>0</v>
      </c>
      <c r="T484" s="77">
        <v>0</v>
      </c>
      <c r="U484" s="77">
        <v>0</v>
      </c>
      <c r="V484" s="77">
        <v>40</v>
      </c>
      <c r="W484" s="81" t="s">
        <v>3261</v>
      </c>
      <c r="X484" s="83" t="str">
        <f>HYPERLINK("https://wa.link/lqxueu")</f>
        <v>https://wa.link/lqxueu</v>
      </c>
      <c r="Y484" s="77" t="s">
        <v>4266</v>
      </c>
      <c r="Z484" s="77"/>
      <c r="AA484" s="77" t="s">
        <v>4704</v>
      </c>
      <c r="AB484" s="77" t="s">
        <v>5794</v>
      </c>
      <c r="AC484" s="81" t="s">
        <v>5805</v>
      </c>
      <c r="AD484" s="77" t="s">
        <v>5850</v>
      </c>
      <c r="AE484" s="83" t="str">
        <f>HYPERLINK("https://twitter.com/tneaar/status/1701229621620990211")</f>
        <v>https://twitter.com/tneaar/status/1701229621620990211</v>
      </c>
      <c r="AF484" s="79">
        <v>45180.570868055554</v>
      </c>
      <c r="AG484" s="85">
        <v>45180</v>
      </c>
      <c r="AH484" s="81" t="s">
        <v>6304</v>
      </c>
      <c r="AI484" s="77" t="b">
        <v>0</v>
      </c>
      <c r="AJ484" s="77"/>
      <c r="AK484" s="77"/>
      <c r="AL484" s="77"/>
      <c r="AM484" s="77"/>
      <c r="AN484" s="77"/>
      <c r="AO484" s="77"/>
      <c r="AP484" s="77"/>
      <c r="AQ484" s="77" t="s">
        <v>8207</v>
      </c>
      <c r="AR484" s="77"/>
      <c r="AS484" s="77"/>
      <c r="AT484" s="77"/>
      <c r="AU484" s="77"/>
      <c r="AV484" s="83" t="str">
        <f>HYPERLINK("https://pbs.twimg.com/media/F5v7UodXgAANW3P.jpg")</f>
        <v>https://pbs.twimg.com/media/F5v7UodXgAANW3P.jpg</v>
      </c>
      <c r="AW484" s="81" t="s">
        <v>9754</v>
      </c>
      <c r="AX484" s="81" t="s">
        <v>9754</v>
      </c>
      <c r="AY484" s="77"/>
      <c r="AZ484" s="81" t="s">
        <v>11359</v>
      </c>
      <c r="BA484" s="81" t="s">
        <v>11359</v>
      </c>
      <c r="BB484" s="81" t="s">
        <v>11359</v>
      </c>
      <c r="BC484" s="81" t="s">
        <v>9754</v>
      </c>
      <c r="BD484" s="77">
        <v>493423213</v>
      </c>
      <c r="BE484" s="77"/>
      <c r="BF484" s="77"/>
      <c r="BG484" s="77"/>
      <c r="BH484" s="77"/>
      <c r="BI484" s="77"/>
    </row>
    <row r="485" spans="1:61" x14ac:dyDescent="0.25">
      <c r="A485" s="62" t="s">
        <v>428</v>
      </c>
      <c r="B485" s="62" t="s">
        <v>428</v>
      </c>
      <c r="C485" s="63"/>
      <c r="D485" s="64"/>
      <c r="E485" s="65"/>
      <c r="F485" s="66"/>
      <c r="G485" s="63"/>
      <c r="H485" s="67"/>
      <c r="I485" s="68"/>
      <c r="J485" s="68"/>
      <c r="K485" s="32"/>
      <c r="L485" s="75">
        <v>485</v>
      </c>
      <c r="M485" s="75"/>
      <c r="N485" s="70"/>
      <c r="O485" s="77" t="s">
        <v>179</v>
      </c>
      <c r="P485" s="79">
        <v>45180.570601851854</v>
      </c>
      <c r="Q485" s="77" t="s">
        <v>1433</v>
      </c>
      <c r="R485" s="77">
        <v>0</v>
      </c>
      <c r="S485" s="77">
        <v>0</v>
      </c>
      <c r="T485" s="77">
        <v>0</v>
      </c>
      <c r="U485" s="77">
        <v>0</v>
      </c>
      <c r="V485" s="77">
        <v>34</v>
      </c>
      <c r="W485" s="81" t="s">
        <v>3252</v>
      </c>
      <c r="X485" s="77"/>
      <c r="Y485" s="77"/>
      <c r="Z485" s="77"/>
      <c r="AA485" s="77" t="s">
        <v>4705</v>
      </c>
      <c r="AB485" s="77" t="s">
        <v>5794</v>
      </c>
      <c r="AC485" s="81" t="s">
        <v>5805</v>
      </c>
      <c r="AD485" s="77" t="s">
        <v>5850</v>
      </c>
      <c r="AE485" s="83" t="str">
        <f>HYPERLINK("https://twitter.com/tneaar/status/1701229522601804151")</f>
        <v>https://twitter.com/tneaar/status/1701229522601804151</v>
      </c>
      <c r="AF485" s="79">
        <v>45180.570601851854</v>
      </c>
      <c r="AG485" s="85">
        <v>45180</v>
      </c>
      <c r="AH485" s="81" t="s">
        <v>6305</v>
      </c>
      <c r="AI485" s="77" t="b">
        <v>0</v>
      </c>
      <c r="AJ485" s="77"/>
      <c r="AK485" s="77"/>
      <c r="AL485" s="77"/>
      <c r="AM485" s="77"/>
      <c r="AN485" s="77"/>
      <c r="AO485" s="77"/>
      <c r="AP485" s="77"/>
      <c r="AQ485" s="77" t="s">
        <v>8208</v>
      </c>
      <c r="AR485" s="77"/>
      <c r="AS485" s="77"/>
      <c r="AT485" s="77"/>
      <c r="AU485" s="77"/>
      <c r="AV485" s="83" t="str">
        <f>HYPERLINK("https://pbs.twimg.com/media/F5v7O3WWMAAq5oV.jpg")</f>
        <v>https://pbs.twimg.com/media/F5v7O3WWMAAq5oV.jpg</v>
      </c>
      <c r="AW485" s="81" t="s">
        <v>9755</v>
      </c>
      <c r="AX485" s="81" t="s">
        <v>9755</v>
      </c>
      <c r="AY485" s="77"/>
      <c r="AZ485" s="81" t="s">
        <v>11359</v>
      </c>
      <c r="BA485" s="81" t="s">
        <v>11359</v>
      </c>
      <c r="BB485" s="81" t="s">
        <v>11359</v>
      </c>
      <c r="BC485" s="81" t="s">
        <v>9755</v>
      </c>
      <c r="BD485" s="77">
        <v>493423213</v>
      </c>
      <c r="BE485" s="77"/>
      <c r="BF485" s="77"/>
      <c r="BG485" s="77"/>
      <c r="BH485" s="77"/>
      <c r="BI485" s="77"/>
    </row>
    <row r="486" spans="1:61" x14ac:dyDescent="0.25">
      <c r="A486" s="62" t="s">
        <v>428</v>
      </c>
      <c r="B486" s="62" t="s">
        <v>428</v>
      </c>
      <c r="C486" s="63"/>
      <c r="D486" s="64"/>
      <c r="E486" s="65"/>
      <c r="F486" s="66"/>
      <c r="G486" s="63"/>
      <c r="H486" s="67"/>
      <c r="I486" s="68"/>
      <c r="J486" s="68"/>
      <c r="K486" s="32"/>
      <c r="L486" s="75">
        <v>486</v>
      </c>
      <c r="M486" s="75"/>
      <c r="N486" s="70"/>
      <c r="O486" s="77" t="s">
        <v>179</v>
      </c>
      <c r="P486" s="79">
        <v>45178.628298611111</v>
      </c>
      <c r="Q486" s="77" t="s">
        <v>1434</v>
      </c>
      <c r="R486" s="77">
        <v>1</v>
      </c>
      <c r="S486" s="77">
        <v>0</v>
      </c>
      <c r="T486" s="77">
        <v>0</v>
      </c>
      <c r="U486" s="77">
        <v>0</v>
      </c>
      <c r="V486" s="77">
        <v>222</v>
      </c>
      <c r="W486" s="81" t="s">
        <v>3262</v>
      </c>
      <c r="X486" s="77"/>
      <c r="Y486" s="77"/>
      <c r="Z486" s="77"/>
      <c r="AA486" s="77" t="s">
        <v>4706</v>
      </c>
      <c r="AB486" s="77" t="s">
        <v>5794</v>
      </c>
      <c r="AC486" s="81" t="s">
        <v>5805</v>
      </c>
      <c r="AD486" s="77" t="s">
        <v>5850</v>
      </c>
      <c r="AE486" s="83" t="str">
        <f>HYPERLINK("https://twitter.com/tneaar/status/1700525658550518266")</f>
        <v>https://twitter.com/tneaar/status/1700525658550518266</v>
      </c>
      <c r="AF486" s="79">
        <v>45178.628298611111</v>
      </c>
      <c r="AG486" s="85">
        <v>45178</v>
      </c>
      <c r="AH486" s="81" t="s">
        <v>5965</v>
      </c>
      <c r="AI486" s="77" t="b">
        <v>0</v>
      </c>
      <c r="AJ486" s="77"/>
      <c r="AK486" s="77"/>
      <c r="AL486" s="77"/>
      <c r="AM486" s="77"/>
      <c r="AN486" s="77"/>
      <c r="AO486" s="77"/>
      <c r="AP486" s="77"/>
      <c r="AQ486" s="77" t="s">
        <v>8209</v>
      </c>
      <c r="AR486" s="77"/>
      <c r="AS486" s="77"/>
      <c r="AT486" s="77"/>
      <c r="AU486" s="77"/>
      <c r="AV486" s="83" t="str">
        <f>HYPERLINK("https://pbs.twimg.com/media/F5l7EbkWEAA_0R0.jpg")</f>
        <v>https://pbs.twimg.com/media/F5l7EbkWEAA_0R0.jpg</v>
      </c>
      <c r="AW486" s="81" t="s">
        <v>9756</v>
      </c>
      <c r="AX486" s="81" t="s">
        <v>9756</v>
      </c>
      <c r="AY486" s="77"/>
      <c r="AZ486" s="81" t="s">
        <v>11359</v>
      </c>
      <c r="BA486" s="81" t="s">
        <v>11359</v>
      </c>
      <c r="BB486" s="81" t="s">
        <v>11359</v>
      </c>
      <c r="BC486" s="81" t="s">
        <v>9756</v>
      </c>
      <c r="BD486" s="77">
        <v>493423213</v>
      </c>
      <c r="BE486" s="77"/>
      <c r="BF486" s="77"/>
      <c r="BG486" s="77"/>
      <c r="BH486" s="77"/>
      <c r="BI486" s="77"/>
    </row>
    <row r="487" spans="1:61" x14ac:dyDescent="0.25">
      <c r="A487" s="62" t="s">
        <v>428</v>
      </c>
      <c r="B487" s="62" t="s">
        <v>428</v>
      </c>
      <c r="C487" s="63"/>
      <c r="D487" s="64"/>
      <c r="E487" s="65"/>
      <c r="F487" s="66"/>
      <c r="G487" s="63"/>
      <c r="H487" s="67"/>
      <c r="I487" s="68"/>
      <c r="J487" s="68"/>
      <c r="K487" s="32"/>
      <c r="L487" s="75">
        <v>487</v>
      </c>
      <c r="M487" s="75"/>
      <c r="N487" s="70"/>
      <c r="O487" s="77" t="s">
        <v>179</v>
      </c>
      <c r="P487" s="79">
        <v>45172.891712962963</v>
      </c>
      <c r="Q487" s="77" t="s">
        <v>1435</v>
      </c>
      <c r="R487" s="77">
        <v>0</v>
      </c>
      <c r="S487" s="77">
        <v>1</v>
      </c>
      <c r="T487" s="77">
        <v>0</v>
      </c>
      <c r="U487" s="77">
        <v>0</v>
      </c>
      <c r="V487" s="77">
        <v>175</v>
      </c>
      <c r="W487" s="81" t="s">
        <v>3261</v>
      </c>
      <c r="X487" s="77"/>
      <c r="Y487" s="77"/>
      <c r="Z487" s="77"/>
      <c r="AA487" s="77" t="s">
        <v>4707</v>
      </c>
      <c r="AB487" s="77" t="s">
        <v>5794</v>
      </c>
      <c r="AC487" s="81" t="s">
        <v>5805</v>
      </c>
      <c r="AD487" s="77" t="s">
        <v>5850</v>
      </c>
      <c r="AE487" s="83" t="str">
        <f>HYPERLINK("https://twitter.com/tneaar/status/1698446788326244663")</f>
        <v>https://twitter.com/tneaar/status/1698446788326244663</v>
      </c>
      <c r="AF487" s="79">
        <v>45172.891712962963</v>
      </c>
      <c r="AG487" s="85">
        <v>45172</v>
      </c>
      <c r="AH487" s="81" t="s">
        <v>6306</v>
      </c>
      <c r="AI487" s="77" t="b">
        <v>0</v>
      </c>
      <c r="AJ487" s="77"/>
      <c r="AK487" s="77"/>
      <c r="AL487" s="77"/>
      <c r="AM487" s="77"/>
      <c r="AN487" s="77"/>
      <c r="AO487" s="77"/>
      <c r="AP487" s="77"/>
      <c r="AQ487" s="77" t="s">
        <v>8210</v>
      </c>
      <c r="AR487" s="77"/>
      <c r="AS487" s="77"/>
      <c r="AT487" s="77"/>
      <c r="AU487" s="77"/>
      <c r="AV487" s="83" t="str">
        <f>HYPERLINK("https://pbs.twimg.com/media/F5IYWZ9W0AEst1W.jpg")</f>
        <v>https://pbs.twimg.com/media/F5IYWZ9W0AEst1W.jpg</v>
      </c>
      <c r="AW487" s="81" t="s">
        <v>9757</v>
      </c>
      <c r="AX487" s="81" t="s">
        <v>9757</v>
      </c>
      <c r="AY487" s="77"/>
      <c r="AZ487" s="81" t="s">
        <v>11359</v>
      </c>
      <c r="BA487" s="81" t="s">
        <v>11359</v>
      </c>
      <c r="BB487" s="81" t="s">
        <v>11359</v>
      </c>
      <c r="BC487" s="81" t="s">
        <v>9757</v>
      </c>
      <c r="BD487" s="77">
        <v>493423213</v>
      </c>
      <c r="BE487" s="77"/>
      <c r="BF487" s="77"/>
      <c r="BG487" s="77"/>
      <c r="BH487" s="77"/>
      <c r="BI487" s="77"/>
    </row>
    <row r="488" spans="1:61" x14ac:dyDescent="0.25">
      <c r="A488" s="62" t="s">
        <v>428</v>
      </c>
      <c r="B488" s="62" t="s">
        <v>428</v>
      </c>
      <c r="C488" s="63"/>
      <c r="D488" s="64"/>
      <c r="E488" s="65"/>
      <c r="F488" s="66"/>
      <c r="G488" s="63"/>
      <c r="H488" s="67"/>
      <c r="I488" s="68"/>
      <c r="J488" s="68"/>
      <c r="K488" s="32"/>
      <c r="L488" s="75">
        <v>488</v>
      </c>
      <c r="M488" s="75"/>
      <c r="N488" s="70"/>
      <c r="O488" s="77" t="s">
        <v>179</v>
      </c>
      <c r="P488" s="79">
        <v>45172.885289351849</v>
      </c>
      <c r="Q488" s="77" t="s">
        <v>1436</v>
      </c>
      <c r="R488" s="77">
        <v>0</v>
      </c>
      <c r="S488" s="77">
        <v>0</v>
      </c>
      <c r="T488" s="77">
        <v>0</v>
      </c>
      <c r="U488" s="77">
        <v>0</v>
      </c>
      <c r="V488" s="77">
        <v>80</v>
      </c>
      <c r="W488" s="81" t="s">
        <v>3244</v>
      </c>
      <c r="X488" s="77"/>
      <c r="Y488" s="77"/>
      <c r="Z488" s="77"/>
      <c r="AA488" s="77" t="s">
        <v>4708</v>
      </c>
      <c r="AB488" s="77" t="s">
        <v>5794</v>
      </c>
      <c r="AC488" s="81" t="s">
        <v>5805</v>
      </c>
      <c r="AD488" s="77" t="s">
        <v>5850</v>
      </c>
      <c r="AE488" s="83" t="str">
        <f>HYPERLINK("https://twitter.com/tneaar/status/1698444459766096183")</f>
        <v>https://twitter.com/tneaar/status/1698444459766096183</v>
      </c>
      <c r="AF488" s="79">
        <v>45172.885289351849</v>
      </c>
      <c r="AG488" s="85">
        <v>45172</v>
      </c>
      <c r="AH488" s="81" t="s">
        <v>6307</v>
      </c>
      <c r="AI488" s="77" t="b">
        <v>0</v>
      </c>
      <c r="AJ488" s="77"/>
      <c r="AK488" s="77"/>
      <c r="AL488" s="77"/>
      <c r="AM488" s="77"/>
      <c r="AN488" s="77"/>
      <c r="AO488" s="77"/>
      <c r="AP488" s="77"/>
      <c r="AQ488" s="77" t="s">
        <v>8211</v>
      </c>
      <c r="AR488" s="77"/>
      <c r="AS488" s="77"/>
      <c r="AT488" s="77"/>
      <c r="AU488" s="77"/>
      <c r="AV488" s="83" t="str">
        <f>HYPERLINK("https://pbs.twimg.com/media/F5IWJyNX0AACBRx.jpg")</f>
        <v>https://pbs.twimg.com/media/F5IWJyNX0AACBRx.jpg</v>
      </c>
      <c r="AW488" s="81" t="s">
        <v>9758</v>
      </c>
      <c r="AX488" s="81" t="s">
        <v>9758</v>
      </c>
      <c r="AY488" s="77"/>
      <c r="AZ488" s="81" t="s">
        <v>11359</v>
      </c>
      <c r="BA488" s="81" t="s">
        <v>11359</v>
      </c>
      <c r="BB488" s="81" t="s">
        <v>11359</v>
      </c>
      <c r="BC488" s="81" t="s">
        <v>9758</v>
      </c>
      <c r="BD488" s="77">
        <v>493423213</v>
      </c>
      <c r="BE488" s="77"/>
      <c r="BF488" s="77"/>
      <c r="BG488" s="77"/>
      <c r="BH488" s="77"/>
      <c r="BI488" s="77"/>
    </row>
    <row r="489" spans="1:61" x14ac:dyDescent="0.25">
      <c r="A489" s="62" t="s">
        <v>428</v>
      </c>
      <c r="B489" s="62" t="s">
        <v>428</v>
      </c>
      <c r="C489" s="63"/>
      <c r="D489" s="64"/>
      <c r="E489" s="65"/>
      <c r="F489" s="66"/>
      <c r="G489" s="63"/>
      <c r="H489" s="67"/>
      <c r="I489" s="68"/>
      <c r="J489" s="68"/>
      <c r="K489" s="32"/>
      <c r="L489" s="75">
        <v>489</v>
      </c>
      <c r="M489" s="75"/>
      <c r="N489" s="70"/>
      <c r="O489" s="77" t="s">
        <v>179</v>
      </c>
      <c r="P489" s="79">
        <v>45151.938506944447</v>
      </c>
      <c r="Q489" s="77" t="s">
        <v>1437</v>
      </c>
      <c r="R489" s="77">
        <v>0</v>
      </c>
      <c r="S489" s="77">
        <v>0</v>
      </c>
      <c r="T489" s="77">
        <v>0</v>
      </c>
      <c r="U489" s="77">
        <v>0</v>
      </c>
      <c r="V489" s="77">
        <v>89</v>
      </c>
      <c r="W489" s="81" t="s">
        <v>3244</v>
      </c>
      <c r="X489" s="77"/>
      <c r="Y489" s="77"/>
      <c r="Z489" s="77"/>
      <c r="AA489" s="77" t="s">
        <v>4709</v>
      </c>
      <c r="AB489" s="77" t="s">
        <v>5794</v>
      </c>
      <c r="AC489" s="81" t="s">
        <v>5805</v>
      </c>
      <c r="AD489" s="77" t="s">
        <v>5850</v>
      </c>
      <c r="AE489" s="83" t="str">
        <f>HYPERLINK("https://twitter.com/tneaar/status/1690853600921001984")</f>
        <v>https://twitter.com/tneaar/status/1690853600921001984</v>
      </c>
      <c r="AF489" s="79">
        <v>45151.938506944447</v>
      </c>
      <c r="AG489" s="85">
        <v>45151</v>
      </c>
      <c r="AH489" s="81" t="s">
        <v>6308</v>
      </c>
      <c r="AI489" s="77" t="b">
        <v>0</v>
      </c>
      <c r="AJ489" s="77"/>
      <c r="AK489" s="77"/>
      <c r="AL489" s="77"/>
      <c r="AM489" s="77"/>
      <c r="AN489" s="77"/>
      <c r="AO489" s="77"/>
      <c r="AP489" s="77"/>
      <c r="AQ489" s="77" t="s">
        <v>8212</v>
      </c>
      <c r="AR489" s="77"/>
      <c r="AS489" s="77"/>
      <c r="AT489" s="77"/>
      <c r="AU489" s="77"/>
      <c r="AV489" s="83" t="str">
        <f>HYPERLINK("https://pbs.twimg.com/media/F3ceYxbWgAAbyGh.jpg")</f>
        <v>https://pbs.twimg.com/media/F3ceYxbWgAAbyGh.jpg</v>
      </c>
      <c r="AW489" s="81" t="s">
        <v>9759</v>
      </c>
      <c r="AX489" s="81" t="s">
        <v>9759</v>
      </c>
      <c r="AY489" s="77"/>
      <c r="AZ489" s="81" t="s">
        <v>11359</v>
      </c>
      <c r="BA489" s="81" t="s">
        <v>11359</v>
      </c>
      <c r="BB489" s="81" t="s">
        <v>11359</v>
      </c>
      <c r="BC489" s="81" t="s">
        <v>9759</v>
      </c>
      <c r="BD489" s="77">
        <v>493423213</v>
      </c>
      <c r="BE489" s="77"/>
      <c r="BF489" s="77"/>
      <c r="BG489" s="77"/>
      <c r="BH489" s="77"/>
      <c r="BI489" s="77"/>
    </row>
    <row r="490" spans="1:61" x14ac:dyDescent="0.25">
      <c r="A490" s="62" t="s">
        <v>428</v>
      </c>
      <c r="B490" s="62" t="s">
        <v>428</v>
      </c>
      <c r="C490" s="63"/>
      <c r="D490" s="64"/>
      <c r="E490" s="65"/>
      <c r="F490" s="66"/>
      <c r="G490" s="63"/>
      <c r="H490" s="67"/>
      <c r="I490" s="68"/>
      <c r="J490" s="68"/>
      <c r="K490" s="32"/>
      <c r="L490" s="75">
        <v>490</v>
      </c>
      <c r="M490" s="75"/>
      <c r="N490" s="70"/>
      <c r="O490" s="77" t="s">
        <v>179</v>
      </c>
      <c r="P490" s="79">
        <v>45151.938171296293</v>
      </c>
      <c r="Q490" s="77" t="s">
        <v>1438</v>
      </c>
      <c r="R490" s="77">
        <v>0</v>
      </c>
      <c r="S490" s="77">
        <v>0</v>
      </c>
      <c r="T490" s="77">
        <v>0</v>
      </c>
      <c r="U490" s="77">
        <v>0</v>
      </c>
      <c r="V490" s="77">
        <v>76</v>
      </c>
      <c r="W490" s="81" t="s">
        <v>3253</v>
      </c>
      <c r="X490" s="77"/>
      <c r="Y490" s="77"/>
      <c r="Z490" s="77"/>
      <c r="AA490" s="77" t="s">
        <v>4710</v>
      </c>
      <c r="AB490" s="77" t="s">
        <v>5794</v>
      </c>
      <c r="AC490" s="81" t="s">
        <v>5805</v>
      </c>
      <c r="AD490" s="77" t="s">
        <v>5850</v>
      </c>
      <c r="AE490" s="83" t="str">
        <f>HYPERLINK("https://twitter.com/tneaar/status/1690853477881151488")</f>
        <v>https://twitter.com/tneaar/status/1690853477881151488</v>
      </c>
      <c r="AF490" s="79">
        <v>45151.938171296293</v>
      </c>
      <c r="AG490" s="85">
        <v>45151</v>
      </c>
      <c r="AH490" s="81" t="s">
        <v>6309</v>
      </c>
      <c r="AI490" s="77" t="b">
        <v>0</v>
      </c>
      <c r="AJ490" s="77"/>
      <c r="AK490" s="77"/>
      <c r="AL490" s="77"/>
      <c r="AM490" s="77"/>
      <c r="AN490" s="77"/>
      <c r="AO490" s="77"/>
      <c r="AP490" s="77"/>
      <c r="AQ490" s="77" t="s">
        <v>8213</v>
      </c>
      <c r="AR490" s="77"/>
      <c r="AS490" s="77"/>
      <c r="AT490" s="77"/>
      <c r="AU490" s="77"/>
      <c r="AV490" s="83" t="str">
        <f>HYPERLINK("https://pbs.twimg.com/media/F3ceRi9XEAAVGwz.jpg")</f>
        <v>https://pbs.twimg.com/media/F3ceRi9XEAAVGwz.jpg</v>
      </c>
      <c r="AW490" s="81" t="s">
        <v>9760</v>
      </c>
      <c r="AX490" s="81" t="s">
        <v>9760</v>
      </c>
      <c r="AY490" s="77"/>
      <c r="AZ490" s="81" t="s">
        <v>11359</v>
      </c>
      <c r="BA490" s="81" t="s">
        <v>11359</v>
      </c>
      <c r="BB490" s="81" t="s">
        <v>11359</v>
      </c>
      <c r="BC490" s="81" t="s">
        <v>9760</v>
      </c>
      <c r="BD490" s="77">
        <v>493423213</v>
      </c>
      <c r="BE490" s="77"/>
      <c r="BF490" s="77"/>
      <c r="BG490" s="77"/>
      <c r="BH490" s="77"/>
      <c r="BI490" s="77"/>
    </row>
    <row r="491" spans="1:61" x14ac:dyDescent="0.25">
      <c r="A491" s="62" t="s">
        <v>428</v>
      </c>
      <c r="B491" s="62" t="s">
        <v>428</v>
      </c>
      <c r="C491" s="63"/>
      <c r="D491" s="64"/>
      <c r="E491" s="65"/>
      <c r="F491" s="66"/>
      <c r="G491" s="63"/>
      <c r="H491" s="67"/>
      <c r="I491" s="68"/>
      <c r="J491" s="68"/>
      <c r="K491" s="32"/>
      <c r="L491" s="75">
        <v>491</v>
      </c>
      <c r="M491" s="75"/>
      <c r="N491" s="70"/>
      <c r="O491" s="77" t="s">
        <v>179</v>
      </c>
      <c r="P491" s="79">
        <v>45151.935682870368</v>
      </c>
      <c r="Q491" s="77" t="s">
        <v>1439</v>
      </c>
      <c r="R491" s="77">
        <v>1</v>
      </c>
      <c r="S491" s="77">
        <v>0</v>
      </c>
      <c r="T491" s="77">
        <v>0</v>
      </c>
      <c r="U491" s="77">
        <v>0</v>
      </c>
      <c r="V491" s="77">
        <v>135</v>
      </c>
      <c r="W491" s="81" t="s">
        <v>3263</v>
      </c>
      <c r="X491" s="77"/>
      <c r="Y491" s="77"/>
      <c r="Z491" s="77"/>
      <c r="AA491" s="77" t="s">
        <v>4711</v>
      </c>
      <c r="AB491" s="77" t="s">
        <v>5794</v>
      </c>
      <c r="AC491" s="81" t="s">
        <v>5805</v>
      </c>
      <c r="AD491" s="77" t="s">
        <v>5850</v>
      </c>
      <c r="AE491" s="83" t="str">
        <f>HYPERLINK("https://twitter.com/tneaar/status/1690852577301102592")</f>
        <v>https://twitter.com/tneaar/status/1690852577301102592</v>
      </c>
      <c r="AF491" s="79">
        <v>45151.935682870368</v>
      </c>
      <c r="AG491" s="85">
        <v>45151</v>
      </c>
      <c r="AH491" s="81" t="s">
        <v>6310</v>
      </c>
      <c r="AI491" s="77" t="b">
        <v>0</v>
      </c>
      <c r="AJ491" s="77"/>
      <c r="AK491" s="77"/>
      <c r="AL491" s="77"/>
      <c r="AM491" s="77"/>
      <c r="AN491" s="77"/>
      <c r="AO491" s="77"/>
      <c r="AP491" s="77"/>
      <c r="AQ491" s="77" t="s">
        <v>8214</v>
      </c>
      <c r="AR491" s="77"/>
      <c r="AS491" s="77"/>
      <c r="AT491" s="77"/>
      <c r="AU491" s="77"/>
      <c r="AV491" s="83" t="str">
        <f>HYPERLINK("https://pbs.twimg.com/media/F3cddN1WMAAJpBx.jpg")</f>
        <v>https://pbs.twimg.com/media/F3cddN1WMAAJpBx.jpg</v>
      </c>
      <c r="AW491" s="81" t="s">
        <v>9761</v>
      </c>
      <c r="AX491" s="81" t="s">
        <v>9761</v>
      </c>
      <c r="AY491" s="77"/>
      <c r="AZ491" s="81" t="s">
        <v>11359</v>
      </c>
      <c r="BA491" s="81" t="s">
        <v>11359</v>
      </c>
      <c r="BB491" s="81" t="s">
        <v>11359</v>
      </c>
      <c r="BC491" s="81" t="s">
        <v>9761</v>
      </c>
      <c r="BD491" s="77">
        <v>493423213</v>
      </c>
      <c r="BE491" s="77"/>
      <c r="BF491" s="77"/>
      <c r="BG491" s="77"/>
      <c r="BH491" s="77"/>
      <c r="BI491" s="77"/>
    </row>
    <row r="492" spans="1:61" x14ac:dyDescent="0.25">
      <c r="A492" s="62" t="s">
        <v>428</v>
      </c>
      <c r="B492" s="62" t="s">
        <v>428</v>
      </c>
      <c r="C492" s="63"/>
      <c r="D492" s="64"/>
      <c r="E492" s="65"/>
      <c r="F492" s="66"/>
      <c r="G492" s="63"/>
      <c r="H492" s="67"/>
      <c r="I492" s="68"/>
      <c r="J492" s="68"/>
      <c r="K492" s="32"/>
      <c r="L492" s="75">
        <v>492</v>
      </c>
      <c r="M492" s="75"/>
      <c r="N492" s="70"/>
      <c r="O492" s="77" t="s">
        <v>179</v>
      </c>
      <c r="P492" s="79">
        <v>45082.004803240743</v>
      </c>
      <c r="Q492" s="77" t="s">
        <v>1440</v>
      </c>
      <c r="R492" s="77">
        <v>0</v>
      </c>
      <c r="S492" s="77">
        <v>0</v>
      </c>
      <c r="T492" s="77">
        <v>0</v>
      </c>
      <c r="U492" s="77">
        <v>0</v>
      </c>
      <c r="V492" s="77">
        <v>138</v>
      </c>
      <c r="W492" s="81" t="s">
        <v>3249</v>
      </c>
      <c r="X492" s="77"/>
      <c r="Y492" s="77"/>
      <c r="Z492" s="77"/>
      <c r="AA492" s="77" t="s">
        <v>4712</v>
      </c>
      <c r="AB492" s="77" t="s">
        <v>5794</v>
      </c>
      <c r="AC492" s="81" t="s">
        <v>5805</v>
      </c>
      <c r="AD492" s="77" t="s">
        <v>5850</v>
      </c>
      <c r="AE492" s="83" t="str">
        <f>HYPERLINK("https://twitter.com/tneaar/status/1665510474920722434")</f>
        <v>https://twitter.com/tneaar/status/1665510474920722434</v>
      </c>
      <c r="AF492" s="79">
        <v>45082.004803240743</v>
      </c>
      <c r="AG492" s="85">
        <v>45082</v>
      </c>
      <c r="AH492" s="81" t="s">
        <v>6311</v>
      </c>
      <c r="AI492" s="77" t="b">
        <v>0</v>
      </c>
      <c r="AJ492" s="77"/>
      <c r="AK492" s="77"/>
      <c r="AL492" s="77"/>
      <c r="AM492" s="77"/>
      <c r="AN492" s="77"/>
      <c r="AO492" s="77"/>
      <c r="AP492" s="77"/>
      <c r="AQ492" s="77" t="s">
        <v>8215</v>
      </c>
      <c r="AR492" s="77"/>
      <c r="AS492" s="77"/>
      <c r="AT492" s="77"/>
      <c r="AU492" s="77"/>
      <c r="AV492" s="83" t="str">
        <f>HYPERLINK("https://pbs.twimg.com/media/Fx0U8rZXwAIGhy4.jpg")</f>
        <v>https://pbs.twimg.com/media/Fx0U8rZXwAIGhy4.jpg</v>
      </c>
      <c r="AW492" s="81" t="s">
        <v>9762</v>
      </c>
      <c r="AX492" s="81" t="s">
        <v>9762</v>
      </c>
      <c r="AY492" s="77"/>
      <c r="AZ492" s="81" t="s">
        <v>11359</v>
      </c>
      <c r="BA492" s="81" t="s">
        <v>11359</v>
      </c>
      <c r="BB492" s="81" t="s">
        <v>11359</v>
      </c>
      <c r="BC492" s="81" t="s">
        <v>9762</v>
      </c>
      <c r="BD492" s="77">
        <v>493423213</v>
      </c>
      <c r="BE492" s="77"/>
      <c r="BF492" s="77"/>
      <c r="BG492" s="77"/>
      <c r="BH492" s="77"/>
      <c r="BI492" s="77"/>
    </row>
    <row r="493" spans="1:61" x14ac:dyDescent="0.25">
      <c r="A493" s="62" t="s">
        <v>428</v>
      </c>
      <c r="B493" s="62" t="s">
        <v>428</v>
      </c>
      <c r="C493" s="63"/>
      <c r="D493" s="64"/>
      <c r="E493" s="65"/>
      <c r="F493" s="66"/>
      <c r="G493" s="63"/>
      <c r="H493" s="67"/>
      <c r="I493" s="68"/>
      <c r="J493" s="68"/>
      <c r="K493" s="32"/>
      <c r="L493" s="75">
        <v>493</v>
      </c>
      <c r="M493" s="75"/>
      <c r="N493" s="70"/>
      <c r="O493" s="77" t="s">
        <v>179</v>
      </c>
      <c r="P493" s="79">
        <v>45082.003865740742</v>
      </c>
      <c r="Q493" s="77" t="s">
        <v>1441</v>
      </c>
      <c r="R493" s="77">
        <v>0</v>
      </c>
      <c r="S493" s="77">
        <v>0</v>
      </c>
      <c r="T493" s="77">
        <v>0</v>
      </c>
      <c r="U493" s="77">
        <v>0</v>
      </c>
      <c r="V493" s="77">
        <v>113</v>
      </c>
      <c r="W493" s="81" t="s">
        <v>3264</v>
      </c>
      <c r="X493" s="77"/>
      <c r="Y493" s="77"/>
      <c r="Z493" s="77"/>
      <c r="AA493" s="77" t="s">
        <v>4713</v>
      </c>
      <c r="AB493" s="77" t="s">
        <v>5794</v>
      </c>
      <c r="AC493" s="81" t="s">
        <v>5805</v>
      </c>
      <c r="AD493" s="77" t="s">
        <v>5850</v>
      </c>
      <c r="AE493" s="83" t="str">
        <f>HYPERLINK("https://twitter.com/tneaar/status/1665510133030350848")</f>
        <v>https://twitter.com/tneaar/status/1665510133030350848</v>
      </c>
      <c r="AF493" s="79">
        <v>45082.003865740742</v>
      </c>
      <c r="AG493" s="85">
        <v>45082</v>
      </c>
      <c r="AH493" s="81" t="s">
        <v>6312</v>
      </c>
      <c r="AI493" s="77" t="b">
        <v>0</v>
      </c>
      <c r="AJ493" s="77"/>
      <c r="AK493" s="77"/>
      <c r="AL493" s="77"/>
      <c r="AM493" s="77"/>
      <c r="AN493" s="77"/>
      <c r="AO493" s="77"/>
      <c r="AP493" s="77"/>
      <c r="AQ493" s="77" t="s">
        <v>8216</v>
      </c>
      <c r="AR493" s="77"/>
      <c r="AS493" s="77"/>
      <c r="AT493" s="77"/>
      <c r="AU493" s="77"/>
      <c r="AV493" s="83" t="str">
        <f>HYPERLINK("https://pbs.twimg.com/media/Fx0UoteXwAAyS1N.jpg")</f>
        <v>https://pbs.twimg.com/media/Fx0UoteXwAAyS1N.jpg</v>
      </c>
      <c r="AW493" s="81" t="s">
        <v>9763</v>
      </c>
      <c r="AX493" s="81" t="s">
        <v>9763</v>
      </c>
      <c r="AY493" s="77"/>
      <c r="AZ493" s="81" t="s">
        <v>11359</v>
      </c>
      <c r="BA493" s="81" t="s">
        <v>11359</v>
      </c>
      <c r="BB493" s="81" t="s">
        <v>11359</v>
      </c>
      <c r="BC493" s="81" t="s">
        <v>9763</v>
      </c>
      <c r="BD493" s="77">
        <v>493423213</v>
      </c>
      <c r="BE493" s="77"/>
      <c r="BF493" s="77"/>
      <c r="BG493" s="77"/>
      <c r="BH493" s="77"/>
      <c r="BI493" s="77"/>
    </row>
    <row r="494" spans="1:61" x14ac:dyDescent="0.25">
      <c r="A494" s="62" t="s">
        <v>428</v>
      </c>
      <c r="B494" s="62" t="s">
        <v>428</v>
      </c>
      <c r="C494" s="63"/>
      <c r="D494" s="64"/>
      <c r="E494" s="65"/>
      <c r="F494" s="66"/>
      <c r="G494" s="63"/>
      <c r="H494" s="67"/>
      <c r="I494" s="68"/>
      <c r="J494" s="68"/>
      <c r="K494" s="32"/>
      <c r="L494" s="75">
        <v>494</v>
      </c>
      <c r="M494" s="75"/>
      <c r="N494" s="70"/>
      <c r="O494" s="77" t="s">
        <v>179</v>
      </c>
      <c r="P494" s="79">
        <v>45081.973692129628</v>
      </c>
      <c r="Q494" s="77" t="s">
        <v>1442</v>
      </c>
      <c r="R494" s="77">
        <v>0</v>
      </c>
      <c r="S494" s="77">
        <v>0</v>
      </c>
      <c r="T494" s="77">
        <v>0</v>
      </c>
      <c r="U494" s="77">
        <v>0</v>
      </c>
      <c r="V494" s="77">
        <v>81</v>
      </c>
      <c r="W494" s="81" t="s">
        <v>3265</v>
      </c>
      <c r="X494" s="77"/>
      <c r="Y494" s="77"/>
      <c r="Z494" s="77"/>
      <c r="AA494" s="77" t="s">
        <v>4714</v>
      </c>
      <c r="AB494" s="77" t="s">
        <v>5794</v>
      </c>
      <c r="AC494" s="81" t="s">
        <v>5805</v>
      </c>
      <c r="AD494" s="77" t="s">
        <v>5850</v>
      </c>
      <c r="AE494" s="83" t="str">
        <f>HYPERLINK("https://twitter.com/tneaar/status/1665499201151590400")</f>
        <v>https://twitter.com/tneaar/status/1665499201151590400</v>
      </c>
      <c r="AF494" s="79">
        <v>45081.973692129628</v>
      </c>
      <c r="AG494" s="85">
        <v>45081</v>
      </c>
      <c r="AH494" s="81" t="s">
        <v>6313</v>
      </c>
      <c r="AI494" s="77" t="b">
        <v>0</v>
      </c>
      <c r="AJ494" s="77"/>
      <c r="AK494" s="77"/>
      <c r="AL494" s="77"/>
      <c r="AM494" s="77"/>
      <c r="AN494" s="77"/>
      <c r="AO494" s="77"/>
      <c r="AP494" s="77"/>
      <c r="AQ494" s="77" t="s">
        <v>8217</v>
      </c>
      <c r="AR494" s="77"/>
      <c r="AS494" s="77"/>
      <c r="AT494" s="77"/>
      <c r="AU494" s="77"/>
      <c r="AV494" s="83" t="str">
        <f>HYPERLINK("https://pbs.twimg.com/media/Fx0KsbKXwAAlpzY.jpg")</f>
        <v>https://pbs.twimg.com/media/Fx0KsbKXwAAlpzY.jpg</v>
      </c>
      <c r="AW494" s="81" t="s">
        <v>9764</v>
      </c>
      <c r="AX494" s="81" t="s">
        <v>9764</v>
      </c>
      <c r="AY494" s="77"/>
      <c r="AZ494" s="81" t="s">
        <v>11359</v>
      </c>
      <c r="BA494" s="81" t="s">
        <v>11359</v>
      </c>
      <c r="BB494" s="81" t="s">
        <v>11359</v>
      </c>
      <c r="BC494" s="81" t="s">
        <v>9764</v>
      </c>
      <c r="BD494" s="77">
        <v>493423213</v>
      </c>
      <c r="BE494" s="77"/>
      <c r="BF494" s="77"/>
      <c r="BG494" s="77"/>
      <c r="BH494" s="77"/>
      <c r="BI494" s="77"/>
    </row>
    <row r="495" spans="1:61" x14ac:dyDescent="0.25">
      <c r="A495" s="62" t="s">
        <v>428</v>
      </c>
      <c r="B495" s="62" t="s">
        <v>428</v>
      </c>
      <c r="C495" s="63"/>
      <c r="D495" s="64"/>
      <c r="E495" s="65"/>
      <c r="F495" s="66"/>
      <c r="G495" s="63"/>
      <c r="H495" s="67"/>
      <c r="I495" s="68"/>
      <c r="J495" s="68"/>
      <c r="K495" s="32"/>
      <c r="L495" s="75">
        <v>495</v>
      </c>
      <c r="M495" s="75"/>
      <c r="N495" s="70"/>
      <c r="O495" s="77" t="s">
        <v>179</v>
      </c>
      <c r="P495" s="79">
        <v>45081.971446759257</v>
      </c>
      <c r="Q495" s="77" t="s">
        <v>1443</v>
      </c>
      <c r="R495" s="77">
        <v>1</v>
      </c>
      <c r="S495" s="77">
        <v>0</v>
      </c>
      <c r="T495" s="77">
        <v>0</v>
      </c>
      <c r="U495" s="77">
        <v>0</v>
      </c>
      <c r="V495" s="77">
        <v>141</v>
      </c>
      <c r="W495" s="81" t="s">
        <v>3266</v>
      </c>
      <c r="X495" s="77"/>
      <c r="Y495" s="77"/>
      <c r="Z495" s="77"/>
      <c r="AA495" s="77" t="s">
        <v>4715</v>
      </c>
      <c r="AB495" s="77" t="s">
        <v>5794</v>
      </c>
      <c r="AC495" s="81" t="s">
        <v>5805</v>
      </c>
      <c r="AD495" s="77" t="s">
        <v>5850</v>
      </c>
      <c r="AE495" s="83" t="str">
        <f>HYPERLINK("https://twitter.com/tneaar/status/1665498385862782976")</f>
        <v>https://twitter.com/tneaar/status/1665498385862782976</v>
      </c>
      <c r="AF495" s="79">
        <v>45081.971446759257</v>
      </c>
      <c r="AG495" s="85">
        <v>45081</v>
      </c>
      <c r="AH495" s="81" t="s">
        <v>6314</v>
      </c>
      <c r="AI495" s="77" t="b">
        <v>0</v>
      </c>
      <c r="AJ495" s="77"/>
      <c r="AK495" s="77"/>
      <c r="AL495" s="77"/>
      <c r="AM495" s="77"/>
      <c r="AN495" s="77"/>
      <c r="AO495" s="77"/>
      <c r="AP495" s="77"/>
      <c r="AQ495" s="77" t="s">
        <v>8218</v>
      </c>
      <c r="AR495" s="77"/>
      <c r="AS495" s="77"/>
      <c r="AT495" s="77"/>
      <c r="AU495" s="77"/>
      <c r="AV495" s="83" t="str">
        <f>HYPERLINK("https://pbs.twimg.com/media/Fx0J8qaWwAASaoh.jpg")</f>
        <v>https://pbs.twimg.com/media/Fx0J8qaWwAASaoh.jpg</v>
      </c>
      <c r="AW495" s="81" t="s">
        <v>9765</v>
      </c>
      <c r="AX495" s="81" t="s">
        <v>9765</v>
      </c>
      <c r="AY495" s="77"/>
      <c r="AZ495" s="81" t="s">
        <v>11359</v>
      </c>
      <c r="BA495" s="81" t="s">
        <v>11359</v>
      </c>
      <c r="BB495" s="81" t="s">
        <v>11359</v>
      </c>
      <c r="BC495" s="81" t="s">
        <v>9765</v>
      </c>
      <c r="BD495" s="77">
        <v>493423213</v>
      </c>
      <c r="BE495" s="77"/>
      <c r="BF495" s="77"/>
      <c r="BG495" s="77"/>
      <c r="BH495" s="77"/>
      <c r="BI495" s="77"/>
    </row>
    <row r="496" spans="1:61" x14ac:dyDescent="0.25">
      <c r="A496" s="62" t="s">
        <v>428</v>
      </c>
      <c r="B496" s="62" t="s">
        <v>428</v>
      </c>
      <c r="C496" s="63"/>
      <c r="D496" s="64"/>
      <c r="E496" s="65"/>
      <c r="F496" s="66"/>
      <c r="G496" s="63"/>
      <c r="H496" s="67"/>
      <c r="I496" s="68"/>
      <c r="J496" s="68"/>
      <c r="K496" s="32"/>
      <c r="L496" s="75">
        <v>496</v>
      </c>
      <c r="M496" s="75"/>
      <c r="N496" s="70"/>
      <c r="O496" s="77" t="s">
        <v>179</v>
      </c>
      <c r="P496" s="79">
        <v>45036.656875000001</v>
      </c>
      <c r="Q496" s="77" t="s">
        <v>1444</v>
      </c>
      <c r="R496" s="77">
        <v>0</v>
      </c>
      <c r="S496" s="77">
        <v>0</v>
      </c>
      <c r="T496" s="77">
        <v>0</v>
      </c>
      <c r="U496" s="77">
        <v>0</v>
      </c>
      <c r="V496" s="77">
        <v>66</v>
      </c>
      <c r="W496" s="81" t="s">
        <v>3267</v>
      </c>
      <c r="X496" s="77" t="s">
        <v>4158</v>
      </c>
      <c r="Y496" s="77" t="s">
        <v>4268</v>
      </c>
      <c r="Z496" s="77"/>
      <c r="AA496" s="77" t="s">
        <v>4716</v>
      </c>
      <c r="AB496" s="77" t="s">
        <v>5794</v>
      </c>
      <c r="AC496" s="81" t="s">
        <v>5805</v>
      </c>
      <c r="AD496" s="77" t="s">
        <v>5850</v>
      </c>
      <c r="AE496" s="83" t="str">
        <f>HYPERLINK("https://twitter.com/tneaar/status/1649076936881188864")</f>
        <v>https://twitter.com/tneaar/status/1649076936881188864</v>
      </c>
      <c r="AF496" s="79">
        <v>45036.656875000001</v>
      </c>
      <c r="AG496" s="85">
        <v>45036</v>
      </c>
      <c r="AH496" s="81" t="s">
        <v>6315</v>
      </c>
      <c r="AI496" s="77" t="b">
        <v>0</v>
      </c>
      <c r="AJ496" s="77"/>
      <c r="AK496" s="77"/>
      <c r="AL496" s="77"/>
      <c r="AM496" s="77"/>
      <c r="AN496" s="77"/>
      <c r="AO496" s="77"/>
      <c r="AP496" s="77"/>
      <c r="AQ496" s="77" t="s">
        <v>8219</v>
      </c>
      <c r="AR496" s="77"/>
      <c r="AS496" s="77"/>
      <c r="AT496" s="77"/>
      <c r="AU496" s="77"/>
      <c r="AV496" s="83" t="str">
        <f>HYPERLINK("https://pbs.twimg.com/media/FuKyu2EWAAIjYC7.png")</f>
        <v>https://pbs.twimg.com/media/FuKyu2EWAAIjYC7.png</v>
      </c>
      <c r="AW496" s="81" t="s">
        <v>9766</v>
      </c>
      <c r="AX496" s="81" t="s">
        <v>9766</v>
      </c>
      <c r="AY496" s="77"/>
      <c r="AZ496" s="81" t="s">
        <v>11359</v>
      </c>
      <c r="BA496" s="81" t="s">
        <v>11359</v>
      </c>
      <c r="BB496" s="81" t="s">
        <v>11359</v>
      </c>
      <c r="BC496" s="81" t="s">
        <v>9766</v>
      </c>
      <c r="BD496" s="77">
        <v>493423213</v>
      </c>
      <c r="BE496" s="77"/>
      <c r="BF496" s="77"/>
      <c r="BG496" s="77"/>
      <c r="BH496" s="77"/>
      <c r="BI496" s="77"/>
    </row>
    <row r="497" spans="1:61" x14ac:dyDescent="0.25">
      <c r="A497" s="62" t="s">
        <v>428</v>
      </c>
      <c r="B497" s="62" t="s">
        <v>428</v>
      </c>
      <c r="C497" s="63"/>
      <c r="D497" s="64"/>
      <c r="E497" s="65"/>
      <c r="F497" s="66"/>
      <c r="G497" s="63"/>
      <c r="H497" s="67"/>
      <c r="I497" s="68"/>
      <c r="J497" s="68"/>
      <c r="K497" s="32"/>
      <c r="L497" s="75">
        <v>497</v>
      </c>
      <c r="M497" s="75"/>
      <c r="N497" s="70"/>
      <c r="O497" s="77" t="s">
        <v>179</v>
      </c>
      <c r="P497" s="79">
        <v>45036.630358796298</v>
      </c>
      <c r="Q497" s="77" t="s">
        <v>1445</v>
      </c>
      <c r="R497" s="77">
        <v>0</v>
      </c>
      <c r="S497" s="77">
        <v>0</v>
      </c>
      <c r="T497" s="77">
        <v>0</v>
      </c>
      <c r="U497" s="77">
        <v>0</v>
      </c>
      <c r="V497" s="77">
        <v>54</v>
      </c>
      <c r="W497" s="81" t="s">
        <v>3259</v>
      </c>
      <c r="X497" s="77" t="s">
        <v>4159</v>
      </c>
      <c r="Y497" s="77" t="s">
        <v>4268</v>
      </c>
      <c r="Z497" s="77"/>
      <c r="AA497" s="77" t="s">
        <v>4717</v>
      </c>
      <c r="AB497" s="77" t="s">
        <v>5794</v>
      </c>
      <c r="AC497" s="81" t="s">
        <v>5805</v>
      </c>
      <c r="AD497" s="77" t="s">
        <v>5850</v>
      </c>
      <c r="AE497" s="83" t="str">
        <f>HYPERLINK("https://twitter.com/tneaar/status/1649067325901922304")</f>
        <v>https://twitter.com/tneaar/status/1649067325901922304</v>
      </c>
      <c r="AF497" s="79">
        <v>45036.630358796298</v>
      </c>
      <c r="AG497" s="85">
        <v>45036</v>
      </c>
      <c r="AH497" s="81" t="s">
        <v>6316</v>
      </c>
      <c r="AI497" s="77" t="b">
        <v>0</v>
      </c>
      <c r="AJ497" s="77"/>
      <c r="AK497" s="77"/>
      <c r="AL497" s="77"/>
      <c r="AM497" s="77"/>
      <c r="AN497" s="77"/>
      <c r="AO497" s="77"/>
      <c r="AP497" s="77"/>
      <c r="AQ497" s="77" t="s">
        <v>8220</v>
      </c>
      <c r="AR497" s="77"/>
      <c r="AS497" s="77"/>
      <c r="AT497" s="77"/>
      <c r="AU497" s="77"/>
      <c r="AV497" s="83" t="str">
        <f>HYPERLINK("https://pbs.twimg.com/media/FuKp916WwAEK3LH.jpg")</f>
        <v>https://pbs.twimg.com/media/FuKp916WwAEK3LH.jpg</v>
      </c>
      <c r="AW497" s="81" t="s">
        <v>9767</v>
      </c>
      <c r="AX497" s="81" t="s">
        <v>9767</v>
      </c>
      <c r="AY497" s="77"/>
      <c r="AZ497" s="81" t="s">
        <v>11359</v>
      </c>
      <c r="BA497" s="81" t="s">
        <v>11359</v>
      </c>
      <c r="BB497" s="81" t="s">
        <v>11359</v>
      </c>
      <c r="BC497" s="81" t="s">
        <v>9767</v>
      </c>
      <c r="BD497" s="77">
        <v>493423213</v>
      </c>
      <c r="BE497" s="77"/>
      <c r="BF497" s="77"/>
      <c r="BG497" s="77"/>
      <c r="BH497" s="77"/>
      <c r="BI497" s="77"/>
    </row>
    <row r="498" spans="1:61" x14ac:dyDescent="0.25">
      <c r="A498" s="62" t="s">
        <v>428</v>
      </c>
      <c r="B498" s="62" t="s">
        <v>428</v>
      </c>
      <c r="C498" s="63"/>
      <c r="D498" s="64"/>
      <c r="E498" s="65"/>
      <c r="F498" s="66"/>
      <c r="G498" s="63"/>
      <c r="H498" s="67"/>
      <c r="I498" s="68"/>
      <c r="J498" s="68"/>
      <c r="K498" s="32"/>
      <c r="L498" s="75">
        <v>498</v>
      </c>
      <c r="M498" s="75"/>
      <c r="N498" s="70"/>
      <c r="O498" s="77" t="s">
        <v>179</v>
      </c>
      <c r="P498" s="79">
        <v>45034.532175925924</v>
      </c>
      <c r="Q498" s="77" t="s">
        <v>1446</v>
      </c>
      <c r="R498" s="77">
        <v>0</v>
      </c>
      <c r="S498" s="77">
        <v>0</v>
      </c>
      <c r="T498" s="77">
        <v>0</v>
      </c>
      <c r="U498" s="77">
        <v>0</v>
      </c>
      <c r="V498" s="77">
        <v>73</v>
      </c>
      <c r="W498" s="81" t="s">
        <v>3268</v>
      </c>
      <c r="X498" s="83" t="str">
        <f>HYPERLINK("http://bit.ly/MA-vendedor-repartidor")</f>
        <v>http://bit.ly/MA-vendedor-repartidor</v>
      </c>
      <c r="Y498" s="77" t="s">
        <v>4213</v>
      </c>
      <c r="Z498" s="77"/>
      <c r="AA498" s="77" t="s">
        <v>4718</v>
      </c>
      <c r="AB498" s="77" t="s">
        <v>5794</v>
      </c>
      <c r="AC498" s="81" t="s">
        <v>5805</v>
      </c>
      <c r="AD498" s="77" t="s">
        <v>5850</v>
      </c>
      <c r="AE498" s="83" t="str">
        <f>HYPERLINK("https://twitter.com/tneaar/status/1648306968770035717")</f>
        <v>https://twitter.com/tneaar/status/1648306968770035717</v>
      </c>
      <c r="AF498" s="79">
        <v>45034.532175925924</v>
      </c>
      <c r="AG498" s="85">
        <v>45034</v>
      </c>
      <c r="AH498" s="81" t="s">
        <v>6317</v>
      </c>
      <c r="AI498" s="77" t="b">
        <v>0</v>
      </c>
      <c r="AJ498" s="77"/>
      <c r="AK498" s="77"/>
      <c r="AL498" s="77"/>
      <c r="AM498" s="77"/>
      <c r="AN498" s="77"/>
      <c r="AO498" s="77"/>
      <c r="AP498" s="77"/>
      <c r="AQ498" s="77" t="s">
        <v>8221</v>
      </c>
      <c r="AR498" s="77"/>
      <c r="AS498" s="77"/>
      <c r="AT498" s="77"/>
      <c r="AU498" s="77"/>
      <c r="AV498" s="83" t="str">
        <f>HYPERLINK("https://pbs.twimg.com/media/Ft_2ci6WAAAb28F.jpg")</f>
        <v>https://pbs.twimg.com/media/Ft_2ci6WAAAb28F.jpg</v>
      </c>
      <c r="AW498" s="81" t="s">
        <v>9768</v>
      </c>
      <c r="AX498" s="81" t="s">
        <v>9768</v>
      </c>
      <c r="AY498" s="77"/>
      <c r="AZ498" s="81" t="s">
        <v>11359</v>
      </c>
      <c r="BA498" s="81" t="s">
        <v>11359</v>
      </c>
      <c r="BB498" s="81" t="s">
        <v>11359</v>
      </c>
      <c r="BC498" s="81" t="s">
        <v>9768</v>
      </c>
      <c r="BD498" s="77">
        <v>493423213</v>
      </c>
      <c r="BE498" s="77"/>
      <c r="BF498" s="77"/>
      <c r="BG498" s="77"/>
      <c r="BH498" s="77"/>
      <c r="BI498" s="77"/>
    </row>
    <row r="499" spans="1:61" x14ac:dyDescent="0.25">
      <c r="A499" s="62" t="s">
        <v>428</v>
      </c>
      <c r="B499" s="62" t="s">
        <v>428</v>
      </c>
      <c r="C499" s="63"/>
      <c r="D499" s="64"/>
      <c r="E499" s="65"/>
      <c r="F499" s="66"/>
      <c r="G499" s="63"/>
      <c r="H499" s="67"/>
      <c r="I499" s="68"/>
      <c r="J499" s="68"/>
      <c r="K499" s="32"/>
      <c r="L499" s="75">
        <v>499</v>
      </c>
      <c r="M499" s="75"/>
      <c r="N499" s="70"/>
      <c r="O499" s="77" t="s">
        <v>179</v>
      </c>
      <c r="P499" s="79">
        <v>45034.512384259258</v>
      </c>
      <c r="Q499" s="77" t="s">
        <v>1447</v>
      </c>
      <c r="R499" s="77">
        <v>0</v>
      </c>
      <c r="S499" s="77">
        <v>0</v>
      </c>
      <c r="T499" s="77">
        <v>0</v>
      </c>
      <c r="U499" s="77">
        <v>0</v>
      </c>
      <c r="V499" s="77">
        <v>37</v>
      </c>
      <c r="W499" s="81" t="s">
        <v>3269</v>
      </c>
      <c r="X499" s="77"/>
      <c r="Y499" s="77"/>
      <c r="Z499" s="77"/>
      <c r="AA499" s="77" t="s">
        <v>4719</v>
      </c>
      <c r="AB499" s="77" t="s">
        <v>5794</v>
      </c>
      <c r="AC499" s="81" t="s">
        <v>5805</v>
      </c>
      <c r="AD499" s="77" t="s">
        <v>5850</v>
      </c>
      <c r="AE499" s="83" t="str">
        <f>HYPERLINK("https://twitter.com/tneaar/status/1648299796925407235")</f>
        <v>https://twitter.com/tneaar/status/1648299796925407235</v>
      </c>
      <c r="AF499" s="79">
        <v>45034.512384259258</v>
      </c>
      <c r="AG499" s="85">
        <v>45034</v>
      </c>
      <c r="AH499" s="81" t="s">
        <v>6318</v>
      </c>
      <c r="AI499" s="77" t="b">
        <v>0</v>
      </c>
      <c r="AJ499" s="77"/>
      <c r="AK499" s="77"/>
      <c r="AL499" s="77"/>
      <c r="AM499" s="77"/>
      <c r="AN499" s="77"/>
      <c r="AO499" s="77"/>
      <c r="AP499" s="77"/>
      <c r="AQ499" s="77" t="s">
        <v>8222</v>
      </c>
      <c r="AR499" s="77"/>
      <c r="AS499" s="77"/>
      <c r="AT499" s="77"/>
      <c r="AU499" s="77"/>
      <c r="AV499" s="83" t="str">
        <f>HYPERLINK("https://pbs.twimg.com/media/Ft_v64zX0AkUArr.jpg")</f>
        <v>https://pbs.twimg.com/media/Ft_v64zX0AkUArr.jpg</v>
      </c>
      <c r="AW499" s="81" t="s">
        <v>9769</v>
      </c>
      <c r="AX499" s="81" t="s">
        <v>9769</v>
      </c>
      <c r="AY499" s="77"/>
      <c r="AZ499" s="81" t="s">
        <v>11359</v>
      </c>
      <c r="BA499" s="81" t="s">
        <v>11359</v>
      </c>
      <c r="BB499" s="81" t="s">
        <v>11359</v>
      </c>
      <c r="BC499" s="81" t="s">
        <v>9769</v>
      </c>
      <c r="BD499" s="77">
        <v>493423213</v>
      </c>
      <c r="BE499" s="77"/>
      <c r="BF499" s="77"/>
      <c r="BG499" s="77"/>
      <c r="BH499" s="77"/>
      <c r="BI499" s="77"/>
    </row>
    <row r="500" spans="1:61" x14ac:dyDescent="0.25">
      <c r="A500" s="62" t="s">
        <v>428</v>
      </c>
      <c r="B500" s="62" t="s">
        <v>428</v>
      </c>
      <c r="C500" s="63"/>
      <c r="D500" s="64"/>
      <c r="E500" s="65"/>
      <c r="F500" s="66"/>
      <c r="G500" s="63"/>
      <c r="H500" s="67"/>
      <c r="I500" s="68"/>
      <c r="J500" s="68"/>
      <c r="K500" s="32"/>
      <c r="L500" s="75">
        <v>500</v>
      </c>
      <c r="M500" s="75"/>
      <c r="N500" s="70"/>
      <c r="O500" s="77" t="s">
        <v>179</v>
      </c>
      <c r="P500" s="79">
        <v>45034.493402777778</v>
      </c>
      <c r="Q500" s="77" t="s">
        <v>1448</v>
      </c>
      <c r="R500" s="77">
        <v>0</v>
      </c>
      <c r="S500" s="77">
        <v>0</v>
      </c>
      <c r="T500" s="77">
        <v>0</v>
      </c>
      <c r="U500" s="77">
        <v>0</v>
      </c>
      <c r="V500" s="77">
        <v>35</v>
      </c>
      <c r="W500" s="81" t="s">
        <v>3270</v>
      </c>
      <c r="X500" s="77"/>
      <c r="Y500" s="77"/>
      <c r="Z500" s="77"/>
      <c r="AA500" s="77" t="s">
        <v>4720</v>
      </c>
      <c r="AB500" s="77" t="s">
        <v>5794</v>
      </c>
      <c r="AC500" s="81" t="s">
        <v>5805</v>
      </c>
      <c r="AD500" s="77" t="s">
        <v>5850</v>
      </c>
      <c r="AE500" s="83" t="str">
        <f>HYPERLINK("https://twitter.com/tneaar/status/1648292919030185986")</f>
        <v>https://twitter.com/tneaar/status/1648292919030185986</v>
      </c>
      <c r="AF500" s="79">
        <v>45034.493402777778</v>
      </c>
      <c r="AG500" s="85">
        <v>45034</v>
      </c>
      <c r="AH500" s="81" t="s">
        <v>6319</v>
      </c>
      <c r="AI500" s="77" t="b">
        <v>0</v>
      </c>
      <c r="AJ500" s="77"/>
      <c r="AK500" s="77"/>
      <c r="AL500" s="77"/>
      <c r="AM500" s="77"/>
      <c r="AN500" s="77"/>
      <c r="AO500" s="77"/>
      <c r="AP500" s="77"/>
      <c r="AQ500" s="77" t="s">
        <v>8223</v>
      </c>
      <c r="AR500" s="77"/>
      <c r="AS500" s="77"/>
      <c r="AT500" s="77"/>
      <c r="AU500" s="77"/>
      <c r="AV500" s="83" t="str">
        <f>HYPERLINK("https://pbs.twimg.com/media/Ft_pqMOXoAEczU6.jpg")</f>
        <v>https://pbs.twimg.com/media/Ft_pqMOXoAEczU6.jpg</v>
      </c>
      <c r="AW500" s="81" t="s">
        <v>9770</v>
      </c>
      <c r="AX500" s="81" t="s">
        <v>9770</v>
      </c>
      <c r="AY500" s="77"/>
      <c r="AZ500" s="81" t="s">
        <v>11359</v>
      </c>
      <c r="BA500" s="81" t="s">
        <v>11359</v>
      </c>
      <c r="BB500" s="81" t="s">
        <v>11359</v>
      </c>
      <c r="BC500" s="81" t="s">
        <v>9770</v>
      </c>
      <c r="BD500" s="77">
        <v>493423213</v>
      </c>
      <c r="BE500" s="77"/>
      <c r="BF500" s="77"/>
      <c r="BG500" s="77"/>
      <c r="BH500" s="77"/>
      <c r="BI500" s="77"/>
    </row>
    <row r="501" spans="1:61" x14ac:dyDescent="0.25">
      <c r="A501" s="62" t="s">
        <v>428</v>
      </c>
      <c r="B501" s="62" t="s">
        <v>428</v>
      </c>
      <c r="C501" s="63"/>
      <c r="D501" s="64"/>
      <c r="E501" s="65"/>
      <c r="F501" s="66"/>
      <c r="G501" s="63"/>
      <c r="H501" s="67"/>
      <c r="I501" s="68"/>
      <c r="J501" s="68"/>
      <c r="K501" s="32"/>
      <c r="L501" s="75">
        <v>501</v>
      </c>
      <c r="M501" s="75"/>
      <c r="N501" s="70"/>
      <c r="O501" s="77" t="s">
        <v>179</v>
      </c>
      <c r="P501" s="79">
        <v>45033.999386574076</v>
      </c>
      <c r="Q501" s="77" t="s">
        <v>1449</v>
      </c>
      <c r="R501" s="77">
        <v>0</v>
      </c>
      <c r="S501" s="77">
        <v>0</v>
      </c>
      <c r="T501" s="77">
        <v>0</v>
      </c>
      <c r="U501" s="77">
        <v>0</v>
      </c>
      <c r="V501" s="77">
        <v>104</v>
      </c>
      <c r="W501" s="81" t="s">
        <v>3268</v>
      </c>
      <c r="X501" s="83" t="str">
        <f>HYPERLINK("http://bit.ly/MA-vendedor-repartidor")</f>
        <v>http://bit.ly/MA-vendedor-repartidor</v>
      </c>
      <c r="Y501" s="77" t="s">
        <v>4213</v>
      </c>
      <c r="Z501" s="77"/>
      <c r="AA501" s="77" t="s">
        <v>4721</v>
      </c>
      <c r="AB501" s="77" t="s">
        <v>5794</v>
      </c>
      <c r="AC501" s="81" t="s">
        <v>5805</v>
      </c>
      <c r="AD501" s="77" t="s">
        <v>5850</v>
      </c>
      <c r="AE501" s="83" t="str">
        <f>HYPERLINK("https://twitter.com/tneaar/status/1648113894739550208")</f>
        <v>https://twitter.com/tneaar/status/1648113894739550208</v>
      </c>
      <c r="AF501" s="79">
        <v>45033.999386574076</v>
      </c>
      <c r="AG501" s="85">
        <v>45033</v>
      </c>
      <c r="AH501" s="81" t="s">
        <v>6320</v>
      </c>
      <c r="AI501" s="77" t="b">
        <v>0</v>
      </c>
      <c r="AJ501" s="77"/>
      <c r="AK501" s="77"/>
      <c r="AL501" s="77"/>
      <c r="AM501" s="77"/>
      <c r="AN501" s="77"/>
      <c r="AO501" s="77"/>
      <c r="AP501" s="77"/>
      <c r="AQ501" s="77" t="s">
        <v>8224</v>
      </c>
      <c r="AR501" s="77"/>
      <c r="AS501" s="77"/>
      <c r="AT501" s="77"/>
      <c r="AU501" s="77"/>
      <c r="AV501" s="83" t="str">
        <f>HYPERLINK("https://pbs.twimg.com/media/Ft9G2PgXgAUmNO6.jpg")</f>
        <v>https://pbs.twimg.com/media/Ft9G2PgXgAUmNO6.jpg</v>
      </c>
      <c r="AW501" s="81" t="s">
        <v>9771</v>
      </c>
      <c r="AX501" s="81" t="s">
        <v>9771</v>
      </c>
      <c r="AY501" s="77"/>
      <c r="AZ501" s="81" t="s">
        <v>11359</v>
      </c>
      <c r="BA501" s="81" t="s">
        <v>11359</v>
      </c>
      <c r="BB501" s="81" t="s">
        <v>11359</v>
      </c>
      <c r="BC501" s="81" t="s">
        <v>9771</v>
      </c>
      <c r="BD501" s="77">
        <v>493423213</v>
      </c>
      <c r="BE501" s="77"/>
      <c r="BF501" s="77"/>
      <c r="BG501" s="77"/>
      <c r="BH501" s="77"/>
      <c r="BI501" s="77"/>
    </row>
    <row r="502" spans="1:61" x14ac:dyDescent="0.25">
      <c r="A502" s="62" t="s">
        <v>428</v>
      </c>
      <c r="B502" s="62" t="s">
        <v>428</v>
      </c>
      <c r="C502" s="63"/>
      <c r="D502" s="64"/>
      <c r="E502" s="65"/>
      <c r="F502" s="66"/>
      <c r="G502" s="63"/>
      <c r="H502" s="67"/>
      <c r="I502" s="68"/>
      <c r="J502" s="68"/>
      <c r="K502" s="32"/>
      <c r="L502" s="75">
        <v>502</v>
      </c>
      <c r="M502" s="75"/>
      <c r="N502" s="70"/>
      <c r="O502" s="77" t="s">
        <v>179</v>
      </c>
      <c r="P502" s="79">
        <v>44998.625185185185</v>
      </c>
      <c r="Q502" s="77" t="s">
        <v>1450</v>
      </c>
      <c r="R502" s="77">
        <v>0</v>
      </c>
      <c r="S502" s="77">
        <v>0</v>
      </c>
      <c r="T502" s="77">
        <v>0</v>
      </c>
      <c r="U502" s="77">
        <v>0</v>
      </c>
      <c r="V502" s="77">
        <v>85</v>
      </c>
      <c r="W502" s="81" t="s">
        <v>3271</v>
      </c>
      <c r="X502" s="77" t="s">
        <v>4160</v>
      </c>
      <c r="Y502" s="77" t="s">
        <v>4269</v>
      </c>
      <c r="Z502" s="77"/>
      <c r="AA502" s="77" t="s">
        <v>4722</v>
      </c>
      <c r="AB502" s="77" t="s">
        <v>5794</v>
      </c>
      <c r="AC502" s="81" t="s">
        <v>5805</v>
      </c>
      <c r="AD502" s="77" t="s">
        <v>5850</v>
      </c>
      <c r="AE502" s="83" t="str">
        <f>HYPERLINK("https://twitter.com/tneaar/status/1635294713866784772")</f>
        <v>https://twitter.com/tneaar/status/1635294713866784772</v>
      </c>
      <c r="AF502" s="79">
        <v>44998.625185185185</v>
      </c>
      <c r="AG502" s="85">
        <v>44998</v>
      </c>
      <c r="AH502" s="81" t="s">
        <v>6321</v>
      </c>
      <c r="AI502" s="77" t="b">
        <v>0</v>
      </c>
      <c r="AJ502" s="77"/>
      <c r="AK502" s="77"/>
      <c r="AL502" s="77"/>
      <c r="AM502" s="77"/>
      <c r="AN502" s="77"/>
      <c r="AO502" s="77"/>
      <c r="AP502" s="77"/>
      <c r="AQ502" s="77" t="s">
        <v>8225</v>
      </c>
      <c r="AR502" s="77"/>
      <c r="AS502" s="77"/>
      <c r="AT502" s="77"/>
      <c r="AU502" s="77"/>
      <c r="AV502" s="83" t="str">
        <f>HYPERLINK("https://pbs.twimg.com/media/FrG73h5akAAXqbi.jpg")</f>
        <v>https://pbs.twimg.com/media/FrG73h5akAAXqbi.jpg</v>
      </c>
      <c r="AW502" s="81" t="s">
        <v>9772</v>
      </c>
      <c r="AX502" s="81" t="s">
        <v>9772</v>
      </c>
      <c r="AY502" s="77"/>
      <c r="AZ502" s="81" t="s">
        <v>11359</v>
      </c>
      <c r="BA502" s="81" t="s">
        <v>11359</v>
      </c>
      <c r="BB502" s="81" t="s">
        <v>11359</v>
      </c>
      <c r="BC502" s="81" t="s">
        <v>9772</v>
      </c>
      <c r="BD502" s="77">
        <v>493423213</v>
      </c>
      <c r="BE502" s="77"/>
      <c r="BF502" s="77"/>
      <c r="BG502" s="77"/>
      <c r="BH502" s="77"/>
      <c r="BI502" s="77"/>
    </row>
    <row r="503" spans="1:61" x14ac:dyDescent="0.25">
      <c r="A503" s="62" t="s">
        <v>428</v>
      </c>
      <c r="B503" s="62" t="s">
        <v>428</v>
      </c>
      <c r="C503" s="63"/>
      <c r="D503" s="64"/>
      <c r="E503" s="65"/>
      <c r="F503" s="66"/>
      <c r="G503" s="63"/>
      <c r="H503" s="67"/>
      <c r="I503" s="68"/>
      <c r="J503" s="68"/>
      <c r="K503" s="32"/>
      <c r="L503" s="75">
        <v>503</v>
      </c>
      <c r="M503" s="75"/>
      <c r="N503" s="70"/>
      <c r="O503" s="77" t="s">
        <v>179</v>
      </c>
      <c r="P503" s="79">
        <v>44997.972245370373</v>
      </c>
      <c r="Q503" s="77" t="s">
        <v>1451</v>
      </c>
      <c r="R503" s="77">
        <v>0</v>
      </c>
      <c r="S503" s="77">
        <v>0</v>
      </c>
      <c r="T503" s="77">
        <v>0</v>
      </c>
      <c r="U503" s="77">
        <v>0</v>
      </c>
      <c r="V503" s="77">
        <v>61</v>
      </c>
      <c r="W503" s="81" t="s">
        <v>3248</v>
      </c>
      <c r="X503" s="77"/>
      <c r="Y503" s="77"/>
      <c r="Z503" s="77"/>
      <c r="AA503" s="77" t="s">
        <v>4723</v>
      </c>
      <c r="AB503" s="77" t="s">
        <v>5794</v>
      </c>
      <c r="AC503" s="81" t="s">
        <v>5805</v>
      </c>
      <c r="AD503" s="77" t="s">
        <v>5850</v>
      </c>
      <c r="AE503" s="83" t="str">
        <f>HYPERLINK("https://twitter.com/tneaar/status/1635058095230689281")</f>
        <v>https://twitter.com/tneaar/status/1635058095230689281</v>
      </c>
      <c r="AF503" s="79">
        <v>44997.972245370373</v>
      </c>
      <c r="AG503" s="85">
        <v>44997</v>
      </c>
      <c r="AH503" s="81" t="s">
        <v>6322</v>
      </c>
      <c r="AI503" s="77" t="b">
        <v>0</v>
      </c>
      <c r="AJ503" s="77"/>
      <c r="AK503" s="77"/>
      <c r="AL503" s="77"/>
      <c r="AM503" s="77"/>
      <c r="AN503" s="77"/>
      <c r="AO503" s="77"/>
      <c r="AP503" s="77"/>
      <c r="AQ503" s="77" t="s">
        <v>8226</v>
      </c>
      <c r="AR503" s="77"/>
      <c r="AS503" s="77"/>
      <c r="AT503" s="77"/>
      <c r="AU503" s="77"/>
      <c r="AV503" s="83" t="str">
        <f>HYPERLINK("https://pbs.twimg.com/media/FrDkq3HXwAIJnL3.jpg")</f>
        <v>https://pbs.twimg.com/media/FrDkq3HXwAIJnL3.jpg</v>
      </c>
      <c r="AW503" s="81" t="s">
        <v>9773</v>
      </c>
      <c r="AX503" s="81" t="s">
        <v>9773</v>
      </c>
      <c r="AY503" s="77"/>
      <c r="AZ503" s="81" t="s">
        <v>11359</v>
      </c>
      <c r="BA503" s="81" t="s">
        <v>11359</v>
      </c>
      <c r="BB503" s="81" t="s">
        <v>11359</v>
      </c>
      <c r="BC503" s="81" t="s">
        <v>9773</v>
      </c>
      <c r="BD503" s="77">
        <v>493423213</v>
      </c>
      <c r="BE503" s="77"/>
      <c r="BF503" s="77"/>
      <c r="BG503" s="77"/>
      <c r="BH503" s="77"/>
      <c r="BI503" s="77"/>
    </row>
    <row r="504" spans="1:61" x14ac:dyDescent="0.25">
      <c r="A504" s="62" t="s">
        <v>428</v>
      </c>
      <c r="B504" s="62" t="s">
        <v>428</v>
      </c>
      <c r="C504" s="63"/>
      <c r="D504" s="64"/>
      <c r="E504" s="65"/>
      <c r="F504" s="66"/>
      <c r="G504" s="63"/>
      <c r="H504" s="67"/>
      <c r="I504" s="68"/>
      <c r="J504" s="68"/>
      <c r="K504" s="32"/>
      <c r="L504" s="75">
        <v>504</v>
      </c>
      <c r="M504" s="75"/>
      <c r="N504" s="70"/>
      <c r="O504" s="77" t="s">
        <v>179</v>
      </c>
      <c r="P504" s="79">
        <v>44997.962256944447</v>
      </c>
      <c r="Q504" s="77" t="s">
        <v>1452</v>
      </c>
      <c r="R504" s="77">
        <v>0</v>
      </c>
      <c r="S504" s="77">
        <v>0</v>
      </c>
      <c r="T504" s="77">
        <v>0</v>
      </c>
      <c r="U504" s="77">
        <v>0</v>
      </c>
      <c r="V504" s="77">
        <v>54</v>
      </c>
      <c r="W504" s="81" t="s">
        <v>3272</v>
      </c>
      <c r="X504" s="77"/>
      <c r="Y504" s="77"/>
      <c r="Z504" s="77"/>
      <c r="AA504" s="77" t="s">
        <v>4724</v>
      </c>
      <c r="AB504" s="77" t="s">
        <v>5794</v>
      </c>
      <c r="AC504" s="81" t="s">
        <v>5805</v>
      </c>
      <c r="AD504" s="77" t="s">
        <v>5850</v>
      </c>
      <c r="AE504" s="83" t="str">
        <f>HYPERLINK("https://twitter.com/tneaar/status/1635054475638611968")</f>
        <v>https://twitter.com/tneaar/status/1635054475638611968</v>
      </c>
      <c r="AF504" s="79">
        <v>44997.962256944447</v>
      </c>
      <c r="AG504" s="85">
        <v>44997</v>
      </c>
      <c r="AH504" s="81" t="s">
        <v>6323</v>
      </c>
      <c r="AI504" s="77" t="b">
        <v>0</v>
      </c>
      <c r="AJ504" s="77"/>
      <c r="AK504" s="77"/>
      <c r="AL504" s="77"/>
      <c r="AM504" s="77"/>
      <c r="AN504" s="77"/>
      <c r="AO504" s="77"/>
      <c r="AP504" s="77"/>
      <c r="AQ504" s="77" t="s">
        <v>8227</v>
      </c>
      <c r="AR504" s="77"/>
      <c r="AS504" s="77"/>
      <c r="AT504" s="77"/>
      <c r="AU504" s="77"/>
      <c r="AV504" s="83" t="str">
        <f>HYPERLINK("https://pbs.twimg.com/media/FrDhYJlWAAEM9vQ.jpg")</f>
        <v>https://pbs.twimg.com/media/FrDhYJlWAAEM9vQ.jpg</v>
      </c>
      <c r="AW504" s="81" t="s">
        <v>9774</v>
      </c>
      <c r="AX504" s="81" t="s">
        <v>9774</v>
      </c>
      <c r="AY504" s="77"/>
      <c r="AZ504" s="81" t="s">
        <v>11359</v>
      </c>
      <c r="BA504" s="81" t="s">
        <v>11359</v>
      </c>
      <c r="BB504" s="81" t="s">
        <v>11359</v>
      </c>
      <c r="BC504" s="81" t="s">
        <v>9774</v>
      </c>
      <c r="BD504" s="77">
        <v>493423213</v>
      </c>
      <c r="BE504" s="77"/>
      <c r="BF504" s="77"/>
      <c r="BG504" s="77"/>
      <c r="BH504" s="77"/>
      <c r="BI504" s="77"/>
    </row>
    <row r="505" spans="1:61" x14ac:dyDescent="0.25">
      <c r="A505" s="62" t="s">
        <v>428</v>
      </c>
      <c r="B505" s="62" t="s">
        <v>428</v>
      </c>
      <c r="C505" s="63"/>
      <c r="D505" s="64"/>
      <c r="E505" s="65"/>
      <c r="F505" s="66"/>
      <c r="G505" s="63"/>
      <c r="H505" s="67"/>
      <c r="I505" s="68"/>
      <c r="J505" s="68"/>
      <c r="K505" s="32"/>
      <c r="L505" s="75">
        <v>505</v>
      </c>
      <c r="M505" s="75"/>
      <c r="N505" s="70"/>
      <c r="O505" s="77" t="s">
        <v>179</v>
      </c>
      <c r="P505" s="79">
        <v>45186.62704861111</v>
      </c>
      <c r="Q505" s="77" t="s">
        <v>1453</v>
      </c>
      <c r="R505" s="77">
        <v>0</v>
      </c>
      <c r="S505" s="77">
        <v>0</v>
      </c>
      <c r="T505" s="77">
        <v>0</v>
      </c>
      <c r="U505" s="77">
        <v>0</v>
      </c>
      <c r="V505" s="77">
        <v>63</v>
      </c>
      <c r="W505" s="81" t="s">
        <v>3261</v>
      </c>
      <c r="X505" s="83" t="str">
        <f>HYPERLINK("https://wa.link/lqxueu")</f>
        <v>https://wa.link/lqxueu</v>
      </c>
      <c r="Y505" s="77" t="s">
        <v>4266</v>
      </c>
      <c r="Z505" s="77"/>
      <c r="AA505" s="77" t="s">
        <v>4725</v>
      </c>
      <c r="AB505" s="77" t="s">
        <v>5794</v>
      </c>
      <c r="AC505" s="81" t="s">
        <v>5805</v>
      </c>
      <c r="AD505" s="77" t="s">
        <v>5850</v>
      </c>
      <c r="AE505" s="83" t="str">
        <f>HYPERLINK("https://twitter.com/tneaar/status/1703424308561785143")</f>
        <v>https://twitter.com/tneaar/status/1703424308561785143</v>
      </c>
      <c r="AF505" s="79">
        <v>45186.62704861111</v>
      </c>
      <c r="AG505" s="85">
        <v>45186</v>
      </c>
      <c r="AH505" s="81" t="s">
        <v>6324</v>
      </c>
      <c r="AI505" s="77" t="b">
        <v>0</v>
      </c>
      <c r="AJ505" s="77"/>
      <c r="AK505" s="77"/>
      <c r="AL505" s="77"/>
      <c r="AM505" s="77"/>
      <c r="AN505" s="77"/>
      <c r="AO505" s="77"/>
      <c r="AP505" s="77"/>
      <c r="AQ505" s="77" t="s">
        <v>8228</v>
      </c>
      <c r="AR505" s="77"/>
      <c r="AS505" s="77"/>
      <c r="AT505" s="77"/>
      <c r="AU505" s="77"/>
      <c r="AV505" s="83" t="str">
        <f>HYPERLINK("https://pbs.twimg.com/media/F6PHYK3WcAAWr4V.jpg")</f>
        <v>https://pbs.twimg.com/media/F6PHYK3WcAAWr4V.jpg</v>
      </c>
      <c r="AW505" s="81" t="s">
        <v>9775</v>
      </c>
      <c r="AX505" s="81" t="s">
        <v>9775</v>
      </c>
      <c r="AY505" s="77"/>
      <c r="AZ505" s="81" t="s">
        <v>11359</v>
      </c>
      <c r="BA505" s="81" t="s">
        <v>11359</v>
      </c>
      <c r="BB505" s="81" t="s">
        <v>11359</v>
      </c>
      <c r="BC505" s="81" t="s">
        <v>9775</v>
      </c>
      <c r="BD505" s="77">
        <v>493423213</v>
      </c>
      <c r="BE505" s="77"/>
      <c r="BF505" s="77"/>
      <c r="BG505" s="77"/>
      <c r="BH505" s="77"/>
      <c r="BI505" s="77"/>
    </row>
    <row r="506" spans="1:61" x14ac:dyDescent="0.25">
      <c r="A506" s="62" t="s">
        <v>428</v>
      </c>
      <c r="B506" s="62" t="s">
        <v>428</v>
      </c>
      <c r="C506" s="63"/>
      <c r="D506" s="64"/>
      <c r="E506" s="65"/>
      <c r="F506" s="66"/>
      <c r="G506" s="63"/>
      <c r="H506" s="67"/>
      <c r="I506" s="68"/>
      <c r="J506" s="68"/>
      <c r="K506" s="32"/>
      <c r="L506" s="75">
        <v>506</v>
      </c>
      <c r="M506" s="75"/>
      <c r="N506" s="70"/>
      <c r="O506" s="77" t="s">
        <v>179</v>
      </c>
      <c r="P506" s="79">
        <v>45186.623298611114</v>
      </c>
      <c r="Q506" s="77" t="s">
        <v>1454</v>
      </c>
      <c r="R506" s="77">
        <v>0</v>
      </c>
      <c r="S506" s="77">
        <v>0</v>
      </c>
      <c r="T506" s="77">
        <v>0</v>
      </c>
      <c r="U506" s="77">
        <v>0</v>
      </c>
      <c r="V506" s="77">
        <v>39</v>
      </c>
      <c r="W506" s="81" t="s">
        <v>3260</v>
      </c>
      <c r="X506" s="77"/>
      <c r="Y506" s="77"/>
      <c r="Z506" s="77"/>
      <c r="AA506" s="77" t="s">
        <v>4726</v>
      </c>
      <c r="AB506" s="77" t="s">
        <v>5794</v>
      </c>
      <c r="AC506" s="81" t="s">
        <v>5805</v>
      </c>
      <c r="AD506" s="77" t="s">
        <v>5850</v>
      </c>
      <c r="AE506" s="83" t="str">
        <f>HYPERLINK("https://twitter.com/tneaar/status/1703422949716361726")</f>
        <v>https://twitter.com/tneaar/status/1703422949716361726</v>
      </c>
      <c r="AF506" s="79">
        <v>45186.623298611114</v>
      </c>
      <c r="AG506" s="85">
        <v>45186</v>
      </c>
      <c r="AH506" s="81" t="s">
        <v>6325</v>
      </c>
      <c r="AI506" s="77" t="b">
        <v>0</v>
      </c>
      <c r="AJ506" s="77"/>
      <c r="AK506" s="77"/>
      <c r="AL506" s="77"/>
      <c r="AM506" s="77"/>
      <c r="AN506" s="77"/>
      <c r="AO506" s="77"/>
      <c r="AP506" s="77"/>
      <c r="AQ506" s="77" t="s">
        <v>8229</v>
      </c>
      <c r="AR506" s="77"/>
      <c r="AS506" s="77"/>
      <c r="AT506" s="77"/>
      <c r="AU506" s="77"/>
      <c r="AV506" s="83" t="str">
        <f>HYPERLINK("https://pbs.twimg.com/media/F6PGJHGXYAAtNJu.jpg")</f>
        <v>https://pbs.twimg.com/media/F6PGJHGXYAAtNJu.jpg</v>
      </c>
      <c r="AW506" s="81" t="s">
        <v>9776</v>
      </c>
      <c r="AX506" s="81" t="s">
        <v>9776</v>
      </c>
      <c r="AY506" s="77"/>
      <c r="AZ506" s="81" t="s">
        <v>11359</v>
      </c>
      <c r="BA506" s="81" t="s">
        <v>11359</v>
      </c>
      <c r="BB506" s="81" t="s">
        <v>11359</v>
      </c>
      <c r="BC506" s="81" t="s">
        <v>9776</v>
      </c>
      <c r="BD506" s="77">
        <v>493423213</v>
      </c>
      <c r="BE506" s="77"/>
      <c r="BF506" s="77"/>
      <c r="BG506" s="77"/>
      <c r="BH506" s="77"/>
      <c r="BI506" s="77"/>
    </row>
    <row r="507" spans="1:61" x14ac:dyDescent="0.25">
      <c r="A507" s="62" t="s">
        <v>428</v>
      </c>
      <c r="B507" s="62" t="s">
        <v>428</v>
      </c>
      <c r="C507" s="63"/>
      <c r="D507" s="64"/>
      <c r="E507" s="65"/>
      <c r="F507" s="66"/>
      <c r="G507" s="63"/>
      <c r="H507" s="67"/>
      <c r="I507" s="68"/>
      <c r="J507" s="68"/>
      <c r="K507" s="32"/>
      <c r="L507" s="75">
        <v>507</v>
      </c>
      <c r="M507" s="75"/>
      <c r="N507" s="70"/>
      <c r="O507" s="77" t="s">
        <v>179</v>
      </c>
      <c r="P507" s="79">
        <v>45182.973333333335</v>
      </c>
      <c r="Q507" s="77" t="s">
        <v>1455</v>
      </c>
      <c r="R507" s="77">
        <v>0</v>
      </c>
      <c r="S507" s="77">
        <v>0</v>
      </c>
      <c r="T507" s="77">
        <v>0</v>
      </c>
      <c r="U507" s="77">
        <v>0</v>
      </c>
      <c r="V507" s="77">
        <v>72</v>
      </c>
      <c r="W507" s="81" t="s">
        <v>3273</v>
      </c>
      <c r="X507" s="77"/>
      <c r="Y507" s="77"/>
      <c r="Z507" s="77"/>
      <c r="AA507" s="77" t="s">
        <v>4727</v>
      </c>
      <c r="AB507" s="77" t="s">
        <v>5794</v>
      </c>
      <c r="AC507" s="81" t="s">
        <v>5805</v>
      </c>
      <c r="AD507" s="77" t="s">
        <v>5850</v>
      </c>
      <c r="AE507" s="83" t="str">
        <f>HYPERLINK("https://twitter.com/tneaar/status/1702100244169679157")</f>
        <v>https://twitter.com/tneaar/status/1702100244169679157</v>
      </c>
      <c r="AF507" s="79">
        <v>45182.973333333335</v>
      </c>
      <c r="AG507" s="85">
        <v>45182</v>
      </c>
      <c r="AH507" s="81" t="s">
        <v>6326</v>
      </c>
      <c r="AI507" s="77" t="b">
        <v>0</v>
      </c>
      <c r="AJ507" s="77"/>
      <c r="AK507" s="77"/>
      <c r="AL507" s="77"/>
      <c r="AM507" s="77"/>
      <c r="AN507" s="77"/>
      <c r="AO507" s="77"/>
      <c r="AP507" s="77"/>
      <c r="AQ507" s="77" t="s">
        <v>8230</v>
      </c>
      <c r="AR507" s="77"/>
      <c r="AS507" s="77"/>
      <c r="AT507" s="77"/>
      <c r="AU507" s="77"/>
      <c r="AV507" s="83" t="str">
        <f>HYPERLINK("https://pbs.twimg.com/media/F58TJUwXYAAsLU6.jpg")</f>
        <v>https://pbs.twimg.com/media/F58TJUwXYAAsLU6.jpg</v>
      </c>
      <c r="AW507" s="81" t="s">
        <v>9777</v>
      </c>
      <c r="AX507" s="81" t="s">
        <v>9777</v>
      </c>
      <c r="AY507" s="77"/>
      <c r="AZ507" s="81" t="s">
        <v>11359</v>
      </c>
      <c r="BA507" s="81" t="s">
        <v>11359</v>
      </c>
      <c r="BB507" s="81" t="s">
        <v>11359</v>
      </c>
      <c r="BC507" s="81" t="s">
        <v>9777</v>
      </c>
      <c r="BD507" s="77">
        <v>493423213</v>
      </c>
      <c r="BE507" s="77"/>
      <c r="BF507" s="77"/>
      <c r="BG507" s="77"/>
      <c r="BH507" s="77"/>
      <c r="BI507" s="77"/>
    </row>
    <row r="508" spans="1:61" x14ac:dyDescent="0.25">
      <c r="A508" s="62" t="s">
        <v>428</v>
      </c>
      <c r="B508" s="62" t="s">
        <v>428</v>
      </c>
      <c r="C508" s="63"/>
      <c r="D508" s="64"/>
      <c r="E508" s="65"/>
      <c r="F508" s="66"/>
      <c r="G508" s="63"/>
      <c r="H508" s="67"/>
      <c r="I508" s="68"/>
      <c r="J508" s="68"/>
      <c r="K508" s="32"/>
      <c r="L508" s="75">
        <v>508</v>
      </c>
      <c r="M508" s="75"/>
      <c r="N508" s="70"/>
      <c r="O508" s="77" t="s">
        <v>179</v>
      </c>
      <c r="P508" s="79">
        <v>45154.020879629628</v>
      </c>
      <c r="Q508" s="77" t="s">
        <v>1456</v>
      </c>
      <c r="R508" s="77">
        <v>0</v>
      </c>
      <c r="S508" s="77">
        <v>0</v>
      </c>
      <c r="T508" s="77">
        <v>0</v>
      </c>
      <c r="U508" s="77">
        <v>0</v>
      </c>
      <c r="V508" s="77">
        <v>77</v>
      </c>
      <c r="W508" s="81" t="s">
        <v>3272</v>
      </c>
      <c r="X508" s="77"/>
      <c r="Y508" s="77"/>
      <c r="Z508" s="77"/>
      <c r="AA508" s="77" t="s">
        <v>4728</v>
      </c>
      <c r="AB508" s="77" t="s">
        <v>5794</v>
      </c>
      <c r="AC508" s="81" t="s">
        <v>5805</v>
      </c>
      <c r="AD508" s="77" t="s">
        <v>5850</v>
      </c>
      <c r="AE508" s="83" t="str">
        <f>HYPERLINK("https://twitter.com/tneaar/status/1691608224988815798")</f>
        <v>https://twitter.com/tneaar/status/1691608224988815798</v>
      </c>
      <c r="AF508" s="79">
        <v>45154.020879629628</v>
      </c>
      <c r="AG508" s="85">
        <v>45154</v>
      </c>
      <c r="AH508" s="81" t="s">
        <v>6327</v>
      </c>
      <c r="AI508" s="77" t="b">
        <v>0</v>
      </c>
      <c r="AJ508" s="77"/>
      <c r="AK508" s="77"/>
      <c r="AL508" s="77"/>
      <c r="AM508" s="77"/>
      <c r="AN508" s="77"/>
      <c r="AO508" s="77"/>
      <c r="AP508" s="77"/>
      <c r="AQ508" s="77" t="s">
        <v>8231</v>
      </c>
      <c r="AR508" s="77"/>
      <c r="AS508" s="77"/>
      <c r="AT508" s="77"/>
      <c r="AU508" s="77"/>
      <c r="AV508" s="83" t="str">
        <f>HYPERLINK("https://pbs.twimg.com/media/F3nMs5JXEAASsjW.jpg")</f>
        <v>https://pbs.twimg.com/media/F3nMs5JXEAASsjW.jpg</v>
      </c>
      <c r="AW508" s="81" t="s">
        <v>9778</v>
      </c>
      <c r="AX508" s="81" t="s">
        <v>9778</v>
      </c>
      <c r="AY508" s="77"/>
      <c r="AZ508" s="81" t="s">
        <v>11359</v>
      </c>
      <c r="BA508" s="81" t="s">
        <v>11359</v>
      </c>
      <c r="BB508" s="81" t="s">
        <v>11359</v>
      </c>
      <c r="BC508" s="81" t="s">
        <v>9778</v>
      </c>
      <c r="BD508" s="77">
        <v>493423213</v>
      </c>
      <c r="BE508" s="77"/>
      <c r="BF508" s="77"/>
      <c r="BG508" s="77"/>
      <c r="BH508" s="77"/>
      <c r="BI508" s="77"/>
    </row>
    <row r="509" spans="1:61" x14ac:dyDescent="0.25">
      <c r="A509" s="62" t="s">
        <v>428</v>
      </c>
      <c r="B509" s="62" t="s">
        <v>428</v>
      </c>
      <c r="C509" s="63"/>
      <c r="D509" s="64"/>
      <c r="E509" s="65"/>
      <c r="F509" s="66"/>
      <c r="G509" s="63"/>
      <c r="H509" s="67"/>
      <c r="I509" s="68"/>
      <c r="J509" s="68"/>
      <c r="K509" s="32"/>
      <c r="L509" s="75">
        <v>509</v>
      </c>
      <c r="M509" s="75"/>
      <c r="N509" s="70"/>
      <c r="O509" s="77" t="s">
        <v>179</v>
      </c>
      <c r="P509" s="79">
        <v>45096.653738425928</v>
      </c>
      <c r="Q509" s="77" t="s">
        <v>1457</v>
      </c>
      <c r="R509" s="77">
        <v>0</v>
      </c>
      <c r="S509" s="77">
        <v>0</v>
      </c>
      <c r="T509" s="77">
        <v>0</v>
      </c>
      <c r="U509" s="77">
        <v>0</v>
      </c>
      <c r="V509" s="77">
        <v>61</v>
      </c>
      <c r="W509" s="81" t="s">
        <v>3266</v>
      </c>
      <c r="X509" s="77"/>
      <c r="Y509" s="77"/>
      <c r="Z509" s="77"/>
      <c r="AA509" s="77" t="s">
        <v>4729</v>
      </c>
      <c r="AB509" s="77" t="s">
        <v>5794</v>
      </c>
      <c r="AC509" s="81" t="s">
        <v>5805</v>
      </c>
      <c r="AD509" s="77" t="s">
        <v>5850</v>
      </c>
      <c r="AE509" s="83" t="str">
        <f>HYPERLINK("https://twitter.com/tneaar/status/1670819069400940545")</f>
        <v>https://twitter.com/tneaar/status/1670819069400940545</v>
      </c>
      <c r="AF509" s="79">
        <v>45096.653738425928</v>
      </c>
      <c r="AG509" s="85">
        <v>45096</v>
      </c>
      <c r="AH509" s="81" t="s">
        <v>6328</v>
      </c>
      <c r="AI509" s="77" t="b">
        <v>0</v>
      </c>
      <c r="AJ509" s="77"/>
      <c r="AK509" s="77"/>
      <c r="AL509" s="77"/>
      <c r="AM509" s="77"/>
      <c r="AN509" s="77"/>
      <c r="AO509" s="77"/>
      <c r="AP509" s="77"/>
      <c r="AQ509" s="77" t="s">
        <v>8232</v>
      </c>
      <c r="AR509" s="77"/>
      <c r="AS509" s="77"/>
      <c r="AT509" s="77"/>
      <c r="AU509" s="77"/>
      <c r="AV509" s="83" t="str">
        <f>HYPERLINK("https://pbs.twimg.com/media/Fy_xFAFWcAwE9Au.jpg")</f>
        <v>https://pbs.twimg.com/media/Fy_xFAFWcAwE9Au.jpg</v>
      </c>
      <c r="AW509" s="81" t="s">
        <v>9779</v>
      </c>
      <c r="AX509" s="81" t="s">
        <v>9779</v>
      </c>
      <c r="AY509" s="77"/>
      <c r="AZ509" s="81" t="s">
        <v>11359</v>
      </c>
      <c r="BA509" s="81" t="s">
        <v>11359</v>
      </c>
      <c r="BB509" s="81" t="s">
        <v>11359</v>
      </c>
      <c r="BC509" s="81" t="s">
        <v>9779</v>
      </c>
      <c r="BD509" s="77">
        <v>493423213</v>
      </c>
      <c r="BE509" s="77"/>
      <c r="BF509" s="77"/>
      <c r="BG509" s="77"/>
      <c r="BH509" s="77"/>
      <c r="BI509" s="77"/>
    </row>
    <row r="510" spans="1:61" x14ac:dyDescent="0.25">
      <c r="A510" s="62" t="s">
        <v>428</v>
      </c>
      <c r="B510" s="62" t="s">
        <v>428</v>
      </c>
      <c r="C510" s="63"/>
      <c r="D510" s="64"/>
      <c r="E510" s="65"/>
      <c r="F510" s="66"/>
      <c r="G510" s="63"/>
      <c r="H510" s="67"/>
      <c r="I510" s="68"/>
      <c r="J510" s="68"/>
      <c r="K510" s="32"/>
      <c r="L510" s="75">
        <v>510</v>
      </c>
      <c r="M510" s="75"/>
      <c r="N510" s="70"/>
      <c r="O510" s="77" t="s">
        <v>179</v>
      </c>
      <c r="P510" s="79">
        <v>45096.651956018519</v>
      </c>
      <c r="Q510" s="77" t="s">
        <v>1458</v>
      </c>
      <c r="R510" s="77">
        <v>0</v>
      </c>
      <c r="S510" s="77">
        <v>0</v>
      </c>
      <c r="T510" s="77">
        <v>0</v>
      </c>
      <c r="U510" s="77">
        <v>0</v>
      </c>
      <c r="V510" s="77">
        <v>56</v>
      </c>
      <c r="W510" s="81" t="s">
        <v>3265</v>
      </c>
      <c r="X510" s="77"/>
      <c r="Y510" s="77"/>
      <c r="Z510" s="77"/>
      <c r="AA510" s="77" t="s">
        <v>4730</v>
      </c>
      <c r="AB510" s="77" t="s">
        <v>5794</v>
      </c>
      <c r="AC510" s="81" t="s">
        <v>5805</v>
      </c>
      <c r="AD510" s="77" t="s">
        <v>5850</v>
      </c>
      <c r="AE510" s="83" t="str">
        <f>HYPERLINK("https://twitter.com/tneaar/status/1670818423792697344")</f>
        <v>https://twitter.com/tneaar/status/1670818423792697344</v>
      </c>
      <c r="AF510" s="79">
        <v>45096.651956018519</v>
      </c>
      <c r="AG510" s="85">
        <v>45096</v>
      </c>
      <c r="AH510" s="81" t="s">
        <v>6329</v>
      </c>
      <c r="AI510" s="77" t="b">
        <v>0</v>
      </c>
      <c r="AJ510" s="77"/>
      <c r="AK510" s="77"/>
      <c r="AL510" s="77"/>
      <c r="AM510" s="77"/>
      <c r="AN510" s="77"/>
      <c r="AO510" s="77"/>
      <c r="AP510" s="77"/>
      <c r="AQ510" s="77" t="s">
        <v>8233</v>
      </c>
      <c r="AR510" s="77"/>
      <c r="AS510" s="77"/>
      <c r="AT510" s="77"/>
      <c r="AU510" s="77"/>
      <c r="AV510" s="83" t="str">
        <f>HYPERLINK("https://pbs.twimg.com/media/Fy_wfcVX0AERf06.jpg")</f>
        <v>https://pbs.twimg.com/media/Fy_wfcVX0AERf06.jpg</v>
      </c>
      <c r="AW510" s="81" t="s">
        <v>9780</v>
      </c>
      <c r="AX510" s="81" t="s">
        <v>9780</v>
      </c>
      <c r="AY510" s="77"/>
      <c r="AZ510" s="81" t="s">
        <v>11359</v>
      </c>
      <c r="BA510" s="81" t="s">
        <v>11359</v>
      </c>
      <c r="BB510" s="81" t="s">
        <v>11359</v>
      </c>
      <c r="BC510" s="81" t="s">
        <v>9780</v>
      </c>
      <c r="BD510" s="77">
        <v>493423213</v>
      </c>
      <c r="BE510" s="77"/>
      <c r="BF510" s="77"/>
      <c r="BG510" s="77"/>
      <c r="BH510" s="77"/>
      <c r="BI510" s="77"/>
    </row>
    <row r="511" spans="1:61" x14ac:dyDescent="0.25">
      <c r="A511" s="62" t="s">
        <v>428</v>
      </c>
      <c r="B511" s="62" t="s">
        <v>428</v>
      </c>
      <c r="C511" s="63"/>
      <c r="D511" s="64"/>
      <c r="E511" s="65"/>
      <c r="F511" s="66"/>
      <c r="G511" s="63"/>
      <c r="H511" s="67"/>
      <c r="I511" s="68"/>
      <c r="J511" s="68"/>
      <c r="K511" s="32"/>
      <c r="L511" s="75">
        <v>511</v>
      </c>
      <c r="M511" s="75"/>
      <c r="N511" s="70"/>
      <c r="O511" s="77" t="s">
        <v>179</v>
      </c>
      <c r="P511" s="79">
        <v>45075.002662037034</v>
      </c>
      <c r="Q511" s="77" t="s">
        <v>1459</v>
      </c>
      <c r="R511" s="77">
        <v>0</v>
      </c>
      <c r="S511" s="77">
        <v>0</v>
      </c>
      <c r="T511" s="77">
        <v>0</v>
      </c>
      <c r="U511" s="77">
        <v>0</v>
      </c>
      <c r="V511" s="77">
        <v>102</v>
      </c>
      <c r="W511" s="81" t="s">
        <v>3266</v>
      </c>
      <c r="X511" s="77"/>
      <c r="Y511" s="77"/>
      <c r="Z511" s="77"/>
      <c r="AA511" s="77" t="s">
        <v>4731</v>
      </c>
      <c r="AB511" s="77" t="s">
        <v>5794</v>
      </c>
      <c r="AC511" s="81" t="s">
        <v>5805</v>
      </c>
      <c r="AD511" s="77" t="s">
        <v>5850</v>
      </c>
      <c r="AE511" s="83" t="str">
        <f>HYPERLINK("https://twitter.com/tneaar/status/1662972984129191936")</f>
        <v>https://twitter.com/tneaar/status/1662972984129191936</v>
      </c>
      <c r="AF511" s="79">
        <v>45075.002662037034</v>
      </c>
      <c r="AG511" s="85">
        <v>45075</v>
      </c>
      <c r="AH511" s="81" t="s">
        <v>6330</v>
      </c>
      <c r="AI511" s="77" t="b">
        <v>0</v>
      </c>
      <c r="AJ511" s="77"/>
      <c r="AK511" s="77"/>
      <c r="AL511" s="77"/>
      <c r="AM511" s="77"/>
      <c r="AN511" s="77"/>
      <c r="AO511" s="77"/>
      <c r="AP511" s="77"/>
      <c r="AQ511" s="77" t="s">
        <v>8234</v>
      </c>
      <c r="AR511" s="77"/>
      <c r="AS511" s="77"/>
      <c r="AT511" s="77"/>
      <c r="AU511" s="77"/>
      <c r="AV511" s="83" t="str">
        <f>HYPERLINK("https://pbs.twimg.com/media/FxQRHLyXgAcd_nY.jpg")</f>
        <v>https://pbs.twimg.com/media/FxQRHLyXgAcd_nY.jpg</v>
      </c>
      <c r="AW511" s="81" t="s">
        <v>9781</v>
      </c>
      <c r="AX511" s="81" t="s">
        <v>9781</v>
      </c>
      <c r="AY511" s="77"/>
      <c r="AZ511" s="81" t="s">
        <v>11359</v>
      </c>
      <c r="BA511" s="81" t="s">
        <v>11359</v>
      </c>
      <c r="BB511" s="81" t="s">
        <v>11359</v>
      </c>
      <c r="BC511" s="81" t="s">
        <v>9781</v>
      </c>
      <c r="BD511" s="77">
        <v>493423213</v>
      </c>
      <c r="BE511" s="77"/>
      <c r="BF511" s="77"/>
      <c r="BG511" s="77"/>
      <c r="BH511" s="77"/>
      <c r="BI511" s="77"/>
    </row>
    <row r="512" spans="1:61" x14ac:dyDescent="0.25">
      <c r="A512" s="62" t="s">
        <v>428</v>
      </c>
      <c r="B512" s="62" t="s">
        <v>428</v>
      </c>
      <c r="C512" s="63"/>
      <c r="D512" s="64"/>
      <c r="E512" s="65"/>
      <c r="F512" s="66"/>
      <c r="G512" s="63"/>
      <c r="H512" s="67"/>
      <c r="I512" s="68"/>
      <c r="J512" s="68"/>
      <c r="K512" s="32"/>
      <c r="L512" s="75">
        <v>512</v>
      </c>
      <c r="M512" s="75"/>
      <c r="N512" s="70"/>
      <c r="O512" s="77" t="s">
        <v>179</v>
      </c>
      <c r="P512" s="79">
        <v>45073.018460648149</v>
      </c>
      <c r="Q512" s="77" t="s">
        <v>1460</v>
      </c>
      <c r="R512" s="77">
        <v>0</v>
      </c>
      <c r="S512" s="77">
        <v>0</v>
      </c>
      <c r="T512" s="77">
        <v>0</v>
      </c>
      <c r="U512" s="77">
        <v>0</v>
      </c>
      <c r="V512" s="77">
        <v>117</v>
      </c>
      <c r="W512" s="81" t="s">
        <v>3266</v>
      </c>
      <c r="X512" s="77"/>
      <c r="Y512" s="77"/>
      <c r="Z512" s="77"/>
      <c r="AA512" s="77" t="s">
        <v>4732</v>
      </c>
      <c r="AB512" s="77" t="s">
        <v>5794</v>
      </c>
      <c r="AC512" s="81" t="s">
        <v>5805</v>
      </c>
      <c r="AD512" s="77" t="s">
        <v>5850</v>
      </c>
      <c r="AE512" s="83" t="str">
        <f>HYPERLINK("https://twitter.com/tneaar/status/1662253934470152194")</f>
        <v>https://twitter.com/tneaar/status/1662253934470152194</v>
      </c>
      <c r="AF512" s="79">
        <v>45073.018460648149</v>
      </c>
      <c r="AG512" s="85">
        <v>45073</v>
      </c>
      <c r="AH512" s="81" t="s">
        <v>6331</v>
      </c>
      <c r="AI512" s="77" t="b">
        <v>0</v>
      </c>
      <c r="AJ512" s="77"/>
      <c r="AK512" s="77"/>
      <c r="AL512" s="77"/>
      <c r="AM512" s="77"/>
      <c r="AN512" s="77"/>
      <c r="AO512" s="77"/>
      <c r="AP512" s="77"/>
      <c r="AQ512" s="77" t="s">
        <v>8235</v>
      </c>
      <c r="AR512" s="77"/>
      <c r="AS512" s="77"/>
      <c r="AT512" s="77"/>
      <c r="AU512" s="77"/>
      <c r="AV512" s="83" t="str">
        <f>HYPERLINK("https://pbs.twimg.com/media/FxGDIrIXoAA5nOn.jpg")</f>
        <v>https://pbs.twimg.com/media/FxGDIrIXoAA5nOn.jpg</v>
      </c>
      <c r="AW512" s="81" t="s">
        <v>9782</v>
      </c>
      <c r="AX512" s="81" t="s">
        <v>9782</v>
      </c>
      <c r="AY512" s="77"/>
      <c r="AZ512" s="81" t="s">
        <v>11359</v>
      </c>
      <c r="BA512" s="81" t="s">
        <v>11359</v>
      </c>
      <c r="BB512" s="81" t="s">
        <v>11359</v>
      </c>
      <c r="BC512" s="81" t="s">
        <v>9782</v>
      </c>
      <c r="BD512" s="77">
        <v>493423213</v>
      </c>
      <c r="BE512" s="77"/>
      <c r="BF512" s="77"/>
      <c r="BG512" s="77"/>
      <c r="BH512" s="77"/>
      <c r="BI512" s="77"/>
    </row>
    <row r="513" spans="1:61" x14ac:dyDescent="0.25">
      <c r="A513" s="62" t="s">
        <v>428</v>
      </c>
      <c r="B513" s="62" t="s">
        <v>428</v>
      </c>
      <c r="C513" s="63"/>
      <c r="D513" s="64"/>
      <c r="E513" s="65"/>
      <c r="F513" s="66"/>
      <c r="G513" s="63"/>
      <c r="H513" s="67"/>
      <c r="I513" s="68"/>
      <c r="J513" s="68"/>
      <c r="K513" s="32"/>
      <c r="L513" s="75">
        <v>513</v>
      </c>
      <c r="M513" s="75"/>
      <c r="N513" s="70"/>
      <c r="O513" s="77" t="s">
        <v>179</v>
      </c>
      <c r="P513" s="79">
        <v>45069.94840277778</v>
      </c>
      <c r="Q513" s="77" t="s">
        <v>1461</v>
      </c>
      <c r="R513" s="77">
        <v>0</v>
      </c>
      <c r="S513" s="77">
        <v>0</v>
      </c>
      <c r="T513" s="77">
        <v>0</v>
      </c>
      <c r="U513" s="77">
        <v>0</v>
      </c>
      <c r="V513" s="77">
        <v>115</v>
      </c>
      <c r="W513" s="81" t="s">
        <v>3274</v>
      </c>
      <c r="X513" s="77"/>
      <c r="Y513" s="77"/>
      <c r="Z513" s="77"/>
      <c r="AA513" s="77" t="s">
        <v>4733</v>
      </c>
      <c r="AB513" s="77" t="s">
        <v>5794</v>
      </c>
      <c r="AC513" s="81" t="s">
        <v>5805</v>
      </c>
      <c r="AD513" s="77" t="s">
        <v>5850</v>
      </c>
      <c r="AE513" s="83" t="str">
        <f>HYPERLINK("https://twitter.com/tneaar/status/1661141379630919681")</f>
        <v>https://twitter.com/tneaar/status/1661141379630919681</v>
      </c>
      <c r="AF513" s="79">
        <v>45069.94840277778</v>
      </c>
      <c r="AG513" s="85">
        <v>45069</v>
      </c>
      <c r="AH513" s="81" t="s">
        <v>6332</v>
      </c>
      <c r="AI513" s="77" t="b">
        <v>0</v>
      </c>
      <c r="AJ513" s="77"/>
      <c r="AK513" s="77"/>
      <c r="AL513" s="77"/>
      <c r="AM513" s="77"/>
      <c r="AN513" s="77"/>
      <c r="AO513" s="77"/>
      <c r="AP513" s="77"/>
      <c r="AQ513" s="77" t="s">
        <v>8236</v>
      </c>
      <c r="AR513" s="77"/>
      <c r="AS513" s="77"/>
      <c r="AT513" s="77"/>
      <c r="AU513" s="77"/>
      <c r="AV513" s="83" t="str">
        <f>HYPERLINK("https://pbs.twimg.com/media/Fw2PRvhXgAM1MMT.jpg")</f>
        <v>https://pbs.twimg.com/media/Fw2PRvhXgAM1MMT.jpg</v>
      </c>
      <c r="AW513" s="81" t="s">
        <v>9783</v>
      </c>
      <c r="AX513" s="81" t="s">
        <v>9783</v>
      </c>
      <c r="AY513" s="77"/>
      <c r="AZ513" s="81" t="s">
        <v>11359</v>
      </c>
      <c r="BA513" s="81" t="s">
        <v>11359</v>
      </c>
      <c r="BB513" s="81" t="s">
        <v>11359</v>
      </c>
      <c r="BC513" s="81" t="s">
        <v>9783</v>
      </c>
      <c r="BD513" s="77">
        <v>493423213</v>
      </c>
      <c r="BE513" s="77"/>
      <c r="BF513" s="77"/>
      <c r="BG513" s="77"/>
      <c r="BH513" s="77"/>
      <c r="BI513" s="77"/>
    </row>
    <row r="514" spans="1:61" x14ac:dyDescent="0.25">
      <c r="A514" s="62" t="s">
        <v>428</v>
      </c>
      <c r="B514" s="62" t="s">
        <v>428</v>
      </c>
      <c r="C514" s="63"/>
      <c r="D514" s="64"/>
      <c r="E514" s="65"/>
      <c r="F514" s="66"/>
      <c r="G514" s="63"/>
      <c r="H514" s="67"/>
      <c r="I514" s="68"/>
      <c r="J514" s="68"/>
      <c r="K514" s="32"/>
      <c r="L514" s="75">
        <v>514</v>
      </c>
      <c r="M514" s="75"/>
      <c r="N514" s="70"/>
      <c r="O514" s="77" t="s">
        <v>179</v>
      </c>
      <c r="P514" s="79">
        <v>45026.053287037037</v>
      </c>
      <c r="Q514" s="77" t="s">
        <v>1462</v>
      </c>
      <c r="R514" s="77">
        <v>0</v>
      </c>
      <c r="S514" s="77">
        <v>0</v>
      </c>
      <c r="T514" s="77">
        <v>0</v>
      </c>
      <c r="U514" s="77">
        <v>0</v>
      </c>
      <c r="V514" s="77">
        <v>60</v>
      </c>
      <c r="W514" s="81" t="s">
        <v>3275</v>
      </c>
      <c r="X514" s="77"/>
      <c r="Y514" s="77"/>
      <c r="Z514" s="77"/>
      <c r="AA514" s="77" t="s">
        <v>4734</v>
      </c>
      <c r="AB514" s="77" t="s">
        <v>5794</v>
      </c>
      <c r="AC514" s="81" t="s">
        <v>5805</v>
      </c>
      <c r="AD514" s="77" t="s">
        <v>5850</v>
      </c>
      <c r="AE514" s="83" t="str">
        <f>HYPERLINK("https://twitter.com/tneaar/status/1645234324948631552")</f>
        <v>https://twitter.com/tneaar/status/1645234324948631552</v>
      </c>
      <c r="AF514" s="79">
        <v>45026.053287037037</v>
      </c>
      <c r="AG514" s="85">
        <v>45026</v>
      </c>
      <c r="AH514" s="81" t="s">
        <v>6333</v>
      </c>
      <c r="AI514" s="77" t="b">
        <v>0</v>
      </c>
      <c r="AJ514" s="77"/>
      <c r="AK514" s="77"/>
      <c r="AL514" s="77"/>
      <c r="AM514" s="77"/>
      <c r="AN514" s="77"/>
      <c r="AO514" s="77"/>
      <c r="AP514" s="77"/>
      <c r="AQ514" s="77" t="s">
        <v>8237</v>
      </c>
      <c r="AR514" s="77"/>
      <c r="AS514" s="77"/>
      <c r="AT514" s="77"/>
      <c r="AU514" s="77"/>
      <c r="AV514" s="83" t="str">
        <f>HYPERLINK("https://pbs.twimg.com/media/FtUL5UxXgAov1C8.jpg")</f>
        <v>https://pbs.twimg.com/media/FtUL5UxXgAov1C8.jpg</v>
      </c>
      <c r="AW514" s="81" t="s">
        <v>9784</v>
      </c>
      <c r="AX514" s="81" t="s">
        <v>9784</v>
      </c>
      <c r="AY514" s="77"/>
      <c r="AZ514" s="81" t="s">
        <v>11359</v>
      </c>
      <c r="BA514" s="81" t="s">
        <v>11359</v>
      </c>
      <c r="BB514" s="81" t="s">
        <v>11359</v>
      </c>
      <c r="BC514" s="81" t="s">
        <v>9784</v>
      </c>
      <c r="BD514" s="77">
        <v>493423213</v>
      </c>
      <c r="BE514" s="77"/>
      <c r="BF514" s="77"/>
      <c r="BG514" s="77"/>
      <c r="BH514" s="77"/>
      <c r="BI514" s="77"/>
    </row>
    <row r="515" spans="1:61" x14ac:dyDescent="0.25">
      <c r="A515" s="62" t="s">
        <v>428</v>
      </c>
      <c r="B515" s="62" t="s">
        <v>428</v>
      </c>
      <c r="C515" s="63"/>
      <c r="D515" s="64"/>
      <c r="E515" s="65"/>
      <c r="F515" s="66"/>
      <c r="G515" s="63"/>
      <c r="H515" s="67"/>
      <c r="I515" s="68"/>
      <c r="J515" s="68"/>
      <c r="K515" s="32"/>
      <c r="L515" s="75">
        <v>515</v>
      </c>
      <c r="M515" s="75"/>
      <c r="N515" s="70"/>
      <c r="O515" s="77" t="s">
        <v>179</v>
      </c>
      <c r="P515" s="79">
        <v>45026.051701388889</v>
      </c>
      <c r="Q515" s="77" t="s">
        <v>1463</v>
      </c>
      <c r="R515" s="77">
        <v>0</v>
      </c>
      <c r="S515" s="77">
        <v>0</v>
      </c>
      <c r="T515" s="77">
        <v>0</v>
      </c>
      <c r="U515" s="77">
        <v>0</v>
      </c>
      <c r="V515" s="77">
        <v>89</v>
      </c>
      <c r="W515" s="81" t="s">
        <v>3252</v>
      </c>
      <c r="X515" s="83" t="str">
        <f>HYPERLINK("https://bit.ly/SumateSMP")</f>
        <v>https://bit.ly/SumateSMP</v>
      </c>
      <c r="Y515" s="77" t="s">
        <v>4213</v>
      </c>
      <c r="Z515" s="77"/>
      <c r="AA515" s="77" t="s">
        <v>4735</v>
      </c>
      <c r="AB515" s="77" t="s">
        <v>5794</v>
      </c>
      <c r="AC515" s="81" t="s">
        <v>5805</v>
      </c>
      <c r="AD515" s="77" t="s">
        <v>5850</v>
      </c>
      <c r="AE515" s="83" t="str">
        <f>HYPERLINK("https://twitter.com/tneaar/status/1645233751469826048")</f>
        <v>https://twitter.com/tneaar/status/1645233751469826048</v>
      </c>
      <c r="AF515" s="79">
        <v>45026.051701388889</v>
      </c>
      <c r="AG515" s="85">
        <v>45026</v>
      </c>
      <c r="AH515" s="81" t="s">
        <v>6334</v>
      </c>
      <c r="AI515" s="77" t="b">
        <v>0</v>
      </c>
      <c r="AJ515" s="77"/>
      <c r="AK515" s="77"/>
      <c r="AL515" s="77"/>
      <c r="AM515" s="77"/>
      <c r="AN515" s="77"/>
      <c r="AO515" s="77"/>
      <c r="AP515" s="77"/>
      <c r="AQ515" s="77" t="s">
        <v>8238</v>
      </c>
      <c r="AR515" s="77"/>
      <c r="AS515" s="77"/>
      <c r="AT515" s="77"/>
      <c r="AU515" s="77"/>
      <c r="AV515" s="83" t="str">
        <f>HYPERLINK("https://pbs.twimg.com/media/FtULX-kWYAAyouW.jpg")</f>
        <v>https://pbs.twimg.com/media/FtULX-kWYAAyouW.jpg</v>
      </c>
      <c r="AW515" s="81" t="s">
        <v>9785</v>
      </c>
      <c r="AX515" s="81" t="s">
        <v>9785</v>
      </c>
      <c r="AY515" s="77"/>
      <c r="AZ515" s="81" t="s">
        <v>11359</v>
      </c>
      <c r="BA515" s="81" t="s">
        <v>11359</v>
      </c>
      <c r="BB515" s="81" t="s">
        <v>11359</v>
      </c>
      <c r="BC515" s="81" t="s">
        <v>9785</v>
      </c>
      <c r="BD515" s="77">
        <v>493423213</v>
      </c>
      <c r="BE515" s="77"/>
      <c r="BF515" s="77"/>
      <c r="BG515" s="77"/>
      <c r="BH515" s="77"/>
      <c r="BI515" s="77"/>
    </row>
    <row r="516" spans="1:61" x14ac:dyDescent="0.25">
      <c r="A516" s="62" t="s">
        <v>428</v>
      </c>
      <c r="B516" s="62" t="s">
        <v>428</v>
      </c>
      <c r="C516" s="63"/>
      <c r="D516" s="64"/>
      <c r="E516" s="65"/>
      <c r="F516" s="66"/>
      <c r="G516" s="63"/>
      <c r="H516" s="67"/>
      <c r="I516" s="68"/>
      <c r="J516" s="68"/>
      <c r="K516" s="32"/>
      <c r="L516" s="75">
        <v>516</v>
      </c>
      <c r="M516" s="75"/>
      <c r="N516" s="70"/>
      <c r="O516" s="77" t="s">
        <v>179</v>
      </c>
      <c r="P516" s="79">
        <v>45026.0466087963</v>
      </c>
      <c r="Q516" s="77" t="s">
        <v>1464</v>
      </c>
      <c r="R516" s="77">
        <v>0</v>
      </c>
      <c r="S516" s="77">
        <v>0</v>
      </c>
      <c r="T516" s="77">
        <v>0</v>
      </c>
      <c r="U516" s="77">
        <v>0</v>
      </c>
      <c r="V516" s="77">
        <v>64</v>
      </c>
      <c r="W516" s="81" t="s">
        <v>3251</v>
      </c>
      <c r="X516" s="77"/>
      <c r="Y516" s="77"/>
      <c r="Z516" s="77"/>
      <c r="AA516" s="77" t="s">
        <v>4736</v>
      </c>
      <c r="AB516" s="77" t="s">
        <v>5794</v>
      </c>
      <c r="AC516" s="81" t="s">
        <v>5805</v>
      </c>
      <c r="AD516" s="77" t="s">
        <v>5850</v>
      </c>
      <c r="AE516" s="83" t="str">
        <f>HYPERLINK("https://twitter.com/tneaar/status/1645231903098785792")</f>
        <v>https://twitter.com/tneaar/status/1645231903098785792</v>
      </c>
      <c r="AF516" s="79">
        <v>45026.0466087963</v>
      </c>
      <c r="AG516" s="85">
        <v>45026</v>
      </c>
      <c r="AH516" s="81" t="s">
        <v>6335</v>
      </c>
      <c r="AI516" s="77" t="b">
        <v>0</v>
      </c>
      <c r="AJ516" s="77"/>
      <c r="AK516" s="77"/>
      <c r="AL516" s="77"/>
      <c r="AM516" s="77"/>
      <c r="AN516" s="77"/>
      <c r="AO516" s="77"/>
      <c r="AP516" s="77"/>
      <c r="AQ516" s="77" t="s">
        <v>8239</v>
      </c>
      <c r="AR516" s="77"/>
      <c r="AS516" s="77"/>
      <c r="AT516" s="77"/>
      <c r="AU516" s="77"/>
      <c r="AV516" s="83" t="str">
        <f>HYPERLINK("https://pbs.twimg.com/media/FtUJsYbXgAEFI9s.jpg")</f>
        <v>https://pbs.twimg.com/media/FtUJsYbXgAEFI9s.jpg</v>
      </c>
      <c r="AW516" s="81" t="s">
        <v>9786</v>
      </c>
      <c r="AX516" s="81" t="s">
        <v>9786</v>
      </c>
      <c r="AY516" s="77"/>
      <c r="AZ516" s="81" t="s">
        <v>11359</v>
      </c>
      <c r="BA516" s="81" t="s">
        <v>11359</v>
      </c>
      <c r="BB516" s="81" t="s">
        <v>11359</v>
      </c>
      <c r="BC516" s="81" t="s">
        <v>9786</v>
      </c>
      <c r="BD516" s="77">
        <v>493423213</v>
      </c>
      <c r="BE516" s="77"/>
      <c r="BF516" s="77"/>
      <c r="BG516" s="77"/>
      <c r="BH516" s="77"/>
      <c r="BI516" s="77"/>
    </row>
    <row r="517" spans="1:61" x14ac:dyDescent="0.25">
      <c r="A517" s="62" t="s">
        <v>428</v>
      </c>
      <c r="B517" s="62" t="s">
        <v>428</v>
      </c>
      <c r="C517" s="63"/>
      <c r="D517" s="64"/>
      <c r="E517" s="65"/>
      <c r="F517" s="66"/>
      <c r="G517" s="63"/>
      <c r="H517" s="67"/>
      <c r="I517" s="68"/>
      <c r="J517" s="68"/>
      <c r="K517" s="32"/>
      <c r="L517" s="75">
        <v>517</v>
      </c>
      <c r="M517" s="75"/>
      <c r="N517" s="70"/>
      <c r="O517" s="77" t="s">
        <v>179</v>
      </c>
      <c r="P517" s="79">
        <v>45026.045995370368</v>
      </c>
      <c r="Q517" s="77" t="s">
        <v>1465</v>
      </c>
      <c r="R517" s="77">
        <v>0</v>
      </c>
      <c r="S517" s="77">
        <v>0</v>
      </c>
      <c r="T517" s="77">
        <v>0</v>
      </c>
      <c r="U517" s="77">
        <v>0</v>
      </c>
      <c r="V517" s="77">
        <v>88</v>
      </c>
      <c r="W517" s="81" t="s">
        <v>3276</v>
      </c>
      <c r="X517" s="83" t="str">
        <f>HYPERLINK("https://wa.link/c93i3r")</f>
        <v>https://wa.link/c93i3r</v>
      </c>
      <c r="Y517" s="77" t="s">
        <v>4266</v>
      </c>
      <c r="Z517" s="77"/>
      <c r="AA517" s="77" t="s">
        <v>4737</v>
      </c>
      <c r="AB517" s="77" t="s">
        <v>5794</v>
      </c>
      <c r="AC517" s="81" t="s">
        <v>5805</v>
      </c>
      <c r="AD517" s="77" t="s">
        <v>5850</v>
      </c>
      <c r="AE517" s="83" t="str">
        <f>HYPERLINK("https://twitter.com/tneaar/status/1645231683233300481")</f>
        <v>https://twitter.com/tneaar/status/1645231683233300481</v>
      </c>
      <c r="AF517" s="79">
        <v>45026.045995370368</v>
      </c>
      <c r="AG517" s="85">
        <v>45026</v>
      </c>
      <c r="AH517" s="81" t="s">
        <v>6336</v>
      </c>
      <c r="AI517" s="77" t="b">
        <v>0</v>
      </c>
      <c r="AJ517" s="77"/>
      <c r="AK517" s="77"/>
      <c r="AL517" s="77"/>
      <c r="AM517" s="77"/>
      <c r="AN517" s="77"/>
      <c r="AO517" s="77"/>
      <c r="AP517" s="77"/>
      <c r="AQ517" s="77" t="s">
        <v>8240</v>
      </c>
      <c r="AR517" s="77"/>
      <c r="AS517" s="77"/>
      <c r="AT517" s="77"/>
      <c r="AU517" s="77"/>
      <c r="AV517" s="83" t="str">
        <f>HYPERLINK("https://pbs.twimg.com/media/FtUJduOXwAQZJGi.jpg")</f>
        <v>https://pbs.twimg.com/media/FtUJduOXwAQZJGi.jpg</v>
      </c>
      <c r="AW517" s="81" t="s">
        <v>9787</v>
      </c>
      <c r="AX517" s="81" t="s">
        <v>9787</v>
      </c>
      <c r="AY517" s="77"/>
      <c r="AZ517" s="81" t="s">
        <v>11359</v>
      </c>
      <c r="BA517" s="81" t="s">
        <v>11359</v>
      </c>
      <c r="BB517" s="81" t="s">
        <v>11359</v>
      </c>
      <c r="BC517" s="81" t="s">
        <v>9787</v>
      </c>
      <c r="BD517" s="77">
        <v>493423213</v>
      </c>
      <c r="BE517" s="77"/>
      <c r="BF517" s="77"/>
      <c r="BG517" s="77"/>
      <c r="BH517" s="77"/>
      <c r="BI517" s="77"/>
    </row>
    <row r="518" spans="1:61" x14ac:dyDescent="0.25">
      <c r="A518" s="62" t="s">
        <v>428</v>
      </c>
      <c r="B518" s="62" t="s">
        <v>428</v>
      </c>
      <c r="C518" s="63"/>
      <c r="D518" s="64"/>
      <c r="E518" s="65"/>
      <c r="F518" s="66"/>
      <c r="G518" s="63"/>
      <c r="H518" s="67"/>
      <c r="I518" s="68"/>
      <c r="J518" s="68"/>
      <c r="K518" s="32"/>
      <c r="L518" s="75">
        <v>518</v>
      </c>
      <c r="M518" s="75"/>
      <c r="N518" s="70"/>
      <c r="O518" s="77" t="s">
        <v>179</v>
      </c>
      <c r="P518" s="79">
        <v>45026.031967592593</v>
      </c>
      <c r="Q518" s="77" t="s">
        <v>1466</v>
      </c>
      <c r="R518" s="77">
        <v>0</v>
      </c>
      <c r="S518" s="77">
        <v>0</v>
      </c>
      <c r="T518" s="77">
        <v>0</v>
      </c>
      <c r="U518" s="77">
        <v>0</v>
      </c>
      <c r="V518" s="77">
        <v>65</v>
      </c>
      <c r="W518" s="81" t="s">
        <v>3270</v>
      </c>
      <c r="X518" s="77"/>
      <c r="Y518" s="77"/>
      <c r="Z518" s="77"/>
      <c r="AA518" s="77" t="s">
        <v>4738</v>
      </c>
      <c r="AB518" s="77" t="s">
        <v>5794</v>
      </c>
      <c r="AC518" s="81" t="s">
        <v>5805</v>
      </c>
      <c r="AD518" s="77" t="s">
        <v>5850</v>
      </c>
      <c r="AE518" s="83" t="str">
        <f>HYPERLINK("https://twitter.com/tneaar/status/1645226598352781314")</f>
        <v>https://twitter.com/tneaar/status/1645226598352781314</v>
      </c>
      <c r="AF518" s="79">
        <v>45026.031967592593</v>
      </c>
      <c r="AG518" s="85">
        <v>45026</v>
      </c>
      <c r="AH518" s="81" t="s">
        <v>6337</v>
      </c>
      <c r="AI518" s="77" t="b">
        <v>0</v>
      </c>
      <c r="AJ518" s="77"/>
      <c r="AK518" s="77"/>
      <c r="AL518" s="77"/>
      <c r="AM518" s="77"/>
      <c r="AN518" s="77"/>
      <c r="AO518" s="77"/>
      <c r="AP518" s="77"/>
      <c r="AQ518" s="77" t="s">
        <v>8241</v>
      </c>
      <c r="AR518" s="77"/>
      <c r="AS518" s="77"/>
      <c r="AT518" s="77"/>
      <c r="AU518" s="77"/>
      <c r="AV518" s="83" t="str">
        <f>HYPERLINK("https://pbs.twimg.com/media/FtUE3nCWcAAZsD5.jpg")</f>
        <v>https://pbs.twimg.com/media/FtUE3nCWcAAZsD5.jpg</v>
      </c>
      <c r="AW518" s="81" t="s">
        <v>9788</v>
      </c>
      <c r="AX518" s="81" t="s">
        <v>9788</v>
      </c>
      <c r="AY518" s="77"/>
      <c r="AZ518" s="81" t="s">
        <v>11359</v>
      </c>
      <c r="BA518" s="81" t="s">
        <v>11359</v>
      </c>
      <c r="BB518" s="81" t="s">
        <v>11359</v>
      </c>
      <c r="BC518" s="81" t="s">
        <v>9788</v>
      </c>
      <c r="BD518" s="77">
        <v>493423213</v>
      </c>
      <c r="BE518" s="77"/>
      <c r="BF518" s="77"/>
      <c r="BG518" s="77"/>
      <c r="BH518" s="77"/>
      <c r="BI518" s="77"/>
    </row>
    <row r="519" spans="1:61" x14ac:dyDescent="0.25">
      <c r="A519" s="62" t="s">
        <v>428</v>
      </c>
      <c r="B519" s="62" t="s">
        <v>428</v>
      </c>
      <c r="C519" s="63"/>
      <c r="D519" s="64"/>
      <c r="E519" s="65"/>
      <c r="F519" s="66"/>
      <c r="G519" s="63"/>
      <c r="H519" s="67"/>
      <c r="I519" s="68"/>
      <c r="J519" s="68"/>
      <c r="K519" s="32"/>
      <c r="L519" s="75">
        <v>519</v>
      </c>
      <c r="M519" s="75"/>
      <c r="N519" s="70"/>
      <c r="O519" s="77" t="s">
        <v>179</v>
      </c>
      <c r="P519" s="79">
        <v>44949.797418981485</v>
      </c>
      <c r="Q519" s="77" t="s">
        <v>1467</v>
      </c>
      <c r="R519" s="77">
        <v>0</v>
      </c>
      <c r="S519" s="77">
        <v>0</v>
      </c>
      <c r="T519" s="77">
        <v>0</v>
      </c>
      <c r="U519" s="77">
        <v>0</v>
      </c>
      <c r="V519" s="77">
        <v>71</v>
      </c>
      <c r="W519" s="81" t="s">
        <v>3258</v>
      </c>
      <c r="X519" s="77"/>
      <c r="Y519" s="77"/>
      <c r="Z519" s="77"/>
      <c r="AA519" s="77" t="s">
        <v>4739</v>
      </c>
      <c r="AB519" s="77" t="s">
        <v>5794</v>
      </c>
      <c r="AC519" s="81" t="s">
        <v>5805</v>
      </c>
      <c r="AD519" s="77" t="s">
        <v>5850</v>
      </c>
      <c r="AE519" s="83" t="str">
        <f>HYPERLINK("https://twitter.com/tneaar/status/1617600124888420353")</f>
        <v>https://twitter.com/tneaar/status/1617600124888420353</v>
      </c>
      <c r="AF519" s="79">
        <v>44949.797418981485</v>
      </c>
      <c r="AG519" s="85">
        <v>44949</v>
      </c>
      <c r="AH519" s="81" t="s">
        <v>6338</v>
      </c>
      <c r="AI519" s="77" t="b">
        <v>0</v>
      </c>
      <c r="AJ519" s="77"/>
      <c r="AK519" s="77"/>
      <c r="AL519" s="77"/>
      <c r="AM519" s="77"/>
      <c r="AN519" s="77"/>
      <c r="AO519" s="77"/>
      <c r="AP519" s="77"/>
      <c r="AQ519" s="77" t="s">
        <v>8242</v>
      </c>
      <c r="AR519" s="77"/>
      <c r="AS519" s="77"/>
      <c r="AT519" s="77"/>
      <c r="AU519" s="77"/>
      <c r="AV519" s="83" t="str">
        <f>HYPERLINK("https://pbs.twimg.com/media/FnLeu1RXEAQdNQR.jpg")</f>
        <v>https://pbs.twimg.com/media/FnLeu1RXEAQdNQR.jpg</v>
      </c>
      <c r="AW519" s="81" t="s">
        <v>9789</v>
      </c>
      <c r="AX519" s="81" t="s">
        <v>9789</v>
      </c>
      <c r="AY519" s="77"/>
      <c r="AZ519" s="81" t="s">
        <v>11359</v>
      </c>
      <c r="BA519" s="81" t="s">
        <v>11359</v>
      </c>
      <c r="BB519" s="81" t="s">
        <v>11359</v>
      </c>
      <c r="BC519" s="81" t="s">
        <v>9789</v>
      </c>
      <c r="BD519" s="77">
        <v>493423213</v>
      </c>
      <c r="BE519" s="77"/>
      <c r="BF519" s="77"/>
      <c r="BG519" s="77"/>
      <c r="BH519" s="77"/>
      <c r="BI519" s="77"/>
    </row>
    <row r="520" spans="1:61" x14ac:dyDescent="0.25">
      <c r="A520" s="62" t="s">
        <v>428</v>
      </c>
      <c r="B520" s="62" t="s">
        <v>428</v>
      </c>
      <c r="C520" s="63"/>
      <c r="D520" s="64"/>
      <c r="E520" s="65"/>
      <c r="F520" s="66"/>
      <c r="G520" s="63"/>
      <c r="H520" s="67"/>
      <c r="I520" s="68"/>
      <c r="J520" s="68"/>
      <c r="K520" s="32"/>
      <c r="L520" s="75">
        <v>520</v>
      </c>
      <c r="M520" s="75"/>
      <c r="N520" s="70"/>
      <c r="O520" s="77" t="s">
        <v>179</v>
      </c>
      <c r="P520" s="79">
        <v>44949.795856481483</v>
      </c>
      <c r="Q520" s="77" t="s">
        <v>1468</v>
      </c>
      <c r="R520" s="77">
        <v>0</v>
      </c>
      <c r="S520" s="77">
        <v>0</v>
      </c>
      <c r="T520" s="77">
        <v>0</v>
      </c>
      <c r="U520" s="77">
        <v>0</v>
      </c>
      <c r="V520" s="77">
        <v>64</v>
      </c>
      <c r="W520" s="81" t="s">
        <v>3257</v>
      </c>
      <c r="X520" s="77"/>
      <c r="Y520" s="77"/>
      <c r="Z520" s="77"/>
      <c r="AA520" s="77" t="s">
        <v>4740</v>
      </c>
      <c r="AB520" s="77" t="s">
        <v>5794</v>
      </c>
      <c r="AC520" s="81" t="s">
        <v>5805</v>
      </c>
      <c r="AD520" s="77" t="s">
        <v>5850</v>
      </c>
      <c r="AE520" s="83" t="str">
        <f>HYPERLINK("https://twitter.com/tneaar/status/1617599554597326849")</f>
        <v>https://twitter.com/tneaar/status/1617599554597326849</v>
      </c>
      <c r="AF520" s="79">
        <v>44949.795856481483</v>
      </c>
      <c r="AG520" s="85">
        <v>44949</v>
      </c>
      <c r="AH520" s="81" t="s">
        <v>6339</v>
      </c>
      <c r="AI520" s="77" t="b">
        <v>0</v>
      </c>
      <c r="AJ520" s="77"/>
      <c r="AK520" s="77"/>
      <c r="AL520" s="77"/>
      <c r="AM520" s="77"/>
      <c r="AN520" s="77"/>
      <c r="AO520" s="77"/>
      <c r="AP520" s="77"/>
      <c r="AQ520" s="77" t="s">
        <v>8243</v>
      </c>
      <c r="AR520" s="77"/>
      <c r="AS520" s="77"/>
      <c r="AT520" s="77"/>
      <c r="AU520" s="77"/>
      <c r="AV520" s="83" t="str">
        <f>HYPERLINK("https://pbs.twimg.com/media/FnLeN0bWAB0ENXd.jpg")</f>
        <v>https://pbs.twimg.com/media/FnLeN0bWAB0ENXd.jpg</v>
      </c>
      <c r="AW520" s="81" t="s">
        <v>9790</v>
      </c>
      <c r="AX520" s="81" t="s">
        <v>9790</v>
      </c>
      <c r="AY520" s="77"/>
      <c r="AZ520" s="81" t="s">
        <v>11359</v>
      </c>
      <c r="BA520" s="81" t="s">
        <v>11359</v>
      </c>
      <c r="BB520" s="81" t="s">
        <v>11359</v>
      </c>
      <c r="BC520" s="81" t="s">
        <v>9790</v>
      </c>
      <c r="BD520" s="77">
        <v>493423213</v>
      </c>
      <c r="BE520" s="77"/>
      <c r="BF520" s="77"/>
      <c r="BG520" s="77"/>
      <c r="BH520" s="77"/>
      <c r="BI520" s="77"/>
    </row>
    <row r="521" spans="1:61" x14ac:dyDescent="0.25">
      <c r="A521" s="62" t="s">
        <v>428</v>
      </c>
      <c r="B521" s="62" t="s">
        <v>428</v>
      </c>
      <c r="C521" s="63"/>
      <c r="D521" s="64"/>
      <c r="E521" s="65"/>
      <c r="F521" s="66"/>
      <c r="G521" s="63"/>
      <c r="H521" s="67"/>
      <c r="I521" s="68"/>
      <c r="J521" s="68"/>
      <c r="K521" s="32"/>
      <c r="L521" s="75">
        <v>521</v>
      </c>
      <c r="M521" s="75"/>
      <c r="N521" s="70"/>
      <c r="O521" s="77" t="s">
        <v>179</v>
      </c>
      <c r="P521" s="79">
        <v>44949.038912037038</v>
      </c>
      <c r="Q521" s="77" t="s">
        <v>1469</v>
      </c>
      <c r="R521" s="77">
        <v>0</v>
      </c>
      <c r="S521" s="77">
        <v>0</v>
      </c>
      <c r="T521" s="77">
        <v>0</v>
      </c>
      <c r="U521" s="77">
        <v>0</v>
      </c>
      <c r="V521" s="77">
        <v>122</v>
      </c>
      <c r="W521" s="81" t="s">
        <v>3256</v>
      </c>
      <c r="X521" s="77"/>
      <c r="Y521" s="77"/>
      <c r="Z521" s="77"/>
      <c r="AA521" s="77" t="s">
        <v>4741</v>
      </c>
      <c r="AB521" s="77" t="s">
        <v>5794</v>
      </c>
      <c r="AC521" s="81" t="s">
        <v>5805</v>
      </c>
      <c r="AD521" s="77" t="s">
        <v>5850</v>
      </c>
      <c r="AE521" s="83" t="str">
        <f>HYPERLINK("https://twitter.com/tneaar/status/1617325250840260608")</f>
        <v>https://twitter.com/tneaar/status/1617325250840260608</v>
      </c>
      <c r="AF521" s="79">
        <v>44949.038912037038</v>
      </c>
      <c r="AG521" s="85">
        <v>44949</v>
      </c>
      <c r="AH521" s="81" t="s">
        <v>6340</v>
      </c>
      <c r="AI521" s="77" t="b">
        <v>0</v>
      </c>
      <c r="AJ521" s="77"/>
      <c r="AK521" s="77"/>
      <c r="AL521" s="77"/>
      <c r="AM521" s="77"/>
      <c r="AN521" s="77"/>
      <c r="AO521" s="77"/>
      <c r="AP521" s="77"/>
      <c r="AQ521" s="77" t="s">
        <v>8244</v>
      </c>
      <c r="AR521" s="77"/>
      <c r="AS521" s="77"/>
      <c r="AT521" s="77"/>
      <c r="AU521" s="77"/>
      <c r="AV521" s="83" t="str">
        <f>HYPERLINK("https://pbs.twimg.com/media/FnHkvBcWQAA3XPD.png")</f>
        <v>https://pbs.twimg.com/media/FnHkvBcWQAA3XPD.png</v>
      </c>
      <c r="AW521" s="81" t="s">
        <v>9791</v>
      </c>
      <c r="AX521" s="81" t="s">
        <v>9791</v>
      </c>
      <c r="AY521" s="77"/>
      <c r="AZ521" s="81" t="s">
        <v>11359</v>
      </c>
      <c r="BA521" s="81" t="s">
        <v>11359</v>
      </c>
      <c r="BB521" s="81" t="s">
        <v>11359</v>
      </c>
      <c r="BC521" s="81" t="s">
        <v>9791</v>
      </c>
      <c r="BD521" s="77">
        <v>493423213</v>
      </c>
      <c r="BE521" s="77"/>
      <c r="BF521" s="77"/>
      <c r="BG521" s="77"/>
      <c r="BH521" s="77"/>
      <c r="BI521" s="77"/>
    </row>
    <row r="522" spans="1:61" x14ac:dyDescent="0.25">
      <c r="A522" s="62" t="s">
        <v>428</v>
      </c>
      <c r="B522" s="62" t="s">
        <v>428</v>
      </c>
      <c r="C522" s="63"/>
      <c r="D522" s="64"/>
      <c r="E522" s="65"/>
      <c r="F522" s="66"/>
      <c r="G522" s="63"/>
      <c r="H522" s="67"/>
      <c r="I522" s="68"/>
      <c r="J522" s="68"/>
      <c r="K522" s="32"/>
      <c r="L522" s="75">
        <v>522</v>
      </c>
      <c r="M522" s="75"/>
      <c r="N522" s="70"/>
      <c r="O522" s="77" t="s">
        <v>179</v>
      </c>
      <c r="P522" s="79">
        <v>44946.992152777777</v>
      </c>
      <c r="Q522" s="77" t="s">
        <v>1470</v>
      </c>
      <c r="R522" s="77">
        <v>0</v>
      </c>
      <c r="S522" s="77">
        <v>1</v>
      </c>
      <c r="T522" s="77">
        <v>0</v>
      </c>
      <c r="U522" s="77">
        <v>1</v>
      </c>
      <c r="V522" s="77">
        <v>88</v>
      </c>
      <c r="W522" s="81" t="s">
        <v>3277</v>
      </c>
      <c r="X522" s="77" t="s">
        <v>4161</v>
      </c>
      <c r="Y522" s="77" t="s">
        <v>4267</v>
      </c>
      <c r="Z522" s="77"/>
      <c r="AA522" s="77" t="s">
        <v>4742</v>
      </c>
      <c r="AB522" s="77" t="s">
        <v>5794</v>
      </c>
      <c r="AC522" s="81" t="s">
        <v>5805</v>
      </c>
      <c r="AD522" s="77" t="s">
        <v>5850</v>
      </c>
      <c r="AE522" s="83" t="str">
        <f>HYPERLINK("https://twitter.com/tneaar/status/1616583527235211265")</f>
        <v>https://twitter.com/tneaar/status/1616583527235211265</v>
      </c>
      <c r="AF522" s="79">
        <v>44946.992152777777</v>
      </c>
      <c r="AG522" s="85">
        <v>44946</v>
      </c>
      <c r="AH522" s="81" t="s">
        <v>6341</v>
      </c>
      <c r="AI522" s="77" t="b">
        <v>0</v>
      </c>
      <c r="AJ522" s="77"/>
      <c r="AK522" s="77"/>
      <c r="AL522" s="77"/>
      <c r="AM522" s="77"/>
      <c r="AN522" s="77"/>
      <c r="AO522" s="77"/>
      <c r="AP522" s="77"/>
      <c r="AQ522" s="77" t="s">
        <v>8245</v>
      </c>
      <c r="AR522" s="77"/>
      <c r="AS522" s="77"/>
      <c r="AT522" s="77"/>
      <c r="AU522" s="77"/>
      <c r="AV522" s="83" t="str">
        <f>HYPERLINK("https://pbs.twimg.com/media/Fm9CJNpWQAAmCBz.jpg")</f>
        <v>https://pbs.twimg.com/media/Fm9CJNpWQAAmCBz.jpg</v>
      </c>
      <c r="AW522" s="81" t="s">
        <v>9792</v>
      </c>
      <c r="AX522" s="81" t="s">
        <v>9792</v>
      </c>
      <c r="AY522" s="77"/>
      <c r="AZ522" s="81" t="s">
        <v>11359</v>
      </c>
      <c r="BA522" s="81" t="s">
        <v>11359</v>
      </c>
      <c r="BB522" s="81" t="s">
        <v>11359</v>
      </c>
      <c r="BC522" s="81" t="s">
        <v>9792</v>
      </c>
      <c r="BD522" s="77">
        <v>493423213</v>
      </c>
      <c r="BE522" s="77"/>
      <c r="BF522" s="77"/>
      <c r="BG522" s="77"/>
      <c r="BH522" s="77"/>
      <c r="BI522" s="77"/>
    </row>
    <row r="523" spans="1:61" x14ac:dyDescent="0.25">
      <c r="A523" s="62" t="s">
        <v>428</v>
      </c>
      <c r="B523" s="62" t="s">
        <v>428</v>
      </c>
      <c r="C523" s="63"/>
      <c r="D523" s="64"/>
      <c r="E523" s="65"/>
      <c r="F523" s="66"/>
      <c r="G523" s="63"/>
      <c r="H523" s="67"/>
      <c r="I523" s="68"/>
      <c r="J523" s="68"/>
      <c r="K523" s="32"/>
      <c r="L523" s="75">
        <v>523</v>
      </c>
      <c r="M523" s="75"/>
      <c r="N523" s="70"/>
      <c r="O523" s="77" t="s">
        <v>179</v>
      </c>
      <c r="P523" s="79">
        <v>44946.980416666665</v>
      </c>
      <c r="Q523" s="77" t="s">
        <v>1471</v>
      </c>
      <c r="R523" s="77">
        <v>0</v>
      </c>
      <c r="S523" s="77">
        <v>0</v>
      </c>
      <c r="T523" s="77">
        <v>0</v>
      </c>
      <c r="U523" s="77">
        <v>0</v>
      </c>
      <c r="V523" s="77">
        <v>63</v>
      </c>
      <c r="W523" s="81" t="s">
        <v>3278</v>
      </c>
      <c r="X523" s="77" t="s">
        <v>4162</v>
      </c>
      <c r="Y523" s="77" t="s">
        <v>4267</v>
      </c>
      <c r="Z523" s="77"/>
      <c r="AA523" s="77" t="s">
        <v>4743</v>
      </c>
      <c r="AB523" s="77" t="s">
        <v>5794</v>
      </c>
      <c r="AC523" s="81" t="s">
        <v>5805</v>
      </c>
      <c r="AD523" s="77" t="s">
        <v>5850</v>
      </c>
      <c r="AE523" s="83" t="str">
        <f>HYPERLINK("https://twitter.com/tneaar/status/1616579275179671552")</f>
        <v>https://twitter.com/tneaar/status/1616579275179671552</v>
      </c>
      <c r="AF523" s="79">
        <v>44946.980416666665</v>
      </c>
      <c r="AG523" s="85">
        <v>44946</v>
      </c>
      <c r="AH523" s="81" t="s">
        <v>6342</v>
      </c>
      <c r="AI523" s="77" t="b">
        <v>0</v>
      </c>
      <c r="AJ523" s="77"/>
      <c r="AK523" s="77"/>
      <c r="AL523" s="77"/>
      <c r="AM523" s="77"/>
      <c r="AN523" s="77"/>
      <c r="AO523" s="77"/>
      <c r="AP523" s="77"/>
      <c r="AQ523" s="77" t="s">
        <v>8246</v>
      </c>
      <c r="AR523" s="77"/>
      <c r="AS523" s="77"/>
      <c r="AT523" s="77"/>
      <c r="AU523" s="77"/>
      <c r="AV523" s="83" t="str">
        <f>HYPERLINK("https://pbs.twimg.com/media/Fm8-RckXoAE9ty-.jpg")</f>
        <v>https://pbs.twimg.com/media/Fm8-RckXoAE9ty-.jpg</v>
      </c>
      <c r="AW523" s="81" t="s">
        <v>9793</v>
      </c>
      <c r="AX523" s="81" t="s">
        <v>9793</v>
      </c>
      <c r="AY523" s="77"/>
      <c r="AZ523" s="81" t="s">
        <v>11359</v>
      </c>
      <c r="BA523" s="81" t="s">
        <v>11359</v>
      </c>
      <c r="BB523" s="81" t="s">
        <v>11359</v>
      </c>
      <c r="BC523" s="81" t="s">
        <v>9793</v>
      </c>
      <c r="BD523" s="77">
        <v>493423213</v>
      </c>
      <c r="BE523" s="77"/>
      <c r="BF523" s="77"/>
      <c r="BG523" s="77"/>
      <c r="BH523" s="77"/>
      <c r="BI523" s="77"/>
    </row>
    <row r="524" spans="1:61" x14ac:dyDescent="0.25">
      <c r="A524" s="62" t="s">
        <v>428</v>
      </c>
      <c r="B524" s="62" t="s">
        <v>428</v>
      </c>
      <c r="C524" s="63"/>
      <c r="D524" s="64"/>
      <c r="E524" s="65"/>
      <c r="F524" s="66"/>
      <c r="G524" s="63"/>
      <c r="H524" s="67"/>
      <c r="I524" s="68"/>
      <c r="J524" s="68"/>
      <c r="K524" s="32"/>
      <c r="L524" s="75">
        <v>524</v>
      </c>
      <c r="M524" s="75"/>
      <c r="N524" s="70"/>
      <c r="O524" s="77" t="s">
        <v>179</v>
      </c>
      <c r="P524" s="79">
        <v>45188.002175925925</v>
      </c>
      <c r="Q524" s="77" t="s">
        <v>1472</v>
      </c>
      <c r="R524" s="77">
        <v>1</v>
      </c>
      <c r="S524" s="77">
        <v>0</v>
      </c>
      <c r="T524" s="77">
        <v>0</v>
      </c>
      <c r="U524" s="77">
        <v>0</v>
      </c>
      <c r="V524" s="77">
        <v>256</v>
      </c>
      <c r="W524" s="81" t="s">
        <v>3246</v>
      </c>
      <c r="X524" s="77"/>
      <c r="Y524" s="77"/>
      <c r="Z524" s="77"/>
      <c r="AA524" s="77" t="s">
        <v>4744</v>
      </c>
      <c r="AB524" s="77" t="s">
        <v>5794</v>
      </c>
      <c r="AC524" s="81" t="s">
        <v>5805</v>
      </c>
      <c r="AD524" s="77" t="s">
        <v>5850</v>
      </c>
      <c r="AE524" s="83" t="str">
        <f>HYPERLINK("https://twitter.com/tneaar/status/1703922635384521014")</f>
        <v>https://twitter.com/tneaar/status/1703922635384521014</v>
      </c>
      <c r="AF524" s="79">
        <v>45188.002175925925</v>
      </c>
      <c r="AG524" s="85">
        <v>45188</v>
      </c>
      <c r="AH524" s="81" t="s">
        <v>6343</v>
      </c>
      <c r="AI524" s="77" t="b">
        <v>0</v>
      </c>
      <c r="AJ524" s="77"/>
      <c r="AK524" s="77"/>
      <c r="AL524" s="77"/>
      <c r="AM524" s="77"/>
      <c r="AN524" s="77"/>
      <c r="AO524" s="77"/>
      <c r="AP524" s="77"/>
      <c r="AQ524" s="77" t="s">
        <v>8247</v>
      </c>
      <c r="AR524" s="77"/>
      <c r="AS524" s="77"/>
      <c r="AT524" s="77"/>
      <c r="AU524" s="77"/>
      <c r="AV524" s="83" t="str">
        <f>HYPERLINK("https://pbs.twimg.com/media/F6WMmklW4AAt9Re.jpg")</f>
        <v>https://pbs.twimg.com/media/F6WMmklW4AAt9Re.jpg</v>
      </c>
      <c r="AW524" s="81" t="s">
        <v>9794</v>
      </c>
      <c r="AX524" s="81" t="s">
        <v>9794</v>
      </c>
      <c r="AY524" s="77"/>
      <c r="AZ524" s="81" t="s">
        <v>11359</v>
      </c>
      <c r="BA524" s="81" t="s">
        <v>11359</v>
      </c>
      <c r="BB524" s="81" t="s">
        <v>11359</v>
      </c>
      <c r="BC524" s="81" t="s">
        <v>9794</v>
      </c>
      <c r="BD524" s="77">
        <v>493423213</v>
      </c>
      <c r="BE524" s="77"/>
      <c r="BF524" s="77"/>
      <c r="BG524" s="77"/>
      <c r="BH524" s="77"/>
      <c r="BI524" s="77"/>
    </row>
    <row r="525" spans="1:61" x14ac:dyDescent="0.25">
      <c r="A525" s="62" t="s">
        <v>428</v>
      </c>
      <c r="B525" s="62" t="s">
        <v>428</v>
      </c>
      <c r="C525" s="63"/>
      <c r="D525" s="64"/>
      <c r="E525" s="65"/>
      <c r="F525" s="66"/>
      <c r="G525" s="63"/>
      <c r="H525" s="67"/>
      <c r="I525" s="68"/>
      <c r="J525" s="68"/>
      <c r="K525" s="32"/>
      <c r="L525" s="75">
        <v>525</v>
      </c>
      <c r="M525" s="75"/>
      <c r="N525" s="70"/>
      <c r="O525" s="77" t="s">
        <v>179</v>
      </c>
      <c r="P525" s="79">
        <v>45186.632280092592</v>
      </c>
      <c r="Q525" s="77" t="s">
        <v>1473</v>
      </c>
      <c r="R525" s="77">
        <v>0</v>
      </c>
      <c r="S525" s="77">
        <v>0</v>
      </c>
      <c r="T525" s="77">
        <v>0</v>
      </c>
      <c r="U525" s="77">
        <v>0</v>
      </c>
      <c r="V525" s="77">
        <v>49</v>
      </c>
      <c r="W525" s="81" t="s">
        <v>3273</v>
      </c>
      <c r="X525" s="77"/>
      <c r="Y525" s="77"/>
      <c r="Z525" s="77"/>
      <c r="AA525" s="77" t="s">
        <v>4745</v>
      </c>
      <c r="AB525" s="77" t="s">
        <v>5794</v>
      </c>
      <c r="AC525" s="81" t="s">
        <v>5805</v>
      </c>
      <c r="AD525" s="77" t="s">
        <v>5850</v>
      </c>
      <c r="AE525" s="83" t="str">
        <f>HYPERLINK("https://twitter.com/tneaar/status/1703426203414081668")</f>
        <v>https://twitter.com/tneaar/status/1703426203414081668</v>
      </c>
      <c r="AF525" s="79">
        <v>45186.632280092592</v>
      </c>
      <c r="AG525" s="85">
        <v>45186</v>
      </c>
      <c r="AH525" s="81" t="s">
        <v>6344</v>
      </c>
      <c r="AI525" s="77" t="b">
        <v>0</v>
      </c>
      <c r="AJ525" s="77"/>
      <c r="AK525" s="77"/>
      <c r="AL525" s="77"/>
      <c r="AM525" s="77"/>
      <c r="AN525" s="77"/>
      <c r="AO525" s="77"/>
      <c r="AP525" s="77"/>
      <c r="AQ525" s="77" t="s">
        <v>8248</v>
      </c>
      <c r="AR525" s="77"/>
      <c r="AS525" s="77"/>
      <c r="AT525" s="77"/>
      <c r="AU525" s="77"/>
      <c r="AV525" s="83" t="str">
        <f>HYPERLINK("https://pbs.twimg.com/media/F6PJGb5WQAAmUKf.jpg")</f>
        <v>https://pbs.twimg.com/media/F6PJGb5WQAAmUKf.jpg</v>
      </c>
      <c r="AW525" s="81" t="s">
        <v>9795</v>
      </c>
      <c r="AX525" s="81" t="s">
        <v>9795</v>
      </c>
      <c r="AY525" s="77"/>
      <c r="AZ525" s="81" t="s">
        <v>11359</v>
      </c>
      <c r="BA525" s="81" t="s">
        <v>11359</v>
      </c>
      <c r="BB525" s="81" t="s">
        <v>11359</v>
      </c>
      <c r="BC525" s="81" t="s">
        <v>9795</v>
      </c>
      <c r="BD525" s="77">
        <v>493423213</v>
      </c>
      <c r="BE525" s="77"/>
      <c r="BF525" s="77"/>
      <c r="BG525" s="77"/>
      <c r="BH525" s="77"/>
      <c r="BI525" s="77"/>
    </row>
    <row r="526" spans="1:61" x14ac:dyDescent="0.25">
      <c r="A526" s="62" t="s">
        <v>428</v>
      </c>
      <c r="B526" s="62" t="s">
        <v>428</v>
      </c>
      <c r="C526" s="63"/>
      <c r="D526" s="64"/>
      <c r="E526" s="65"/>
      <c r="F526" s="66"/>
      <c r="G526" s="63"/>
      <c r="H526" s="67"/>
      <c r="I526" s="68"/>
      <c r="J526" s="68"/>
      <c r="K526" s="32"/>
      <c r="L526" s="75">
        <v>526</v>
      </c>
      <c r="M526" s="75"/>
      <c r="N526" s="70"/>
      <c r="O526" s="77" t="s">
        <v>179</v>
      </c>
      <c r="P526" s="79">
        <v>45180.616782407407</v>
      </c>
      <c r="Q526" s="77" t="s">
        <v>1474</v>
      </c>
      <c r="R526" s="77">
        <v>0</v>
      </c>
      <c r="S526" s="77">
        <v>0</v>
      </c>
      <c r="T526" s="77">
        <v>0</v>
      </c>
      <c r="U526" s="77">
        <v>0</v>
      </c>
      <c r="V526" s="77">
        <v>68</v>
      </c>
      <c r="W526" s="81" t="s">
        <v>3263</v>
      </c>
      <c r="X526" s="77"/>
      <c r="Y526" s="77"/>
      <c r="Z526" s="77"/>
      <c r="AA526" s="77" t="s">
        <v>4746</v>
      </c>
      <c r="AB526" s="77" t="s">
        <v>5794</v>
      </c>
      <c r="AC526" s="81" t="s">
        <v>5805</v>
      </c>
      <c r="AD526" s="77" t="s">
        <v>5850</v>
      </c>
      <c r="AE526" s="83" t="str">
        <f>HYPERLINK("https://twitter.com/tneaar/status/1701246259237912980")</f>
        <v>https://twitter.com/tneaar/status/1701246259237912980</v>
      </c>
      <c r="AF526" s="79">
        <v>45180.616782407407</v>
      </c>
      <c r="AG526" s="85">
        <v>45180</v>
      </c>
      <c r="AH526" s="81" t="s">
        <v>6345</v>
      </c>
      <c r="AI526" s="77" t="b">
        <v>0</v>
      </c>
      <c r="AJ526" s="77"/>
      <c r="AK526" s="77"/>
      <c r="AL526" s="77"/>
      <c r="AM526" s="77"/>
      <c r="AN526" s="77"/>
      <c r="AO526" s="77"/>
      <c r="AP526" s="77"/>
      <c r="AQ526" s="77" t="s">
        <v>8249</v>
      </c>
      <c r="AR526" s="77"/>
      <c r="AS526" s="77"/>
      <c r="AT526" s="77"/>
      <c r="AU526" s="77"/>
      <c r="AV526" s="83" t="str">
        <f>HYPERLINK("https://pbs.twimg.com/media/F5wKdB8W0AAH6ED.jpg")</f>
        <v>https://pbs.twimg.com/media/F5wKdB8W0AAH6ED.jpg</v>
      </c>
      <c r="AW526" s="81" t="s">
        <v>9796</v>
      </c>
      <c r="AX526" s="81" t="s">
        <v>9796</v>
      </c>
      <c r="AY526" s="77"/>
      <c r="AZ526" s="81" t="s">
        <v>11359</v>
      </c>
      <c r="BA526" s="81" t="s">
        <v>11359</v>
      </c>
      <c r="BB526" s="81" t="s">
        <v>11359</v>
      </c>
      <c r="BC526" s="81" t="s">
        <v>9796</v>
      </c>
      <c r="BD526" s="77">
        <v>493423213</v>
      </c>
      <c r="BE526" s="77"/>
      <c r="BF526" s="77"/>
      <c r="BG526" s="77"/>
      <c r="BH526" s="77"/>
      <c r="BI526" s="77"/>
    </row>
    <row r="527" spans="1:61" x14ac:dyDescent="0.25">
      <c r="A527" s="62" t="s">
        <v>428</v>
      </c>
      <c r="B527" s="62" t="s">
        <v>428</v>
      </c>
      <c r="C527" s="63"/>
      <c r="D527" s="64"/>
      <c r="E527" s="65"/>
      <c r="F527" s="66"/>
      <c r="G527" s="63"/>
      <c r="H527" s="67"/>
      <c r="I527" s="68"/>
      <c r="J527" s="68"/>
      <c r="K527" s="32"/>
      <c r="L527" s="75">
        <v>527</v>
      </c>
      <c r="M527" s="75"/>
      <c r="N527" s="70"/>
      <c r="O527" s="77" t="s">
        <v>179</v>
      </c>
      <c r="P527" s="79">
        <v>45180.61414351852</v>
      </c>
      <c r="Q527" s="77" t="s">
        <v>1475</v>
      </c>
      <c r="R527" s="77">
        <v>0</v>
      </c>
      <c r="S527" s="77">
        <v>0</v>
      </c>
      <c r="T527" s="77">
        <v>0</v>
      </c>
      <c r="U527" s="77">
        <v>0</v>
      </c>
      <c r="V527" s="77">
        <v>43</v>
      </c>
      <c r="W527" s="81" t="s">
        <v>3272</v>
      </c>
      <c r="X527" s="77"/>
      <c r="Y527" s="77"/>
      <c r="Z527" s="77"/>
      <c r="AA527" s="77" t="s">
        <v>4747</v>
      </c>
      <c r="AB527" s="77" t="s">
        <v>5794</v>
      </c>
      <c r="AC527" s="81" t="s">
        <v>5805</v>
      </c>
      <c r="AD527" s="77" t="s">
        <v>5850</v>
      </c>
      <c r="AE527" s="83" t="str">
        <f>HYPERLINK("https://twitter.com/tneaar/status/1701245302034878749")</f>
        <v>https://twitter.com/tneaar/status/1701245302034878749</v>
      </c>
      <c r="AF527" s="79">
        <v>45180.61414351852</v>
      </c>
      <c r="AG527" s="85">
        <v>45180</v>
      </c>
      <c r="AH527" s="81" t="s">
        <v>6346</v>
      </c>
      <c r="AI527" s="77" t="b">
        <v>0</v>
      </c>
      <c r="AJ527" s="77"/>
      <c r="AK527" s="77"/>
      <c r="AL527" s="77"/>
      <c r="AM527" s="77"/>
      <c r="AN527" s="77"/>
      <c r="AO527" s="77"/>
      <c r="AP527" s="77"/>
      <c r="AQ527" s="77" t="s">
        <v>8250</v>
      </c>
      <c r="AR527" s="77"/>
      <c r="AS527" s="77"/>
      <c r="AT527" s="77"/>
      <c r="AU527" s="77"/>
      <c r="AV527" s="83" t="str">
        <f>HYPERLINK("https://pbs.twimg.com/media/F5wJlWsXsAAZqhS.jpg")</f>
        <v>https://pbs.twimg.com/media/F5wJlWsXsAAZqhS.jpg</v>
      </c>
      <c r="AW527" s="81" t="s">
        <v>9797</v>
      </c>
      <c r="AX527" s="81" t="s">
        <v>9797</v>
      </c>
      <c r="AY527" s="77"/>
      <c r="AZ527" s="81" t="s">
        <v>11359</v>
      </c>
      <c r="BA527" s="81" t="s">
        <v>11359</v>
      </c>
      <c r="BB527" s="81" t="s">
        <v>11359</v>
      </c>
      <c r="BC527" s="81" t="s">
        <v>9797</v>
      </c>
      <c r="BD527" s="77">
        <v>493423213</v>
      </c>
      <c r="BE527" s="77"/>
      <c r="BF527" s="77"/>
      <c r="BG527" s="77"/>
      <c r="BH527" s="77"/>
      <c r="BI527" s="77"/>
    </row>
    <row r="528" spans="1:61" x14ac:dyDescent="0.25">
      <c r="A528" s="62" t="s">
        <v>428</v>
      </c>
      <c r="B528" s="62" t="s">
        <v>428</v>
      </c>
      <c r="C528" s="63"/>
      <c r="D528" s="64"/>
      <c r="E528" s="65"/>
      <c r="F528" s="66"/>
      <c r="G528" s="63"/>
      <c r="H528" s="67"/>
      <c r="I528" s="68"/>
      <c r="J528" s="68"/>
      <c r="K528" s="32"/>
      <c r="L528" s="75">
        <v>528</v>
      </c>
      <c r="M528" s="75"/>
      <c r="N528" s="70"/>
      <c r="O528" s="77" t="s">
        <v>179</v>
      </c>
      <c r="P528" s="79">
        <v>45180.600335648145</v>
      </c>
      <c r="Q528" s="77" t="s">
        <v>1476</v>
      </c>
      <c r="R528" s="77">
        <v>0</v>
      </c>
      <c r="S528" s="77">
        <v>0</v>
      </c>
      <c r="T528" s="77">
        <v>0</v>
      </c>
      <c r="U528" s="77">
        <v>0</v>
      </c>
      <c r="V528" s="77">
        <v>48</v>
      </c>
      <c r="W528" s="81" t="s">
        <v>3279</v>
      </c>
      <c r="X528" s="77"/>
      <c r="Y528" s="77"/>
      <c r="Z528" s="77"/>
      <c r="AA528" s="77" t="s">
        <v>4748</v>
      </c>
      <c r="AB528" s="77" t="s">
        <v>5794</v>
      </c>
      <c r="AC528" s="81" t="s">
        <v>5805</v>
      </c>
      <c r="AD528" s="77" t="s">
        <v>5850</v>
      </c>
      <c r="AE528" s="83" t="str">
        <f>HYPERLINK("https://twitter.com/tneaar/status/1701240301048758329")</f>
        <v>https://twitter.com/tneaar/status/1701240301048758329</v>
      </c>
      <c r="AF528" s="79">
        <v>45180.600335648145</v>
      </c>
      <c r="AG528" s="85">
        <v>45180</v>
      </c>
      <c r="AH528" s="81" t="s">
        <v>6347</v>
      </c>
      <c r="AI528" s="77" t="b">
        <v>0</v>
      </c>
      <c r="AJ528" s="77"/>
      <c r="AK528" s="77"/>
      <c r="AL528" s="77"/>
      <c r="AM528" s="77"/>
      <c r="AN528" s="77"/>
      <c r="AO528" s="77"/>
      <c r="AP528" s="77"/>
      <c r="AQ528" s="77" t="s">
        <v>8251</v>
      </c>
      <c r="AR528" s="77"/>
      <c r="AS528" s="77"/>
      <c r="AT528" s="77"/>
      <c r="AU528" s="77"/>
      <c r="AV528" s="83" t="str">
        <f>HYPERLINK("https://pbs.twimg.com/media/F5wFCPcXsAAjjw3.jpg")</f>
        <v>https://pbs.twimg.com/media/F5wFCPcXsAAjjw3.jpg</v>
      </c>
      <c r="AW528" s="81" t="s">
        <v>9798</v>
      </c>
      <c r="AX528" s="81" t="s">
        <v>9798</v>
      </c>
      <c r="AY528" s="77"/>
      <c r="AZ528" s="81" t="s">
        <v>11359</v>
      </c>
      <c r="BA528" s="81" t="s">
        <v>11359</v>
      </c>
      <c r="BB528" s="81" t="s">
        <v>11359</v>
      </c>
      <c r="BC528" s="81" t="s">
        <v>9798</v>
      </c>
      <c r="BD528" s="77">
        <v>493423213</v>
      </c>
      <c r="BE528" s="77"/>
      <c r="BF528" s="77"/>
      <c r="BG528" s="77"/>
      <c r="BH528" s="77"/>
      <c r="BI528" s="77"/>
    </row>
    <row r="529" spans="1:61" x14ac:dyDescent="0.25">
      <c r="A529" s="62" t="s">
        <v>428</v>
      </c>
      <c r="B529" s="62" t="s">
        <v>428</v>
      </c>
      <c r="C529" s="63"/>
      <c r="D529" s="64"/>
      <c r="E529" s="65"/>
      <c r="F529" s="66"/>
      <c r="G529" s="63"/>
      <c r="H529" s="67"/>
      <c r="I529" s="68"/>
      <c r="J529" s="68"/>
      <c r="K529" s="32"/>
      <c r="L529" s="75">
        <v>529</v>
      </c>
      <c r="M529" s="75"/>
      <c r="N529" s="70"/>
      <c r="O529" s="77" t="s">
        <v>179</v>
      </c>
      <c r="P529" s="79">
        <v>45180.594097222223</v>
      </c>
      <c r="Q529" s="77" t="s">
        <v>1477</v>
      </c>
      <c r="R529" s="77">
        <v>0</v>
      </c>
      <c r="S529" s="77">
        <v>0</v>
      </c>
      <c r="T529" s="77">
        <v>0</v>
      </c>
      <c r="U529" s="77">
        <v>0</v>
      </c>
      <c r="V529" s="77">
        <v>44</v>
      </c>
      <c r="W529" s="81" t="s">
        <v>3280</v>
      </c>
      <c r="X529" s="77"/>
      <c r="Y529" s="77"/>
      <c r="Z529" s="77"/>
      <c r="AA529" s="77" t="s">
        <v>4749</v>
      </c>
      <c r="AB529" s="77" t="s">
        <v>5794</v>
      </c>
      <c r="AC529" s="81" t="s">
        <v>5805</v>
      </c>
      <c r="AD529" s="77" t="s">
        <v>5850</v>
      </c>
      <c r="AE529" s="83" t="str">
        <f>HYPERLINK("https://twitter.com/tneaar/status/1701238038272057531")</f>
        <v>https://twitter.com/tneaar/status/1701238038272057531</v>
      </c>
      <c r="AF529" s="79">
        <v>45180.594097222223</v>
      </c>
      <c r="AG529" s="85">
        <v>45180</v>
      </c>
      <c r="AH529" s="81" t="s">
        <v>6348</v>
      </c>
      <c r="AI529" s="77" t="b">
        <v>0</v>
      </c>
      <c r="AJ529" s="77"/>
      <c r="AK529" s="77"/>
      <c r="AL529" s="77"/>
      <c r="AM529" s="77"/>
      <c r="AN529" s="77"/>
      <c r="AO529" s="77"/>
      <c r="AP529" s="77"/>
      <c r="AQ529" s="77" t="s">
        <v>8252</v>
      </c>
      <c r="AR529" s="77"/>
      <c r="AS529" s="77"/>
      <c r="AT529" s="77"/>
      <c r="AU529" s="77"/>
      <c r="AV529" s="83" t="str">
        <f>HYPERLINK("https://pbs.twimg.com/media/F5wC-hqWcAAUwpi.jpg")</f>
        <v>https://pbs.twimg.com/media/F5wC-hqWcAAUwpi.jpg</v>
      </c>
      <c r="AW529" s="81" t="s">
        <v>9799</v>
      </c>
      <c r="AX529" s="81" t="s">
        <v>9799</v>
      </c>
      <c r="AY529" s="77"/>
      <c r="AZ529" s="81" t="s">
        <v>11359</v>
      </c>
      <c r="BA529" s="81" t="s">
        <v>11359</v>
      </c>
      <c r="BB529" s="81" t="s">
        <v>11359</v>
      </c>
      <c r="BC529" s="81" t="s">
        <v>9799</v>
      </c>
      <c r="BD529" s="77">
        <v>493423213</v>
      </c>
      <c r="BE529" s="77"/>
      <c r="BF529" s="77"/>
      <c r="BG529" s="77"/>
      <c r="BH529" s="77"/>
      <c r="BI529" s="77"/>
    </row>
    <row r="530" spans="1:61" x14ac:dyDescent="0.25">
      <c r="A530" s="62" t="s">
        <v>428</v>
      </c>
      <c r="B530" s="62" t="s">
        <v>428</v>
      </c>
      <c r="C530" s="63"/>
      <c r="D530" s="64"/>
      <c r="E530" s="65"/>
      <c r="F530" s="66"/>
      <c r="G530" s="63"/>
      <c r="H530" s="67"/>
      <c r="I530" s="68"/>
      <c r="J530" s="68"/>
      <c r="K530" s="32"/>
      <c r="L530" s="75">
        <v>530</v>
      </c>
      <c r="M530" s="75"/>
      <c r="N530" s="70"/>
      <c r="O530" s="77" t="s">
        <v>179</v>
      </c>
      <c r="P530" s="79">
        <v>45170.073807870373</v>
      </c>
      <c r="Q530" s="77" t="s">
        <v>1478</v>
      </c>
      <c r="R530" s="77">
        <v>0</v>
      </c>
      <c r="S530" s="77">
        <v>0</v>
      </c>
      <c r="T530" s="77">
        <v>0</v>
      </c>
      <c r="U530" s="77">
        <v>0</v>
      </c>
      <c r="V530" s="77">
        <v>166</v>
      </c>
      <c r="W530" s="81" t="s">
        <v>3260</v>
      </c>
      <c r="X530" s="77"/>
      <c r="Y530" s="77"/>
      <c r="Z530" s="77"/>
      <c r="AA530" s="77" t="s">
        <v>4750</v>
      </c>
      <c r="AB530" s="77" t="s">
        <v>5794</v>
      </c>
      <c r="AC530" s="81" t="s">
        <v>5805</v>
      </c>
      <c r="AD530" s="77" t="s">
        <v>5850</v>
      </c>
      <c r="AE530" s="83" t="str">
        <f>HYPERLINK("https://twitter.com/tneaar/status/1697425611164106780")</f>
        <v>https://twitter.com/tneaar/status/1697425611164106780</v>
      </c>
      <c r="AF530" s="79">
        <v>45170.073807870373</v>
      </c>
      <c r="AG530" s="85">
        <v>45170</v>
      </c>
      <c r="AH530" s="81" t="s">
        <v>6349</v>
      </c>
      <c r="AI530" s="77" t="b">
        <v>0</v>
      </c>
      <c r="AJ530" s="77"/>
      <c r="AK530" s="77"/>
      <c r="AL530" s="77"/>
      <c r="AM530" s="77"/>
      <c r="AN530" s="77"/>
      <c r="AO530" s="77"/>
      <c r="AP530" s="77"/>
      <c r="AQ530" s="77" t="s">
        <v>8253</v>
      </c>
      <c r="AR530" s="77"/>
      <c r="AS530" s="77"/>
      <c r="AT530" s="77"/>
      <c r="AU530" s="77"/>
      <c r="AV530" s="83" t="str">
        <f>HYPERLINK("https://pbs.twimg.com/media/F453mDKXoAAhp9i.jpg")</f>
        <v>https://pbs.twimg.com/media/F453mDKXoAAhp9i.jpg</v>
      </c>
      <c r="AW530" s="81" t="s">
        <v>9800</v>
      </c>
      <c r="AX530" s="81" t="s">
        <v>9800</v>
      </c>
      <c r="AY530" s="77"/>
      <c r="AZ530" s="81" t="s">
        <v>11359</v>
      </c>
      <c r="BA530" s="81" t="s">
        <v>11359</v>
      </c>
      <c r="BB530" s="81" t="s">
        <v>11359</v>
      </c>
      <c r="BC530" s="81" t="s">
        <v>9800</v>
      </c>
      <c r="BD530" s="77">
        <v>493423213</v>
      </c>
      <c r="BE530" s="77"/>
      <c r="BF530" s="77"/>
      <c r="BG530" s="77"/>
      <c r="BH530" s="77"/>
      <c r="BI530" s="77"/>
    </row>
    <row r="531" spans="1:61" x14ac:dyDescent="0.25">
      <c r="A531" s="62" t="s">
        <v>428</v>
      </c>
      <c r="B531" s="62" t="s">
        <v>428</v>
      </c>
      <c r="C531" s="63"/>
      <c r="D531" s="64"/>
      <c r="E531" s="65"/>
      <c r="F531" s="66"/>
      <c r="G531" s="63"/>
      <c r="H531" s="67"/>
      <c r="I531" s="68"/>
      <c r="J531" s="68"/>
      <c r="K531" s="32"/>
      <c r="L531" s="75">
        <v>531</v>
      </c>
      <c r="M531" s="75"/>
      <c r="N531" s="70"/>
      <c r="O531" s="77" t="s">
        <v>179</v>
      </c>
      <c r="P531" s="79">
        <v>45168.657465277778</v>
      </c>
      <c r="Q531" s="77" t="s">
        <v>1479</v>
      </c>
      <c r="R531" s="77">
        <v>0</v>
      </c>
      <c r="S531" s="77">
        <v>1</v>
      </c>
      <c r="T531" s="77">
        <v>0</v>
      </c>
      <c r="U531" s="77">
        <v>0</v>
      </c>
      <c r="V531" s="77">
        <v>161</v>
      </c>
      <c r="W531" s="81" t="s">
        <v>3280</v>
      </c>
      <c r="X531" s="77"/>
      <c r="Y531" s="77"/>
      <c r="Z531" s="77"/>
      <c r="AA531" s="77" t="s">
        <v>4751</v>
      </c>
      <c r="AB531" s="77" t="s">
        <v>5794</v>
      </c>
      <c r="AC531" s="81" t="s">
        <v>5805</v>
      </c>
      <c r="AD531" s="77" t="s">
        <v>5850</v>
      </c>
      <c r="AE531" s="83" t="str">
        <f>HYPERLINK("https://twitter.com/tneaar/status/1696912348278042662")</f>
        <v>https://twitter.com/tneaar/status/1696912348278042662</v>
      </c>
      <c r="AF531" s="79">
        <v>45168.657465277778</v>
      </c>
      <c r="AG531" s="85">
        <v>45168</v>
      </c>
      <c r="AH531" s="81" t="s">
        <v>6350</v>
      </c>
      <c r="AI531" s="77" t="b">
        <v>0</v>
      </c>
      <c r="AJ531" s="77"/>
      <c r="AK531" s="77"/>
      <c r="AL531" s="77"/>
      <c r="AM531" s="77"/>
      <c r="AN531" s="77"/>
      <c r="AO531" s="77"/>
      <c r="AP531" s="77"/>
      <c r="AQ531" s="77" t="s">
        <v>8254</v>
      </c>
      <c r="AR531" s="77"/>
      <c r="AS531" s="77"/>
      <c r="AT531" s="77"/>
      <c r="AU531" s="77"/>
      <c r="AV531" s="83" t="str">
        <f>HYPERLINK("https://pbs.twimg.com/media/F4ykyR2XoAAA3Pz.jpg")</f>
        <v>https://pbs.twimg.com/media/F4ykyR2XoAAA3Pz.jpg</v>
      </c>
      <c r="AW531" s="81" t="s">
        <v>9801</v>
      </c>
      <c r="AX531" s="81" t="s">
        <v>9801</v>
      </c>
      <c r="AY531" s="77"/>
      <c r="AZ531" s="81" t="s">
        <v>11359</v>
      </c>
      <c r="BA531" s="81" t="s">
        <v>11359</v>
      </c>
      <c r="BB531" s="81" t="s">
        <v>11359</v>
      </c>
      <c r="BC531" s="81" t="s">
        <v>9801</v>
      </c>
      <c r="BD531" s="77">
        <v>493423213</v>
      </c>
      <c r="BE531" s="77"/>
      <c r="BF531" s="77"/>
      <c r="BG531" s="77"/>
      <c r="BH531" s="77"/>
      <c r="BI531" s="77"/>
    </row>
    <row r="532" spans="1:61" x14ac:dyDescent="0.25">
      <c r="A532" s="62" t="s">
        <v>428</v>
      </c>
      <c r="B532" s="62" t="s">
        <v>428</v>
      </c>
      <c r="C532" s="63"/>
      <c r="D532" s="64"/>
      <c r="E532" s="65"/>
      <c r="F532" s="66"/>
      <c r="G532" s="63"/>
      <c r="H532" s="67"/>
      <c r="I532" s="68"/>
      <c r="J532" s="68"/>
      <c r="K532" s="32"/>
      <c r="L532" s="75">
        <v>532</v>
      </c>
      <c r="M532" s="75"/>
      <c r="N532" s="70"/>
      <c r="O532" s="77" t="s">
        <v>179</v>
      </c>
      <c r="P532" s="79">
        <v>45160.536851851852</v>
      </c>
      <c r="Q532" s="77" t="s">
        <v>1480</v>
      </c>
      <c r="R532" s="77">
        <v>0</v>
      </c>
      <c r="S532" s="77">
        <v>0</v>
      </c>
      <c r="T532" s="77">
        <v>0</v>
      </c>
      <c r="U532" s="77">
        <v>0</v>
      </c>
      <c r="V532" s="77">
        <v>105</v>
      </c>
      <c r="W532" s="81" t="s">
        <v>3261</v>
      </c>
      <c r="X532" s="77"/>
      <c r="Y532" s="77"/>
      <c r="Z532" s="77"/>
      <c r="AA532" s="77" t="s">
        <v>4752</v>
      </c>
      <c r="AB532" s="77" t="s">
        <v>5794</v>
      </c>
      <c r="AC532" s="81" t="s">
        <v>5805</v>
      </c>
      <c r="AD532" s="77" t="s">
        <v>5850</v>
      </c>
      <c r="AE532" s="83" t="str">
        <f>HYPERLINK("https://twitter.com/tneaar/status/1693969535852777957")</f>
        <v>https://twitter.com/tneaar/status/1693969535852777957</v>
      </c>
      <c r="AF532" s="79">
        <v>45160.536851851852</v>
      </c>
      <c r="AG532" s="85">
        <v>45160</v>
      </c>
      <c r="AH532" s="81" t="s">
        <v>6351</v>
      </c>
      <c r="AI532" s="77" t="b">
        <v>0</v>
      </c>
      <c r="AJ532" s="77"/>
      <c r="AK532" s="77"/>
      <c r="AL532" s="77"/>
      <c r="AM532" s="77"/>
      <c r="AN532" s="77"/>
      <c r="AO532" s="77"/>
      <c r="AP532" s="77"/>
      <c r="AQ532" s="77" t="s">
        <v>8255</v>
      </c>
      <c r="AR532" s="77"/>
      <c r="AS532" s="77"/>
      <c r="AT532" s="77"/>
      <c r="AU532" s="77"/>
      <c r="AV532" s="83" t="str">
        <f>HYPERLINK("https://pbs.twimg.com/media/F4IwTgJWcAEDlLd.jpg")</f>
        <v>https://pbs.twimg.com/media/F4IwTgJWcAEDlLd.jpg</v>
      </c>
      <c r="AW532" s="81" t="s">
        <v>9802</v>
      </c>
      <c r="AX532" s="81" t="s">
        <v>9802</v>
      </c>
      <c r="AY532" s="77"/>
      <c r="AZ532" s="81" t="s">
        <v>11359</v>
      </c>
      <c r="BA532" s="81" t="s">
        <v>11359</v>
      </c>
      <c r="BB532" s="81" t="s">
        <v>11359</v>
      </c>
      <c r="BC532" s="81" t="s">
        <v>9802</v>
      </c>
      <c r="BD532" s="77">
        <v>493423213</v>
      </c>
      <c r="BE532" s="77"/>
      <c r="BF532" s="77"/>
      <c r="BG532" s="77"/>
      <c r="BH532" s="77"/>
      <c r="BI532" s="77"/>
    </row>
    <row r="533" spans="1:61" x14ac:dyDescent="0.25">
      <c r="A533" s="62" t="s">
        <v>428</v>
      </c>
      <c r="B533" s="62" t="s">
        <v>428</v>
      </c>
      <c r="C533" s="63"/>
      <c r="D533" s="64"/>
      <c r="E533" s="65"/>
      <c r="F533" s="66"/>
      <c r="G533" s="63"/>
      <c r="H533" s="67"/>
      <c r="I533" s="68"/>
      <c r="J533" s="68"/>
      <c r="K533" s="32"/>
      <c r="L533" s="75">
        <v>533</v>
      </c>
      <c r="M533" s="75"/>
      <c r="N533" s="70"/>
      <c r="O533" s="77" t="s">
        <v>179</v>
      </c>
      <c r="P533" s="79">
        <v>45160.520671296297</v>
      </c>
      <c r="Q533" s="77" t="s">
        <v>1481</v>
      </c>
      <c r="R533" s="77">
        <v>0</v>
      </c>
      <c r="S533" s="77">
        <v>0</v>
      </c>
      <c r="T533" s="77">
        <v>0</v>
      </c>
      <c r="U533" s="77">
        <v>0</v>
      </c>
      <c r="V533" s="77">
        <v>64</v>
      </c>
      <c r="W533" s="81" t="s">
        <v>3247</v>
      </c>
      <c r="X533" s="77"/>
      <c r="Y533" s="77"/>
      <c r="Z533" s="77"/>
      <c r="AA533" s="77" t="s">
        <v>4753</v>
      </c>
      <c r="AB533" s="77" t="s">
        <v>5794</v>
      </c>
      <c r="AC533" s="81" t="s">
        <v>5805</v>
      </c>
      <c r="AD533" s="77" t="s">
        <v>5850</v>
      </c>
      <c r="AE533" s="83" t="str">
        <f>HYPERLINK("https://twitter.com/tneaar/status/1693963671393783924")</f>
        <v>https://twitter.com/tneaar/status/1693963671393783924</v>
      </c>
      <c r="AF533" s="79">
        <v>45160.520671296297</v>
      </c>
      <c r="AG533" s="85">
        <v>45160</v>
      </c>
      <c r="AH533" s="81" t="s">
        <v>6352</v>
      </c>
      <c r="AI533" s="77" t="b">
        <v>0</v>
      </c>
      <c r="AJ533" s="77"/>
      <c r="AK533" s="77"/>
      <c r="AL533" s="77"/>
      <c r="AM533" s="77"/>
      <c r="AN533" s="77"/>
      <c r="AO533" s="77"/>
      <c r="AP533" s="77"/>
      <c r="AQ533" s="77" t="s">
        <v>8256</v>
      </c>
      <c r="AR533" s="77"/>
      <c r="AS533" s="77"/>
      <c r="AT533" s="77"/>
      <c r="AU533" s="77"/>
      <c r="AV533" s="83" t="str">
        <f>HYPERLINK("https://pbs.twimg.com/media/F4Iq9vmW0AA18fA.jpg")</f>
        <v>https://pbs.twimg.com/media/F4Iq9vmW0AA18fA.jpg</v>
      </c>
      <c r="AW533" s="81" t="s">
        <v>9803</v>
      </c>
      <c r="AX533" s="81" t="s">
        <v>9803</v>
      </c>
      <c r="AY533" s="77"/>
      <c r="AZ533" s="81" t="s">
        <v>11359</v>
      </c>
      <c r="BA533" s="81" t="s">
        <v>11359</v>
      </c>
      <c r="BB533" s="81" t="s">
        <v>11359</v>
      </c>
      <c r="BC533" s="81" t="s">
        <v>9803</v>
      </c>
      <c r="BD533" s="77">
        <v>493423213</v>
      </c>
      <c r="BE533" s="77"/>
      <c r="BF533" s="77"/>
      <c r="BG533" s="77"/>
      <c r="BH533" s="77"/>
      <c r="BI533" s="77"/>
    </row>
    <row r="534" spans="1:61" x14ac:dyDescent="0.25">
      <c r="A534" s="62" t="s">
        <v>428</v>
      </c>
      <c r="B534" s="62" t="s">
        <v>428</v>
      </c>
      <c r="C534" s="63"/>
      <c r="D534" s="64"/>
      <c r="E534" s="65"/>
      <c r="F534" s="66"/>
      <c r="G534" s="63"/>
      <c r="H534" s="67"/>
      <c r="I534" s="68"/>
      <c r="J534" s="68"/>
      <c r="K534" s="32"/>
      <c r="L534" s="75">
        <v>534</v>
      </c>
      <c r="M534" s="75"/>
      <c r="N534" s="70"/>
      <c r="O534" s="77" t="s">
        <v>179</v>
      </c>
      <c r="P534" s="79">
        <v>45160.508657407408</v>
      </c>
      <c r="Q534" s="77" t="s">
        <v>1482</v>
      </c>
      <c r="R534" s="77">
        <v>0</v>
      </c>
      <c r="S534" s="77">
        <v>0</v>
      </c>
      <c r="T534" s="77">
        <v>0</v>
      </c>
      <c r="U534" s="77">
        <v>0</v>
      </c>
      <c r="V534" s="77">
        <v>66</v>
      </c>
      <c r="W534" s="81" t="s">
        <v>3263</v>
      </c>
      <c r="X534" s="77"/>
      <c r="Y534" s="77"/>
      <c r="Z534" s="77"/>
      <c r="AA534" s="77" t="s">
        <v>4754</v>
      </c>
      <c r="AB534" s="77" t="s">
        <v>5794</v>
      </c>
      <c r="AC534" s="81" t="s">
        <v>5805</v>
      </c>
      <c r="AD534" s="77" t="s">
        <v>5850</v>
      </c>
      <c r="AE534" s="83" t="str">
        <f>HYPERLINK("https://twitter.com/tneaar/status/1693959320336044068")</f>
        <v>https://twitter.com/tneaar/status/1693959320336044068</v>
      </c>
      <c r="AF534" s="79">
        <v>45160.508657407408</v>
      </c>
      <c r="AG534" s="85">
        <v>45160</v>
      </c>
      <c r="AH534" s="81" t="s">
        <v>6353</v>
      </c>
      <c r="AI534" s="77" t="b">
        <v>0</v>
      </c>
      <c r="AJ534" s="77"/>
      <c r="AK534" s="77"/>
      <c r="AL534" s="77"/>
      <c r="AM534" s="77"/>
      <c r="AN534" s="77"/>
      <c r="AO534" s="77"/>
      <c r="AP534" s="77"/>
      <c r="AQ534" s="77" t="s">
        <v>8257</v>
      </c>
      <c r="AR534" s="77"/>
      <c r="AS534" s="77"/>
      <c r="AT534" s="77"/>
      <c r="AU534" s="77"/>
      <c r="AV534" s="83" t="str">
        <f>HYPERLINK("https://pbs.twimg.com/media/F4InBT6XkAEDaxL.jpg")</f>
        <v>https://pbs.twimg.com/media/F4InBT6XkAEDaxL.jpg</v>
      </c>
      <c r="AW534" s="81" t="s">
        <v>9804</v>
      </c>
      <c r="AX534" s="81" t="s">
        <v>9804</v>
      </c>
      <c r="AY534" s="77"/>
      <c r="AZ534" s="81" t="s">
        <v>11359</v>
      </c>
      <c r="BA534" s="81" t="s">
        <v>11359</v>
      </c>
      <c r="BB534" s="81" t="s">
        <v>11359</v>
      </c>
      <c r="BC534" s="81" t="s">
        <v>9804</v>
      </c>
      <c r="BD534" s="77">
        <v>493423213</v>
      </c>
      <c r="BE534" s="77"/>
      <c r="BF534" s="77"/>
      <c r="BG534" s="77"/>
      <c r="BH534" s="77"/>
      <c r="BI534" s="77"/>
    </row>
    <row r="535" spans="1:61" x14ac:dyDescent="0.25">
      <c r="A535" s="62" t="s">
        <v>428</v>
      </c>
      <c r="B535" s="62" t="s">
        <v>428</v>
      </c>
      <c r="C535" s="63"/>
      <c r="D535" s="64"/>
      <c r="E535" s="65"/>
      <c r="F535" s="66"/>
      <c r="G535" s="63"/>
      <c r="H535" s="67"/>
      <c r="I535" s="68"/>
      <c r="J535" s="68"/>
      <c r="K535" s="32"/>
      <c r="L535" s="75">
        <v>535</v>
      </c>
      <c r="M535" s="75"/>
      <c r="N535" s="70"/>
      <c r="O535" s="77" t="s">
        <v>179</v>
      </c>
      <c r="P535" s="79">
        <v>45160.50335648148</v>
      </c>
      <c r="Q535" s="77" t="s">
        <v>1483</v>
      </c>
      <c r="R535" s="77">
        <v>0</v>
      </c>
      <c r="S535" s="77">
        <v>0</v>
      </c>
      <c r="T535" s="77">
        <v>0</v>
      </c>
      <c r="U535" s="77">
        <v>0</v>
      </c>
      <c r="V535" s="77">
        <v>68</v>
      </c>
      <c r="W535" s="81" t="s">
        <v>3253</v>
      </c>
      <c r="X535" s="77"/>
      <c r="Y535" s="77"/>
      <c r="Z535" s="77"/>
      <c r="AA535" s="77" t="s">
        <v>4755</v>
      </c>
      <c r="AB535" s="77" t="s">
        <v>5794</v>
      </c>
      <c r="AC535" s="81" t="s">
        <v>5805</v>
      </c>
      <c r="AD535" s="77" t="s">
        <v>5850</v>
      </c>
      <c r="AE535" s="83" t="str">
        <f>HYPERLINK("https://twitter.com/tneaar/status/1693957398270988677")</f>
        <v>https://twitter.com/tneaar/status/1693957398270988677</v>
      </c>
      <c r="AF535" s="79">
        <v>45160.50335648148</v>
      </c>
      <c r="AG535" s="85">
        <v>45160</v>
      </c>
      <c r="AH535" s="81" t="s">
        <v>6354</v>
      </c>
      <c r="AI535" s="77" t="b">
        <v>0</v>
      </c>
      <c r="AJ535" s="77"/>
      <c r="AK535" s="77"/>
      <c r="AL535" s="77"/>
      <c r="AM535" s="77"/>
      <c r="AN535" s="77"/>
      <c r="AO535" s="77"/>
      <c r="AP535" s="77"/>
      <c r="AQ535" s="77" t="s">
        <v>8258</v>
      </c>
      <c r="AR535" s="77"/>
      <c r="AS535" s="77"/>
      <c r="AT535" s="77"/>
      <c r="AU535" s="77"/>
      <c r="AV535" s="83" t="str">
        <f>HYPERLINK("https://pbs.twimg.com/media/F4IlQihWMAIfo1c.jpg")</f>
        <v>https://pbs.twimg.com/media/F4IlQihWMAIfo1c.jpg</v>
      </c>
      <c r="AW535" s="81" t="s">
        <v>9805</v>
      </c>
      <c r="AX535" s="81" t="s">
        <v>9805</v>
      </c>
      <c r="AY535" s="77"/>
      <c r="AZ535" s="81" t="s">
        <v>11359</v>
      </c>
      <c r="BA535" s="81" t="s">
        <v>11359</v>
      </c>
      <c r="BB535" s="81" t="s">
        <v>11359</v>
      </c>
      <c r="BC535" s="81" t="s">
        <v>9805</v>
      </c>
      <c r="BD535" s="77">
        <v>493423213</v>
      </c>
      <c r="BE535" s="77"/>
      <c r="BF535" s="77"/>
      <c r="BG535" s="77"/>
      <c r="BH535" s="77"/>
      <c r="BI535" s="77"/>
    </row>
    <row r="536" spans="1:61" x14ac:dyDescent="0.25">
      <c r="A536" s="62" t="s">
        <v>428</v>
      </c>
      <c r="B536" s="62" t="s">
        <v>428</v>
      </c>
      <c r="C536" s="63"/>
      <c r="D536" s="64"/>
      <c r="E536" s="65"/>
      <c r="F536" s="66"/>
      <c r="G536" s="63"/>
      <c r="H536" s="67"/>
      <c r="I536" s="68"/>
      <c r="J536" s="68"/>
      <c r="K536" s="32"/>
      <c r="L536" s="75">
        <v>536</v>
      </c>
      <c r="M536" s="75"/>
      <c r="N536" s="70"/>
      <c r="O536" s="77" t="s">
        <v>179</v>
      </c>
      <c r="P536" s="79">
        <v>45150.005671296298</v>
      </c>
      <c r="Q536" s="77" t="s">
        <v>1484</v>
      </c>
      <c r="R536" s="77">
        <v>1</v>
      </c>
      <c r="S536" s="77">
        <v>0</v>
      </c>
      <c r="T536" s="77">
        <v>0</v>
      </c>
      <c r="U536" s="77">
        <v>0</v>
      </c>
      <c r="V536" s="77">
        <v>139</v>
      </c>
      <c r="W536" s="81" t="s">
        <v>3263</v>
      </c>
      <c r="X536" s="77"/>
      <c r="Y536" s="77"/>
      <c r="Z536" s="77"/>
      <c r="AA536" s="77" t="s">
        <v>4756</v>
      </c>
      <c r="AB536" s="77" t="s">
        <v>5794</v>
      </c>
      <c r="AC536" s="81" t="s">
        <v>5805</v>
      </c>
      <c r="AD536" s="77" t="s">
        <v>5850</v>
      </c>
      <c r="AE536" s="83" t="str">
        <f>HYPERLINK("https://twitter.com/tneaar/status/1690153164035510272")</f>
        <v>https://twitter.com/tneaar/status/1690153164035510272</v>
      </c>
      <c r="AF536" s="79">
        <v>45150.005671296298</v>
      </c>
      <c r="AG536" s="85">
        <v>45150</v>
      </c>
      <c r="AH536" s="81" t="s">
        <v>6355</v>
      </c>
      <c r="AI536" s="77" t="b">
        <v>0</v>
      </c>
      <c r="AJ536" s="77"/>
      <c r="AK536" s="77"/>
      <c r="AL536" s="77"/>
      <c r="AM536" s="77"/>
      <c r="AN536" s="77"/>
      <c r="AO536" s="77"/>
      <c r="AP536" s="77"/>
      <c r="AQ536" s="77" t="s">
        <v>8259</v>
      </c>
      <c r="AR536" s="77"/>
      <c r="AS536" s="77"/>
      <c r="AT536" s="77"/>
      <c r="AU536" s="77"/>
      <c r="AV536" s="83" t="str">
        <f>HYPERLINK("https://pbs.twimg.com/media/F3ShV6cXcAAt7W1.jpg")</f>
        <v>https://pbs.twimg.com/media/F3ShV6cXcAAt7W1.jpg</v>
      </c>
      <c r="AW536" s="81" t="s">
        <v>9806</v>
      </c>
      <c r="AX536" s="81" t="s">
        <v>9806</v>
      </c>
      <c r="AY536" s="77"/>
      <c r="AZ536" s="81" t="s">
        <v>11359</v>
      </c>
      <c r="BA536" s="81" t="s">
        <v>11359</v>
      </c>
      <c r="BB536" s="81" t="s">
        <v>11359</v>
      </c>
      <c r="BC536" s="81" t="s">
        <v>9806</v>
      </c>
      <c r="BD536" s="77">
        <v>493423213</v>
      </c>
      <c r="BE536" s="77"/>
      <c r="BF536" s="77"/>
      <c r="BG536" s="77"/>
      <c r="BH536" s="77"/>
      <c r="BI536" s="77"/>
    </row>
    <row r="537" spans="1:61" x14ac:dyDescent="0.25">
      <c r="A537" s="62" t="s">
        <v>428</v>
      </c>
      <c r="B537" s="62" t="s">
        <v>428</v>
      </c>
      <c r="C537" s="63"/>
      <c r="D537" s="64"/>
      <c r="E537" s="65"/>
      <c r="F537" s="66"/>
      <c r="G537" s="63"/>
      <c r="H537" s="67"/>
      <c r="I537" s="68"/>
      <c r="J537" s="68"/>
      <c r="K537" s="32"/>
      <c r="L537" s="75">
        <v>537</v>
      </c>
      <c r="M537" s="75"/>
      <c r="N537" s="70"/>
      <c r="O537" s="77" t="s">
        <v>179</v>
      </c>
      <c r="P537" s="79">
        <v>45148.969224537039</v>
      </c>
      <c r="Q537" s="77" t="s">
        <v>1485</v>
      </c>
      <c r="R537" s="77">
        <v>0</v>
      </c>
      <c r="S537" s="77">
        <v>0</v>
      </c>
      <c r="T537" s="77">
        <v>0</v>
      </c>
      <c r="U537" s="77">
        <v>0</v>
      </c>
      <c r="V537" s="77">
        <v>89</v>
      </c>
      <c r="W537" s="81" t="s">
        <v>3253</v>
      </c>
      <c r="X537" s="77"/>
      <c r="Y537" s="77"/>
      <c r="Z537" s="77"/>
      <c r="AA537" s="77" t="s">
        <v>4757</v>
      </c>
      <c r="AB537" s="77" t="s">
        <v>5794</v>
      </c>
      <c r="AC537" s="81" t="s">
        <v>5805</v>
      </c>
      <c r="AD537" s="77" t="s">
        <v>5850</v>
      </c>
      <c r="AE537" s="83" t="str">
        <f>HYPERLINK("https://twitter.com/tneaar/status/1689777568138829824")</f>
        <v>https://twitter.com/tneaar/status/1689777568138829824</v>
      </c>
      <c r="AF537" s="79">
        <v>45148.969224537039</v>
      </c>
      <c r="AG537" s="85">
        <v>45148</v>
      </c>
      <c r="AH537" s="81" t="s">
        <v>6356</v>
      </c>
      <c r="AI537" s="77" t="b">
        <v>0</v>
      </c>
      <c r="AJ537" s="77"/>
      <c r="AK537" s="77"/>
      <c r="AL537" s="77"/>
      <c r="AM537" s="77"/>
      <c r="AN537" s="77"/>
      <c r="AO537" s="77"/>
      <c r="AP537" s="77"/>
      <c r="AQ537" s="77" t="s">
        <v>8260</v>
      </c>
      <c r="AR537" s="77"/>
      <c r="AS537" s="77"/>
      <c r="AT537" s="77"/>
      <c r="AU537" s="77"/>
      <c r="AV537" s="83" t="str">
        <f>HYPERLINK("https://pbs.twimg.com/media/F3NLvN0XUAIf1Yo.jpg")</f>
        <v>https://pbs.twimg.com/media/F3NLvN0XUAIf1Yo.jpg</v>
      </c>
      <c r="AW537" s="81" t="s">
        <v>9807</v>
      </c>
      <c r="AX537" s="81" t="s">
        <v>9807</v>
      </c>
      <c r="AY537" s="77"/>
      <c r="AZ537" s="81" t="s">
        <v>11359</v>
      </c>
      <c r="BA537" s="81" t="s">
        <v>11359</v>
      </c>
      <c r="BB537" s="81" t="s">
        <v>11359</v>
      </c>
      <c r="BC537" s="81" t="s">
        <v>9807</v>
      </c>
      <c r="BD537" s="77">
        <v>493423213</v>
      </c>
      <c r="BE537" s="77"/>
      <c r="BF537" s="77"/>
      <c r="BG537" s="77"/>
      <c r="BH537" s="77"/>
      <c r="BI537" s="77"/>
    </row>
    <row r="538" spans="1:61" x14ac:dyDescent="0.25">
      <c r="A538" s="62" t="s">
        <v>428</v>
      </c>
      <c r="B538" s="62" t="s">
        <v>428</v>
      </c>
      <c r="C538" s="63"/>
      <c r="D538" s="64"/>
      <c r="E538" s="65"/>
      <c r="F538" s="66"/>
      <c r="G538" s="63"/>
      <c r="H538" s="67"/>
      <c r="I538" s="68"/>
      <c r="J538" s="68"/>
      <c r="K538" s="32"/>
      <c r="L538" s="75">
        <v>538</v>
      </c>
      <c r="M538" s="75"/>
      <c r="N538" s="70"/>
      <c r="O538" s="77" t="s">
        <v>179</v>
      </c>
      <c r="P538" s="79">
        <v>45148.922083333331</v>
      </c>
      <c r="Q538" s="77" t="s">
        <v>1486</v>
      </c>
      <c r="R538" s="77">
        <v>0</v>
      </c>
      <c r="S538" s="77">
        <v>0</v>
      </c>
      <c r="T538" s="77">
        <v>0</v>
      </c>
      <c r="U538" s="77">
        <v>0</v>
      </c>
      <c r="V538" s="77">
        <v>115</v>
      </c>
      <c r="W538" s="81" t="s">
        <v>3244</v>
      </c>
      <c r="X538" s="77"/>
      <c r="Y538" s="77"/>
      <c r="Z538" s="77"/>
      <c r="AA538" s="77" t="s">
        <v>4758</v>
      </c>
      <c r="AB538" s="77" t="s">
        <v>5794</v>
      </c>
      <c r="AC538" s="81" t="s">
        <v>5805</v>
      </c>
      <c r="AD538" s="77" t="s">
        <v>5850</v>
      </c>
      <c r="AE538" s="83" t="str">
        <f>HYPERLINK("https://twitter.com/tneaar/status/1689760486185742337")</f>
        <v>https://twitter.com/tneaar/status/1689760486185742337</v>
      </c>
      <c r="AF538" s="79">
        <v>45148.922083333331</v>
      </c>
      <c r="AG538" s="85">
        <v>45148</v>
      </c>
      <c r="AH538" s="81" t="s">
        <v>6357</v>
      </c>
      <c r="AI538" s="77" t="b">
        <v>0</v>
      </c>
      <c r="AJ538" s="77"/>
      <c r="AK538" s="77"/>
      <c r="AL538" s="77"/>
      <c r="AM538" s="77"/>
      <c r="AN538" s="77"/>
      <c r="AO538" s="77"/>
      <c r="AP538" s="77"/>
      <c r="AQ538" s="77" t="s">
        <v>8261</v>
      </c>
      <c r="AR538" s="77"/>
      <c r="AS538" s="77"/>
      <c r="AT538" s="77"/>
      <c r="AU538" s="77"/>
      <c r="AV538" s="83" t="str">
        <f>HYPERLINK("https://pbs.twimg.com/media/F3M8M9jXUAArLFr.jpg")</f>
        <v>https://pbs.twimg.com/media/F3M8M9jXUAArLFr.jpg</v>
      </c>
      <c r="AW538" s="81" t="s">
        <v>9808</v>
      </c>
      <c r="AX538" s="81" t="s">
        <v>9808</v>
      </c>
      <c r="AY538" s="77"/>
      <c r="AZ538" s="81" t="s">
        <v>11359</v>
      </c>
      <c r="BA538" s="81" t="s">
        <v>11359</v>
      </c>
      <c r="BB538" s="81" t="s">
        <v>11359</v>
      </c>
      <c r="BC538" s="81" t="s">
        <v>9808</v>
      </c>
      <c r="BD538" s="77">
        <v>493423213</v>
      </c>
      <c r="BE538" s="77"/>
      <c r="BF538" s="77"/>
      <c r="BG538" s="77"/>
      <c r="BH538" s="77"/>
      <c r="BI538" s="77"/>
    </row>
    <row r="539" spans="1:61" x14ac:dyDescent="0.25">
      <c r="A539" s="62" t="s">
        <v>428</v>
      </c>
      <c r="B539" s="62" t="s">
        <v>428</v>
      </c>
      <c r="C539" s="63"/>
      <c r="D539" s="64"/>
      <c r="E539" s="65"/>
      <c r="F539" s="66"/>
      <c r="G539" s="63"/>
      <c r="H539" s="67"/>
      <c r="I539" s="68"/>
      <c r="J539" s="68"/>
      <c r="K539" s="32"/>
      <c r="L539" s="75">
        <v>539</v>
      </c>
      <c r="M539" s="75"/>
      <c r="N539" s="70"/>
      <c r="O539" s="77" t="s">
        <v>179</v>
      </c>
      <c r="P539" s="79">
        <v>45096.712696759256</v>
      </c>
      <c r="Q539" s="77" t="s">
        <v>1487</v>
      </c>
      <c r="R539" s="77">
        <v>0</v>
      </c>
      <c r="S539" s="77">
        <v>0</v>
      </c>
      <c r="T539" s="77">
        <v>0</v>
      </c>
      <c r="U539" s="77">
        <v>0</v>
      </c>
      <c r="V539" s="77">
        <v>113</v>
      </c>
      <c r="W539" s="81" t="s">
        <v>3248</v>
      </c>
      <c r="X539" s="77"/>
      <c r="Y539" s="77"/>
      <c r="Z539" s="77"/>
      <c r="AA539" s="77" t="s">
        <v>4759</v>
      </c>
      <c r="AB539" s="77" t="s">
        <v>5794</v>
      </c>
      <c r="AC539" s="81" t="s">
        <v>5805</v>
      </c>
      <c r="AD539" s="77" t="s">
        <v>5850</v>
      </c>
      <c r="AE539" s="83" t="str">
        <f>HYPERLINK("https://twitter.com/tneaar/status/1670840437987328009")</f>
        <v>https://twitter.com/tneaar/status/1670840437987328009</v>
      </c>
      <c r="AF539" s="79">
        <v>45096.712696759256</v>
      </c>
      <c r="AG539" s="85">
        <v>45096</v>
      </c>
      <c r="AH539" s="81" t="s">
        <v>6358</v>
      </c>
      <c r="AI539" s="77" t="b">
        <v>0</v>
      </c>
      <c r="AJ539" s="77"/>
      <c r="AK539" s="77"/>
      <c r="AL539" s="77"/>
      <c r="AM539" s="77"/>
      <c r="AN539" s="77"/>
      <c r="AO539" s="77"/>
      <c r="AP539" s="77"/>
      <c r="AQ539" s="77" t="s">
        <v>8262</v>
      </c>
      <c r="AR539" s="77"/>
      <c r="AS539" s="77"/>
      <c r="AT539" s="77"/>
      <c r="AU539" s="77"/>
      <c r="AV539" s="83" t="str">
        <f>HYPERLINK("https://pbs.twimg.com/media/FzAEhPzXwAcOXmw.jpg")</f>
        <v>https://pbs.twimg.com/media/FzAEhPzXwAcOXmw.jpg</v>
      </c>
      <c r="AW539" s="81" t="s">
        <v>9809</v>
      </c>
      <c r="AX539" s="81" t="s">
        <v>9809</v>
      </c>
      <c r="AY539" s="77"/>
      <c r="AZ539" s="81" t="s">
        <v>11359</v>
      </c>
      <c r="BA539" s="81" t="s">
        <v>11359</v>
      </c>
      <c r="BB539" s="81" t="s">
        <v>11359</v>
      </c>
      <c r="BC539" s="81" t="s">
        <v>9809</v>
      </c>
      <c r="BD539" s="77">
        <v>493423213</v>
      </c>
      <c r="BE539" s="77"/>
      <c r="BF539" s="77"/>
      <c r="BG539" s="77"/>
      <c r="BH539" s="77"/>
      <c r="BI539" s="77"/>
    </row>
    <row r="540" spans="1:61" x14ac:dyDescent="0.25">
      <c r="A540" s="62" t="s">
        <v>428</v>
      </c>
      <c r="B540" s="62" t="s">
        <v>428</v>
      </c>
      <c r="C540" s="63"/>
      <c r="D540" s="64"/>
      <c r="E540" s="65"/>
      <c r="F540" s="66"/>
      <c r="G540" s="63"/>
      <c r="H540" s="67"/>
      <c r="I540" s="68"/>
      <c r="J540" s="68"/>
      <c r="K540" s="32"/>
      <c r="L540" s="75">
        <v>540</v>
      </c>
      <c r="M540" s="75"/>
      <c r="N540" s="70"/>
      <c r="O540" s="77" t="s">
        <v>179</v>
      </c>
      <c r="P540" s="79">
        <v>45046.901666666665</v>
      </c>
      <c r="Q540" s="77" t="s">
        <v>1488</v>
      </c>
      <c r="R540" s="77">
        <v>0</v>
      </c>
      <c r="S540" s="77">
        <v>0</v>
      </c>
      <c r="T540" s="77">
        <v>0</v>
      </c>
      <c r="U540" s="77">
        <v>0</v>
      </c>
      <c r="V540" s="77">
        <v>99</v>
      </c>
      <c r="W540" s="81" t="s">
        <v>3269</v>
      </c>
      <c r="X540" s="77"/>
      <c r="Y540" s="77"/>
      <c r="Z540" s="77"/>
      <c r="AA540" s="77" t="s">
        <v>4760</v>
      </c>
      <c r="AB540" s="77" t="s">
        <v>5794</v>
      </c>
      <c r="AC540" s="81" t="s">
        <v>5805</v>
      </c>
      <c r="AD540" s="77" t="s">
        <v>5850</v>
      </c>
      <c r="AE540" s="83" t="str">
        <f>HYPERLINK("https://twitter.com/tneaar/status/1652789524148125696")</f>
        <v>https://twitter.com/tneaar/status/1652789524148125696</v>
      </c>
      <c r="AF540" s="79">
        <v>45046.901666666665</v>
      </c>
      <c r="AG540" s="85">
        <v>45046</v>
      </c>
      <c r="AH540" s="81" t="s">
        <v>6359</v>
      </c>
      <c r="AI540" s="77" t="b">
        <v>0</v>
      </c>
      <c r="AJ540" s="77"/>
      <c r="AK540" s="77"/>
      <c r="AL540" s="77"/>
      <c r="AM540" s="77"/>
      <c r="AN540" s="77"/>
      <c r="AO540" s="77"/>
      <c r="AP540" s="77"/>
      <c r="AQ540" s="77" t="s">
        <v>8263</v>
      </c>
      <c r="AR540" s="77"/>
      <c r="AS540" s="77"/>
      <c r="AT540" s="77"/>
      <c r="AU540" s="77"/>
      <c r="AV540" s="83" t="str">
        <f>HYPERLINK("https://pbs.twimg.com/media/Fu_jTx-XoAEwZOf.jpg")</f>
        <v>https://pbs.twimg.com/media/Fu_jTx-XoAEwZOf.jpg</v>
      </c>
      <c r="AW540" s="81" t="s">
        <v>9810</v>
      </c>
      <c r="AX540" s="81" t="s">
        <v>9810</v>
      </c>
      <c r="AY540" s="77"/>
      <c r="AZ540" s="81" t="s">
        <v>11359</v>
      </c>
      <c r="BA540" s="81" t="s">
        <v>11359</v>
      </c>
      <c r="BB540" s="81" t="s">
        <v>11359</v>
      </c>
      <c r="BC540" s="81" t="s">
        <v>9810</v>
      </c>
      <c r="BD540" s="77">
        <v>493423213</v>
      </c>
      <c r="BE540" s="77"/>
      <c r="BF540" s="77"/>
      <c r="BG540" s="77"/>
      <c r="BH540" s="77"/>
      <c r="BI540" s="77"/>
    </row>
    <row r="541" spans="1:61" x14ac:dyDescent="0.25">
      <c r="A541" s="62" t="s">
        <v>428</v>
      </c>
      <c r="B541" s="62" t="s">
        <v>428</v>
      </c>
      <c r="C541" s="63"/>
      <c r="D541" s="64"/>
      <c r="E541" s="65"/>
      <c r="F541" s="66"/>
      <c r="G541" s="63"/>
      <c r="H541" s="67"/>
      <c r="I541" s="68"/>
      <c r="J541" s="68"/>
      <c r="K541" s="32"/>
      <c r="L541" s="75">
        <v>541</v>
      </c>
      <c r="M541" s="75"/>
      <c r="N541" s="70"/>
      <c r="O541" s="77" t="s">
        <v>179</v>
      </c>
      <c r="P541" s="79">
        <v>45046.901354166665</v>
      </c>
      <c r="Q541" s="77" t="s">
        <v>1489</v>
      </c>
      <c r="R541" s="77">
        <v>1</v>
      </c>
      <c r="S541" s="77">
        <v>0</v>
      </c>
      <c r="T541" s="77">
        <v>0</v>
      </c>
      <c r="U541" s="77">
        <v>0</v>
      </c>
      <c r="V541" s="77">
        <v>94</v>
      </c>
      <c r="W541" s="81" t="s">
        <v>3268</v>
      </c>
      <c r="X541" s="83" t="str">
        <f>HYPERLINK("http://bit.ly/MA-vendedor-repartidor")</f>
        <v>http://bit.ly/MA-vendedor-repartidor</v>
      </c>
      <c r="Y541" s="77" t="s">
        <v>4213</v>
      </c>
      <c r="Z541" s="77"/>
      <c r="AA541" s="77" t="s">
        <v>4761</v>
      </c>
      <c r="AB541" s="77" t="s">
        <v>5794</v>
      </c>
      <c r="AC541" s="81" t="s">
        <v>5805</v>
      </c>
      <c r="AD541" s="77" t="s">
        <v>5850</v>
      </c>
      <c r="AE541" s="83" t="str">
        <f>HYPERLINK("https://twitter.com/tneaar/status/1652789411547889665")</f>
        <v>https://twitter.com/tneaar/status/1652789411547889665</v>
      </c>
      <c r="AF541" s="79">
        <v>45046.901354166665</v>
      </c>
      <c r="AG541" s="85">
        <v>45046</v>
      </c>
      <c r="AH541" s="81" t="s">
        <v>6360</v>
      </c>
      <c r="AI541" s="77" t="b">
        <v>0</v>
      </c>
      <c r="AJ541" s="77"/>
      <c r="AK541" s="77"/>
      <c r="AL541" s="77"/>
      <c r="AM541" s="77"/>
      <c r="AN541" s="77"/>
      <c r="AO541" s="77"/>
      <c r="AP541" s="77"/>
      <c r="AQ541" s="77" t="s">
        <v>8264</v>
      </c>
      <c r="AR541" s="77"/>
      <c r="AS541" s="77"/>
      <c r="AT541" s="77"/>
      <c r="AU541" s="77"/>
      <c r="AV541" s="83" t="str">
        <f>HYPERLINK("https://pbs.twimg.com/media/Fu_jNPyXgAU9Pno.jpg")</f>
        <v>https://pbs.twimg.com/media/Fu_jNPyXgAU9Pno.jpg</v>
      </c>
      <c r="AW541" s="81" t="s">
        <v>9811</v>
      </c>
      <c r="AX541" s="81" t="s">
        <v>9811</v>
      </c>
      <c r="AY541" s="77"/>
      <c r="AZ541" s="81" t="s">
        <v>11359</v>
      </c>
      <c r="BA541" s="81" t="s">
        <v>11359</v>
      </c>
      <c r="BB541" s="81" t="s">
        <v>11359</v>
      </c>
      <c r="BC541" s="81" t="s">
        <v>9811</v>
      </c>
      <c r="BD541" s="77">
        <v>493423213</v>
      </c>
      <c r="BE541" s="77"/>
      <c r="BF541" s="77"/>
      <c r="BG541" s="77"/>
      <c r="BH541" s="77"/>
      <c r="BI541" s="77"/>
    </row>
    <row r="542" spans="1:61" x14ac:dyDescent="0.25">
      <c r="A542" s="62" t="s">
        <v>428</v>
      </c>
      <c r="B542" s="62" t="s">
        <v>428</v>
      </c>
      <c r="C542" s="63"/>
      <c r="D542" s="64"/>
      <c r="E542" s="65"/>
      <c r="F542" s="66"/>
      <c r="G542" s="63"/>
      <c r="H542" s="67"/>
      <c r="I542" s="68"/>
      <c r="J542" s="68"/>
      <c r="K542" s="32"/>
      <c r="L542" s="75">
        <v>542</v>
      </c>
      <c r="M542" s="75"/>
      <c r="N542" s="70"/>
      <c r="O542" s="77" t="s">
        <v>179</v>
      </c>
      <c r="P542" s="79">
        <v>45006.627766203703</v>
      </c>
      <c r="Q542" s="77" t="s">
        <v>1490</v>
      </c>
      <c r="R542" s="77">
        <v>0</v>
      </c>
      <c r="S542" s="77">
        <v>0</v>
      </c>
      <c r="T542" s="77">
        <v>0</v>
      </c>
      <c r="U542" s="77">
        <v>0</v>
      </c>
      <c r="V542" s="77">
        <v>82</v>
      </c>
      <c r="W542" s="81" t="s">
        <v>3276</v>
      </c>
      <c r="X542" s="83" t="str">
        <f>HYPERLINK("https://wa.link/c93i3r")</f>
        <v>https://wa.link/c93i3r</v>
      </c>
      <c r="Y542" s="77" t="s">
        <v>4266</v>
      </c>
      <c r="Z542" s="77"/>
      <c r="AA542" s="77" t="s">
        <v>4762</v>
      </c>
      <c r="AB542" s="77" t="s">
        <v>5794</v>
      </c>
      <c r="AC542" s="81" t="s">
        <v>5805</v>
      </c>
      <c r="AD542" s="77" t="s">
        <v>5850</v>
      </c>
      <c r="AE542" s="83" t="str">
        <f>HYPERLINK("https://twitter.com/tneaar/status/1638194750313443330")</f>
        <v>https://twitter.com/tneaar/status/1638194750313443330</v>
      </c>
      <c r="AF542" s="79">
        <v>45006.627766203703</v>
      </c>
      <c r="AG542" s="85">
        <v>45006</v>
      </c>
      <c r="AH542" s="81" t="s">
        <v>6361</v>
      </c>
      <c r="AI542" s="77" t="b">
        <v>0</v>
      </c>
      <c r="AJ542" s="77"/>
      <c r="AK542" s="77"/>
      <c r="AL542" s="77"/>
      <c r="AM542" s="77"/>
      <c r="AN542" s="77"/>
      <c r="AO542" s="77"/>
      <c r="AP542" s="77"/>
      <c r="AQ542" s="77" t="s">
        <v>8265</v>
      </c>
      <c r="AR542" s="77"/>
      <c r="AS542" s="77"/>
      <c r="AT542" s="77"/>
      <c r="AU542" s="77"/>
      <c r="AV542" s="83" t="str">
        <f>HYPERLINK("https://pbs.twimg.com/media/FrwJcFzWcAE5guH.jpg")</f>
        <v>https://pbs.twimg.com/media/FrwJcFzWcAE5guH.jpg</v>
      </c>
      <c r="AW542" s="81" t="s">
        <v>9812</v>
      </c>
      <c r="AX542" s="81" t="s">
        <v>9812</v>
      </c>
      <c r="AY542" s="77"/>
      <c r="AZ542" s="81" t="s">
        <v>11359</v>
      </c>
      <c r="BA542" s="81" t="s">
        <v>11359</v>
      </c>
      <c r="BB542" s="81" t="s">
        <v>11359</v>
      </c>
      <c r="BC542" s="81" t="s">
        <v>9812</v>
      </c>
      <c r="BD542" s="77">
        <v>493423213</v>
      </c>
      <c r="BE542" s="77"/>
      <c r="BF542" s="77"/>
      <c r="BG542" s="77"/>
      <c r="BH542" s="77"/>
      <c r="BI542" s="77"/>
    </row>
    <row r="543" spans="1:61" x14ac:dyDescent="0.25">
      <c r="A543" s="62" t="s">
        <v>428</v>
      </c>
      <c r="B543" s="62" t="s">
        <v>428</v>
      </c>
      <c r="C543" s="63"/>
      <c r="D543" s="64"/>
      <c r="E543" s="65"/>
      <c r="F543" s="66"/>
      <c r="G543" s="63"/>
      <c r="H543" s="67"/>
      <c r="I543" s="68"/>
      <c r="J543" s="68"/>
      <c r="K543" s="32"/>
      <c r="L543" s="75">
        <v>543</v>
      </c>
      <c r="M543" s="75"/>
      <c r="N543" s="70"/>
      <c r="O543" s="77" t="s">
        <v>179</v>
      </c>
      <c r="P543" s="79">
        <v>45006.596296296295</v>
      </c>
      <c r="Q543" s="77" t="s">
        <v>1491</v>
      </c>
      <c r="R543" s="77">
        <v>0</v>
      </c>
      <c r="S543" s="77">
        <v>0</v>
      </c>
      <c r="T543" s="77">
        <v>0</v>
      </c>
      <c r="U543" s="77">
        <v>0</v>
      </c>
      <c r="V543" s="77">
        <v>96</v>
      </c>
      <c r="W543" s="81" t="s">
        <v>3251</v>
      </c>
      <c r="X543" s="77"/>
      <c r="Y543" s="77"/>
      <c r="Z543" s="77"/>
      <c r="AA543" s="77" t="s">
        <v>4763</v>
      </c>
      <c r="AB543" s="77" t="s">
        <v>5794</v>
      </c>
      <c r="AC543" s="81" t="s">
        <v>5805</v>
      </c>
      <c r="AD543" s="77" t="s">
        <v>5850</v>
      </c>
      <c r="AE543" s="83" t="str">
        <f>HYPERLINK("https://twitter.com/tneaar/status/1638183345820512257")</f>
        <v>https://twitter.com/tneaar/status/1638183345820512257</v>
      </c>
      <c r="AF543" s="79">
        <v>45006.596296296295</v>
      </c>
      <c r="AG543" s="85">
        <v>45006</v>
      </c>
      <c r="AH543" s="81" t="s">
        <v>6362</v>
      </c>
      <c r="AI543" s="77" t="b">
        <v>0</v>
      </c>
      <c r="AJ543" s="77"/>
      <c r="AK543" s="77"/>
      <c r="AL543" s="77"/>
      <c r="AM543" s="77"/>
      <c r="AN543" s="77"/>
      <c r="AO543" s="77"/>
      <c r="AP543" s="77"/>
      <c r="AQ543" s="77" t="s">
        <v>8266</v>
      </c>
      <c r="AR543" s="77"/>
      <c r="AS543" s="77"/>
      <c r="AT543" s="77"/>
      <c r="AU543" s="77"/>
      <c r="AV543" s="83" t="str">
        <f>HYPERLINK("https://pbs.twimg.com/media/Frv_ERLWYAArZZK.jpg")</f>
        <v>https://pbs.twimg.com/media/Frv_ERLWYAArZZK.jpg</v>
      </c>
      <c r="AW543" s="81" t="s">
        <v>9813</v>
      </c>
      <c r="AX543" s="81" t="s">
        <v>9813</v>
      </c>
      <c r="AY543" s="77"/>
      <c r="AZ543" s="81" t="s">
        <v>11359</v>
      </c>
      <c r="BA543" s="81" t="s">
        <v>11359</v>
      </c>
      <c r="BB543" s="81" t="s">
        <v>11359</v>
      </c>
      <c r="BC543" s="81" t="s">
        <v>9813</v>
      </c>
      <c r="BD543" s="77">
        <v>493423213</v>
      </c>
      <c r="BE543" s="77"/>
      <c r="BF543" s="77"/>
      <c r="BG543" s="77"/>
      <c r="BH543" s="77"/>
      <c r="BI543" s="77"/>
    </row>
    <row r="544" spans="1:61" x14ac:dyDescent="0.25">
      <c r="A544" s="62" t="s">
        <v>428</v>
      </c>
      <c r="B544" s="62" t="s">
        <v>428</v>
      </c>
      <c r="C544" s="63"/>
      <c r="D544" s="64"/>
      <c r="E544" s="65"/>
      <c r="F544" s="66"/>
      <c r="G544" s="63"/>
      <c r="H544" s="67"/>
      <c r="I544" s="68"/>
      <c r="J544" s="68"/>
      <c r="K544" s="32"/>
      <c r="L544" s="75">
        <v>544</v>
      </c>
      <c r="M544" s="75"/>
      <c r="N544" s="70"/>
      <c r="O544" s="77" t="s">
        <v>179</v>
      </c>
      <c r="P544" s="79">
        <v>45004.160370370373</v>
      </c>
      <c r="Q544" s="77" t="s">
        <v>1492</v>
      </c>
      <c r="R544" s="77">
        <v>0</v>
      </c>
      <c r="S544" s="77">
        <v>0</v>
      </c>
      <c r="T544" s="77">
        <v>0</v>
      </c>
      <c r="U544" s="77">
        <v>0</v>
      </c>
      <c r="V544" s="77">
        <v>64</v>
      </c>
      <c r="W544" s="81" t="s">
        <v>3252</v>
      </c>
      <c r="X544" s="83" t="str">
        <f>HYPERLINK("https://bit.ly/SumateSMP")</f>
        <v>https://bit.ly/SumateSMP</v>
      </c>
      <c r="Y544" s="77" t="s">
        <v>4213</v>
      </c>
      <c r="Z544" s="77"/>
      <c r="AA544" s="77" t="s">
        <v>4764</v>
      </c>
      <c r="AB544" s="77" t="s">
        <v>5794</v>
      </c>
      <c r="AC544" s="81" t="s">
        <v>5805</v>
      </c>
      <c r="AD544" s="77" t="s">
        <v>5850</v>
      </c>
      <c r="AE544" s="83" t="str">
        <f>HYPERLINK("https://twitter.com/tneaar/status/1637300596137918464")</f>
        <v>https://twitter.com/tneaar/status/1637300596137918464</v>
      </c>
      <c r="AF544" s="79">
        <v>45004.160370370373</v>
      </c>
      <c r="AG544" s="85">
        <v>45004</v>
      </c>
      <c r="AH544" s="81" t="s">
        <v>6363</v>
      </c>
      <c r="AI544" s="77" t="b">
        <v>0</v>
      </c>
      <c r="AJ544" s="77"/>
      <c r="AK544" s="77"/>
      <c r="AL544" s="77"/>
      <c r="AM544" s="77"/>
      <c r="AN544" s="77"/>
      <c r="AO544" s="77"/>
      <c r="AP544" s="77"/>
      <c r="AQ544" s="77" t="s">
        <v>8267</v>
      </c>
      <c r="AR544" s="77"/>
      <c r="AS544" s="77"/>
      <c r="AT544" s="77"/>
      <c r="AU544" s="77"/>
      <c r="AV544" s="83" t="str">
        <f>HYPERLINK("https://pbs.twimg.com/media/FrjcNdQXsAMTxgz.jpg")</f>
        <v>https://pbs.twimg.com/media/FrjcNdQXsAMTxgz.jpg</v>
      </c>
      <c r="AW544" s="81" t="s">
        <v>9814</v>
      </c>
      <c r="AX544" s="81" t="s">
        <v>9814</v>
      </c>
      <c r="AY544" s="77"/>
      <c r="AZ544" s="81" t="s">
        <v>11359</v>
      </c>
      <c r="BA544" s="81" t="s">
        <v>11359</v>
      </c>
      <c r="BB544" s="81" t="s">
        <v>11359</v>
      </c>
      <c r="BC544" s="81" t="s">
        <v>9814</v>
      </c>
      <c r="BD544" s="77">
        <v>493423213</v>
      </c>
      <c r="BE544" s="77"/>
      <c r="BF544" s="77"/>
      <c r="BG544" s="77"/>
      <c r="BH544" s="77"/>
      <c r="BI544" s="77"/>
    </row>
    <row r="545" spans="1:61" x14ac:dyDescent="0.25">
      <c r="A545" s="62" t="s">
        <v>428</v>
      </c>
      <c r="B545" s="62" t="s">
        <v>428</v>
      </c>
      <c r="C545" s="63"/>
      <c r="D545" s="64"/>
      <c r="E545" s="65"/>
      <c r="F545" s="66"/>
      <c r="G545" s="63"/>
      <c r="H545" s="67"/>
      <c r="I545" s="68"/>
      <c r="J545" s="68"/>
      <c r="K545" s="32"/>
      <c r="L545" s="75">
        <v>545</v>
      </c>
      <c r="M545" s="75"/>
      <c r="N545" s="70"/>
      <c r="O545" s="77" t="s">
        <v>179</v>
      </c>
      <c r="P545" s="79">
        <v>45004.157106481478</v>
      </c>
      <c r="Q545" s="77" t="s">
        <v>1493</v>
      </c>
      <c r="R545" s="77">
        <v>0</v>
      </c>
      <c r="S545" s="77">
        <v>0</v>
      </c>
      <c r="T545" s="77">
        <v>0</v>
      </c>
      <c r="U545" s="77">
        <v>0</v>
      </c>
      <c r="V545" s="77">
        <v>63</v>
      </c>
      <c r="W545" s="81" t="s">
        <v>3253</v>
      </c>
      <c r="X545" s="77"/>
      <c r="Y545" s="77"/>
      <c r="Z545" s="77"/>
      <c r="AA545" s="77" t="s">
        <v>4765</v>
      </c>
      <c r="AB545" s="77" t="s">
        <v>5794</v>
      </c>
      <c r="AC545" s="81" t="s">
        <v>5805</v>
      </c>
      <c r="AD545" s="77" t="s">
        <v>5850</v>
      </c>
      <c r="AE545" s="83" t="str">
        <f>HYPERLINK("https://twitter.com/tneaar/status/1637299413520379911")</f>
        <v>https://twitter.com/tneaar/status/1637299413520379911</v>
      </c>
      <c r="AF545" s="79">
        <v>45004.157106481478</v>
      </c>
      <c r="AG545" s="85">
        <v>45004</v>
      </c>
      <c r="AH545" s="81" t="s">
        <v>6364</v>
      </c>
      <c r="AI545" s="77" t="b">
        <v>0</v>
      </c>
      <c r="AJ545" s="77"/>
      <c r="AK545" s="77"/>
      <c r="AL545" s="77"/>
      <c r="AM545" s="77"/>
      <c r="AN545" s="77"/>
      <c r="AO545" s="77"/>
      <c r="AP545" s="77"/>
      <c r="AQ545" s="77" t="s">
        <v>8268</v>
      </c>
      <c r="AR545" s="77"/>
      <c r="AS545" s="77"/>
      <c r="AT545" s="77"/>
      <c r="AU545" s="77"/>
      <c r="AV545" s="83" t="str">
        <f>HYPERLINK("https://pbs.twimg.com/media/Frja8HgWAAE4Lqc.jpg")</f>
        <v>https://pbs.twimg.com/media/Frja8HgWAAE4Lqc.jpg</v>
      </c>
      <c r="AW545" s="81" t="s">
        <v>9815</v>
      </c>
      <c r="AX545" s="81" t="s">
        <v>9815</v>
      </c>
      <c r="AY545" s="77"/>
      <c r="AZ545" s="81" t="s">
        <v>11359</v>
      </c>
      <c r="BA545" s="81" t="s">
        <v>11359</v>
      </c>
      <c r="BB545" s="81" t="s">
        <v>11359</v>
      </c>
      <c r="BC545" s="81" t="s">
        <v>9815</v>
      </c>
      <c r="BD545" s="77">
        <v>493423213</v>
      </c>
      <c r="BE545" s="77"/>
      <c r="BF545" s="77"/>
      <c r="BG545" s="77"/>
      <c r="BH545" s="77"/>
      <c r="BI545" s="77"/>
    </row>
    <row r="546" spans="1:61" x14ac:dyDescent="0.25">
      <c r="A546" s="62" t="s">
        <v>428</v>
      </c>
      <c r="B546" s="62" t="s">
        <v>428</v>
      </c>
      <c r="C546" s="63"/>
      <c r="D546" s="64"/>
      <c r="E546" s="65"/>
      <c r="F546" s="66"/>
      <c r="G546" s="63"/>
      <c r="H546" s="67"/>
      <c r="I546" s="68"/>
      <c r="J546" s="68"/>
      <c r="K546" s="32"/>
      <c r="L546" s="75">
        <v>546</v>
      </c>
      <c r="M546" s="75"/>
      <c r="N546" s="70"/>
      <c r="O546" s="77" t="s">
        <v>179</v>
      </c>
      <c r="P546" s="79">
        <v>45004.152384259258</v>
      </c>
      <c r="Q546" s="77" t="s">
        <v>1494</v>
      </c>
      <c r="R546" s="77">
        <v>0</v>
      </c>
      <c r="S546" s="77">
        <v>0</v>
      </c>
      <c r="T546" s="77">
        <v>0</v>
      </c>
      <c r="U546" s="77">
        <v>0</v>
      </c>
      <c r="V546" s="77">
        <v>50</v>
      </c>
      <c r="W546" s="81" t="s">
        <v>3281</v>
      </c>
      <c r="X546" s="77" t="s">
        <v>4160</v>
      </c>
      <c r="Y546" s="77" t="s">
        <v>4269</v>
      </c>
      <c r="Z546" s="77"/>
      <c r="AA546" s="77" t="s">
        <v>4766</v>
      </c>
      <c r="AB546" s="77" t="s">
        <v>5794</v>
      </c>
      <c r="AC546" s="81" t="s">
        <v>5805</v>
      </c>
      <c r="AD546" s="77" t="s">
        <v>5850</v>
      </c>
      <c r="AE546" s="83" t="str">
        <f>HYPERLINK("https://twitter.com/tneaar/status/1637297703720824833")</f>
        <v>https://twitter.com/tneaar/status/1637297703720824833</v>
      </c>
      <c r="AF546" s="79">
        <v>45004.152384259258</v>
      </c>
      <c r="AG546" s="85">
        <v>45004</v>
      </c>
      <c r="AH546" s="81" t="s">
        <v>6365</v>
      </c>
      <c r="AI546" s="77" t="b">
        <v>0</v>
      </c>
      <c r="AJ546" s="77"/>
      <c r="AK546" s="77"/>
      <c r="AL546" s="77"/>
      <c r="AM546" s="77"/>
      <c r="AN546" s="77"/>
      <c r="AO546" s="77"/>
      <c r="AP546" s="77"/>
      <c r="AQ546" s="77" t="s">
        <v>8269</v>
      </c>
      <c r="AR546" s="77"/>
      <c r="AS546" s="77"/>
      <c r="AT546" s="77"/>
      <c r="AU546" s="77"/>
      <c r="AV546" s="83" t="str">
        <f>HYPERLINK("https://pbs.twimg.com/media/FrjZdUnWAAI3HrP.jpg")</f>
        <v>https://pbs.twimg.com/media/FrjZdUnWAAI3HrP.jpg</v>
      </c>
      <c r="AW546" s="81" t="s">
        <v>9816</v>
      </c>
      <c r="AX546" s="81" t="s">
        <v>9816</v>
      </c>
      <c r="AY546" s="77"/>
      <c r="AZ546" s="81" t="s">
        <v>11359</v>
      </c>
      <c r="BA546" s="81" t="s">
        <v>11359</v>
      </c>
      <c r="BB546" s="81" t="s">
        <v>11359</v>
      </c>
      <c r="BC546" s="81" t="s">
        <v>9816</v>
      </c>
      <c r="BD546" s="77">
        <v>493423213</v>
      </c>
      <c r="BE546" s="77"/>
      <c r="BF546" s="77"/>
      <c r="BG546" s="77"/>
      <c r="BH546" s="77"/>
      <c r="BI546" s="77"/>
    </row>
    <row r="547" spans="1:61" x14ac:dyDescent="0.25">
      <c r="A547" s="62" t="s">
        <v>428</v>
      </c>
      <c r="B547" s="62" t="s">
        <v>428</v>
      </c>
      <c r="C547" s="63"/>
      <c r="D547" s="64"/>
      <c r="E547" s="65"/>
      <c r="F547" s="66"/>
      <c r="G547" s="63"/>
      <c r="H547" s="67"/>
      <c r="I547" s="68"/>
      <c r="J547" s="68"/>
      <c r="K547" s="32"/>
      <c r="L547" s="75">
        <v>547</v>
      </c>
      <c r="M547" s="75"/>
      <c r="N547" s="70"/>
      <c r="O547" s="77" t="s">
        <v>179</v>
      </c>
      <c r="P547" s="79">
        <v>45004.150578703702</v>
      </c>
      <c r="Q547" s="77" t="s">
        <v>1495</v>
      </c>
      <c r="R547" s="77">
        <v>0</v>
      </c>
      <c r="S547" s="77">
        <v>1</v>
      </c>
      <c r="T547" s="77">
        <v>0</v>
      </c>
      <c r="U547" s="77">
        <v>0</v>
      </c>
      <c r="V547" s="77">
        <v>82</v>
      </c>
      <c r="W547" s="81" t="s">
        <v>3272</v>
      </c>
      <c r="X547" s="77"/>
      <c r="Y547" s="77"/>
      <c r="Z547" s="77"/>
      <c r="AA547" s="77" t="s">
        <v>4767</v>
      </c>
      <c r="AB547" s="77" t="s">
        <v>5794</v>
      </c>
      <c r="AC547" s="81" t="s">
        <v>5805</v>
      </c>
      <c r="AD547" s="77" t="s">
        <v>5850</v>
      </c>
      <c r="AE547" s="83" t="str">
        <f>HYPERLINK("https://twitter.com/tneaar/status/1637297050118176768")</f>
        <v>https://twitter.com/tneaar/status/1637297050118176768</v>
      </c>
      <c r="AF547" s="79">
        <v>45004.150578703702</v>
      </c>
      <c r="AG547" s="85">
        <v>45004</v>
      </c>
      <c r="AH547" s="81" t="s">
        <v>6366</v>
      </c>
      <c r="AI547" s="77" t="b">
        <v>0</v>
      </c>
      <c r="AJ547" s="77"/>
      <c r="AK547" s="77"/>
      <c r="AL547" s="77"/>
      <c r="AM547" s="77"/>
      <c r="AN547" s="77"/>
      <c r="AO547" s="77"/>
      <c r="AP547" s="77"/>
      <c r="AQ547" s="77" t="s">
        <v>8270</v>
      </c>
      <c r="AR547" s="77"/>
      <c r="AS547" s="77"/>
      <c r="AT547" s="77"/>
      <c r="AU547" s="77"/>
      <c r="AV547" s="83" t="str">
        <f>HYPERLINK("https://pbs.twimg.com/media/FrjY-2xWAAAM2lt.jpg")</f>
        <v>https://pbs.twimg.com/media/FrjY-2xWAAAM2lt.jpg</v>
      </c>
      <c r="AW547" s="81" t="s">
        <v>9817</v>
      </c>
      <c r="AX547" s="81" t="s">
        <v>9817</v>
      </c>
      <c r="AY547" s="77"/>
      <c r="AZ547" s="81" t="s">
        <v>11359</v>
      </c>
      <c r="BA547" s="81" t="s">
        <v>11359</v>
      </c>
      <c r="BB547" s="81" t="s">
        <v>11359</v>
      </c>
      <c r="BC547" s="81" t="s">
        <v>9817</v>
      </c>
      <c r="BD547" s="77">
        <v>493423213</v>
      </c>
      <c r="BE547" s="77"/>
      <c r="BF547" s="77"/>
      <c r="BG547" s="77"/>
      <c r="BH547" s="77"/>
      <c r="BI547" s="77"/>
    </row>
    <row r="548" spans="1:61" x14ac:dyDescent="0.25">
      <c r="A548" s="62" t="s">
        <v>428</v>
      </c>
      <c r="B548" s="62" t="s">
        <v>428</v>
      </c>
      <c r="C548" s="63"/>
      <c r="D548" s="64"/>
      <c r="E548" s="65"/>
      <c r="F548" s="66"/>
      <c r="G548" s="63"/>
      <c r="H548" s="67"/>
      <c r="I548" s="68"/>
      <c r="J548" s="68"/>
      <c r="K548" s="32"/>
      <c r="L548" s="75">
        <v>548</v>
      </c>
      <c r="M548" s="75"/>
      <c r="N548" s="70"/>
      <c r="O548" s="77" t="s">
        <v>179</v>
      </c>
      <c r="P548" s="79">
        <v>45004.140590277777</v>
      </c>
      <c r="Q548" s="77" t="s">
        <v>1496</v>
      </c>
      <c r="R548" s="77">
        <v>0</v>
      </c>
      <c r="S548" s="77">
        <v>0</v>
      </c>
      <c r="T548" s="77">
        <v>0</v>
      </c>
      <c r="U548" s="77">
        <v>0</v>
      </c>
      <c r="V548" s="77">
        <v>47</v>
      </c>
      <c r="W548" s="81" t="s">
        <v>3248</v>
      </c>
      <c r="X548" s="77"/>
      <c r="Y548" s="77"/>
      <c r="Z548" s="77"/>
      <c r="AA548" s="77" t="s">
        <v>4768</v>
      </c>
      <c r="AB548" s="77" t="s">
        <v>5794</v>
      </c>
      <c r="AC548" s="81" t="s">
        <v>5805</v>
      </c>
      <c r="AD548" s="77" t="s">
        <v>5850</v>
      </c>
      <c r="AE548" s="83" t="str">
        <f>HYPERLINK("https://twitter.com/tneaar/status/1637293429263683584")</f>
        <v>https://twitter.com/tneaar/status/1637293429263683584</v>
      </c>
      <c r="AF548" s="79">
        <v>45004.140590277777</v>
      </c>
      <c r="AG548" s="85">
        <v>45004</v>
      </c>
      <c r="AH548" s="81" t="s">
        <v>6367</v>
      </c>
      <c r="AI548" s="77" t="b">
        <v>0</v>
      </c>
      <c r="AJ548" s="77"/>
      <c r="AK548" s="77"/>
      <c r="AL548" s="77"/>
      <c r="AM548" s="77"/>
      <c r="AN548" s="77"/>
      <c r="AO548" s="77"/>
      <c r="AP548" s="77"/>
      <c r="AQ548" s="77" t="s">
        <v>8271</v>
      </c>
      <c r="AR548" s="77"/>
      <c r="AS548" s="77"/>
      <c r="AT548" s="77"/>
      <c r="AU548" s="77"/>
      <c r="AV548" s="83" t="str">
        <f>HYPERLINK("https://pbs.twimg.com/media/FrjVsVHWwAI-zC-.jpg")</f>
        <v>https://pbs.twimg.com/media/FrjVsVHWwAI-zC-.jpg</v>
      </c>
      <c r="AW548" s="81" t="s">
        <v>9818</v>
      </c>
      <c r="AX548" s="81" t="s">
        <v>9818</v>
      </c>
      <c r="AY548" s="77"/>
      <c r="AZ548" s="81" t="s">
        <v>11359</v>
      </c>
      <c r="BA548" s="81" t="s">
        <v>11359</v>
      </c>
      <c r="BB548" s="81" t="s">
        <v>11359</v>
      </c>
      <c r="BC548" s="81" t="s">
        <v>9818</v>
      </c>
      <c r="BD548" s="77">
        <v>493423213</v>
      </c>
      <c r="BE548" s="77"/>
      <c r="BF548" s="77"/>
      <c r="BG548" s="77"/>
      <c r="BH548" s="77"/>
      <c r="BI548" s="77"/>
    </row>
    <row r="549" spans="1:61" x14ac:dyDescent="0.25">
      <c r="A549" s="62" t="s">
        <v>428</v>
      </c>
      <c r="B549" s="62" t="s">
        <v>428</v>
      </c>
      <c r="C549" s="63"/>
      <c r="D549" s="64"/>
      <c r="E549" s="65"/>
      <c r="F549" s="66"/>
      <c r="G549" s="63"/>
      <c r="H549" s="67"/>
      <c r="I549" s="68"/>
      <c r="J549" s="68"/>
      <c r="K549" s="32"/>
      <c r="L549" s="75">
        <v>549</v>
      </c>
      <c r="M549" s="75"/>
      <c r="N549" s="70"/>
      <c r="O549" s="77" t="s">
        <v>179</v>
      </c>
      <c r="P549" s="79">
        <v>45004.128263888888</v>
      </c>
      <c r="Q549" s="77" t="s">
        <v>1497</v>
      </c>
      <c r="R549" s="77">
        <v>0</v>
      </c>
      <c r="S549" s="77">
        <v>0</v>
      </c>
      <c r="T549" s="77">
        <v>0</v>
      </c>
      <c r="U549" s="77">
        <v>0</v>
      </c>
      <c r="V549" s="77">
        <v>32</v>
      </c>
      <c r="W549" s="81" t="s">
        <v>3282</v>
      </c>
      <c r="X549" s="77"/>
      <c r="Y549" s="77"/>
      <c r="Z549" s="77"/>
      <c r="AA549" s="77" t="s">
        <v>4769</v>
      </c>
      <c r="AB549" s="77" t="s">
        <v>5794</v>
      </c>
      <c r="AC549" s="81" t="s">
        <v>5805</v>
      </c>
      <c r="AD549" s="77" t="s">
        <v>5850</v>
      </c>
      <c r="AE549" s="83" t="str">
        <f>HYPERLINK("https://twitter.com/tneaar/status/1637288960610254849")</f>
        <v>https://twitter.com/tneaar/status/1637288960610254849</v>
      </c>
      <c r="AF549" s="79">
        <v>45004.128263888888</v>
      </c>
      <c r="AG549" s="85">
        <v>45004</v>
      </c>
      <c r="AH549" s="81" t="s">
        <v>6368</v>
      </c>
      <c r="AI549" s="77" t="b">
        <v>0</v>
      </c>
      <c r="AJ549" s="77"/>
      <c r="AK549" s="77"/>
      <c r="AL549" s="77"/>
      <c r="AM549" s="77"/>
      <c r="AN549" s="77"/>
      <c r="AO549" s="77"/>
      <c r="AP549" s="77"/>
      <c r="AQ549" s="77" t="s">
        <v>8272</v>
      </c>
      <c r="AR549" s="77"/>
      <c r="AS549" s="77"/>
      <c r="AT549" s="77"/>
      <c r="AU549" s="77"/>
      <c r="AV549" s="83" t="str">
        <f>HYPERLINK("https://pbs.twimg.com/media/FrjRoJeWcAMkiQf.jpg")</f>
        <v>https://pbs.twimg.com/media/FrjRoJeWcAMkiQf.jpg</v>
      </c>
      <c r="AW549" s="81" t="s">
        <v>9819</v>
      </c>
      <c r="AX549" s="81" t="s">
        <v>9819</v>
      </c>
      <c r="AY549" s="77"/>
      <c r="AZ549" s="81" t="s">
        <v>11359</v>
      </c>
      <c r="BA549" s="81" t="s">
        <v>11359</v>
      </c>
      <c r="BB549" s="81" t="s">
        <v>11359</v>
      </c>
      <c r="BC549" s="81" t="s">
        <v>9819</v>
      </c>
      <c r="BD549" s="77">
        <v>493423213</v>
      </c>
      <c r="BE549" s="77"/>
      <c r="BF549" s="77"/>
      <c r="BG549" s="77"/>
      <c r="BH549" s="77"/>
      <c r="BI549" s="77"/>
    </row>
    <row r="550" spans="1:61" x14ac:dyDescent="0.25">
      <c r="A550" s="62" t="s">
        <v>428</v>
      </c>
      <c r="B550" s="62" t="s">
        <v>428</v>
      </c>
      <c r="C550" s="63"/>
      <c r="D550" s="64"/>
      <c r="E550" s="65"/>
      <c r="F550" s="66"/>
      <c r="G550" s="63"/>
      <c r="H550" s="67"/>
      <c r="I550" s="68"/>
      <c r="J550" s="68"/>
      <c r="K550" s="32"/>
      <c r="L550" s="75">
        <v>550</v>
      </c>
      <c r="M550" s="75"/>
      <c r="N550" s="70"/>
      <c r="O550" s="77" t="s">
        <v>179</v>
      </c>
      <c r="P550" s="79">
        <v>44970.043530092589</v>
      </c>
      <c r="Q550" s="77" t="s">
        <v>1498</v>
      </c>
      <c r="R550" s="77">
        <v>0</v>
      </c>
      <c r="S550" s="77">
        <v>0</v>
      </c>
      <c r="T550" s="77">
        <v>0</v>
      </c>
      <c r="U550" s="77">
        <v>0</v>
      </c>
      <c r="V550" s="77">
        <v>88</v>
      </c>
      <c r="W550" s="81" t="s">
        <v>3260</v>
      </c>
      <c r="X550" s="77"/>
      <c r="Y550" s="77"/>
      <c r="Z550" s="77"/>
      <c r="AA550" s="77" t="s">
        <v>4770</v>
      </c>
      <c r="AB550" s="77" t="s">
        <v>5794</v>
      </c>
      <c r="AC550" s="81" t="s">
        <v>5805</v>
      </c>
      <c r="AD550" s="77" t="s">
        <v>5850</v>
      </c>
      <c r="AE550" s="83" t="str">
        <f>HYPERLINK("https://twitter.com/tneaar/status/1624937069905674242")</f>
        <v>https://twitter.com/tneaar/status/1624937069905674242</v>
      </c>
      <c r="AF550" s="79">
        <v>44970.043530092589</v>
      </c>
      <c r="AG550" s="85">
        <v>44970</v>
      </c>
      <c r="AH550" s="81" t="s">
        <v>6369</v>
      </c>
      <c r="AI550" s="77" t="b">
        <v>0</v>
      </c>
      <c r="AJ550" s="77"/>
      <c r="AK550" s="77"/>
      <c r="AL550" s="77"/>
      <c r="AM550" s="77"/>
      <c r="AN550" s="77"/>
      <c r="AO550" s="77"/>
      <c r="AP550" s="77"/>
      <c r="AQ550" s="77" t="s">
        <v>8273</v>
      </c>
      <c r="AR550" s="77"/>
      <c r="AS550" s="77"/>
      <c r="AT550" s="77"/>
      <c r="AU550" s="77"/>
      <c r="AV550" s="83" t="str">
        <f>HYPERLINK("https://pbs.twimg.com/media/Fozvpk4X0AAfDse.jpg")</f>
        <v>https://pbs.twimg.com/media/Fozvpk4X0AAfDse.jpg</v>
      </c>
      <c r="AW550" s="81" t="s">
        <v>9820</v>
      </c>
      <c r="AX550" s="81" t="s">
        <v>9820</v>
      </c>
      <c r="AY550" s="77"/>
      <c r="AZ550" s="81" t="s">
        <v>11359</v>
      </c>
      <c r="BA550" s="81" t="s">
        <v>11359</v>
      </c>
      <c r="BB550" s="81" t="s">
        <v>11359</v>
      </c>
      <c r="BC550" s="81" t="s">
        <v>9820</v>
      </c>
      <c r="BD550" s="77">
        <v>493423213</v>
      </c>
      <c r="BE550" s="77"/>
      <c r="BF550" s="77"/>
      <c r="BG550" s="77"/>
      <c r="BH550" s="77"/>
      <c r="BI550" s="77"/>
    </row>
    <row r="551" spans="1:61" x14ac:dyDescent="0.25">
      <c r="A551" s="62" t="s">
        <v>428</v>
      </c>
      <c r="B551" s="62" t="s">
        <v>428</v>
      </c>
      <c r="C551" s="63"/>
      <c r="D551" s="64"/>
      <c r="E551" s="65"/>
      <c r="F551" s="66"/>
      <c r="G551" s="63"/>
      <c r="H551" s="67"/>
      <c r="I551" s="68"/>
      <c r="J551" s="68"/>
      <c r="K551" s="32"/>
      <c r="L551" s="75">
        <v>551</v>
      </c>
      <c r="M551" s="75"/>
      <c r="N551" s="70"/>
      <c r="O551" s="77" t="s">
        <v>179</v>
      </c>
      <c r="P551" s="79">
        <v>44970.036481481482</v>
      </c>
      <c r="Q551" s="77" t="s">
        <v>1499</v>
      </c>
      <c r="R551" s="77">
        <v>0</v>
      </c>
      <c r="S551" s="77">
        <v>0</v>
      </c>
      <c r="T551" s="77">
        <v>0</v>
      </c>
      <c r="U551" s="77">
        <v>0</v>
      </c>
      <c r="V551" s="77">
        <v>86</v>
      </c>
      <c r="W551" s="81" t="s">
        <v>3283</v>
      </c>
      <c r="X551" s="77"/>
      <c r="Y551" s="77"/>
      <c r="Z551" s="77"/>
      <c r="AA551" s="77" t="s">
        <v>4771</v>
      </c>
      <c r="AB551" s="77" t="s">
        <v>5794</v>
      </c>
      <c r="AC551" s="81" t="s">
        <v>5805</v>
      </c>
      <c r="AD551" s="77" t="s">
        <v>5850</v>
      </c>
      <c r="AE551" s="83" t="str">
        <f>HYPERLINK("https://twitter.com/tneaar/status/1624934515050160129")</f>
        <v>https://twitter.com/tneaar/status/1624934515050160129</v>
      </c>
      <c r="AF551" s="79">
        <v>44970.036481481482</v>
      </c>
      <c r="AG551" s="85">
        <v>44970</v>
      </c>
      <c r="AH551" s="81" t="s">
        <v>6370</v>
      </c>
      <c r="AI551" s="77" t="b">
        <v>0</v>
      </c>
      <c r="AJ551" s="77"/>
      <c r="AK551" s="77"/>
      <c r="AL551" s="77"/>
      <c r="AM551" s="77"/>
      <c r="AN551" s="77"/>
      <c r="AO551" s="77"/>
      <c r="AP551" s="77"/>
      <c r="AQ551" s="77" t="s">
        <v>8274</v>
      </c>
      <c r="AR551" s="77"/>
      <c r="AS551" s="77"/>
      <c r="AT551" s="77"/>
      <c r="AU551" s="77"/>
      <c r="AV551" s="83" t="str">
        <f>HYPERLINK("https://pbs.twimg.com/media/FoztU8VX0AAv12o.jpg")</f>
        <v>https://pbs.twimg.com/media/FoztU8VX0AAv12o.jpg</v>
      </c>
      <c r="AW551" s="81" t="s">
        <v>9821</v>
      </c>
      <c r="AX551" s="81" t="s">
        <v>9821</v>
      </c>
      <c r="AY551" s="77"/>
      <c r="AZ551" s="81" t="s">
        <v>11359</v>
      </c>
      <c r="BA551" s="81" t="s">
        <v>11359</v>
      </c>
      <c r="BB551" s="81" t="s">
        <v>11359</v>
      </c>
      <c r="BC551" s="81" t="s">
        <v>9821</v>
      </c>
      <c r="BD551" s="77">
        <v>493423213</v>
      </c>
      <c r="BE551" s="77"/>
      <c r="BF551" s="77"/>
      <c r="BG551" s="77"/>
      <c r="BH551" s="77"/>
      <c r="BI551" s="77"/>
    </row>
    <row r="552" spans="1:61" x14ac:dyDescent="0.25">
      <c r="A552" s="62" t="s">
        <v>428</v>
      </c>
      <c r="B552" s="62" t="s">
        <v>428</v>
      </c>
      <c r="C552" s="63"/>
      <c r="D552" s="64"/>
      <c r="E552" s="65"/>
      <c r="F552" s="66"/>
      <c r="G552" s="63"/>
      <c r="H552" s="67"/>
      <c r="I552" s="68"/>
      <c r="J552" s="68"/>
      <c r="K552" s="32"/>
      <c r="L552" s="75">
        <v>552</v>
      </c>
      <c r="M552" s="75"/>
      <c r="N552" s="70"/>
      <c r="O552" s="77" t="s">
        <v>179</v>
      </c>
      <c r="P552" s="79">
        <v>44970.026585648149</v>
      </c>
      <c r="Q552" s="77" t="s">
        <v>1500</v>
      </c>
      <c r="R552" s="77">
        <v>0</v>
      </c>
      <c r="S552" s="77">
        <v>0</v>
      </c>
      <c r="T552" s="77">
        <v>0</v>
      </c>
      <c r="U552" s="77">
        <v>0</v>
      </c>
      <c r="V552" s="77">
        <v>96</v>
      </c>
      <c r="W552" s="81" t="s">
        <v>3257</v>
      </c>
      <c r="X552" s="77"/>
      <c r="Y552" s="77"/>
      <c r="Z552" s="77"/>
      <c r="AA552" s="77" t="s">
        <v>4772</v>
      </c>
      <c r="AB552" s="77" t="s">
        <v>5794</v>
      </c>
      <c r="AC552" s="81" t="s">
        <v>5805</v>
      </c>
      <c r="AD552" s="77" t="s">
        <v>5850</v>
      </c>
      <c r="AE552" s="83" t="str">
        <f>HYPERLINK("https://twitter.com/tneaar/status/1624930926252679170")</f>
        <v>https://twitter.com/tneaar/status/1624930926252679170</v>
      </c>
      <c r="AF552" s="79">
        <v>44970.026585648149</v>
      </c>
      <c r="AG552" s="85">
        <v>44970</v>
      </c>
      <c r="AH552" s="81" t="s">
        <v>6371</v>
      </c>
      <c r="AI552" s="77" t="b">
        <v>0</v>
      </c>
      <c r="AJ552" s="77"/>
      <c r="AK552" s="77"/>
      <c r="AL552" s="77"/>
      <c r="AM552" s="77"/>
      <c r="AN552" s="77"/>
      <c r="AO552" s="77"/>
      <c r="AP552" s="77"/>
      <c r="AQ552" s="77" t="s">
        <v>8275</v>
      </c>
      <c r="AR552" s="77"/>
      <c r="AS552" s="77"/>
      <c r="AT552" s="77"/>
      <c r="AU552" s="77"/>
      <c r="AV552" s="83" t="str">
        <f>HYPERLINK("https://pbs.twimg.com/media/FozqEDXXEAIRik_.jpg")</f>
        <v>https://pbs.twimg.com/media/FozqEDXXEAIRik_.jpg</v>
      </c>
      <c r="AW552" s="81" t="s">
        <v>9822</v>
      </c>
      <c r="AX552" s="81" t="s">
        <v>9822</v>
      </c>
      <c r="AY552" s="77"/>
      <c r="AZ552" s="81" t="s">
        <v>11359</v>
      </c>
      <c r="BA552" s="81" t="s">
        <v>11359</v>
      </c>
      <c r="BB552" s="81" t="s">
        <v>11359</v>
      </c>
      <c r="BC552" s="81" t="s">
        <v>9822</v>
      </c>
      <c r="BD552" s="77">
        <v>493423213</v>
      </c>
      <c r="BE552" s="77"/>
      <c r="BF552" s="77"/>
      <c r="BG552" s="77"/>
      <c r="BH552" s="77"/>
      <c r="BI552" s="77"/>
    </row>
    <row r="553" spans="1:61" x14ac:dyDescent="0.25">
      <c r="A553" s="62" t="s">
        <v>428</v>
      </c>
      <c r="B553" s="62" t="s">
        <v>428</v>
      </c>
      <c r="C553" s="63"/>
      <c r="D553" s="64"/>
      <c r="E553" s="65"/>
      <c r="F553" s="66"/>
      <c r="G553" s="63"/>
      <c r="H553" s="67"/>
      <c r="I553" s="68"/>
      <c r="J553" s="68"/>
      <c r="K553" s="32"/>
      <c r="L553" s="75">
        <v>553</v>
      </c>
      <c r="M553" s="75"/>
      <c r="N553" s="70"/>
      <c r="O553" s="77" t="s">
        <v>179</v>
      </c>
      <c r="P553" s="79">
        <v>44933.713368055556</v>
      </c>
      <c r="Q553" s="77" t="s">
        <v>1501</v>
      </c>
      <c r="R553" s="77">
        <v>0</v>
      </c>
      <c r="S553" s="77">
        <v>0</v>
      </c>
      <c r="T553" s="77">
        <v>0</v>
      </c>
      <c r="U553" s="77">
        <v>0</v>
      </c>
      <c r="V553" s="77">
        <v>141</v>
      </c>
      <c r="W553" s="81" t="s">
        <v>3257</v>
      </c>
      <c r="X553" s="77"/>
      <c r="Y553" s="77"/>
      <c r="Z553" s="77"/>
      <c r="AA553" s="77" t="s">
        <v>4773</v>
      </c>
      <c r="AB553" s="77" t="s">
        <v>5794</v>
      </c>
      <c r="AC553" s="81" t="s">
        <v>5805</v>
      </c>
      <c r="AD553" s="77" t="s">
        <v>5850</v>
      </c>
      <c r="AE553" s="83" t="str">
        <f>HYPERLINK("https://twitter.com/tneaar/status/1611771457075351553")</f>
        <v>https://twitter.com/tneaar/status/1611771457075351553</v>
      </c>
      <c r="AF553" s="79">
        <v>44933.713368055556</v>
      </c>
      <c r="AG553" s="85">
        <v>44933</v>
      </c>
      <c r="AH553" s="81" t="s">
        <v>6372</v>
      </c>
      <c r="AI553" s="77" t="b">
        <v>0</v>
      </c>
      <c r="AJ553" s="77"/>
      <c r="AK553" s="77"/>
      <c r="AL553" s="77"/>
      <c r="AM553" s="77"/>
      <c r="AN553" s="77"/>
      <c r="AO553" s="77"/>
      <c r="AP553" s="77"/>
      <c r="AQ553" s="77" t="s">
        <v>8276</v>
      </c>
      <c r="AR553" s="77"/>
      <c r="AS553" s="77"/>
      <c r="AT553" s="77"/>
      <c r="AU553" s="77"/>
      <c r="AV553" s="83" t="str">
        <f>HYPERLINK("https://pbs.twimg.com/media/Fl4pmFcXwAQ42Oj.jpg")</f>
        <v>https://pbs.twimg.com/media/Fl4pmFcXwAQ42Oj.jpg</v>
      </c>
      <c r="AW553" s="81" t="s">
        <v>9823</v>
      </c>
      <c r="AX553" s="81" t="s">
        <v>9823</v>
      </c>
      <c r="AY553" s="77"/>
      <c r="AZ553" s="81" t="s">
        <v>11359</v>
      </c>
      <c r="BA553" s="81" t="s">
        <v>11359</v>
      </c>
      <c r="BB553" s="81" t="s">
        <v>11359</v>
      </c>
      <c r="BC553" s="81" t="s">
        <v>9823</v>
      </c>
      <c r="BD553" s="77">
        <v>493423213</v>
      </c>
      <c r="BE553" s="77"/>
      <c r="BF553" s="77"/>
      <c r="BG553" s="77"/>
      <c r="BH553" s="77"/>
      <c r="BI553" s="77"/>
    </row>
    <row r="554" spans="1:61" x14ac:dyDescent="0.25">
      <c r="A554" s="62" t="s">
        <v>428</v>
      </c>
      <c r="B554" s="62" t="s">
        <v>428</v>
      </c>
      <c r="C554" s="63"/>
      <c r="D554" s="64"/>
      <c r="E554" s="65"/>
      <c r="F554" s="66"/>
      <c r="G554" s="63"/>
      <c r="H554" s="67"/>
      <c r="I554" s="68"/>
      <c r="J554" s="68"/>
      <c r="K554" s="32"/>
      <c r="L554" s="75">
        <v>554</v>
      </c>
      <c r="M554" s="75"/>
      <c r="N554" s="70"/>
      <c r="O554" s="77" t="s">
        <v>179</v>
      </c>
      <c r="P554" s="79">
        <v>44928.901932870373</v>
      </c>
      <c r="Q554" s="77" t="s">
        <v>1502</v>
      </c>
      <c r="R554" s="77">
        <v>0</v>
      </c>
      <c r="S554" s="77">
        <v>0</v>
      </c>
      <c r="T554" s="77">
        <v>0</v>
      </c>
      <c r="U554" s="77">
        <v>0</v>
      </c>
      <c r="V554" s="77">
        <v>75</v>
      </c>
      <c r="W554" s="81" t="s">
        <v>3256</v>
      </c>
      <c r="X554" s="77"/>
      <c r="Y554" s="77"/>
      <c r="Z554" s="77"/>
      <c r="AA554" s="77" t="s">
        <v>4774</v>
      </c>
      <c r="AB554" s="77" t="s">
        <v>5794</v>
      </c>
      <c r="AC554" s="81" t="s">
        <v>5805</v>
      </c>
      <c r="AD554" s="77" t="s">
        <v>5850</v>
      </c>
      <c r="AE554" s="83" t="str">
        <f>HYPERLINK("https://twitter.com/tneaar/status/1610027851709050880")</f>
        <v>https://twitter.com/tneaar/status/1610027851709050880</v>
      </c>
      <c r="AF554" s="79">
        <v>44928.901932870373</v>
      </c>
      <c r="AG554" s="85">
        <v>44928</v>
      </c>
      <c r="AH554" s="81" t="s">
        <v>6373</v>
      </c>
      <c r="AI554" s="77" t="b">
        <v>0</v>
      </c>
      <c r="AJ554" s="77"/>
      <c r="AK554" s="77"/>
      <c r="AL554" s="77"/>
      <c r="AM554" s="77"/>
      <c r="AN554" s="77"/>
      <c r="AO554" s="77"/>
      <c r="AP554" s="77"/>
      <c r="AQ554" s="77" t="s">
        <v>8277</v>
      </c>
      <c r="AR554" s="77"/>
      <c r="AS554" s="77"/>
      <c r="AT554" s="77"/>
      <c r="AU554" s="77"/>
      <c r="AV554" s="83" t="str">
        <f>HYPERLINK("https://pbs.twimg.com/media/Flf3ymXWYAEi067.png")</f>
        <v>https://pbs.twimg.com/media/Flf3ymXWYAEi067.png</v>
      </c>
      <c r="AW554" s="81" t="s">
        <v>9824</v>
      </c>
      <c r="AX554" s="81" t="s">
        <v>9824</v>
      </c>
      <c r="AY554" s="77"/>
      <c r="AZ554" s="81" t="s">
        <v>11359</v>
      </c>
      <c r="BA554" s="81" t="s">
        <v>11359</v>
      </c>
      <c r="BB554" s="81" t="s">
        <v>11359</v>
      </c>
      <c r="BC554" s="81" t="s">
        <v>9824</v>
      </c>
      <c r="BD554" s="77">
        <v>493423213</v>
      </c>
      <c r="BE554" s="77"/>
      <c r="BF554" s="77"/>
      <c r="BG554" s="77"/>
      <c r="BH554" s="77"/>
      <c r="BI554" s="77"/>
    </row>
    <row r="555" spans="1:61" x14ac:dyDescent="0.25">
      <c r="A555" s="62" t="s">
        <v>428</v>
      </c>
      <c r="B555" s="62" t="s">
        <v>428</v>
      </c>
      <c r="C555" s="63"/>
      <c r="D555" s="64"/>
      <c r="E555" s="65"/>
      <c r="F555" s="66"/>
      <c r="G555" s="63"/>
      <c r="H555" s="67"/>
      <c r="I555" s="68"/>
      <c r="J555" s="68"/>
      <c r="K555" s="32"/>
      <c r="L555" s="75">
        <v>555</v>
      </c>
      <c r="M555" s="75"/>
      <c r="N555" s="70"/>
      <c r="O555" s="77" t="s">
        <v>179</v>
      </c>
      <c r="P555" s="79">
        <v>44928.89984953704</v>
      </c>
      <c r="Q555" s="77" t="s">
        <v>1503</v>
      </c>
      <c r="R555" s="77">
        <v>0</v>
      </c>
      <c r="S555" s="77">
        <v>0</v>
      </c>
      <c r="T555" s="77">
        <v>0</v>
      </c>
      <c r="U555" s="77">
        <v>0</v>
      </c>
      <c r="V555" s="77">
        <v>64</v>
      </c>
      <c r="W555" s="81" t="s">
        <v>3255</v>
      </c>
      <c r="X555" s="77"/>
      <c r="Y555" s="77"/>
      <c r="Z555" s="77"/>
      <c r="AA555" s="77" t="s">
        <v>4775</v>
      </c>
      <c r="AB555" s="77" t="s">
        <v>5794</v>
      </c>
      <c r="AC555" s="81" t="s">
        <v>5805</v>
      </c>
      <c r="AD555" s="77" t="s">
        <v>5850</v>
      </c>
      <c r="AE555" s="83" t="str">
        <f>HYPERLINK("https://twitter.com/tneaar/status/1610027095610073089")</f>
        <v>https://twitter.com/tneaar/status/1610027095610073089</v>
      </c>
      <c r="AF555" s="79">
        <v>44928.89984953704</v>
      </c>
      <c r="AG555" s="85">
        <v>44928</v>
      </c>
      <c r="AH555" s="81" t="s">
        <v>6374</v>
      </c>
      <c r="AI555" s="77" t="b">
        <v>0</v>
      </c>
      <c r="AJ555" s="77"/>
      <c r="AK555" s="77"/>
      <c r="AL555" s="77"/>
      <c r="AM555" s="77"/>
      <c r="AN555" s="77"/>
      <c r="AO555" s="77"/>
      <c r="AP555" s="77"/>
      <c r="AQ555" s="77" t="s">
        <v>8278</v>
      </c>
      <c r="AR555" s="77"/>
      <c r="AS555" s="77"/>
      <c r="AT555" s="77"/>
      <c r="AU555" s="77"/>
      <c r="AV555" s="83" t="str">
        <f>HYPERLINK("https://pbs.twimg.com/media/Flf3GNvWIAMi2Nw.jpg")</f>
        <v>https://pbs.twimg.com/media/Flf3GNvWIAMi2Nw.jpg</v>
      </c>
      <c r="AW555" s="81" t="s">
        <v>9825</v>
      </c>
      <c r="AX555" s="81" t="s">
        <v>9825</v>
      </c>
      <c r="AY555" s="77"/>
      <c r="AZ555" s="81" t="s">
        <v>11359</v>
      </c>
      <c r="BA555" s="81" t="s">
        <v>11359</v>
      </c>
      <c r="BB555" s="81" t="s">
        <v>11359</v>
      </c>
      <c r="BC555" s="81" t="s">
        <v>9825</v>
      </c>
      <c r="BD555" s="77">
        <v>493423213</v>
      </c>
      <c r="BE555" s="77"/>
      <c r="BF555" s="77"/>
      <c r="BG555" s="77"/>
      <c r="BH555" s="77"/>
      <c r="BI555" s="77"/>
    </row>
    <row r="556" spans="1:61" x14ac:dyDescent="0.25">
      <c r="A556" s="62" t="s">
        <v>428</v>
      </c>
      <c r="B556" s="62" t="s">
        <v>428</v>
      </c>
      <c r="C556" s="63"/>
      <c r="D556" s="64"/>
      <c r="E556" s="65"/>
      <c r="F556" s="66"/>
      <c r="G556" s="63"/>
      <c r="H556" s="67"/>
      <c r="I556" s="68"/>
      <c r="J556" s="68"/>
      <c r="K556" s="32"/>
      <c r="L556" s="75">
        <v>556</v>
      </c>
      <c r="M556" s="75"/>
      <c r="N556" s="70"/>
      <c r="O556" s="77" t="s">
        <v>179</v>
      </c>
      <c r="P556" s="79">
        <v>44928.888553240744</v>
      </c>
      <c r="Q556" s="77" t="s">
        <v>1504</v>
      </c>
      <c r="R556" s="77">
        <v>0</v>
      </c>
      <c r="S556" s="77">
        <v>0</v>
      </c>
      <c r="T556" s="77">
        <v>0</v>
      </c>
      <c r="U556" s="77">
        <v>0</v>
      </c>
      <c r="V556" s="77">
        <v>64</v>
      </c>
      <c r="W556" s="81" t="s">
        <v>3284</v>
      </c>
      <c r="X556" s="77"/>
      <c r="Y556" s="77"/>
      <c r="Z556" s="77"/>
      <c r="AA556" s="77" t="s">
        <v>4776</v>
      </c>
      <c r="AB556" s="77" t="s">
        <v>5794</v>
      </c>
      <c r="AC556" s="81" t="s">
        <v>5805</v>
      </c>
      <c r="AD556" s="77" t="s">
        <v>5850</v>
      </c>
      <c r="AE556" s="83" t="str">
        <f>HYPERLINK("https://twitter.com/tneaar/status/1610023003424784390")</f>
        <v>https://twitter.com/tneaar/status/1610023003424784390</v>
      </c>
      <c r="AF556" s="79">
        <v>44928.888553240744</v>
      </c>
      <c r="AG556" s="85">
        <v>44928</v>
      </c>
      <c r="AH556" s="81" t="s">
        <v>6375</v>
      </c>
      <c r="AI556" s="77" t="b">
        <v>0</v>
      </c>
      <c r="AJ556" s="77"/>
      <c r="AK556" s="77"/>
      <c r="AL556" s="77"/>
      <c r="AM556" s="77"/>
      <c r="AN556" s="77"/>
      <c r="AO556" s="77"/>
      <c r="AP556" s="77"/>
      <c r="AQ556" s="77" t="s">
        <v>8279</v>
      </c>
      <c r="AR556" s="77"/>
      <c r="AS556" s="77"/>
      <c r="AT556" s="77"/>
      <c r="AU556" s="77"/>
      <c r="AV556" s="83" t="str">
        <f>HYPERLINK("https://pbs.twimg.com/media/FlfzX8EX0AEppdo.jpg")</f>
        <v>https://pbs.twimg.com/media/FlfzX8EX0AEppdo.jpg</v>
      </c>
      <c r="AW556" s="81" t="s">
        <v>9826</v>
      </c>
      <c r="AX556" s="81" t="s">
        <v>9826</v>
      </c>
      <c r="AY556" s="77"/>
      <c r="AZ556" s="81" t="s">
        <v>11359</v>
      </c>
      <c r="BA556" s="81" t="s">
        <v>11359</v>
      </c>
      <c r="BB556" s="81" t="s">
        <v>11359</v>
      </c>
      <c r="BC556" s="81" t="s">
        <v>9826</v>
      </c>
      <c r="BD556" s="77">
        <v>493423213</v>
      </c>
      <c r="BE556" s="77"/>
      <c r="BF556" s="77"/>
      <c r="BG556" s="77"/>
      <c r="BH556" s="77"/>
      <c r="BI556" s="77"/>
    </row>
    <row r="557" spans="1:61" x14ac:dyDescent="0.25">
      <c r="A557" s="62" t="s">
        <v>428</v>
      </c>
      <c r="B557" s="62" t="s">
        <v>428</v>
      </c>
      <c r="C557" s="63"/>
      <c r="D557" s="64"/>
      <c r="E557" s="65"/>
      <c r="F557" s="66"/>
      <c r="G557" s="63"/>
      <c r="H557" s="67"/>
      <c r="I557" s="68"/>
      <c r="J557" s="68"/>
      <c r="K557" s="32"/>
      <c r="L557" s="75">
        <v>557</v>
      </c>
      <c r="M557" s="75"/>
      <c r="N557" s="70"/>
      <c r="O557" s="77" t="s">
        <v>179</v>
      </c>
      <c r="P557" s="79">
        <v>44928.882291666669</v>
      </c>
      <c r="Q557" s="77" t="s">
        <v>1505</v>
      </c>
      <c r="R557" s="77">
        <v>1</v>
      </c>
      <c r="S557" s="77">
        <v>0</v>
      </c>
      <c r="T557" s="77">
        <v>0</v>
      </c>
      <c r="U557" s="77">
        <v>0</v>
      </c>
      <c r="V557" s="77">
        <v>84</v>
      </c>
      <c r="W557" s="81" t="s">
        <v>3285</v>
      </c>
      <c r="X557" s="77"/>
      <c r="Y557" s="77"/>
      <c r="Z557" s="77"/>
      <c r="AA557" s="77" t="s">
        <v>4777</v>
      </c>
      <c r="AB557" s="77" t="s">
        <v>5794</v>
      </c>
      <c r="AC557" s="81" t="s">
        <v>5805</v>
      </c>
      <c r="AD557" s="77" t="s">
        <v>5850</v>
      </c>
      <c r="AE557" s="83" t="str">
        <f>HYPERLINK("https://twitter.com/tneaar/status/1610020733970780161")</f>
        <v>https://twitter.com/tneaar/status/1610020733970780161</v>
      </c>
      <c r="AF557" s="79">
        <v>44928.882291666669</v>
      </c>
      <c r="AG557" s="85">
        <v>44928</v>
      </c>
      <c r="AH557" s="81" t="s">
        <v>6376</v>
      </c>
      <c r="AI557" s="77" t="b">
        <v>0</v>
      </c>
      <c r="AJ557" s="77"/>
      <c r="AK557" s="77"/>
      <c r="AL557" s="77"/>
      <c r="AM557" s="77"/>
      <c r="AN557" s="77"/>
      <c r="AO557" s="77"/>
      <c r="AP557" s="77"/>
      <c r="AQ557" s="77" t="s">
        <v>8280</v>
      </c>
      <c r="AR557" s="77"/>
      <c r="AS557" s="77"/>
      <c r="AT557" s="77"/>
      <c r="AU557" s="77"/>
      <c r="AV557" s="83" t="str">
        <f>HYPERLINK("https://pbs.twimg.com/media/FlfxUPXWIAAuvu7.png")</f>
        <v>https://pbs.twimg.com/media/FlfxUPXWIAAuvu7.png</v>
      </c>
      <c r="AW557" s="81" t="s">
        <v>9827</v>
      </c>
      <c r="AX557" s="81" t="s">
        <v>9827</v>
      </c>
      <c r="AY557" s="77"/>
      <c r="AZ557" s="81" t="s">
        <v>11359</v>
      </c>
      <c r="BA557" s="81" t="s">
        <v>11359</v>
      </c>
      <c r="BB557" s="81" t="s">
        <v>11359</v>
      </c>
      <c r="BC557" s="81" t="s">
        <v>9827</v>
      </c>
      <c r="BD557" s="77">
        <v>493423213</v>
      </c>
      <c r="BE557" s="77"/>
      <c r="BF557" s="77"/>
      <c r="BG557" s="77"/>
      <c r="BH557" s="77"/>
      <c r="BI557" s="77"/>
    </row>
    <row r="558" spans="1:61" x14ac:dyDescent="0.25">
      <c r="A558" s="62" t="s">
        <v>428</v>
      </c>
      <c r="B558" s="62" t="s">
        <v>428</v>
      </c>
      <c r="C558" s="63"/>
      <c r="D558" s="64"/>
      <c r="E558" s="65"/>
      <c r="F558" s="66"/>
      <c r="G558" s="63"/>
      <c r="H558" s="67"/>
      <c r="I558" s="68"/>
      <c r="J558" s="68"/>
      <c r="K558" s="32"/>
      <c r="L558" s="75">
        <v>558</v>
      </c>
      <c r="M558" s="75"/>
      <c r="N558" s="70"/>
      <c r="O558" s="77" t="s">
        <v>179</v>
      </c>
      <c r="P558" s="79">
        <v>44928.871620370373</v>
      </c>
      <c r="Q558" s="77" t="s">
        <v>1506</v>
      </c>
      <c r="R558" s="77">
        <v>0</v>
      </c>
      <c r="S558" s="77">
        <v>0</v>
      </c>
      <c r="T558" s="77">
        <v>0</v>
      </c>
      <c r="U558" s="77">
        <v>0</v>
      </c>
      <c r="V558" s="77">
        <v>83</v>
      </c>
      <c r="W558" s="81" t="s">
        <v>3286</v>
      </c>
      <c r="X558" s="77"/>
      <c r="Y558" s="77"/>
      <c r="Z558" s="77"/>
      <c r="AA558" s="77" t="s">
        <v>4778</v>
      </c>
      <c r="AB558" s="77" t="s">
        <v>5794</v>
      </c>
      <c r="AC558" s="81" t="s">
        <v>5805</v>
      </c>
      <c r="AD558" s="77" t="s">
        <v>5850</v>
      </c>
      <c r="AE558" s="83" t="str">
        <f>HYPERLINK("https://twitter.com/tneaar/status/1610016865371230211")</f>
        <v>https://twitter.com/tneaar/status/1610016865371230211</v>
      </c>
      <c r="AF558" s="79">
        <v>44928.871620370373</v>
      </c>
      <c r="AG558" s="85">
        <v>44928</v>
      </c>
      <c r="AH558" s="81" t="s">
        <v>6377</v>
      </c>
      <c r="AI558" s="77" t="b">
        <v>0</v>
      </c>
      <c r="AJ558" s="77"/>
      <c r="AK558" s="77"/>
      <c r="AL558" s="77"/>
      <c r="AM558" s="77"/>
      <c r="AN558" s="77"/>
      <c r="AO558" s="77"/>
      <c r="AP558" s="77"/>
      <c r="AQ558" s="77" t="s">
        <v>8281</v>
      </c>
      <c r="AR558" s="77"/>
      <c r="AS558" s="77"/>
      <c r="AT558" s="77"/>
      <c r="AU558" s="77"/>
      <c r="AV558" s="83" t="str">
        <f>HYPERLINK("https://pbs.twimg.com/media/Flfty_xXkAA7T4e.png")</f>
        <v>https://pbs.twimg.com/media/Flfty_xXkAA7T4e.png</v>
      </c>
      <c r="AW558" s="81" t="s">
        <v>9828</v>
      </c>
      <c r="AX558" s="81" t="s">
        <v>9828</v>
      </c>
      <c r="AY558" s="77"/>
      <c r="AZ558" s="81" t="s">
        <v>11359</v>
      </c>
      <c r="BA558" s="81" t="s">
        <v>11359</v>
      </c>
      <c r="BB558" s="81" t="s">
        <v>11359</v>
      </c>
      <c r="BC558" s="81" t="s">
        <v>9828</v>
      </c>
      <c r="BD558" s="77">
        <v>493423213</v>
      </c>
      <c r="BE558" s="77"/>
      <c r="BF558" s="77"/>
      <c r="BG558" s="77"/>
      <c r="BH558" s="77"/>
      <c r="BI558" s="77"/>
    </row>
    <row r="559" spans="1:61" x14ac:dyDescent="0.25">
      <c r="A559" s="62" t="s">
        <v>428</v>
      </c>
      <c r="B559" s="62" t="s">
        <v>428</v>
      </c>
      <c r="C559" s="63"/>
      <c r="D559" s="64"/>
      <c r="E559" s="65"/>
      <c r="F559" s="66"/>
      <c r="G559" s="63"/>
      <c r="H559" s="67"/>
      <c r="I559" s="68"/>
      <c r="J559" s="68"/>
      <c r="K559" s="32"/>
      <c r="L559" s="75">
        <v>559</v>
      </c>
      <c r="M559" s="75"/>
      <c r="N559" s="70"/>
      <c r="O559" s="77" t="s">
        <v>179</v>
      </c>
      <c r="P559" s="79">
        <v>45189.041250000002</v>
      </c>
      <c r="Q559" s="77" t="s">
        <v>1507</v>
      </c>
      <c r="R559" s="77">
        <v>0</v>
      </c>
      <c r="S559" s="77">
        <v>0</v>
      </c>
      <c r="T559" s="77">
        <v>0</v>
      </c>
      <c r="U559" s="77">
        <v>0</v>
      </c>
      <c r="V559" s="77">
        <v>72</v>
      </c>
      <c r="W559" s="81" t="s">
        <v>3287</v>
      </c>
      <c r="X559" s="77"/>
      <c r="Y559" s="77"/>
      <c r="Z559" s="77"/>
      <c r="AA559" s="77" t="s">
        <v>4779</v>
      </c>
      <c r="AB559" s="77" t="s">
        <v>5794</v>
      </c>
      <c r="AC559" s="81" t="s">
        <v>5805</v>
      </c>
      <c r="AD559" s="77" t="s">
        <v>5851</v>
      </c>
      <c r="AE559" s="83" t="str">
        <f>HYPERLINK("https://twitter.com/tneaar/status/1704299184835227832")</f>
        <v>https://twitter.com/tneaar/status/1704299184835227832</v>
      </c>
      <c r="AF559" s="79">
        <v>45189.041250000002</v>
      </c>
      <c r="AG559" s="85">
        <v>45189</v>
      </c>
      <c r="AH559" s="81" t="s">
        <v>6378</v>
      </c>
      <c r="AI559" s="77" t="b">
        <v>0</v>
      </c>
      <c r="AJ559" s="77"/>
      <c r="AK559" s="77"/>
      <c r="AL559" s="77"/>
      <c r="AM559" s="77"/>
      <c r="AN559" s="77"/>
      <c r="AO559" s="77"/>
      <c r="AP559" s="77"/>
      <c r="AQ559" s="77" t="s">
        <v>8282</v>
      </c>
      <c r="AR559" s="77"/>
      <c r="AS559" s="77"/>
      <c r="AT559" s="77"/>
      <c r="AU559" s="77"/>
      <c r="AV559" s="83" t="str">
        <f>HYPERLINK("https://pbs.twimg.com/media/F6bjEqrXwAAT5V0.jpg")</f>
        <v>https://pbs.twimg.com/media/F6bjEqrXwAAT5V0.jpg</v>
      </c>
      <c r="AW559" s="81" t="s">
        <v>9829</v>
      </c>
      <c r="AX559" s="81" t="s">
        <v>9829</v>
      </c>
      <c r="AY559" s="77"/>
      <c r="AZ559" s="81" t="s">
        <v>11359</v>
      </c>
      <c r="BA559" s="81" t="s">
        <v>11359</v>
      </c>
      <c r="BB559" s="81" t="s">
        <v>11359</v>
      </c>
      <c r="BC559" s="81" t="s">
        <v>9829</v>
      </c>
      <c r="BD559" s="77">
        <v>493423213</v>
      </c>
      <c r="BE559" s="77"/>
      <c r="BF559" s="77"/>
      <c r="BG559" s="77"/>
      <c r="BH559" s="77"/>
      <c r="BI559" s="77"/>
    </row>
    <row r="560" spans="1:61" x14ac:dyDescent="0.25">
      <c r="A560" s="62" t="s">
        <v>428</v>
      </c>
      <c r="B560" s="62" t="s">
        <v>428</v>
      </c>
      <c r="C560" s="63"/>
      <c r="D560" s="64"/>
      <c r="E560" s="65"/>
      <c r="F560" s="66"/>
      <c r="G560" s="63"/>
      <c r="H560" s="67"/>
      <c r="I560" s="68"/>
      <c r="J560" s="68"/>
      <c r="K560" s="32"/>
      <c r="L560" s="75">
        <v>560</v>
      </c>
      <c r="M560" s="75"/>
      <c r="N560" s="70"/>
      <c r="O560" s="77" t="s">
        <v>179</v>
      </c>
      <c r="P560" s="79">
        <v>45186.631319444445</v>
      </c>
      <c r="Q560" s="77" t="s">
        <v>1508</v>
      </c>
      <c r="R560" s="77">
        <v>0</v>
      </c>
      <c r="S560" s="77">
        <v>0</v>
      </c>
      <c r="T560" s="77">
        <v>0</v>
      </c>
      <c r="U560" s="77">
        <v>0</v>
      </c>
      <c r="V560" s="77">
        <v>50</v>
      </c>
      <c r="W560" s="81" t="s">
        <v>3262</v>
      </c>
      <c r="X560" s="77"/>
      <c r="Y560" s="77"/>
      <c r="Z560" s="77"/>
      <c r="AA560" s="77" t="s">
        <v>4780</v>
      </c>
      <c r="AB560" s="77" t="s">
        <v>5794</v>
      </c>
      <c r="AC560" s="81" t="s">
        <v>5805</v>
      </c>
      <c r="AD560" s="77" t="s">
        <v>5850</v>
      </c>
      <c r="AE560" s="83" t="str">
        <f>HYPERLINK("https://twitter.com/tneaar/status/1703425853173162026")</f>
        <v>https://twitter.com/tneaar/status/1703425853173162026</v>
      </c>
      <c r="AF560" s="79">
        <v>45186.631319444445</v>
      </c>
      <c r="AG560" s="85">
        <v>45186</v>
      </c>
      <c r="AH560" s="81" t="s">
        <v>6379</v>
      </c>
      <c r="AI560" s="77" t="b">
        <v>0</v>
      </c>
      <c r="AJ560" s="77"/>
      <c r="AK560" s="77"/>
      <c r="AL560" s="77"/>
      <c r="AM560" s="77"/>
      <c r="AN560" s="77"/>
      <c r="AO560" s="77"/>
      <c r="AP560" s="77"/>
      <c r="AQ560" s="77" t="s">
        <v>8283</v>
      </c>
      <c r="AR560" s="77"/>
      <c r="AS560" s="77"/>
      <c r="AT560" s="77"/>
      <c r="AU560" s="77"/>
      <c r="AV560" s="83" t="str">
        <f>HYPERLINK("https://pbs.twimg.com/media/F6PIx_TWMAAP3PL.jpg")</f>
        <v>https://pbs.twimg.com/media/F6PIx_TWMAAP3PL.jpg</v>
      </c>
      <c r="AW560" s="81" t="s">
        <v>9830</v>
      </c>
      <c r="AX560" s="81" t="s">
        <v>9830</v>
      </c>
      <c r="AY560" s="77"/>
      <c r="AZ560" s="81" t="s">
        <v>11359</v>
      </c>
      <c r="BA560" s="81" t="s">
        <v>11359</v>
      </c>
      <c r="BB560" s="81" t="s">
        <v>11359</v>
      </c>
      <c r="BC560" s="81" t="s">
        <v>9830</v>
      </c>
      <c r="BD560" s="77">
        <v>493423213</v>
      </c>
      <c r="BE560" s="77"/>
      <c r="BF560" s="77"/>
      <c r="BG560" s="77"/>
      <c r="BH560" s="77"/>
      <c r="BI560" s="77"/>
    </row>
    <row r="561" spans="1:61" x14ac:dyDescent="0.25">
      <c r="A561" s="62" t="s">
        <v>428</v>
      </c>
      <c r="B561" s="62" t="s">
        <v>428</v>
      </c>
      <c r="C561" s="63"/>
      <c r="D561" s="64"/>
      <c r="E561" s="65"/>
      <c r="F561" s="66"/>
      <c r="G561" s="63"/>
      <c r="H561" s="67"/>
      <c r="I561" s="68"/>
      <c r="J561" s="68"/>
      <c r="K561" s="32"/>
      <c r="L561" s="75">
        <v>561</v>
      </c>
      <c r="M561" s="75"/>
      <c r="N561" s="70"/>
      <c r="O561" s="77" t="s">
        <v>179</v>
      </c>
      <c r="P561" s="79">
        <v>45186.628877314812</v>
      </c>
      <c r="Q561" s="77" t="s">
        <v>1509</v>
      </c>
      <c r="R561" s="77">
        <v>0</v>
      </c>
      <c r="S561" s="77">
        <v>0</v>
      </c>
      <c r="T561" s="77">
        <v>0</v>
      </c>
      <c r="U561" s="77">
        <v>0</v>
      </c>
      <c r="V561" s="77">
        <v>56</v>
      </c>
      <c r="W561" s="81" t="s">
        <v>3252</v>
      </c>
      <c r="X561" s="77"/>
      <c r="Y561" s="77"/>
      <c r="Z561" s="77"/>
      <c r="AA561" s="77" t="s">
        <v>4781</v>
      </c>
      <c r="AB561" s="77" t="s">
        <v>5794</v>
      </c>
      <c r="AC561" s="81" t="s">
        <v>5805</v>
      </c>
      <c r="AD561" s="77" t="s">
        <v>5850</v>
      </c>
      <c r="AE561" s="83" t="str">
        <f>HYPERLINK("https://twitter.com/tneaar/status/1703424967549833684")</f>
        <v>https://twitter.com/tneaar/status/1703424967549833684</v>
      </c>
      <c r="AF561" s="79">
        <v>45186.628877314812</v>
      </c>
      <c r="AG561" s="85">
        <v>45186</v>
      </c>
      <c r="AH561" s="81" t="s">
        <v>6380</v>
      </c>
      <c r="AI561" s="77" t="b">
        <v>0</v>
      </c>
      <c r="AJ561" s="77"/>
      <c r="AK561" s="77"/>
      <c r="AL561" s="77"/>
      <c r="AM561" s="77"/>
      <c r="AN561" s="77"/>
      <c r="AO561" s="77"/>
      <c r="AP561" s="77"/>
      <c r="AQ561" s="77" t="s">
        <v>8284</v>
      </c>
      <c r="AR561" s="77"/>
      <c r="AS561" s="77"/>
      <c r="AT561" s="77"/>
      <c r="AU561" s="77"/>
      <c r="AV561" s="83" t="str">
        <f>HYPERLINK("https://pbs.twimg.com/media/F6PH-jIWsAA8rla.jpg")</f>
        <v>https://pbs.twimg.com/media/F6PH-jIWsAA8rla.jpg</v>
      </c>
      <c r="AW561" s="81" t="s">
        <v>9831</v>
      </c>
      <c r="AX561" s="81" t="s">
        <v>9831</v>
      </c>
      <c r="AY561" s="77"/>
      <c r="AZ561" s="81" t="s">
        <v>11359</v>
      </c>
      <c r="BA561" s="81" t="s">
        <v>11359</v>
      </c>
      <c r="BB561" s="81" t="s">
        <v>11359</v>
      </c>
      <c r="BC561" s="81" t="s">
        <v>9831</v>
      </c>
      <c r="BD561" s="77">
        <v>493423213</v>
      </c>
      <c r="BE561" s="77"/>
      <c r="BF561" s="77"/>
      <c r="BG561" s="77"/>
      <c r="BH561" s="77"/>
      <c r="BI561" s="77"/>
    </row>
    <row r="562" spans="1:61" x14ac:dyDescent="0.25">
      <c r="A562" s="62" t="s">
        <v>428</v>
      </c>
      <c r="B562" s="62" t="s">
        <v>428</v>
      </c>
      <c r="C562" s="63"/>
      <c r="D562" s="64"/>
      <c r="E562" s="65"/>
      <c r="F562" s="66"/>
      <c r="G562" s="63"/>
      <c r="H562" s="67"/>
      <c r="I562" s="68"/>
      <c r="J562" s="68"/>
      <c r="K562" s="32"/>
      <c r="L562" s="75">
        <v>562</v>
      </c>
      <c r="M562" s="75"/>
      <c r="N562" s="70"/>
      <c r="O562" s="77" t="s">
        <v>179</v>
      </c>
      <c r="P562" s="79">
        <v>45186.616307870368</v>
      </c>
      <c r="Q562" s="77" t="s">
        <v>1510</v>
      </c>
      <c r="R562" s="77">
        <v>0</v>
      </c>
      <c r="S562" s="77">
        <v>0</v>
      </c>
      <c r="T562" s="77">
        <v>0</v>
      </c>
      <c r="U562" s="77">
        <v>0</v>
      </c>
      <c r="V562" s="77">
        <v>52</v>
      </c>
      <c r="W562" s="81" t="s">
        <v>3260</v>
      </c>
      <c r="X562" s="77"/>
      <c r="Y562" s="77"/>
      <c r="Z562" s="77"/>
      <c r="AA562" s="77" t="s">
        <v>4782</v>
      </c>
      <c r="AB562" s="77" t="s">
        <v>5794</v>
      </c>
      <c r="AC562" s="81" t="s">
        <v>5805</v>
      </c>
      <c r="AD562" s="77" t="s">
        <v>5850</v>
      </c>
      <c r="AE562" s="83" t="str">
        <f>HYPERLINK("https://twitter.com/tneaar/status/1703420416205668593")</f>
        <v>https://twitter.com/tneaar/status/1703420416205668593</v>
      </c>
      <c r="AF562" s="79">
        <v>45186.616307870368</v>
      </c>
      <c r="AG562" s="85">
        <v>45186</v>
      </c>
      <c r="AH562" s="81" t="s">
        <v>6381</v>
      </c>
      <c r="AI562" s="77" t="b">
        <v>0</v>
      </c>
      <c r="AJ562" s="77"/>
      <c r="AK562" s="77"/>
      <c r="AL562" s="77"/>
      <c r="AM562" s="77"/>
      <c r="AN562" s="77"/>
      <c r="AO562" s="77"/>
      <c r="AP562" s="77"/>
      <c r="AQ562" s="77" t="s">
        <v>8285</v>
      </c>
      <c r="AR562" s="77"/>
      <c r="AS562" s="77"/>
      <c r="AT562" s="77"/>
      <c r="AU562" s="77"/>
      <c r="AV562" s="83" t="str">
        <f>HYPERLINK("https://pbs.twimg.com/media/F6PDuxWWEAA3dNQ.jpg")</f>
        <v>https://pbs.twimg.com/media/F6PDuxWWEAA3dNQ.jpg</v>
      </c>
      <c r="AW562" s="81" t="s">
        <v>9832</v>
      </c>
      <c r="AX562" s="81" t="s">
        <v>9832</v>
      </c>
      <c r="AY562" s="77"/>
      <c r="AZ562" s="81" t="s">
        <v>11359</v>
      </c>
      <c r="BA562" s="81" t="s">
        <v>11359</v>
      </c>
      <c r="BB562" s="81" t="s">
        <v>11359</v>
      </c>
      <c r="BC562" s="81" t="s">
        <v>9832</v>
      </c>
      <c r="BD562" s="77">
        <v>493423213</v>
      </c>
      <c r="BE562" s="77"/>
      <c r="BF562" s="77"/>
      <c r="BG562" s="77"/>
      <c r="BH562" s="77"/>
      <c r="BI562" s="77"/>
    </row>
    <row r="563" spans="1:61" x14ac:dyDescent="0.25">
      <c r="A563" s="62" t="s">
        <v>428</v>
      </c>
      <c r="B563" s="62" t="s">
        <v>428</v>
      </c>
      <c r="C563" s="63"/>
      <c r="D563" s="64"/>
      <c r="E563" s="65"/>
      <c r="F563" s="66"/>
      <c r="G563" s="63"/>
      <c r="H563" s="67"/>
      <c r="I563" s="68"/>
      <c r="J563" s="68"/>
      <c r="K563" s="32"/>
      <c r="L563" s="75">
        <v>563</v>
      </c>
      <c r="M563" s="75"/>
      <c r="N563" s="70"/>
      <c r="O563" s="77" t="s">
        <v>179</v>
      </c>
      <c r="P563" s="79">
        <v>45186.607858796298</v>
      </c>
      <c r="Q563" s="77" t="s">
        <v>1511</v>
      </c>
      <c r="R563" s="77">
        <v>1</v>
      </c>
      <c r="S563" s="77">
        <v>0</v>
      </c>
      <c r="T563" s="77">
        <v>0</v>
      </c>
      <c r="U563" s="77">
        <v>0</v>
      </c>
      <c r="V563" s="77">
        <v>160</v>
      </c>
      <c r="W563" s="81" t="s">
        <v>3280</v>
      </c>
      <c r="X563" s="77"/>
      <c r="Y563" s="77"/>
      <c r="Z563" s="77"/>
      <c r="AA563" s="77" t="s">
        <v>4783</v>
      </c>
      <c r="AB563" s="77" t="s">
        <v>5794</v>
      </c>
      <c r="AC563" s="81" t="s">
        <v>5805</v>
      </c>
      <c r="AD563" s="77" t="s">
        <v>5850</v>
      </c>
      <c r="AE563" s="83" t="str">
        <f>HYPERLINK("https://twitter.com/tneaar/status/1703417353738862743")</f>
        <v>https://twitter.com/tneaar/status/1703417353738862743</v>
      </c>
      <c r="AF563" s="79">
        <v>45186.607858796298</v>
      </c>
      <c r="AG563" s="85">
        <v>45186</v>
      </c>
      <c r="AH563" s="81" t="s">
        <v>6382</v>
      </c>
      <c r="AI563" s="77" t="b">
        <v>0</v>
      </c>
      <c r="AJ563" s="77"/>
      <c r="AK563" s="77"/>
      <c r="AL563" s="77"/>
      <c r="AM563" s="77"/>
      <c r="AN563" s="77"/>
      <c r="AO563" s="77"/>
      <c r="AP563" s="77"/>
      <c r="AQ563" s="77" t="s">
        <v>8286</v>
      </c>
      <c r="AR563" s="77"/>
      <c r="AS563" s="77"/>
      <c r="AT563" s="77"/>
      <c r="AU563" s="77"/>
      <c r="AV563" s="83" t="str">
        <f>HYPERLINK("https://pbs.twimg.com/media/F6PBDXOX0AEk2OO.jpg")</f>
        <v>https://pbs.twimg.com/media/F6PBDXOX0AEk2OO.jpg</v>
      </c>
      <c r="AW563" s="81" t="s">
        <v>9833</v>
      </c>
      <c r="AX563" s="81" t="s">
        <v>9833</v>
      </c>
      <c r="AY563" s="77"/>
      <c r="AZ563" s="81" t="s">
        <v>11359</v>
      </c>
      <c r="BA563" s="81" t="s">
        <v>11359</v>
      </c>
      <c r="BB563" s="81" t="s">
        <v>11359</v>
      </c>
      <c r="BC563" s="81" t="s">
        <v>9833</v>
      </c>
      <c r="BD563" s="77">
        <v>493423213</v>
      </c>
      <c r="BE563" s="77"/>
      <c r="BF563" s="77"/>
      <c r="BG563" s="77"/>
      <c r="BH563" s="77"/>
      <c r="BI563" s="77"/>
    </row>
    <row r="564" spans="1:61" x14ac:dyDescent="0.25">
      <c r="A564" s="62" t="s">
        <v>428</v>
      </c>
      <c r="B564" s="62" t="s">
        <v>428</v>
      </c>
      <c r="C564" s="63"/>
      <c r="D564" s="64"/>
      <c r="E564" s="65"/>
      <c r="F564" s="66"/>
      <c r="G564" s="63"/>
      <c r="H564" s="67"/>
      <c r="I564" s="68"/>
      <c r="J564" s="68"/>
      <c r="K564" s="32"/>
      <c r="L564" s="75">
        <v>564</v>
      </c>
      <c r="M564" s="75"/>
      <c r="N564" s="70"/>
      <c r="O564" s="77" t="s">
        <v>179</v>
      </c>
      <c r="P564" s="79">
        <v>45180.617835648147</v>
      </c>
      <c r="Q564" s="77" t="s">
        <v>1512</v>
      </c>
      <c r="R564" s="77">
        <v>0</v>
      </c>
      <c r="S564" s="77">
        <v>0</v>
      </c>
      <c r="T564" s="77">
        <v>0</v>
      </c>
      <c r="U564" s="77">
        <v>0</v>
      </c>
      <c r="V564" s="77">
        <v>76</v>
      </c>
      <c r="W564" s="81" t="s">
        <v>3244</v>
      </c>
      <c r="X564" s="77"/>
      <c r="Y564" s="77"/>
      <c r="Z564" s="77"/>
      <c r="AA564" s="77" t="s">
        <v>4784</v>
      </c>
      <c r="AB564" s="77" t="s">
        <v>5794</v>
      </c>
      <c r="AC564" s="81" t="s">
        <v>5805</v>
      </c>
      <c r="AD564" s="77" t="s">
        <v>5850</v>
      </c>
      <c r="AE564" s="83" t="str">
        <f>HYPERLINK("https://twitter.com/tneaar/status/1701246642639208827")</f>
        <v>https://twitter.com/tneaar/status/1701246642639208827</v>
      </c>
      <c r="AF564" s="79">
        <v>45180.617835648147</v>
      </c>
      <c r="AG564" s="85">
        <v>45180</v>
      </c>
      <c r="AH564" s="81" t="s">
        <v>6383</v>
      </c>
      <c r="AI564" s="77" t="b">
        <v>0</v>
      </c>
      <c r="AJ564" s="77"/>
      <c r="AK564" s="77"/>
      <c r="AL564" s="77"/>
      <c r="AM564" s="77"/>
      <c r="AN564" s="77"/>
      <c r="AO564" s="77"/>
      <c r="AP564" s="77"/>
      <c r="AQ564" s="77" t="s">
        <v>8287</v>
      </c>
      <c r="AR564" s="77"/>
      <c r="AS564" s="77"/>
      <c r="AT564" s="77"/>
      <c r="AU564" s="77"/>
      <c r="AV564" s="83" t="str">
        <f>HYPERLINK("https://pbs.twimg.com/media/F5wKzW5XMAAs5tB.jpg")</f>
        <v>https://pbs.twimg.com/media/F5wKzW5XMAAs5tB.jpg</v>
      </c>
      <c r="AW564" s="81" t="s">
        <v>9834</v>
      </c>
      <c r="AX564" s="81" t="s">
        <v>9834</v>
      </c>
      <c r="AY564" s="77"/>
      <c r="AZ564" s="81" t="s">
        <v>11359</v>
      </c>
      <c r="BA564" s="81" t="s">
        <v>11359</v>
      </c>
      <c r="BB564" s="81" t="s">
        <v>11359</v>
      </c>
      <c r="BC564" s="81" t="s">
        <v>9834</v>
      </c>
      <c r="BD564" s="77">
        <v>493423213</v>
      </c>
      <c r="BE564" s="77"/>
      <c r="BF564" s="77"/>
      <c r="BG564" s="77"/>
      <c r="BH564" s="77"/>
      <c r="BI564" s="77"/>
    </row>
    <row r="565" spans="1:61" x14ac:dyDescent="0.25">
      <c r="A565" s="62" t="s">
        <v>428</v>
      </c>
      <c r="B565" s="62" t="s">
        <v>428</v>
      </c>
      <c r="C565" s="63"/>
      <c r="D565" s="64"/>
      <c r="E565" s="65"/>
      <c r="F565" s="66"/>
      <c r="G565" s="63"/>
      <c r="H565" s="67"/>
      <c r="I565" s="68"/>
      <c r="J565" s="68"/>
      <c r="K565" s="32"/>
      <c r="L565" s="75">
        <v>565</v>
      </c>
      <c r="M565" s="75"/>
      <c r="N565" s="70"/>
      <c r="O565" s="77" t="s">
        <v>179</v>
      </c>
      <c r="P565" s="79">
        <v>45180.6175</v>
      </c>
      <c r="Q565" s="77" t="s">
        <v>1513</v>
      </c>
      <c r="R565" s="77">
        <v>0</v>
      </c>
      <c r="S565" s="77">
        <v>0</v>
      </c>
      <c r="T565" s="77">
        <v>0</v>
      </c>
      <c r="U565" s="77">
        <v>0</v>
      </c>
      <c r="V565" s="77">
        <v>54</v>
      </c>
      <c r="W565" s="81" t="s">
        <v>3253</v>
      </c>
      <c r="X565" s="77"/>
      <c r="Y565" s="77"/>
      <c r="Z565" s="77"/>
      <c r="AA565" s="77" t="s">
        <v>4785</v>
      </c>
      <c r="AB565" s="77" t="s">
        <v>5794</v>
      </c>
      <c r="AC565" s="81" t="s">
        <v>5805</v>
      </c>
      <c r="AD565" s="77" t="s">
        <v>5850</v>
      </c>
      <c r="AE565" s="83" t="str">
        <f>HYPERLINK("https://twitter.com/tneaar/status/1701246517925892229")</f>
        <v>https://twitter.com/tneaar/status/1701246517925892229</v>
      </c>
      <c r="AF565" s="79">
        <v>45180.6175</v>
      </c>
      <c r="AG565" s="85">
        <v>45180</v>
      </c>
      <c r="AH565" s="81" t="s">
        <v>6384</v>
      </c>
      <c r="AI565" s="77" t="b">
        <v>0</v>
      </c>
      <c r="AJ565" s="77"/>
      <c r="AK565" s="77"/>
      <c r="AL565" s="77"/>
      <c r="AM565" s="77"/>
      <c r="AN565" s="77"/>
      <c r="AO565" s="77"/>
      <c r="AP565" s="77"/>
      <c r="AQ565" s="77" t="s">
        <v>8288</v>
      </c>
      <c r="AR565" s="77"/>
      <c r="AS565" s="77"/>
      <c r="AT565" s="77"/>
      <c r="AU565" s="77"/>
      <c r="AV565" s="83" t="str">
        <f>HYPERLINK("https://pbs.twimg.com/media/F5wKsHKWAAAhDl0.jpg")</f>
        <v>https://pbs.twimg.com/media/F5wKsHKWAAAhDl0.jpg</v>
      </c>
      <c r="AW565" s="81" t="s">
        <v>9835</v>
      </c>
      <c r="AX565" s="81" t="s">
        <v>9835</v>
      </c>
      <c r="AY565" s="77"/>
      <c r="AZ565" s="81" t="s">
        <v>11359</v>
      </c>
      <c r="BA565" s="81" t="s">
        <v>11359</v>
      </c>
      <c r="BB565" s="81" t="s">
        <v>11359</v>
      </c>
      <c r="BC565" s="81" t="s">
        <v>9835</v>
      </c>
      <c r="BD565" s="77">
        <v>493423213</v>
      </c>
      <c r="BE565" s="77"/>
      <c r="BF565" s="77"/>
      <c r="BG565" s="77"/>
      <c r="BH565" s="77"/>
      <c r="BI565" s="77"/>
    </row>
    <row r="566" spans="1:61" x14ac:dyDescent="0.25">
      <c r="A566" s="62" t="s">
        <v>428</v>
      </c>
      <c r="B566" s="62" t="s">
        <v>428</v>
      </c>
      <c r="C566" s="63"/>
      <c r="D566" s="64"/>
      <c r="E566" s="65"/>
      <c r="F566" s="66"/>
      <c r="G566" s="63"/>
      <c r="H566" s="67"/>
      <c r="I566" s="68"/>
      <c r="J566" s="68"/>
      <c r="K566" s="32"/>
      <c r="L566" s="75">
        <v>566</v>
      </c>
      <c r="M566" s="75"/>
      <c r="N566" s="70"/>
      <c r="O566" s="77" t="s">
        <v>179</v>
      </c>
      <c r="P566" s="79">
        <v>45177.470393518517</v>
      </c>
      <c r="Q566" s="77" t="s">
        <v>1514</v>
      </c>
      <c r="R566" s="77">
        <v>0</v>
      </c>
      <c r="S566" s="77">
        <v>1</v>
      </c>
      <c r="T566" s="77">
        <v>0</v>
      </c>
      <c r="U566" s="77">
        <v>0</v>
      </c>
      <c r="V566" s="77">
        <v>121</v>
      </c>
      <c r="W566" s="81" t="s">
        <v>3252</v>
      </c>
      <c r="X566" s="77"/>
      <c r="Y566" s="77"/>
      <c r="Z566" s="77"/>
      <c r="AA566" s="77" t="s">
        <v>4786</v>
      </c>
      <c r="AB566" s="77" t="s">
        <v>5794</v>
      </c>
      <c r="AC566" s="81" t="s">
        <v>5805</v>
      </c>
      <c r="AD566" s="77" t="s">
        <v>5850</v>
      </c>
      <c r="AE566" s="83" t="str">
        <f>HYPERLINK("https://twitter.com/tneaar/status/1700106046235172954")</f>
        <v>https://twitter.com/tneaar/status/1700106046235172954</v>
      </c>
      <c r="AF566" s="79">
        <v>45177.470393518517</v>
      </c>
      <c r="AG566" s="85">
        <v>45177</v>
      </c>
      <c r="AH566" s="81" t="s">
        <v>6385</v>
      </c>
      <c r="AI566" s="77" t="b">
        <v>0</v>
      </c>
      <c r="AJ566" s="77"/>
      <c r="AK566" s="77"/>
      <c r="AL566" s="77"/>
      <c r="AM566" s="77"/>
      <c r="AN566" s="77"/>
      <c r="AO566" s="77"/>
      <c r="AP566" s="77"/>
      <c r="AQ566" s="77" t="s">
        <v>8289</v>
      </c>
      <c r="AR566" s="77"/>
      <c r="AS566" s="77"/>
      <c r="AT566" s="77"/>
      <c r="AU566" s="77"/>
      <c r="AV566" s="83" t="str">
        <f>HYPERLINK("https://pbs.twimg.com/media/F5f9byIWkAAlknJ.jpg")</f>
        <v>https://pbs.twimg.com/media/F5f9byIWkAAlknJ.jpg</v>
      </c>
      <c r="AW566" s="81" t="s">
        <v>9836</v>
      </c>
      <c r="AX566" s="81" t="s">
        <v>9836</v>
      </c>
      <c r="AY566" s="77"/>
      <c r="AZ566" s="81" t="s">
        <v>11359</v>
      </c>
      <c r="BA566" s="81" t="s">
        <v>11359</v>
      </c>
      <c r="BB566" s="81" t="s">
        <v>11359</v>
      </c>
      <c r="BC566" s="81" t="s">
        <v>9836</v>
      </c>
      <c r="BD566" s="77">
        <v>493423213</v>
      </c>
      <c r="BE566" s="77"/>
      <c r="BF566" s="77"/>
      <c r="BG566" s="77"/>
      <c r="BH566" s="77"/>
      <c r="BI566" s="77"/>
    </row>
    <row r="567" spans="1:61" x14ac:dyDescent="0.25">
      <c r="A567" s="62" t="s">
        <v>428</v>
      </c>
      <c r="B567" s="62" t="s">
        <v>428</v>
      </c>
      <c r="C567" s="63"/>
      <c r="D567" s="64"/>
      <c r="E567" s="65"/>
      <c r="F567" s="66"/>
      <c r="G567" s="63"/>
      <c r="H567" s="67"/>
      <c r="I567" s="68"/>
      <c r="J567" s="68"/>
      <c r="K567" s="32"/>
      <c r="L567" s="75">
        <v>567</v>
      </c>
      <c r="M567" s="75"/>
      <c r="N567" s="70"/>
      <c r="O567" s="77" t="s">
        <v>179</v>
      </c>
      <c r="P567" s="79">
        <v>45176.980162037034</v>
      </c>
      <c r="Q567" s="77" t="s">
        <v>1515</v>
      </c>
      <c r="R567" s="77">
        <v>1</v>
      </c>
      <c r="S567" s="77">
        <v>1</v>
      </c>
      <c r="T567" s="77">
        <v>0</v>
      </c>
      <c r="U567" s="77">
        <v>0</v>
      </c>
      <c r="V567" s="77">
        <v>176</v>
      </c>
      <c r="W567" s="81" t="s">
        <v>3288</v>
      </c>
      <c r="X567" s="77"/>
      <c r="Y567" s="77"/>
      <c r="Z567" s="77"/>
      <c r="AA567" s="77" t="s">
        <v>4787</v>
      </c>
      <c r="AB567" s="77" t="s">
        <v>5794</v>
      </c>
      <c r="AC567" s="81" t="s">
        <v>5805</v>
      </c>
      <c r="AD567" s="77" t="s">
        <v>5850</v>
      </c>
      <c r="AE567" s="83" t="str">
        <f>HYPERLINK("https://twitter.com/tneaar/status/1699928393305706640")</f>
        <v>https://twitter.com/tneaar/status/1699928393305706640</v>
      </c>
      <c r="AF567" s="79">
        <v>45176.980162037034</v>
      </c>
      <c r="AG567" s="85">
        <v>45176</v>
      </c>
      <c r="AH567" s="81" t="s">
        <v>6386</v>
      </c>
      <c r="AI567" s="77" t="b">
        <v>0</v>
      </c>
      <c r="AJ567" s="77"/>
      <c r="AK567" s="77"/>
      <c r="AL567" s="77"/>
      <c r="AM567" s="77"/>
      <c r="AN567" s="77"/>
      <c r="AO567" s="77"/>
      <c r="AP567" s="77"/>
      <c r="AQ567" s="77" t="s">
        <v>8290</v>
      </c>
      <c r="AR567" s="77"/>
      <c r="AS567" s="77"/>
      <c r="AT567" s="77"/>
      <c r="AU567" s="77"/>
      <c r="AV567" s="83" t="str">
        <f>HYPERLINK("https://pbs.twimg.com/media/F5db3E3WsAA_9fK.jpg")</f>
        <v>https://pbs.twimg.com/media/F5db3E3WsAA_9fK.jpg</v>
      </c>
      <c r="AW567" s="81" t="s">
        <v>9837</v>
      </c>
      <c r="AX567" s="81" t="s">
        <v>9837</v>
      </c>
      <c r="AY567" s="77"/>
      <c r="AZ567" s="81" t="s">
        <v>11359</v>
      </c>
      <c r="BA567" s="81" t="s">
        <v>11359</v>
      </c>
      <c r="BB567" s="81" t="s">
        <v>11359</v>
      </c>
      <c r="BC567" s="81" t="s">
        <v>9837</v>
      </c>
      <c r="BD567" s="77">
        <v>493423213</v>
      </c>
      <c r="BE567" s="77"/>
      <c r="BF567" s="77"/>
      <c r="BG567" s="77"/>
      <c r="BH567" s="77"/>
      <c r="BI567" s="77"/>
    </row>
    <row r="568" spans="1:61" x14ac:dyDescent="0.25">
      <c r="A568" s="62" t="s">
        <v>428</v>
      </c>
      <c r="B568" s="62" t="s">
        <v>428</v>
      </c>
      <c r="C568" s="63"/>
      <c r="D568" s="64"/>
      <c r="E568" s="65"/>
      <c r="F568" s="66"/>
      <c r="G568" s="63"/>
      <c r="H568" s="67"/>
      <c r="I568" s="68"/>
      <c r="J568" s="68"/>
      <c r="K568" s="32"/>
      <c r="L568" s="75">
        <v>568</v>
      </c>
      <c r="M568" s="75"/>
      <c r="N568" s="70"/>
      <c r="O568" s="77" t="s">
        <v>179</v>
      </c>
      <c r="P568" s="79">
        <v>45176.961828703701</v>
      </c>
      <c r="Q568" s="77" t="s">
        <v>1516</v>
      </c>
      <c r="R568" s="77">
        <v>0</v>
      </c>
      <c r="S568" s="77">
        <v>0</v>
      </c>
      <c r="T568" s="77">
        <v>0</v>
      </c>
      <c r="U568" s="77">
        <v>0</v>
      </c>
      <c r="V568" s="77">
        <v>91</v>
      </c>
      <c r="W568" s="81" t="s">
        <v>3252</v>
      </c>
      <c r="X568" s="77"/>
      <c r="Y568" s="77"/>
      <c r="Z568" s="77"/>
      <c r="AA568" s="77" t="s">
        <v>4788</v>
      </c>
      <c r="AB568" s="77" t="s">
        <v>5794</v>
      </c>
      <c r="AC568" s="81" t="s">
        <v>5805</v>
      </c>
      <c r="AD568" s="77" t="s">
        <v>5850</v>
      </c>
      <c r="AE568" s="83" t="str">
        <f>HYPERLINK("https://twitter.com/tneaar/status/1699921747091288332")</f>
        <v>https://twitter.com/tneaar/status/1699921747091288332</v>
      </c>
      <c r="AF568" s="79">
        <v>45176.961828703701</v>
      </c>
      <c r="AG568" s="85">
        <v>45176</v>
      </c>
      <c r="AH568" s="81" t="s">
        <v>6387</v>
      </c>
      <c r="AI568" s="77" t="b">
        <v>0</v>
      </c>
      <c r="AJ568" s="77"/>
      <c r="AK568" s="77"/>
      <c r="AL568" s="77"/>
      <c r="AM568" s="77"/>
      <c r="AN568" s="77"/>
      <c r="AO568" s="77"/>
      <c r="AP568" s="77"/>
      <c r="AQ568" s="77" t="s">
        <v>8291</v>
      </c>
      <c r="AR568" s="77"/>
      <c r="AS568" s="77"/>
      <c r="AT568" s="77"/>
      <c r="AU568" s="77"/>
      <c r="AV568" s="83" t="str">
        <f>HYPERLINK("https://pbs.twimg.com/media/F5dV0P4XwAAK1iv.jpg")</f>
        <v>https://pbs.twimg.com/media/F5dV0P4XwAAK1iv.jpg</v>
      </c>
      <c r="AW568" s="81" t="s">
        <v>9838</v>
      </c>
      <c r="AX568" s="81" t="s">
        <v>9838</v>
      </c>
      <c r="AY568" s="77"/>
      <c r="AZ568" s="81" t="s">
        <v>11359</v>
      </c>
      <c r="BA568" s="81" t="s">
        <v>11359</v>
      </c>
      <c r="BB568" s="81" t="s">
        <v>11359</v>
      </c>
      <c r="BC568" s="81" t="s">
        <v>9838</v>
      </c>
      <c r="BD568" s="77">
        <v>493423213</v>
      </c>
      <c r="BE568" s="77"/>
      <c r="BF568" s="77"/>
      <c r="BG568" s="77"/>
      <c r="BH568" s="77"/>
      <c r="BI568" s="77"/>
    </row>
    <row r="569" spans="1:61" x14ac:dyDescent="0.25">
      <c r="A569" s="62" t="s">
        <v>428</v>
      </c>
      <c r="B569" s="62" t="s">
        <v>428</v>
      </c>
      <c r="C569" s="63"/>
      <c r="D569" s="64"/>
      <c r="E569" s="65"/>
      <c r="F569" s="66"/>
      <c r="G569" s="63"/>
      <c r="H569" s="67"/>
      <c r="I569" s="68"/>
      <c r="J569" s="68"/>
      <c r="K569" s="32"/>
      <c r="L569" s="75">
        <v>569</v>
      </c>
      <c r="M569" s="75"/>
      <c r="N569" s="70"/>
      <c r="O569" s="77" t="s">
        <v>179</v>
      </c>
      <c r="P569" s="79">
        <v>45176.938796296294</v>
      </c>
      <c r="Q569" s="77" t="s">
        <v>1517</v>
      </c>
      <c r="R569" s="77">
        <v>0</v>
      </c>
      <c r="S569" s="77">
        <v>0</v>
      </c>
      <c r="T569" s="77">
        <v>0</v>
      </c>
      <c r="U569" s="77">
        <v>0</v>
      </c>
      <c r="V569" s="77">
        <v>65</v>
      </c>
      <c r="W569" s="81" t="s">
        <v>3261</v>
      </c>
      <c r="X569" s="83" t="str">
        <f>HYPERLINK("https://wa.link/lqxueu")</f>
        <v>https://wa.link/lqxueu</v>
      </c>
      <c r="Y569" s="77" t="s">
        <v>4266</v>
      </c>
      <c r="Z569" s="77"/>
      <c r="AA569" s="77" t="s">
        <v>4789</v>
      </c>
      <c r="AB569" s="77" t="s">
        <v>5794</v>
      </c>
      <c r="AC569" s="81" t="s">
        <v>5805</v>
      </c>
      <c r="AD569" s="77" t="s">
        <v>5850</v>
      </c>
      <c r="AE569" s="83" t="str">
        <f>HYPERLINK("https://twitter.com/tneaar/status/1699913401860825187")</f>
        <v>https://twitter.com/tneaar/status/1699913401860825187</v>
      </c>
      <c r="AF569" s="79">
        <v>45176.938796296294</v>
      </c>
      <c r="AG569" s="85">
        <v>45176</v>
      </c>
      <c r="AH569" s="81" t="s">
        <v>6388</v>
      </c>
      <c r="AI569" s="77" t="b">
        <v>0</v>
      </c>
      <c r="AJ569" s="77"/>
      <c r="AK569" s="77"/>
      <c r="AL569" s="77"/>
      <c r="AM569" s="77"/>
      <c r="AN569" s="77"/>
      <c r="AO569" s="77"/>
      <c r="AP569" s="77"/>
      <c r="AQ569" s="77" t="s">
        <v>8292</v>
      </c>
      <c r="AR569" s="77"/>
      <c r="AS569" s="77"/>
      <c r="AT569" s="77"/>
      <c r="AU569" s="77"/>
      <c r="AV569" s="83" t="str">
        <f>HYPERLINK("https://pbs.twimg.com/media/F5dOOOjW8AAsVbJ.jpg")</f>
        <v>https://pbs.twimg.com/media/F5dOOOjW8AAsVbJ.jpg</v>
      </c>
      <c r="AW569" s="81" t="s">
        <v>9839</v>
      </c>
      <c r="AX569" s="81" t="s">
        <v>9839</v>
      </c>
      <c r="AY569" s="77"/>
      <c r="AZ569" s="81" t="s">
        <v>11359</v>
      </c>
      <c r="BA569" s="81" t="s">
        <v>11359</v>
      </c>
      <c r="BB569" s="81" t="s">
        <v>11359</v>
      </c>
      <c r="BC569" s="81" t="s">
        <v>9839</v>
      </c>
      <c r="BD569" s="77">
        <v>493423213</v>
      </c>
      <c r="BE569" s="77"/>
      <c r="BF569" s="77"/>
      <c r="BG569" s="77"/>
      <c r="BH569" s="77"/>
      <c r="BI569" s="77"/>
    </row>
    <row r="570" spans="1:61" x14ac:dyDescent="0.25">
      <c r="A570" s="62" t="s">
        <v>428</v>
      </c>
      <c r="B570" s="62" t="s">
        <v>428</v>
      </c>
      <c r="C570" s="63"/>
      <c r="D570" s="64"/>
      <c r="E570" s="65"/>
      <c r="F570" s="66"/>
      <c r="G570" s="63"/>
      <c r="H570" s="67"/>
      <c r="I570" s="68"/>
      <c r="J570" s="68"/>
      <c r="K570" s="32"/>
      <c r="L570" s="75">
        <v>570</v>
      </c>
      <c r="M570" s="75"/>
      <c r="N570" s="70"/>
      <c r="O570" s="77" t="s">
        <v>179</v>
      </c>
      <c r="P570" s="79">
        <v>45161.646504629629</v>
      </c>
      <c r="Q570" s="77" t="s">
        <v>1518</v>
      </c>
      <c r="R570" s="77">
        <v>0</v>
      </c>
      <c r="S570" s="77">
        <v>0</v>
      </c>
      <c r="T570" s="77">
        <v>0</v>
      </c>
      <c r="U570" s="77">
        <v>0</v>
      </c>
      <c r="V570" s="77">
        <v>147</v>
      </c>
      <c r="W570" s="81" t="s">
        <v>3272</v>
      </c>
      <c r="X570" s="77"/>
      <c r="Y570" s="77"/>
      <c r="Z570" s="77"/>
      <c r="AA570" s="77" t="s">
        <v>4790</v>
      </c>
      <c r="AB570" s="77" t="s">
        <v>5794</v>
      </c>
      <c r="AC570" s="81" t="s">
        <v>5805</v>
      </c>
      <c r="AD570" s="77" t="s">
        <v>5850</v>
      </c>
      <c r="AE570" s="83" t="str">
        <f>HYPERLINK("https://twitter.com/tneaar/status/1694371659451342965")</f>
        <v>https://twitter.com/tneaar/status/1694371659451342965</v>
      </c>
      <c r="AF570" s="79">
        <v>45161.646504629629</v>
      </c>
      <c r="AG570" s="85">
        <v>45161</v>
      </c>
      <c r="AH570" s="81" t="s">
        <v>6389</v>
      </c>
      <c r="AI570" s="77" t="b">
        <v>0</v>
      </c>
      <c r="AJ570" s="77"/>
      <c r="AK570" s="77"/>
      <c r="AL570" s="77"/>
      <c r="AM570" s="77"/>
      <c r="AN570" s="77"/>
      <c r="AO570" s="77"/>
      <c r="AP570" s="77"/>
      <c r="AQ570" s="77" t="s">
        <v>8293</v>
      </c>
      <c r="AR570" s="77"/>
      <c r="AS570" s="77"/>
      <c r="AT570" s="77"/>
      <c r="AU570" s="77"/>
      <c r="AV570" s="83" t="str">
        <f>HYPERLINK("https://pbs.twimg.com/media/F4OeCwRXAAAIZKX.jpg")</f>
        <v>https://pbs.twimg.com/media/F4OeCwRXAAAIZKX.jpg</v>
      </c>
      <c r="AW570" s="81" t="s">
        <v>9840</v>
      </c>
      <c r="AX570" s="81" t="s">
        <v>9840</v>
      </c>
      <c r="AY570" s="77"/>
      <c r="AZ570" s="81" t="s">
        <v>11359</v>
      </c>
      <c r="BA570" s="81" t="s">
        <v>11359</v>
      </c>
      <c r="BB570" s="81" t="s">
        <v>11359</v>
      </c>
      <c r="BC570" s="81" t="s">
        <v>9840</v>
      </c>
      <c r="BD570" s="77">
        <v>493423213</v>
      </c>
      <c r="BE570" s="77"/>
      <c r="BF570" s="77"/>
      <c r="BG570" s="77"/>
      <c r="BH570" s="77"/>
      <c r="BI570" s="77"/>
    </row>
    <row r="571" spans="1:61" x14ac:dyDescent="0.25">
      <c r="A571" s="62" t="s">
        <v>428</v>
      </c>
      <c r="B571" s="62" t="s">
        <v>428</v>
      </c>
      <c r="C571" s="63"/>
      <c r="D571" s="64"/>
      <c r="E571" s="65"/>
      <c r="F571" s="66"/>
      <c r="G571" s="63"/>
      <c r="H571" s="67"/>
      <c r="I571" s="68"/>
      <c r="J571" s="68"/>
      <c r="K571" s="32"/>
      <c r="L571" s="75">
        <v>571</v>
      </c>
      <c r="M571" s="75"/>
      <c r="N571" s="70"/>
      <c r="O571" s="77" t="s">
        <v>179</v>
      </c>
      <c r="P571" s="79">
        <v>45152.531504629631</v>
      </c>
      <c r="Q571" s="77" t="s">
        <v>1519</v>
      </c>
      <c r="R571" s="77">
        <v>0</v>
      </c>
      <c r="S571" s="77">
        <v>0</v>
      </c>
      <c r="T571" s="77">
        <v>0</v>
      </c>
      <c r="U571" s="77">
        <v>0</v>
      </c>
      <c r="V571" s="77">
        <v>90</v>
      </c>
      <c r="W571" s="81" t="s">
        <v>3289</v>
      </c>
      <c r="X571" s="77"/>
      <c r="Y571" s="77"/>
      <c r="Z571" s="77"/>
      <c r="AA571" s="77" t="s">
        <v>4791</v>
      </c>
      <c r="AB571" s="77" t="s">
        <v>5794</v>
      </c>
      <c r="AC571" s="81" t="s">
        <v>5805</v>
      </c>
      <c r="AD571" s="77" t="s">
        <v>5850</v>
      </c>
      <c r="AE571" s="83" t="str">
        <f>HYPERLINK("https://twitter.com/tneaar/status/1691068495314681857")</f>
        <v>https://twitter.com/tneaar/status/1691068495314681857</v>
      </c>
      <c r="AF571" s="79">
        <v>45152.531504629631</v>
      </c>
      <c r="AG571" s="85">
        <v>45152</v>
      </c>
      <c r="AH571" s="81" t="s">
        <v>6390</v>
      </c>
      <c r="AI571" s="77" t="b">
        <v>0</v>
      </c>
      <c r="AJ571" s="77"/>
      <c r="AK571" s="77"/>
      <c r="AL571" s="77"/>
      <c r="AM571" s="77"/>
      <c r="AN571" s="77"/>
      <c r="AO571" s="77"/>
      <c r="AP571" s="77"/>
      <c r="AQ571" s="77" t="s">
        <v>8294</v>
      </c>
      <c r="AR571" s="77"/>
      <c r="AS571" s="77"/>
      <c r="AT571" s="77"/>
      <c r="AU571" s="77"/>
      <c r="AV571" s="83" t="str">
        <f>HYPERLINK("https://pbs.twimg.com/media/F3fh1SDW8AAn-sf.jpg")</f>
        <v>https://pbs.twimg.com/media/F3fh1SDW8AAn-sf.jpg</v>
      </c>
      <c r="AW571" s="81" t="s">
        <v>9841</v>
      </c>
      <c r="AX571" s="81" t="s">
        <v>9841</v>
      </c>
      <c r="AY571" s="77"/>
      <c r="AZ571" s="81" t="s">
        <v>11359</v>
      </c>
      <c r="BA571" s="81" t="s">
        <v>11359</v>
      </c>
      <c r="BB571" s="81" t="s">
        <v>11359</v>
      </c>
      <c r="BC571" s="81" t="s">
        <v>9841</v>
      </c>
      <c r="BD571" s="77">
        <v>493423213</v>
      </c>
      <c r="BE571" s="77"/>
      <c r="BF571" s="77"/>
      <c r="BG571" s="77"/>
      <c r="BH571" s="77"/>
      <c r="BI571" s="77"/>
    </row>
    <row r="572" spans="1:61" x14ac:dyDescent="0.25">
      <c r="A572" s="62" t="s">
        <v>428</v>
      </c>
      <c r="B572" s="62" t="s">
        <v>428</v>
      </c>
      <c r="C572" s="63"/>
      <c r="D572" s="64"/>
      <c r="E572" s="65"/>
      <c r="F572" s="66"/>
      <c r="G572" s="63"/>
      <c r="H572" s="67"/>
      <c r="I572" s="68"/>
      <c r="J572" s="68"/>
      <c r="K572" s="32"/>
      <c r="L572" s="75">
        <v>572</v>
      </c>
      <c r="M572" s="75"/>
      <c r="N572" s="70"/>
      <c r="O572" s="77" t="s">
        <v>179</v>
      </c>
      <c r="P572" s="79">
        <v>45152.530706018515</v>
      </c>
      <c r="Q572" s="77" t="s">
        <v>1520</v>
      </c>
      <c r="R572" s="77">
        <v>1</v>
      </c>
      <c r="S572" s="77">
        <v>0</v>
      </c>
      <c r="T572" s="77">
        <v>0</v>
      </c>
      <c r="U572" s="77">
        <v>0</v>
      </c>
      <c r="V572" s="77">
        <v>145</v>
      </c>
      <c r="W572" s="81" t="s">
        <v>3290</v>
      </c>
      <c r="X572" s="83" t="str">
        <f>HYPERLINK("http://www.previsoradelparana.com")</f>
        <v>http://www.previsoradelparana.com</v>
      </c>
      <c r="Y572" s="77" t="s">
        <v>4270</v>
      </c>
      <c r="Z572" s="77"/>
      <c r="AA572" s="77" t="s">
        <v>4792</v>
      </c>
      <c r="AB572" s="77" t="s">
        <v>5794</v>
      </c>
      <c r="AC572" s="81" t="s">
        <v>5805</v>
      </c>
      <c r="AD572" s="77" t="s">
        <v>5850</v>
      </c>
      <c r="AE572" s="83" t="str">
        <f>HYPERLINK("https://twitter.com/tneaar/status/1691068207975497729")</f>
        <v>https://twitter.com/tneaar/status/1691068207975497729</v>
      </c>
      <c r="AF572" s="79">
        <v>45152.530706018515</v>
      </c>
      <c r="AG572" s="85">
        <v>45152</v>
      </c>
      <c r="AH572" s="81" t="s">
        <v>6391</v>
      </c>
      <c r="AI572" s="77" t="b">
        <v>0</v>
      </c>
      <c r="AJ572" s="77"/>
      <c r="AK572" s="77"/>
      <c r="AL572" s="77"/>
      <c r="AM572" s="77"/>
      <c r="AN572" s="77"/>
      <c r="AO572" s="77"/>
      <c r="AP572" s="77"/>
      <c r="AQ572" s="77" t="s">
        <v>8295</v>
      </c>
      <c r="AR572" s="77"/>
      <c r="AS572" s="77"/>
      <c r="AT572" s="77"/>
      <c r="AU572" s="77"/>
      <c r="AV572" s="83" t="str">
        <f>HYPERLINK("https://pbs.twimg.com/media/F3fhka0WEAA5zwE.jpg")</f>
        <v>https://pbs.twimg.com/media/F3fhka0WEAA5zwE.jpg</v>
      </c>
      <c r="AW572" s="81" t="s">
        <v>9842</v>
      </c>
      <c r="AX572" s="81" t="s">
        <v>9842</v>
      </c>
      <c r="AY572" s="77"/>
      <c r="AZ572" s="81" t="s">
        <v>11359</v>
      </c>
      <c r="BA572" s="81" t="s">
        <v>11359</v>
      </c>
      <c r="BB572" s="81" t="s">
        <v>11359</v>
      </c>
      <c r="BC572" s="81" t="s">
        <v>9842</v>
      </c>
      <c r="BD572" s="77">
        <v>493423213</v>
      </c>
      <c r="BE572" s="77"/>
      <c r="BF572" s="77"/>
      <c r="BG572" s="77"/>
      <c r="BH572" s="77"/>
      <c r="BI572" s="77"/>
    </row>
    <row r="573" spans="1:61" x14ac:dyDescent="0.25">
      <c r="A573" s="62" t="s">
        <v>428</v>
      </c>
      <c r="B573" s="62" t="s">
        <v>428</v>
      </c>
      <c r="C573" s="63"/>
      <c r="D573" s="64"/>
      <c r="E573" s="65"/>
      <c r="F573" s="66"/>
      <c r="G573" s="63"/>
      <c r="H573" s="67"/>
      <c r="I573" s="68"/>
      <c r="J573" s="68"/>
      <c r="K573" s="32"/>
      <c r="L573" s="75">
        <v>573</v>
      </c>
      <c r="M573" s="75"/>
      <c r="N573" s="70"/>
      <c r="O573" s="77" t="s">
        <v>179</v>
      </c>
      <c r="P573" s="79">
        <v>45151.995775462965</v>
      </c>
      <c r="Q573" s="77" t="s">
        <v>1521</v>
      </c>
      <c r="R573" s="77">
        <v>0</v>
      </c>
      <c r="S573" s="77">
        <v>0</v>
      </c>
      <c r="T573" s="77">
        <v>0</v>
      </c>
      <c r="U573" s="77">
        <v>0</v>
      </c>
      <c r="V573" s="77">
        <v>110</v>
      </c>
      <c r="W573" s="81" t="s">
        <v>3254</v>
      </c>
      <c r="X573" s="77"/>
      <c r="Y573" s="77"/>
      <c r="Z573" s="77"/>
      <c r="AA573" s="77" t="s">
        <v>4793</v>
      </c>
      <c r="AB573" s="77" t="s">
        <v>5794</v>
      </c>
      <c r="AC573" s="81" t="s">
        <v>5805</v>
      </c>
      <c r="AD573" s="77" t="s">
        <v>5850</v>
      </c>
      <c r="AE573" s="83" t="str">
        <f>HYPERLINK("https://twitter.com/tneaar/status/1690874354983145473")</f>
        <v>https://twitter.com/tneaar/status/1690874354983145473</v>
      </c>
      <c r="AF573" s="79">
        <v>45151.995775462965</v>
      </c>
      <c r="AG573" s="85">
        <v>45151</v>
      </c>
      <c r="AH573" s="81" t="s">
        <v>6392</v>
      </c>
      <c r="AI573" s="77" t="b">
        <v>0</v>
      </c>
      <c r="AJ573" s="77"/>
      <c r="AK573" s="77"/>
      <c r="AL573" s="77"/>
      <c r="AM573" s="77"/>
      <c r="AN573" s="77"/>
      <c r="AO573" s="77"/>
      <c r="AP573" s="77"/>
      <c r="AQ573" s="77" t="s">
        <v>8296</v>
      </c>
      <c r="AR573" s="77"/>
      <c r="AS573" s="77"/>
      <c r="AT573" s="77"/>
      <c r="AU573" s="77"/>
      <c r="AV573" s="83" t="str">
        <f>HYPERLINK("https://pbs.twimg.com/media/F3cxQzzWwAIm4K0.jpg")</f>
        <v>https://pbs.twimg.com/media/F3cxQzzWwAIm4K0.jpg</v>
      </c>
      <c r="AW573" s="81" t="s">
        <v>9843</v>
      </c>
      <c r="AX573" s="81" t="s">
        <v>9843</v>
      </c>
      <c r="AY573" s="77"/>
      <c r="AZ573" s="81" t="s">
        <v>11359</v>
      </c>
      <c r="BA573" s="81" t="s">
        <v>11359</v>
      </c>
      <c r="BB573" s="81" t="s">
        <v>11359</v>
      </c>
      <c r="BC573" s="81" t="s">
        <v>9843</v>
      </c>
      <c r="BD573" s="77">
        <v>493423213</v>
      </c>
      <c r="BE573" s="77"/>
      <c r="BF573" s="77"/>
      <c r="BG573" s="77"/>
      <c r="BH573" s="77"/>
      <c r="BI573" s="77"/>
    </row>
    <row r="574" spans="1:61" x14ac:dyDescent="0.25">
      <c r="A574" s="62" t="s">
        <v>428</v>
      </c>
      <c r="B574" s="62" t="s">
        <v>428</v>
      </c>
      <c r="C574" s="63"/>
      <c r="D574" s="64"/>
      <c r="E574" s="65"/>
      <c r="F574" s="66"/>
      <c r="G574" s="63"/>
      <c r="H574" s="67"/>
      <c r="I574" s="68"/>
      <c r="J574" s="68"/>
      <c r="K574" s="32"/>
      <c r="L574" s="75">
        <v>574</v>
      </c>
      <c r="M574" s="75"/>
      <c r="N574" s="70"/>
      <c r="O574" s="77" t="s">
        <v>179</v>
      </c>
      <c r="P574" s="79">
        <v>45151.957314814812</v>
      </c>
      <c r="Q574" s="77" t="s">
        <v>1522</v>
      </c>
      <c r="R574" s="77">
        <v>0</v>
      </c>
      <c r="S574" s="77">
        <v>0</v>
      </c>
      <c r="T574" s="77">
        <v>0</v>
      </c>
      <c r="U574" s="77">
        <v>0</v>
      </c>
      <c r="V574" s="77">
        <v>86</v>
      </c>
      <c r="W574" s="81" t="s">
        <v>3261</v>
      </c>
      <c r="X574" s="77"/>
      <c r="Y574" s="77"/>
      <c r="Z574" s="77"/>
      <c r="AA574" s="77" t="s">
        <v>4794</v>
      </c>
      <c r="AB574" s="77" t="s">
        <v>5794</v>
      </c>
      <c r="AC574" s="81" t="s">
        <v>5805</v>
      </c>
      <c r="AD574" s="77" t="s">
        <v>5850</v>
      </c>
      <c r="AE574" s="83" t="str">
        <f>HYPERLINK("https://twitter.com/tneaar/status/1690860414505021441")</f>
        <v>https://twitter.com/tneaar/status/1690860414505021441</v>
      </c>
      <c r="AF574" s="79">
        <v>45151.957314814812</v>
      </c>
      <c r="AG574" s="85">
        <v>45151</v>
      </c>
      <c r="AH574" s="81" t="s">
        <v>6393</v>
      </c>
      <c r="AI574" s="77" t="b">
        <v>0</v>
      </c>
      <c r="AJ574" s="77"/>
      <c r="AK574" s="77"/>
      <c r="AL574" s="77"/>
      <c r="AM574" s="77"/>
      <c r="AN574" s="77"/>
      <c r="AO574" s="77"/>
      <c r="AP574" s="77"/>
      <c r="AQ574" s="77" t="s">
        <v>8297</v>
      </c>
      <c r="AR574" s="77"/>
      <c r="AS574" s="77"/>
      <c r="AT574" s="77"/>
      <c r="AU574" s="77"/>
      <c r="AV574" s="83" t="str">
        <f>HYPERLINK("https://pbs.twimg.com/media/F3cklWJW8AE1ulp.jpg")</f>
        <v>https://pbs.twimg.com/media/F3cklWJW8AE1ulp.jpg</v>
      </c>
      <c r="AW574" s="81" t="s">
        <v>9844</v>
      </c>
      <c r="AX574" s="81" t="s">
        <v>9844</v>
      </c>
      <c r="AY574" s="77"/>
      <c r="AZ574" s="81" t="s">
        <v>11359</v>
      </c>
      <c r="BA574" s="81" t="s">
        <v>11359</v>
      </c>
      <c r="BB574" s="81" t="s">
        <v>11359</v>
      </c>
      <c r="BC574" s="81" t="s">
        <v>9844</v>
      </c>
      <c r="BD574" s="77">
        <v>493423213</v>
      </c>
      <c r="BE574" s="77"/>
      <c r="BF574" s="77"/>
      <c r="BG574" s="77"/>
      <c r="BH574" s="77"/>
      <c r="BI574" s="77"/>
    </row>
    <row r="575" spans="1:61" x14ac:dyDescent="0.25">
      <c r="A575" s="62" t="s">
        <v>428</v>
      </c>
      <c r="B575" s="62" t="s">
        <v>428</v>
      </c>
      <c r="C575" s="63"/>
      <c r="D575" s="64"/>
      <c r="E575" s="65"/>
      <c r="F575" s="66"/>
      <c r="G575" s="63"/>
      <c r="H575" s="67"/>
      <c r="I575" s="68"/>
      <c r="J575" s="68"/>
      <c r="K575" s="32"/>
      <c r="L575" s="75">
        <v>575</v>
      </c>
      <c r="M575" s="75"/>
      <c r="N575" s="70"/>
      <c r="O575" s="77" t="s">
        <v>179</v>
      </c>
      <c r="P575" s="79">
        <v>45140.070787037039</v>
      </c>
      <c r="Q575" s="77" t="s">
        <v>1523</v>
      </c>
      <c r="R575" s="77">
        <v>0</v>
      </c>
      <c r="S575" s="77">
        <v>0</v>
      </c>
      <c r="T575" s="77">
        <v>0</v>
      </c>
      <c r="U575" s="77">
        <v>0</v>
      </c>
      <c r="V575" s="77">
        <v>102</v>
      </c>
      <c r="W575" s="81" t="s">
        <v>3291</v>
      </c>
      <c r="X575" s="77"/>
      <c r="Y575" s="77"/>
      <c r="Z575" s="77"/>
      <c r="AA575" s="77" t="s">
        <v>4795</v>
      </c>
      <c r="AB575" s="77" t="s">
        <v>5794</v>
      </c>
      <c r="AC575" s="81" t="s">
        <v>5805</v>
      </c>
      <c r="AD575" s="77" t="s">
        <v>5850</v>
      </c>
      <c r="AE575" s="83" t="str">
        <f>HYPERLINK("https://twitter.com/tneaar/status/1686552883020398593")</f>
        <v>https://twitter.com/tneaar/status/1686552883020398593</v>
      </c>
      <c r="AF575" s="79">
        <v>45140.070787037039</v>
      </c>
      <c r="AG575" s="85">
        <v>45140</v>
      </c>
      <c r="AH575" s="81" t="s">
        <v>6394</v>
      </c>
      <c r="AI575" s="77" t="b">
        <v>0</v>
      </c>
      <c r="AJ575" s="77"/>
      <c r="AK575" s="77"/>
      <c r="AL575" s="77"/>
      <c r="AM575" s="77"/>
      <c r="AN575" s="77"/>
      <c r="AO575" s="77"/>
      <c r="AP575" s="77"/>
      <c r="AQ575" s="77" t="s">
        <v>8298</v>
      </c>
      <c r="AR575" s="77"/>
      <c r="AS575" s="77"/>
      <c r="AT575" s="77"/>
      <c r="AU575" s="77"/>
      <c r="AV575" s="83" t="str">
        <f>HYPERLINK("https://pbs.twimg.com/media/F2fW5xgWoAAMSig.jpg")</f>
        <v>https://pbs.twimg.com/media/F2fW5xgWoAAMSig.jpg</v>
      </c>
      <c r="AW575" s="81" t="s">
        <v>9845</v>
      </c>
      <c r="AX575" s="81" t="s">
        <v>9845</v>
      </c>
      <c r="AY575" s="77"/>
      <c r="AZ575" s="81" t="s">
        <v>11359</v>
      </c>
      <c r="BA575" s="81" t="s">
        <v>11359</v>
      </c>
      <c r="BB575" s="81" t="s">
        <v>11359</v>
      </c>
      <c r="BC575" s="81" t="s">
        <v>9845</v>
      </c>
      <c r="BD575" s="77">
        <v>493423213</v>
      </c>
      <c r="BE575" s="77"/>
      <c r="BF575" s="77"/>
      <c r="BG575" s="77"/>
      <c r="BH575" s="77"/>
      <c r="BI575" s="77"/>
    </row>
    <row r="576" spans="1:61" x14ac:dyDescent="0.25">
      <c r="A576" s="62" t="s">
        <v>428</v>
      </c>
      <c r="B576" s="62" t="s">
        <v>428</v>
      </c>
      <c r="C576" s="63"/>
      <c r="D576" s="64"/>
      <c r="E576" s="65"/>
      <c r="F576" s="66"/>
      <c r="G576" s="63"/>
      <c r="H576" s="67"/>
      <c r="I576" s="68"/>
      <c r="J576" s="68"/>
      <c r="K576" s="32"/>
      <c r="L576" s="75">
        <v>576</v>
      </c>
      <c r="M576" s="75"/>
      <c r="N576" s="70"/>
      <c r="O576" s="77" t="s">
        <v>179</v>
      </c>
      <c r="P576" s="79">
        <v>45139.945405092592</v>
      </c>
      <c r="Q576" s="77" t="s">
        <v>1524</v>
      </c>
      <c r="R576" s="77">
        <v>0</v>
      </c>
      <c r="S576" s="77">
        <v>0</v>
      </c>
      <c r="T576" s="77">
        <v>0</v>
      </c>
      <c r="U576" s="77">
        <v>0</v>
      </c>
      <c r="V576" s="77">
        <v>74</v>
      </c>
      <c r="W576" s="81" t="s">
        <v>3254</v>
      </c>
      <c r="X576" s="77"/>
      <c r="Y576" s="77"/>
      <c r="Z576" s="77"/>
      <c r="AA576" s="77" t="s">
        <v>4796</v>
      </c>
      <c r="AB576" s="77" t="s">
        <v>5794</v>
      </c>
      <c r="AC576" s="81" t="s">
        <v>5805</v>
      </c>
      <c r="AD576" s="77" t="s">
        <v>5850</v>
      </c>
      <c r="AE576" s="83" t="str">
        <f>HYPERLINK("https://twitter.com/tneaar/status/1686507445009489920")</f>
        <v>https://twitter.com/tneaar/status/1686507445009489920</v>
      </c>
      <c r="AF576" s="79">
        <v>45139.945405092592</v>
      </c>
      <c r="AG576" s="85">
        <v>45139</v>
      </c>
      <c r="AH576" s="81" t="s">
        <v>6395</v>
      </c>
      <c r="AI576" s="77" t="b">
        <v>0</v>
      </c>
      <c r="AJ576" s="77"/>
      <c r="AK576" s="77"/>
      <c r="AL576" s="77"/>
      <c r="AM576" s="77"/>
      <c r="AN576" s="77"/>
      <c r="AO576" s="77"/>
      <c r="AP576" s="77"/>
      <c r="AQ576" s="77" t="s">
        <v>8299</v>
      </c>
      <c r="AR576" s="77"/>
      <c r="AS576" s="77"/>
      <c r="AT576" s="77"/>
      <c r="AU576" s="77"/>
      <c r="AV576" s="83" t="str">
        <f>HYPERLINK("https://pbs.twimg.com/media/F2etlDUbQAEyje_.jpg")</f>
        <v>https://pbs.twimg.com/media/F2etlDUbQAEyje_.jpg</v>
      </c>
      <c r="AW576" s="81" t="s">
        <v>9846</v>
      </c>
      <c r="AX576" s="81" t="s">
        <v>9846</v>
      </c>
      <c r="AY576" s="77"/>
      <c r="AZ576" s="81" t="s">
        <v>11359</v>
      </c>
      <c r="BA576" s="81" t="s">
        <v>11359</v>
      </c>
      <c r="BB576" s="81" t="s">
        <v>11359</v>
      </c>
      <c r="BC576" s="81" t="s">
        <v>9846</v>
      </c>
      <c r="BD576" s="77">
        <v>493423213</v>
      </c>
      <c r="BE576" s="77"/>
      <c r="BF576" s="77"/>
      <c r="BG576" s="77"/>
      <c r="BH576" s="77"/>
      <c r="BI576" s="77"/>
    </row>
    <row r="577" spans="1:61" x14ac:dyDescent="0.25">
      <c r="A577" s="62" t="s">
        <v>428</v>
      </c>
      <c r="B577" s="62" t="s">
        <v>428</v>
      </c>
      <c r="C577" s="63"/>
      <c r="D577" s="64"/>
      <c r="E577" s="65"/>
      <c r="F577" s="66"/>
      <c r="G577" s="63"/>
      <c r="H577" s="67"/>
      <c r="I577" s="68"/>
      <c r="J577" s="68"/>
      <c r="K577" s="32"/>
      <c r="L577" s="75">
        <v>577</v>
      </c>
      <c r="M577" s="75"/>
      <c r="N577" s="70"/>
      <c r="O577" s="77" t="s">
        <v>179</v>
      </c>
      <c r="P577" s="79">
        <v>45139.658842592595</v>
      </c>
      <c r="Q577" s="77" t="s">
        <v>1525</v>
      </c>
      <c r="R577" s="77">
        <v>0</v>
      </c>
      <c r="S577" s="77">
        <v>0</v>
      </c>
      <c r="T577" s="77">
        <v>0</v>
      </c>
      <c r="U577" s="77">
        <v>0</v>
      </c>
      <c r="V577" s="77">
        <v>63</v>
      </c>
      <c r="W577" s="81" t="s">
        <v>3292</v>
      </c>
      <c r="X577" s="77" t="s">
        <v>4163</v>
      </c>
      <c r="Y577" s="77" t="s">
        <v>4267</v>
      </c>
      <c r="Z577" s="77"/>
      <c r="AA577" s="77" t="s">
        <v>4797</v>
      </c>
      <c r="AB577" s="77" t="s">
        <v>5794</v>
      </c>
      <c r="AC577" s="81" t="s">
        <v>5805</v>
      </c>
      <c r="AD577" s="77" t="s">
        <v>5850</v>
      </c>
      <c r="AE577" s="83" t="str">
        <f>HYPERLINK("https://twitter.com/tneaar/status/1686403599889268737")</f>
        <v>https://twitter.com/tneaar/status/1686403599889268737</v>
      </c>
      <c r="AF577" s="79">
        <v>45139.658842592595</v>
      </c>
      <c r="AG577" s="85">
        <v>45139</v>
      </c>
      <c r="AH577" s="81" t="s">
        <v>6396</v>
      </c>
      <c r="AI577" s="77" t="b">
        <v>0</v>
      </c>
      <c r="AJ577" s="77"/>
      <c r="AK577" s="77"/>
      <c r="AL577" s="77"/>
      <c r="AM577" s="77"/>
      <c r="AN577" s="77"/>
      <c r="AO577" s="77"/>
      <c r="AP577" s="77"/>
      <c r="AQ577" s="77" t="s">
        <v>8300</v>
      </c>
      <c r="AR577" s="77"/>
      <c r="AS577" s="77"/>
      <c r="AT577" s="77"/>
      <c r="AU577" s="77"/>
      <c r="AV577" s="83" t="str">
        <f>HYPERLINK("https://pbs.twimg.com/media/F2dPIaxW8AA03Hx.jpg")</f>
        <v>https://pbs.twimg.com/media/F2dPIaxW8AA03Hx.jpg</v>
      </c>
      <c r="AW577" s="81" t="s">
        <v>9847</v>
      </c>
      <c r="AX577" s="81" t="s">
        <v>9847</v>
      </c>
      <c r="AY577" s="77"/>
      <c r="AZ577" s="81" t="s">
        <v>11359</v>
      </c>
      <c r="BA577" s="81" t="s">
        <v>11359</v>
      </c>
      <c r="BB577" s="81" t="s">
        <v>11359</v>
      </c>
      <c r="BC577" s="81" t="s">
        <v>9847</v>
      </c>
      <c r="BD577" s="77">
        <v>493423213</v>
      </c>
      <c r="BE577" s="77"/>
      <c r="BF577" s="77"/>
      <c r="BG577" s="77"/>
      <c r="BH577" s="77"/>
      <c r="BI577" s="77"/>
    </row>
    <row r="578" spans="1:61" x14ac:dyDescent="0.25">
      <c r="A578" s="62" t="s">
        <v>428</v>
      </c>
      <c r="B578" s="62" t="s">
        <v>428</v>
      </c>
      <c r="C578" s="63"/>
      <c r="D578" s="64"/>
      <c r="E578" s="65"/>
      <c r="F578" s="66"/>
      <c r="G578" s="63"/>
      <c r="H578" s="67"/>
      <c r="I578" s="68"/>
      <c r="J578" s="68"/>
      <c r="K578" s="32"/>
      <c r="L578" s="75">
        <v>578</v>
      </c>
      <c r="M578" s="75"/>
      <c r="N578" s="70"/>
      <c r="O578" s="77" t="s">
        <v>179</v>
      </c>
      <c r="P578" s="79">
        <v>45138.98165509259</v>
      </c>
      <c r="Q578" s="77" t="s">
        <v>1526</v>
      </c>
      <c r="R578" s="77">
        <v>0</v>
      </c>
      <c r="S578" s="77">
        <v>0</v>
      </c>
      <c r="T578" s="77">
        <v>0</v>
      </c>
      <c r="U578" s="77">
        <v>0</v>
      </c>
      <c r="V578" s="77">
        <v>58</v>
      </c>
      <c r="W578" s="81" t="s">
        <v>3246</v>
      </c>
      <c r="X578" s="77"/>
      <c r="Y578" s="77"/>
      <c r="Z578" s="77"/>
      <c r="AA578" s="77" t="s">
        <v>4798</v>
      </c>
      <c r="AB578" s="77" t="s">
        <v>5794</v>
      </c>
      <c r="AC578" s="81" t="s">
        <v>5805</v>
      </c>
      <c r="AD578" s="77" t="s">
        <v>5850</v>
      </c>
      <c r="AE578" s="83" t="str">
        <f>HYPERLINK("https://twitter.com/tneaar/status/1686158195939762181")</f>
        <v>https://twitter.com/tneaar/status/1686158195939762181</v>
      </c>
      <c r="AF578" s="79">
        <v>45138.98165509259</v>
      </c>
      <c r="AG578" s="85">
        <v>45138</v>
      </c>
      <c r="AH578" s="81" t="s">
        <v>6397</v>
      </c>
      <c r="AI578" s="77" t="b">
        <v>0</v>
      </c>
      <c r="AJ578" s="77"/>
      <c r="AK578" s="77"/>
      <c r="AL578" s="77"/>
      <c r="AM578" s="77"/>
      <c r="AN578" s="77"/>
      <c r="AO578" s="77"/>
      <c r="AP578" s="77"/>
      <c r="AQ578" s="77" t="s">
        <v>8301</v>
      </c>
      <c r="AR578" s="77"/>
      <c r="AS578" s="77"/>
      <c r="AT578" s="77"/>
      <c r="AU578" s="77"/>
      <c r="AV578" s="83" t="str">
        <f>HYPERLINK("https://pbs.twimg.com/media/F2Zv8B3WQAEup4D.jpg")</f>
        <v>https://pbs.twimg.com/media/F2Zv8B3WQAEup4D.jpg</v>
      </c>
      <c r="AW578" s="81" t="s">
        <v>9848</v>
      </c>
      <c r="AX578" s="81" t="s">
        <v>9848</v>
      </c>
      <c r="AY578" s="77"/>
      <c r="AZ578" s="81" t="s">
        <v>11359</v>
      </c>
      <c r="BA578" s="81" t="s">
        <v>11359</v>
      </c>
      <c r="BB578" s="81" t="s">
        <v>11359</v>
      </c>
      <c r="BC578" s="81" t="s">
        <v>9848</v>
      </c>
      <c r="BD578" s="77">
        <v>493423213</v>
      </c>
      <c r="BE578" s="77"/>
      <c r="BF578" s="77"/>
      <c r="BG578" s="77"/>
      <c r="BH578" s="77"/>
      <c r="BI578" s="77"/>
    </row>
    <row r="579" spans="1:61" x14ac:dyDescent="0.25">
      <c r="A579" s="62" t="s">
        <v>428</v>
      </c>
      <c r="B579" s="62" t="s">
        <v>428</v>
      </c>
      <c r="C579" s="63"/>
      <c r="D579" s="64"/>
      <c r="E579" s="65"/>
      <c r="F579" s="66"/>
      <c r="G579" s="63"/>
      <c r="H579" s="67"/>
      <c r="I579" s="68"/>
      <c r="J579" s="68"/>
      <c r="K579" s="32"/>
      <c r="L579" s="75">
        <v>579</v>
      </c>
      <c r="M579" s="75"/>
      <c r="N579" s="70"/>
      <c r="O579" s="77" t="s">
        <v>179</v>
      </c>
      <c r="P579" s="79">
        <v>45138.974189814813</v>
      </c>
      <c r="Q579" s="77" t="s">
        <v>1527</v>
      </c>
      <c r="R579" s="77">
        <v>0</v>
      </c>
      <c r="S579" s="77">
        <v>0</v>
      </c>
      <c r="T579" s="77">
        <v>0</v>
      </c>
      <c r="U579" s="77">
        <v>0</v>
      </c>
      <c r="V579" s="77">
        <v>52</v>
      </c>
      <c r="W579" s="81" t="s">
        <v>3293</v>
      </c>
      <c r="X579" s="77"/>
      <c r="Y579" s="77"/>
      <c r="Z579" s="77"/>
      <c r="AA579" s="77" t="s">
        <v>4799</v>
      </c>
      <c r="AB579" s="77" t="s">
        <v>5794</v>
      </c>
      <c r="AC579" s="81" t="s">
        <v>5805</v>
      </c>
      <c r="AD579" s="77" t="s">
        <v>5850</v>
      </c>
      <c r="AE579" s="83" t="str">
        <f>HYPERLINK("https://twitter.com/tneaar/status/1686155489971728384")</f>
        <v>https://twitter.com/tneaar/status/1686155489971728384</v>
      </c>
      <c r="AF579" s="79">
        <v>45138.974189814813</v>
      </c>
      <c r="AG579" s="85">
        <v>45138</v>
      </c>
      <c r="AH579" s="81" t="s">
        <v>6398</v>
      </c>
      <c r="AI579" s="77" t="b">
        <v>0</v>
      </c>
      <c r="AJ579" s="77"/>
      <c r="AK579" s="77"/>
      <c r="AL579" s="77"/>
      <c r="AM579" s="77"/>
      <c r="AN579" s="77"/>
      <c r="AO579" s="77"/>
      <c r="AP579" s="77"/>
      <c r="AQ579" s="77" t="s">
        <v>8302</v>
      </c>
      <c r="AR579" s="77"/>
      <c r="AS579" s="77"/>
      <c r="AT579" s="77"/>
      <c r="AU579" s="77"/>
      <c r="AV579" s="83" t="str">
        <f>HYPERLINK("https://pbs.twimg.com/media/F2Zsg6yX0AAPKMC.jpg")</f>
        <v>https://pbs.twimg.com/media/F2Zsg6yX0AAPKMC.jpg</v>
      </c>
      <c r="AW579" s="81" t="s">
        <v>9849</v>
      </c>
      <c r="AX579" s="81" t="s">
        <v>9849</v>
      </c>
      <c r="AY579" s="77"/>
      <c r="AZ579" s="81" t="s">
        <v>11359</v>
      </c>
      <c r="BA579" s="81" t="s">
        <v>11359</v>
      </c>
      <c r="BB579" s="81" t="s">
        <v>11359</v>
      </c>
      <c r="BC579" s="81" t="s">
        <v>9849</v>
      </c>
      <c r="BD579" s="77">
        <v>493423213</v>
      </c>
      <c r="BE579" s="77"/>
      <c r="BF579" s="77"/>
      <c r="BG579" s="77"/>
      <c r="BH579" s="77"/>
      <c r="BI579" s="77"/>
    </row>
    <row r="580" spans="1:61" x14ac:dyDescent="0.25">
      <c r="A580" s="62" t="s">
        <v>428</v>
      </c>
      <c r="B580" s="62" t="s">
        <v>428</v>
      </c>
      <c r="C580" s="63"/>
      <c r="D580" s="64"/>
      <c r="E580" s="65"/>
      <c r="F580" s="66"/>
      <c r="G580" s="63"/>
      <c r="H580" s="67"/>
      <c r="I580" s="68"/>
      <c r="J580" s="68"/>
      <c r="K580" s="32"/>
      <c r="L580" s="75">
        <v>580</v>
      </c>
      <c r="M580" s="75"/>
      <c r="N580" s="70"/>
      <c r="O580" s="77" t="s">
        <v>179</v>
      </c>
      <c r="P580" s="79">
        <v>45138.968460648146</v>
      </c>
      <c r="Q580" s="77" t="s">
        <v>1528</v>
      </c>
      <c r="R580" s="77">
        <v>0</v>
      </c>
      <c r="S580" s="77">
        <v>0</v>
      </c>
      <c r="T580" s="77">
        <v>0</v>
      </c>
      <c r="U580" s="77">
        <v>0</v>
      </c>
      <c r="V580" s="77">
        <v>43</v>
      </c>
      <c r="W580" s="81" t="s">
        <v>3290</v>
      </c>
      <c r="X580" s="83" t="str">
        <f>HYPERLINK("http://www.previsoradelparana.com")</f>
        <v>http://www.previsoradelparana.com</v>
      </c>
      <c r="Y580" s="77" t="s">
        <v>4270</v>
      </c>
      <c r="Z580" s="77"/>
      <c r="AA580" s="77" t="s">
        <v>4800</v>
      </c>
      <c r="AB580" s="77" t="s">
        <v>5794</v>
      </c>
      <c r="AC580" s="81" t="s">
        <v>5805</v>
      </c>
      <c r="AD580" s="77" t="s">
        <v>5850</v>
      </c>
      <c r="AE580" s="83" t="str">
        <f>HYPERLINK("https://twitter.com/tneaar/status/1686153414516822021")</f>
        <v>https://twitter.com/tneaar/status/1686153414516822021</v>
      </c>
      <c r="AF580" s="79">
        <v>45138.968460648146</v>
      </c>
      <c r="AG580" s="85">
        <v>45138</v>
      </c>
      <c r="AH580" s="81" t="s">
        <v>6399</v>
      </c>
      <c r="AI580" s="77" t="b">
        <v>0</v>
      </c>
      <c r="AJ580" s="77"/>
      <c r="AK580" s="77"/>
      <c r="AL580" s="77"/>
      <c r="AM580" s="77"/>
      <c r="AN580" s="77"/>
      <c r="AO580" s="77"/>
      <c r="AP580" s="77"/>
      <c r="AQ580" s="77" t="s">
        <v>8303</v>
      </c>
      <c r="AR580" s="77"/>
      <c r="AS580" s="77"/>
      <c r="AT580" s="77"/>
      <c r="AU580" s="77"/>
      <c r="AV580" s="83" t="str">
        <f>HYPERLINK("https://pbs.twimg.com/media/F2ZrljUXIAAhNw9.jpg")</f>
        <v>https://pbs.twimg.com/media/F2ZrljUXIAAhNw9.jpg</v>
      </c>
      <c r="AW580" s="81" t="s">
        <v>9850</v>
      </c>
      <c r="AX580" s="81" t="s">
        <v>9850</v>
      </c>
      <c r="AY580" s="77"/>
      <c r="AZ580" s="81" t="s">
        <v>11359</v>
      </c>
      <c r="BA580" s="81" t="s">
        <v>11359</v>
      </c>
      <c r="BB580" s="81" t="s">
        <v>11359</v>
      </c>
      <c r="BC580" s="81" t="s">
        <v>9850</v>
      </c>
      <c r="BD580" s="77">
        <v>493423213</v>
      </c>
      <c r="BE580" s="77"/>
      <c r="BF580" s="77"/>
      <c r="BG580" s="77"/>
      <c r="BH580" s="77"/>
      <c r="BI580" s="77"/>
    </row>
    <row r="581" spans="1:61" x14ac:dyDescent="0.25">
      <c r="A581" s="62" t="s">
        <v>428</v>
      </c>
      <c r="B581" s="62" t="s">
        <v>428</v>
      </c>
      <c r="C581" s="63"/>
      <c r="D581" s="64"/>
      <c r="E581" s="65"/>
      <c r="F581" s="66"/>
      <c r="G581" s="63"/>
      <c r="H581" s="67"/>
      <c r="I581" s="68"/>
      <c r="J581" s="68"/>
      <c r="K581" s="32"/>
      <c r="L581" s="75">
        <v>581</v>
      </c>
      <c r="M581" s="75"/>
      <c r="N581" s="70"/>
      <c r="O581" s="77" t="s">
        <v>179</v>
      </c>
      <c r="P581" s="79">
        <v>45138.966678240744</v>
      </c>
      <c r="Q581" s="77" t="s">
        <v>1529</v>
      </c>
      <c r="R581" s="77">
        <v>0</v>
      </c>
      <c r="S581" s="77">
        <v>0</v>
      </c>
      <c r="T581" s="77">
        <v>0</v>
      </c>
      <c r="U581" s="77">
        <v>0</v>
      </c>
      <c r="V581" s="77">
        <v>61</v>
      </c>
      <c r="W581" s="81" t="s">
        <v>3289</v>
      </c>
      <c r="X581" s="77"/>
      <c r="Y581" s="77"/>
      <c r="Z581" s="77"/>
      <c r="AA581" s="77" t="s">
        <v>4801</v>
      </c>
      <c r="AB581" s="77" t="s">
        <v>5794</v>
      </c>
      <c r="AC581" s="81" t="s">
        <v>5805</v>
      </c>
      <c r="AD581" s="77" t="s">
        <v>5850</v>
      </c>
      <c r="AE581" s="83" t="str">
        <f>HYPERLINK("https://twitter.com/tneaar/status/1686152767130173440")</f>
        <v>https://twitter.com/tneaar/status/1686152767130173440</v>
      </c>
      <c r="AF581" s="79">
        <v>45138.966678240744</v>
      </c>
      <c r="AG581" s="85">
        <v>45138</v>
      </c>
      <c r="AH581" s="81" t="s">
        <v>6400</v>
      </c>
      <c r="AI581" s="77" t="b">
        <v>0</v>
      </c>
      <c r="AJ581" s="77"/>
      <c r="AK581" s="77"/>
      <c r="AL581" s="77"/>
      <c r="AM581" s="77"/>
      <c r="AN581" s="77"/>
      <c r="AO581" s="77"/>
      <c r="AP581" s="77"/>
      <c r="AQ581" s="77" t="s">
        <v>8304</v>
      </c>
      <c r="AR581" s="77"/>
      <c r="AS581" s="77"/>
      <c r="AT581" s="77"/>
      <c r="AU581" s="77"/>
      <c r="AV581" s="83" t="str">
        <f>HYPERLINK("https://pbs.twimg.com/media/F2ZrAKQWUAAP86X.jpg")</f>
        <v>https://pbs.twimg.com/media/F2ZrAKQWUAAP86X.jpg</v>
      </c>
      <c r="AW581" s="81" t="s">
        <v>9851</v>
      </c>
      <c r="AX581" s="81" t="s">
        <v>9851</v>
      </c>
      <c r="AY581" s="77"/>
      <c r="AZ581" s="81" t="s">
        <v>11359</v>
      </c>
      <c r="BA581" s="81" t="s">
        <v>11359</v>
      </c>
      <c r="BB581" s="81" t="s">
        <v>11359</v>
      </c>
      <c r="BC581" s="81" t="s">
        <v>9851</v>
      </c>
      <c r="BD581" s="77">
        <v>493423213</v>
      </c>
      <c r="BE581" s="77"/>
      <c r="BF581" s="77"/>
      <c r="BG581" s="77"/>
      <c r="BH581" s="77"/>
      <c r="BI581" s="77"/>
    </row>
    <row r="582" spans="1:61" x14ac:dyDescent="0.25">
      <c r="A582" s="62" t="s">
        <v>428</v>
      </c>
      <c r="B582" s="62" t="s">
        <v>428</v>
      </c>
      <c r="C582" s="63"/>
      <c r="D582" s="64"/>
      <c r="E582" s="65"/>
      <c r="F582" s="66"/>
      <c r="G582" s="63"/>
      <c r="H582" s="67"/>
      <c r="I582" s="68"/>
      <c r="J582" s="68"/>
      <c r="K582" s="32"/>
      <c r="L582" s="75">
        <v>582</v>
      </c>
      <c r="M582" s="75"/>
      <c r="N582" s="70"/>
      <c r="O582" s="77" t="s">
        <v>179</v>
      </c>
      <c r="P582" s="79">
        <v>45138.955185185187</v>
      </c>
      <c r="Q582" s="77" t="s">
        <v>1530</v>
      </c>
      <c r="R582" s="77">
        <v>0</v>
      </c>
      <c r="S582" s="77">
        <v>0</v>
      </c>
      <c r="T582" s="77">
        <v>0</v>
      </c>
      <c r="U582" s="77">
        <v>0</v>
      </c>
      <c r="V582" s="77">
        <v>38</v>
      </c>
      <c r="W582" s="81" t="s">
        <v>3294</v>
      </c>
      <c r="X582" s="77"/>
      <c r="Y582" s="77"/>
      <c r="Z582" s="77"/>
      <c r="AA582" s="77" t="s">
        <v>4802</v>
      </c>
      <c r="AB582" s="77" t="s">
        <v>5794</v>
      </c>
      <c r="AC582" s="81" t="s">
        <v>5805</v>
      </c>
      <c r="AD582" s="77" t="s">
        <v>5850</v>
      </c>
      <c r="AE582" s="83" t="str">
        <f>HYPERLINK("https://twitter.com/tneaar/status/1686148601909559296")</f>
        <v>https://twitter.com/tneaar/status/1686148601909559296</v>
      </c>
      <c r="AF582" s="79">
        <v>45138.955185185187</v>
      </c>
      <c r="AG582" s="85">
        <v>45138</v>
      </c>
      <c r="AH582" s="81" t="s">
        <v>6401</v>
      </c>
      <c r="AI582" s="77" t="b">
        <v>0</v>
      </c>
      <c r="AJ582" s="77"/>
      <c r="AK582" s="77"/>
      <c r="AL582" s="77"/>
      <c r="AM582" s="77"/>
      <c r="AN582" s="77"/>
      <c r="AO582" s="77"/>
      <c r="AP582" s="77"/>
      <c r="AQ582" s="77" t="s">
        <v>8305</v>
      </c>
      <c r="AR582" s="77"/>
      <c r="AS582" s="77"/>
      <c r="AT582" s="77"/>
      <c r="AU582" s="77"/>
      <c r="AV582" s="83" t="str">
        <f>HYPERLINK("https://pbs.twimg.com/media/F2ZnNSMWkAEaYsL.jpg")</f>
        <v>https://pbs.twimg.com/media/F2ZnNSMWkAEaYsL.jpg</v>
      </c>
      <c r="AW582" s="81" t="s">
        <v>9852</v>
      </c>
      <c r="AX582" s="81" t="s">
        <v>9852</v>
      </c>
      <c r="AY582" s="77"/>
      <c r="AZ582" s="81" t="s">
        <v>11359</v>
      </c>
      <c r="BA582" s="81" t="s">
        <v>11359</v>
      </c>
      <c r="BB582" s="81" t="s">
        <v>11359</v>
      </c>
      <c r="BC582" s="81" t="s">
        <v>9852</v>
      </c>
      <c r="BD582" s="77">
        <v>493423213</v>
      </c>
      <c r="BE582" s="77"/>
      <c r="BF582" s="77"/>
      <c r="BG582" s="77"/>
      <c r="BH582" s="77"/>
      <c r="BI582" s="77"/>
    </row>
    <row r="583" spans="1:61" x14ac:dyDescent="0.25">
      <c r="A583" s="62" t="s">
        <v>428</v>
      </c>
      <c r="B583" s="62" t="s">
        <v>428</v>
      </c>
      <c r="C583" s="63"/>
      <c r="D583" s="64"/>
      <c r="E583" s="65"/>
      <c r="F583" s="66"/>
      <c r="G583" s="63"/>
      <c r="H583" s="67"/>
      <c r="I583" s="68"/>
      <c r="J583" s="68"/>
      <c r="K583" s="32"/>
      <c r="L583" s="75">
        <v>583</v>
      </c>
      <c r="M583" s="75"/>
      <c r="N583" s="70"/>
      <c r="O583" s="77" t="s">
        <v>179</v>
      </c>
      <c r="P583" s="79">
        <v>45138.92832175926</v>
      </c>
      <c r="Q583" s="77" t="s">
        <v>1531</v>
      </c>
      <c r="R583" s="77">
        <v>0</v>
      </c>
      <c r="S583" s="77">
        <v>0</v>
      </c>
      <c r="T583" s="77">
        <v>0</v>
      </c>
      <c r="U583" s="77">
        <v>0</v>
      </c>
      <c r="V583" s="77">
        <v>39</v>
      </c>
      <c r="W583" s="81" t="s">
        <v>3295</v>
      </c>
      <c r="X583" s="77"/>
      <c r="Y583" s="77"/>
      <c r="Z583" s="77"/>
      <c r="AA583" s="77" t="s">
        <v>4803</v>
      </c>
      <c r="AB583" s="77" t="s">
        <v>5794</v>
      </c>
      <c r="AC583" s="81" t="s">
        <v>5805</v>
      </c>
      <c r="AD583" s="77" t="s">
        <v>5850</v>
      </c>
      <c r="AE583" s="83" t="str">
        <f>HYPERLINK("https://twitter.com/tneaar/status/1686138866686685184")</f>
        <v>https://twitter.com/tneaar/status/1686138866686685184</v>
      </c>
      <c r="AF583" s="79">
        <v>45138.92832175926</v>
      </c>
      <c r="AG583" s="85">
        <v>45138</v>
      </c>
      <c r="AH583" s="81" t="s">
        <v>6402</v>
      </c>
      <c r="AI583" s="77" t="b">
        <v>0</v>
      </c>
      <c r="AJ583" s="77"/>
      <c r="AK583" s="77"/>
      <c r="AL583" s="77"/>
      <c r="AM583" s="77"/>
      <c r="AN583" s="77"/>
      <c r="AO583" s="77"/>
      <c r="AP583" s="77"/>
      <c r="AQ583" s="77" t="s">
        <v>8306</v>
      </c>
      <c r="AR583" s="77"/>
      <c r="AS583" s="77"/>
      <c r="AT583" s="77"/>
      <c r="AU583" s="77"/>
      <c r="AV583" s="83" t="str">
        <f>HYPERLINK("https://pbs.twimg.com/media/F2ZeWopWYAIzbcp.jpg")</f>
        <v>https://pbs.twimg.com/media/F2ZeWopWYAIzbcp.jpg</v>
      </c>
      <c r="AW583" s="81" t="s">
        <v>9853</v>
      </c>
      <c r="AX583" s="81" t="s">
        <v>9853</v>
      </c>
      <c r="AY583" s="77"/>
      <c r="AZ583" s="81" t="s">
        <v>11359</v>
      </c>
      <c r="BA583" s="81" t="s">
        <v>11359</v>
      </c>
      <c r="BB583" s="81" t="s">
        <v>11359</v>
      </c>
      <c r="BC583" s="81" t="s">
        <v>9853</v>
      </c>
      <c r="BD583" s="77">
        <v>493423213</v>
      </c>
      <c r="BE583" s="77"/>
      <c r="BF583" s="77"/>
      <c r="BG583" s="77"/>
      <c r="BH583" s="77"/>
      <c r="BI583" s="77"/>
    </row>
    <row r="584" spans="1:61" x14ac:dyDescent="0.25">
      <c r="A584" s="62" t="s">
        <v>428</v>
      </c>
      <c r="B584" s="62" t="s">
        <v>428</v>
      </c>
      <c r="C584" s="63"/>
      <c r="D584" s="64"/>
      <c r="E584" s="65"/>
      <c r="F584" s="66"/>
      <c r="G584" s="63"/>
      <c r="H584" s="67"/>
      <c r="I584" s="68"/>
      <c r="J584" s="68"/>
      <c r="K584" s="32"/>
      <c r="L584" s="75">
        <v>584</v>
      </c>
      <c r="M584" s="75"/>
      <c r="N584" s="70"/>
      <c r="O584" s="77" t="s">
        <v>179</v>
      </c>
      <c r="P584" s="79">
        <v>45079.638206018521</v>
      </c>
      <c r="Q584" s="77" t="s">
        <v>1532</v>
      </c>
      <c r="R584" s="77">
        <v>0</v>
      </c>
      <c r="S584" s="77">
        <v>0</v>
      </c>
      <c r="T584" s="77">
        <v>0</v>
      </c>
      <c r="U584" s="77">
        <v>0</v>
      </c>
      <c r="V584" s="77">
        <v>80</v>
      </c>
      <c r="W584" s="81" t="s">
        <v>3259</v>
      </c>
      <c r="X584" s="77" t="s">
        <v>4164</v>
      </c>
      <c r="Y584" s="77" t="s">
        <v>4267</v>
      </c>
      <c r="Z584" s="77"/>
      <c r="AA584" s="77" t="s">
        <v>4804</v>
      </c>
      <c r="AB584" s="77" t="s">
        <v>5794</v>
      </c>
      <c r="AC584" s="81" t="s">
        <v>5805</v>
      </c>
      <c r="AD584" s="77" t="s">
        <v>5850</v>
      </c>
      <c r="AE584" s="83" t="str">
        <f>HYPERLINK("https://twitter.com/tneaar/status/1664652847424720896")</f>
        <v>https://twitter.com/tneaar/status/1664652847424720896</v>
      </c>
      <c r="AF584" s="79">
        <v>45079.638206018521</v>
      </c>
      <c r="AG584" s="85">
        <v>45079</v>
      </c>
      <c r="AH584" s="81" t="s">
        <v>6403</v>
      </c>
      <c r="AI584" s="77" t="b">
        <v>0</v>
      </c>
      <c r="AJ584" s="77"/>
      <c r="AK584" s="77"/>
      <c r="AL584" s="77"/>
      <c r="AM584" s="77"/>
      <c r="AN584" s="77"/>
      <c r="AO584" s="77"/>
      <c r="AP584" s="77"/>
      <c r="AQ584" s="77" t="s">
        <v>8307</v>
      </c>
      <c r="AR584" s="77"/>
      <c r="AS584" s="77"/>
      <c r="AT584" s="77"/>
      <c r="AU584" s="77"/>
      <c r="AV584" s="83" t="str">
        <f>HYPERLINK("https://pbs.twimg.com/media/FxoI8KKWYAI5LPI.png")</f>
        <v>https://pbs.twimg.com/media/FxoI8KKWYAI5LPI.png</v>
      </c>
      <c r="AW584" s="81" t="s">
        <v>9854</v>
      </c>
      <c r="AX584" s="81" t="s">
        <v>9854</v>
      </c>
      <c r="AY584" s="77"/>
      <c r="AZ584" s="81" t="s">
        <v>11359</v>
      </c>
      <c r="BA584" s="81" t="s">
        <v>11359</v>
      </c>
      <c r="BB584" s="81" t="s">
        <v>11359</v>
      </c>
      <c r="BC584" s="81" t="s">
        <v>9854</v>
      </c>
      <c r="BD584" s="77">
        <v>493423213</v>
      </c>
      <c r="BE584" s="77"/>
      <c r="BF584" s="77"/>
      <c r="BG584" s="77"/>
      <c r="BH584" s="77"/>
      <c r="BI584" s="77"/>
    </row>
    <row r="585" spans="1:61" x14ac:dyDescent="0.25">
      <c r="A585" s="62" t="s">
        <v>428</v>
      </c>
      <c r="B585" s="62" t="s">
        <v>428</v>
      </c>
      <c r="C585" s="63"/>
      <c r="D585" s="64"/>
      <c r="E585" s="65"/>
      <c r="F585" s="66"/>
      <c r="G585" s="63"/>
      <c r="H585" s="67"/>
      <c r="I585" s="68"/>
      <c r="J585" s="68"/>
      <c r="K585" s="32"/>
      <c r="L585" s="75">
        <v>585</v>
      </c>
      <c r="M585" s="75"/>
      <c r="N585" s="70"/>
      <c r="O585" s="77" t="s">
        <v>179</v>
      </c>
      <c r="P585" s="79">
        <v>45079.631354166668</v>
      </c>
      <c r="Q585" s="77" t="s">
        <v>1533</v>
      </c>
      <c r="R585" s="77">
        <v>0</v>
      </c>
      <c r="S585" s="77">
        <v>0</v>
      </c>
      <c r="T585" s="77">
        <v>0</v>
      </c>
      <c r="U585" s="77">
        <v>0</v>
      </c>
      <c r="V585" s="77">
        <v>56</v>
      </c>
      <c r="W585" s="81" t="s">
        <v>3296</v>
      </c>
      <c r="X585" s="77" t="s">
        <v>4165</v>
      </c>
      <c r="Y585" s="77" t="s">
        <v>4267</v>
      </c>
      <c r="Z585" s="77"/>
      <c r="AA585" s="77" t="s">
        <v>4805</v>
      </c>
      <c r="AB585" s="77" t="s">
        <v>5794</v>
      </c>
      <c r="AC585" s="81" t="s">
        <v>5805</v>
      </c>
      <c r="AD585" s="77" t="s">
        <v>5850</v>
      </c>
      <c r="AE585" s="83" t="str">
        <f>HYPERLINK("https://twitter.com/tneaar/status/1664650364979671041")</f>
        <v>https://twitter.com/tneaar/status/1664650364979671041</v>
      </c>
      <c r="AF585" s="79">
        <v>45079.631354166668</v>
      </c>
      <c r="AG585" s="85">
        <v>45079</v>
      </c>
      <c r="AH585" s="81" t="s">
        <v>6404</v>
      </c>
      <c r="AI585" s="77" t="b">
        <v>0</v>
      </c>
      <c r="AJ585" s="77"/>
      <c r="AK585" s="77"/>
      <c r="AL585" s="77"/>
      <c r="AM585" s="77"/>
      <c r="AN585" s="77"/>
      <c r="AO585" s="77"/>
      <c r="AP585" s="77"/>
      <c r="AQ585" s="77" t="s">
        <v>8308</v>
      </c>
      <c r="AR585" s="77"/>
      <c r="AS585" s="77"/>
      <c r="AT585" s="77"/>
      <c r="AU585" s="77"/>
      <c r="AV585" s="83" t="str">
        <f>HYPERLINK("https://pbs.twimg.com/media/FxoGrahX0AEdirh.jpg")</f>
        <v>https://pbs.twimg.com/media/FxoGrahX0AEdirh.jpg</v>
      </c>
      <c r="AW585" s="81" t="s">
        <v>9855</v>
      </c>
      <c r="AX585" s="81" t="s">
        <v>9855</v>
      </c>
      <c r="AY585" s="77"/>
      <c r="AZ585" s="81" t="s">
        <v>11359</v>
      </c>
      <c r="BA585" s="81" t="s">
        <v>11359</v>
      </c>
      <c r="BB585" s="81" t="s">
        <v>11359</v>
      </c>
      <c r="BC585" s="81" t="s">
        <v>9855</v>
      </c>
      <c r="BD585" s="77">
        <v>493423213</v>
      </c>
      <c r="BE585" s="77"/>
      <c r="BF585" s="77"/>
      <c r="BG585" s="77"/>
      <c r="BH585" s="77"/>
      <c r="BI585" s="77"/>
    </row>
    <row r="586" spans="1:61" x14ac:dyDescent="0.25">
      <c r="A586" s="62" t="s">
        <v>428</v>
      </c>
      <c r="B586" s="62" t="s">
        <v>428</v>
      </c>
      <c r="C586" s="63"/>
      <c r="D586" s="64"/>
      <c r="E586" s="65"/>
      <c r="F586" s="66"/>
      <c r="G586" s="63"/>
      <c r="H586" s="67"/>
      <c r="I586" s="68"/>
      <c r="J586" s="68"/>
      <c r="K586" s="32"/>
      <c r="L586" s="75">
        <v>586</v>
      </c>
      <c r="M586" s="75"/>
      <c r="N586" s="70"/>
      <c r="O586" s="77" t="s">
        <v>179</v>
      </c>
      <c r="P586" s="79">
        <v>45055.02416666667</v>
      </c>
      <c r="Q586" s="77" t="s">
        <v>1534</v>
      </c>
      <c r="R586" s="77">
        <v>1</v>
      </c>
      <c r="S586" s="77">
        <v>0</v>
      </c>
      <c r="T586" s="77">
        <v>0</v>
      </c>
      <c r="U586" s="77">
        <v>0</v>
      </c>
      <c r="V586" s="77">
        <v>109</v>
      </c>
      <c r="W586" s="81" t="s">
        <v>3264</v>
      </c>
      <c r="X586" s="77"/>
      <c r="Y586" s="77"/>
      <c r="Z586" s="77"/>
      <c r="AA586" s="77" t="s">
        <v>4806</v>
      </c>
      <c r="AB586" s="77" t="s">
        <v>5794</v>
      </c>
      <c r="AC586" s="81" t="s">
        <v>5805</v>
      </c>
      <c r="AD586" s="77" t="s">
        <v>5850</v>
      </c>
      <c r="AE586" s="83" t="str">
        <f>HYPERLINK("https://twitter.com/tneaar/status/1655733019108429827")</f>
        <v>https://twitter.com/tneaar/status/1655733019108429827</v>
      </c>
      <c r="AF586" s="79">
        <v>45055.02416666667</v>
      </c>
      <c r="AG586" s="85">
        <v>45055</v>
      </c>
      <c r="AH586" s="81" t="s">
        <v>6405</v>
      </c>
      <c r="AI586" s="77" t="b">
        <v>0</v>
      </c>
      <c r="AJ586" s="77"/>
      <c r="AK586" s="77"/>
      <c r="AL586" s="77"/>
      <c r="AM586" s="77"/>
      <c r="AN586" s="77"/>
      <c r="AO586" s="77"/>
      <c r="AP586" s="77"/>
      <c r="AQ586" s="77" t="s">
        <v>8309</v>
      </c>
      <c r="AR586" s="77"/>
      <c r="AS586" s="77"/>
      <c r="AT586" s="77"/>
      <c r="AU586" s="77"/>
      <c r="AV586" s="83" t="str">
        <f>HYPERLINK("https://pbs.twimg.com/media/FvpYZn4WAAEqLYx.jpg")</f>
        <v>https://pbs.twimg.com/media/FvpYZn4WAAEqLYx.jpg</v>
      </c>
      <c r="AW586" s="81" t="s">
        <v>9856</v>
      </c>
      <c r="AX586" s="81" t="s">
        <v>9856</v>
      </c>
      <c r="AY586" s="77"/>
      <c r="AZ586" s="81" t="s">
        <v>11359</v>
      </c>
      <c r="BA586" s="81" t="s">
        <v>11359</v>
      </c>
      <c r="BB586" s="81" t="s">
        <v>11359</v>
      </c>
      <c r="BC586" s="81" t="s">
        <v>9856</v>
      </c>
      <c r="BD586" s="77">
        <v>493423213</v>
      </c>
      <c r="BE586" s="77"/>
      <c r="BF586" s="77"/>
      <c r="BG586" s="77"/>
      <c r="BH586" s="77"/>
      <c r="BI586" s="77"/>
    </row>
    <row r="587" spans="1:61" x14ac:dyDescent="0.25">
      <c r="A587" s="62" t="s">
        <v>428</v>
      </c>
      <c r="B587" s="62" t="s">
        <v>428</v>
      </c>
      <c r="C587" s="63"/>
      <c r="D587" s="64"/>
      <c r="E587" s="65"/>
      <c r="F587" s="66"/>
      <c r="G587" s="63"/>
      <c r="H587" s="67"/>
      <c r="I587" s="68"/>
      <c r="J587" s="68"/>
      <c r="K587" s="32"/>
      <c r="L587" s="75">
        <v>587</v>
      </c>
      <c r="M587" s="75"/>
      <c r="N587" s="70"/>
      <c r="O587" s="77" t="s">
        <v>179</v>
      </c>
      <c r="P587" s="79">
        <v>45054.90351851852</v>
      </c>
      <c r="Q587" s="77" t="s">
        <v>1535</v>
      </c>
      <c r="R587" s="77">
        <v>0</v>
      </c>
      <c r="S587" s="77">
        <v>0</v>
      </c>
      <c r="T587" s="77">
        <v>0</v>
      </c>
      <c r="U587" s="77">
        <v>0</v>
      </c>
      <c r="V587" s="77">
        <v>102</v>
      </c>
      <c r="W587" s="81" t="s">
        <v>3249</v>
      </c>
      <c r="X587" s="77"/>
      <c r="Y587" s="77"/>
      <c r="Z587" s="77"/>
      <c r="AA587" s="77" t="s">
        <v>4807</v>
      </c>
      <c r="AB587" s="77" t="s">
        <v>5794</v>
      </c>
      <c r="AC587" s="81" t="s">
        <v>5805</v>
      </c>
      <c r="AD587" s="77" t="s">
        <v>5850</v>
      </c>
      <c r="AE587" s="83" t="str">
        <f>HYPERLINK("https://twitter.com/tneaar/status/1655689299507961858")</f>
        <v>https://twitter.com/tneaar/status/1655689299507961858</v>
      </c>
      <c r="AF587" s="79">
        <v>45054.90351851852</v>
      </c>
      <c r="AG587" s="85">
        <v>45054</v>
      </c>
      <c r="AH587" s="81" t="s">
        <v>6406</v>
      </c>
      <c r="AI587" s="77" t="b">
        <v>0</v>
      </c>
      <c r="AJ587" s="77"/>
      <c r="AK587" s="77"/>
      <c r="AL587" s="77"/>
      <c r="AM587" s="77"/>
      <c r="AN587" s="77"/>
      <c r="AO587" s="77"/>
      <c r="AP587" s="77"/>
      <c r="AQ587" s="77" t="s">
        <v>8310</v>
      </c>
      <c r="AR587" s="77"/>
      <c r="AS587" s="77"/>
      <c r="AT587" s="77"/>
      <c r="AU587" s="77"/>
      <c r="AV587" s="83" t="str">
        <f>HYPERLINK("https://pbs.twimg.com/media/FvowiQ2XwAMLZgl.jpg")</f>
        <v>https://pbs.twimg.com/media/FvowiQ2XwAMLZgl.jpg</v>
      </c>
      <c r="AW587" s="81" t="s">
        <v>9857</v>
      </c>
      <c r="AX587" s="81" t="s">
        <v>9857</v>
      </c>
      <c r="AY587" s="77"/>
      <c r="AZ587" s="81" t="s">
        <v>11359</v>
      </c>
      <c r="BA587" s="81" t="s">
        <v>11359</v>
      </c>
      <c r="BB587" s="81" t="s">
        <v>11359</v>
      </c>
      <c r="BC587" s="81" t="s">
        <v>9857</v>
      </c>
      <c r="BD587" s="77">
        <v>493423213</v>
      </c>
      <c r="BE587" s="77"/>
      <c r="BF587" s="77"/>
      <c r="BG587" s="77"/>
      <c r="BH587" s="77"/>
      <c r="BI587" s="77"/>
    </row>
    <row r="588" spans="1:61" x14ac:dyDescent="0.25">
      <c r="A588" s="62" t="s">
        <v>428</v>
      </c>
      <c r="B588" s="62" t="s">
        <v>428</v>
      </c>
      <c r="C588" s="63"/>
      <c r="D588" s="64"/>
      <c r="E588" s="65"/>
      <c r="F588" s="66"/>
      <c r="G588" s="63"/>
      <c r="H588" s="67"/>
      <c r="I588" s="68"/>
      <c r="J588" s="68"/>
      <c r="K588" s="32"/>
      <c r="L588" s="75">
        <v>588</v>
      </c>
      <c r="M588" s="75"/>
      <c r="N588" s="70"/>
      <c r="O588" s="77" t="s">
        <v>179</v>
      </c>
      <c r="P588" s="79">
        <v>45054.038344907407</v>
      </c>
      <c r="Q588" s="77" t="s">
        <v>1536</v>
      </c>
      <c r="R588" s="77">
        <v>0</v>
      </c>
      <c r="S588" s="77">
        <v>0</v>
      </c>
      <c r="T588" s="77">
        <v>0</v>
      </c>
      <c r="U588" s="77">
        <v>0</v>
      </c>
      <c r="V588" s="77">
        <v>117</v>
      </c>
      <c r="W588" s="81" t="s">
        <v>3268</v>
      </c>
      <c r="X588" s="83" t="str">
        <f>HYPERLINK("http://bit.ly/MA-vendedor-repartidor")</f>
        <v>http://bit.ly/MA-vendedor-repartidor</v>
      </c>
      <c r="Y588" s="77" t="s">
        <v>4213</v>
      </c>
      <c r="Z588" s="77"/>
      <c r="AA588" s="77" t="s">
        <v>4808</v>
      </c>
      <c r="AB588" s="77" t="s">
        <v>5794</v>
      </c>
      <c r="AC588" s="81" t="s">
        <v>5805</v>
      </c>
      <c r="AD588" s="77" t="s">
        <v>5850</v>
      </c>
      <c r="AE588" s="83" t="str">
        <f>HYPERLINK("https://twitter.com/tneaar/status/1655375767654498311")</f>
        <v>https://twitter.com/tneaar/status/1655375767654498311</v>
      </c>
      <c r="AF588" s="79">
        <v>45054.038344907407</v>
      </c>
      <c r="AG588" s="85">
        <v>45054</v>
      </c>
      <c r="AH588" s="81" t="s">
        <v>6407</v>
      </c>
      <c r="AI588" s="77" t="b">
        <v>0</v>
      </c>
      <c r="AJ588" s="77"/>
      <c r="AK588" s="77"/>
      <c r="AL588" s="77"/>
      <c r="AM588" s="77"/>
      <c r="AN588" s="77"/>
      <c r="AO588" s="77"/>
      <c r="AP588" s="77"/>
      <c r="AQ588" s="77" t="s">
        <v>8311</v>
      </c>
      <c r="AR588" s="77"/>
      <c r="AS588" s="77"/>
      <c r="AT588" s="77"/>
      <c r="AU588" s="77"/>
      <c r="AV588" s="83" t="str">
        <f>HYPERLINK("https://pbs.twimg.com/media/FvkTe9xX0AA75Ey.jpg")</f>
        <v>https://pbs.twimg.com/media/FvkTe9xX0AA75Ey.jpg</v>
      </c>
      <c r="AW588" s="81" t="s">
        <v>9858</v>
      </c>
      <c r="AX588" s="81" t="s">
        <v>9858</v>
      </c>
      <c r="AY588" s="77"/>
      <c r="AZ588" s="81" t="s">
        <v>11359</v>
      </c>
      <c r="BA588" s="81" t="s">
        <v>11359</v>
      </c>
      <c r="BB588" s="81" t="s">
        <v>11359</v>
      </c>
      <c r="BC588" s="81" t="s">
        <v>9858</v>
      </c>
      <c r="BD588" s="77">
        <v>493423213</v>
      </c>
      <c r="BE588" s="77"/>
      <c r="BF588" s="77"/>
      <c r="BG588" s="77"/>
      <c r="BH588" s="77"/>
      <c r="BI588" s="77"/>
    </row>
    <row r="589" spans="1:61" x14ac:dyDescent="0.25">
      <c r="A589" s="62" t="s">
        <v>428</v>
      </c>
      <c r="B589" s="62" t="s">
        <v>428</v>
      </c>
      <c r="C589" s="63"/>
      <c r="D589" s="64"/>
      <c r="E589" s="65"/>
      <c r="F589" s="66"/>
      <c r="G589" s="63"/>
      <c r="H589" s="67"/>
      <c r="I589" s="68"/>
      <c r="J589" s="68"/>
      <c r="K589" s="32"/>
      <c r="L589" s="75">
        <v>589</v>
      </c>
      <c r="M589" s="75"/>
      <c r="N589" s="70"/>
      <c r="O589" s="77" t="s">
        <v>179</v>
      </c>
      <c r="P589" s="79">
        <v>45054.017905092594</v>
      </c>
      <c r="Q589" s="77" t="s">
        <v>1537</v>
      </c>
      <c r="R589" s="77">
        <v>0</v>
      </c>
      <c r="S589" s="77">
        <v>0</v>
      </c>
      <c r="T589" s="77">
        <v>0</v>
      </c>
      <c r="U589" s="77">
        <v>0</v>
      </c>
      <c r="V589" s="77">
        <v>83</v>
      </c>
      <c r="W589" s="81" t="s">
        <v>3297</v>
      </c>
      <c r="X589" s="77"/>
      <c r="Y589" s="77"/>
      <c r="Z589" s="77"/>
      <c r="AA589" s="77" t="s">
        <v>4809</v>
      </c>
      <c r="AB589" s="77" t="s">
        <v>5794</v>
      </c>
      <c r="AC589" s="81" t="s">
        <v>5805</v>
      </c>
      <c r="AD589" s="77" t="s">
        <v>5850</v>
      </c>
      <c r="AE589" s="83" t="str">
        <f>HYPERLINK("https://twitter.com/tneaar/status/1655368363290361864")</f>
        <v>https://twitter.com/tneaar/status/1655368363290361864</v>
      </c>
      <c r="AF589" s="79">
        <v>45054.017905092594</v>
      </c>
      <c r="AG589" s="85">
        <v>45054</v>
      </c>
      <c r="AH589" s="81" t="s">
        <v>6408</v>
      </c>
      <c r="AI589" s="77" t="b">
        <v>0</v>
      </c>
      <c r="AJ589" s="77"/>
      <c r="AK589" s="77"/>
      <c r="AL589" s="77"/>
      <c r="AM589" s="77"/>
      <c r="AN589" s="77"/>
      <c r="AO589" s="77"/>
      <c r="AP589" s="77"/>
      <c r="AQ589" s="77" t="s">
        <v>8312</v>
      </c>
      <c r="AR589" s="77"/>
      <c r="AS589" s="77"/>
      <c r="AT589" s="77"/>
      <c r="AU589" s="77"/>
      <c r="AV589" s="83" t="str">
        <f>HYPERLINK("https://pbs.twimg.com/media/FvkMwDBWcAAYG3o.jpg")</f>
        <v>https://pbs.twimg.com/media/FvkMwDBWcAAYG3o.jpg</v>
      </c>
      <c r="AW589" s="81" t="s">
        <v>9859</v>
      </c>
      <c r="AX589" s="81" t="s">
        <v>9859</v>
      </c>
      <c r="AY589" s="77"/>
      <c r="AZ589" s="81" t="s">
        <v>11359</v>
      </c>
      <c r="BA589" s="81" t="s">
        <v>11359</v>
      </c>
      <c r="BB589" s="81" t="s">
        <v>11359</v>
      </c>
      <c r="BC589" s="81" t="s">
        <v>9859</v>
      </c>
      <c r="BD589" s="77">
        <v>493423213</v>
      </c>
      <c r="BE589" s="77"/>
      <c r="BF589" s="77"/>
      <c r="BG589" s="77"/>
      <c r="BH589" s="77"/>
      <c r="BI589" s="77"/>
    </row>
    <row r="590" spans="1:61" x14ac:dyDescent="0.25">
      <c r="A590" s="62" t="s">
        <v>428</v>
      </c>
      <c r="B590" s="62" t="s">
        <v>428</v>
      </c>
      <c r="C590" s="63"/>
      <c r="D590" s="64"/>
      <c r="E590" s="65"/>
      <c r="F590" s="66"/>
      <c r="G590" s="63"/>
      <c r="H590" s="67"/>
      <c r="I590" s="68"/>
      <c r="J590" s="68"/>
      <c r="K590" s="32"/>
      <c r="L590" s="75">
        <v>590</v>
      </c>
      <c r="M590" s="75"/>
      <c r="N590" s="70"/>
      <c r="O590" s="77" t="s">
        <v>179</v>
      </c>
      <c r="P590" s="79">
        <v>45054.017291666663</v>
      </c>
      <c r="Q590" s="77" t="s">
        <v>1538</v>
      </c>
      <c r="R590" s="77">
        <v>1</v>
      </c>
      <c r="S590" s="77">
        <v>0</v>
      </c>
      <c r="T590" s="77">
        <v>0</v>
      </c>
      <c r="U590" s="77">
        <v>0</v>
      </c>
      <c r="V590" s="77">
        <v>121</v>
      </c>
      <c r="W590" s="81" t="s">
        <v>3254</v>
      </c>
      <c r="X590" s="77"/>
      <c r="Y590" s="77"/>
      <c r="Z590" s="77"/>
      <c r="AA590" s="77" t="s">
        <v>4810</v>
      </c>
      <c r="AB590" s="77" t="s">
        <v>5794</v>
      </c>
      <c r="AC590" s="81" t="s">
        <v>5805</v>
      </c>
      <c r="AD590" s="77" t="s">
        <v>5850</v>
      </c>
      <c r="AE590" s="83" t="str">
        <f>HYPERLINK("https://twitter.com/tneaar/status/1655368139960471552")</f>
        <v>https://twitter.com/tneaar/status/1655368139960471552</v>
      </c>
      <c r="AF590" s="79">
        <v>45054.017291666663</v>
      </c>
      <c r="AG590" s="85">
        <v>45054</v>
      </c>
      <c r="AH590" s="81" t="s">
        <v>6409</v>
      </c>
      <c r="AI590" s="77" t="b">
        <v>0</v>
      </c>
      <c r="AJ590" s="77"/>
      <c r="AK590" s="77"/>
      <c r="AL590" s="77"/>
      <c r="AM590" s="77"/>
      <c r="AN590" s="77"/>
      <c r="AO590" s="77"/>
      <c r="AP590" s="77"/>
      <c r="AQ590" s="77" t="s">
        <v>8313</v>
      </c>
      <c r="AR590" s="77"/>
      <c r="AS590" s="77"/>
      <c r="AT590" s="77"/>
      <c r="AU590" s="77"/>
      <c r="AV590" s="83" t="str">
        <f>HYPERLINK("https://pbs.twimg.com/media/FvkMi63WcAEdELi.jpg")</f>
        <v>https://pbs.twimg.com/media/FvkMi63WcAEdELi.jpg</v>
      </c>
      <c r="AW590" s="81" t="s">
        <v>9860</v>
      </c>
      <c r="AX590" s="81" t="s">
        <v>9860</v>
      </c>
      <c r="AY590" s="77"/>
      <c r="AZ590" s="81" t="s">
        <v>11359</v>
      </c>
      <c r="BA590" s="81" t="s">
        <v>11359</v>
      </c>
      <c r="BB590" s="81" t="s">
        <v>11359</v>
      </c>
      <c r="BC590" s="81" t="s">
        <v>9860</v>
      </c>
      <c r="BD590" s="77">
        <v>493423213</v>
      </c>
      <c r="BE590" s="77"/>
      <c r="BF590" s="77"/>
      <c r="BG590" s="77"/>
      <c r="BH590" s="77"/>
      <c r="BI590" s="77"/>
    </row>
    <row r="591" spans="1:61" x14ac:dyDescent="0.25">
      <c r="A591" s="62" t="s">
        <v>428</v>
      </c>
      <c r="B591" s="62" t="s">
        <v>428</v>
      </c>
      <c r="C591" s="63"/>
      <c r="D591" s="64"/>
      <c r="E591" s="65"/>
      <c r="F591" s="66"/>
      <c r="G591" s="63"/>
      <c r="H591" s="67"/>
      <c r="I591" s="68"/>
      <c r="J591" s="68"/>
      <c r="K591" s="32"/>
      <c r="L591" s="75">
        <v>591</v>
      </c>
      <c r="M591" s="75"/>
      <c r="N591" s="70"/>
      <c r="O591" s="77" t="s">
        <v>179</v>
      </c>
      <c r="P591" s="79">
        <v>45051.610347222224</v>
      </c>
      <c r="Q591" s="77" t="s">
        <v>1539</v>
      </c>
      <c r="R591" s="77">
        <v>0</v>
      </c>
      <c r="S591" s="77">
        <v>0</v>
      </c>
      <c r="T591" s="77">
        <v>0</v>
      </c>
      <c r="U591" s="77">
        <v>0</v>
      </c>
      <c r="V591" s="77">
        <v>79</v>
      </c>
      <c r="W591" s="81" t="s">
        <v>3298</v>
      </c>
      <c r="X591" s="77" t="s">
        <v>4166</v>
      </c>
      <c r="Y591" s="77" t="s">
        <v>4267</v>
      </c>
      <c r="Z591" s="77"/>
      <c r="AA591" s="77" t="s">
        <v>4811</v>
      </c>
      <c r="AB591" s="77" t="s">
        <v>5794</v>
      </c>
      <c r="AC591" s="81" t="s">
        <v>5805</v>
      </c>
      <c r="AD591" s="77" t="s">
        <v>5850</v>
      </c>
      <c r="AE591" s="83" t="str">
        <f>HYPERLINK("https://twitter.com/tneaar/status/1654495894098649088")</f>
        <v>https://twitter.com/tneaar/status/1654495894098649088</v>
      </c>
      <c r="AF591" s="79">
        <v>45051.610347222224</v>
      </c>
      <c r="AG591" s="85">
        <v>45051</v>
      </c>
      <c r="AH591" s="81" t="s">
        <v>6410</v>
      </c>
      <c r="AI591" s="77" t="b">
        <v>0</v>
      </c>
      <c r="AJ591" s="77"/>
      <c r="AK591" s="77"/>
      <c r="AL591" s="77"/>
      <c r="AM591" s="77"/>
      <c r="AN591" s="77"/>
      <c r="AO591" s="77"/>
      <c r="AP591" s="77"/>
      <c r="AQ591" s="77" t="s">
        <v>8314</v>
      </c>
      <c r="AR591" s="77"/>
      <c r="AS591" s="77"/>
      <c r="AT591" s="77"/>
      <c r="AU591" s="77"/>
      <c r="AV591" s="83" t="str">
        <f>HYPERLINK("https://pbs.twimg.com/media/FvXzNhHXwAsv_vb.jpg")</f>
        <v>https://pbs.twimg.com/media/FvXzNhHXwAsv_vb.jpg</v>
      </c>
      <c r="AW591" s="81" t="s">
        <v>9861</v>
      </c>
      <c r="AX591" s="81" t="s">
        <v>9861</v>
      </c>
      <c r="AY591" s="77"/>
      <c r="AZ591" s="81" t="s">
        <v>11359</v>
      </c>
      <c r="BA591" s="81" t="s">
        <v>11359</v>
      </c>
      <c r="BB591" s="81" t="s">
        <v>11359</v>
      </c>
      <c r="BC591" s="81" t="s">
        <v>9861</v>
      </c>
      <c r="BD591" s="77">
        <v>493423213</v>
      </c>
      <c r="BE591" s="77"/>
      <c r="BF591" s="77"/>
      <c r="BG591" s="77"/>
      <c r="BH591" s="77"/>
      <c r="BI591" s="77"/>
    </row>
    <row r="592" spans="1:61" x14ac:dyDescent="0.25">
      <c r="A592" s="62" t="s">
        <v>428</v>
      </c>
      <c r="B592" s="62" t="s">
        <v>428</v>
      </c>
      <c r="C592" s="63"/>
      <c r="D592" s="64"/>
      <c r="E592" s="65"/>
      <c r="F592" s="66"/>
      <c r="G592" s="63"/>
      <c r="H592" s="67"/>
      <c r="I592" s="68"/>
      <c r="J592" s="68"/>
      <c r="K592" s="32"/>
      <c r="L592" s="75">
        <v>592</v>
      </c>
      <c r="M592" s="75"/>
      <c r="N592" s="70"/>
      <c r="O592" s="77" t="s">
        <v>179</v>
      </c>
      <c r="P592" s="79">
        <v>45050.644641203704</v>
      </c>
      <c r="Q592" s="77" t="s">
        <v>1540</v>
      </c>
      <c r="R592" s="77">
        <v>0</v>
      </c>
      <c r="S592" s="77">
        <v>0</v>
      </c>
      <c r="T592" s="77">
        <v>0</v>
      </c>
      <c r="U592" s="77">
        <v>0</v>
      </c>
      <c r="V592" s="77">
        <v>128</v>
      </c>
      <c r="W592" s="81" t="s">
        <v>3299</v>
      </c>
      <c r="X592" s="77" t="s">
        <v>4167</v>
      </c>
      <c r="Y592" s="77" t="s">
        <v>4267</v>
      </c>
      <c r="Z592" s="77"/>
      <c r="AA592" s="77" t="s">
        <v>4812</v>
      </c>
      <c r="AB592" s="77" t="s">
        <v>5794</v>
      </c>
      <c r="AC592" s="81" t="s">
        <v>5805</v>
      </c>
      <c r="AD592" s="77" t="s">
        <v>5850</v>
      </c>
      <c r="AE592" s="83" t="str">
        <f>HYPERLINK("https://twitter.com/tneaar/status/1654145933163089920")</f>
        <v>https://twitter.com/tneaar/status/1654145933163089920</v>
      </c>
      <c r="AF592" s="79">
        <v>45050.644641203704</v>
      </c>
      <c r="AG592" s="85">
        <v>45050</v>
      </c>
      <c r="AH592" s="81" t="s">
        <v>6411</v>
      </c>
      <c r="AI592" s="77" t="b">
        <v>0</v>
      </c>
      <c r="AJ592" s="77"/>
      <c r="AK592" s="77"/>
      <c r="AL592" s="77"/>
      <c r="AM592" s="77"/>
      <c r="AN592" s="77"/>
      <c r="AO592" s="77"/>
      <c r="AP592" s="77"/>
      <c r="AQ592" s="77" t="s">
        <v>8315</v>
      </c>
      <c r="AR592" s="77"/>
      <c r="AS592" s="77"/>
      <c r="AT592" s="77"/>
      <c r="AU592" s="77"/>
      <c r="AV592" s="83" t="str">
        <f>HYPERLINK("https://pbs.twimg.com/media/FvS09E9XsAAgbCl.jpg")</f>
        <v>https://pbs.twimg.com/media/FvS09E9XsAAgbCl.jpg</v>
      </c>
      <c r="AW592" s="81" t="s">
        <v>9862</v>
      </c>
      <c r="AX592" s="81" t="s">
        <v>9862</v>
      </c>
      <c r="AY592" s="77"/>
      <c r="AZ592" s="81" t="s">
        <v>11359</v>
      </c>
      <c r="BA592" s="81" t="s">
        <v>11359</v>
      </c>
      <c r="BB592" s="81" t="s">
        <v>11359</v>
      </c>
      <c r="BC592" s="81" t="s">
        <v>9862</v>
      </c>
      <c r="BD592" s="77">
        <v>493423213</v>
      </c>
      <c r="BE592" s="77"/>
      <c r="BF592" s="77"/>
      <c r="BG592" s="77"/>
      <c r="BH592" s="77"/>
      <c r="BI592" s="77"/>
    </row>
    <row r="593" spans="1:61" x14ac:dyDescent="0.25">
      <c r="A593" s="62" t="s">
        <v>428</v>
      </c>
      <c r="B593" s="62" t="s">
        <v>428</v>
      </c>
      <c r="C593" s="63"/>
      <c r="D593" s="64"/>
      <c r="E593" s="65"/>
      <c r="F593" s="66"/>
      <c r="G593" s="63"/>
      <c r="H593" s="67"/>
      <c r="I593" s="68"/>
      <c r="J593" s="68"/>
      <c r="K593" s="32"/>
      <c r="L593" s="75">
        <v>593</v>
      </c>
      <c r="M593" s="75"/>
      <c r="N593" s="70"/>
      <c r="O593" s="77" t="s">
        <v>179</v>
      </c>
      <c r="P593" s="79">
        <v>45049.725798611114</v>
      </c>
      <c r="Q593" s="77" t="s">
        <v>1541</v>
      </c>
      <c r="R593" s="77">
        <v>0</v>
      </c>
      <c r="S593" s="77">
        <v>0</v>
      </c>
      <c r="T593" s="77">
        <v>0</v>
      </c>
      <c r="U593" s="77">
        <v>0</v>
      </c>
      <c r="V593" s="77">
        <v>90</v>
      </c>
      <c r="W593" s="81" t="s">
        <v>3297</v>
      </c>
      <c r="X593" s="77"/>
      <c r="Y593" s="77"/>
      <c r="Z593" s="77"/>
      <c r="AA593" s="77" t="s">
        <v>4813</v>
      </c>
      <c r="AB593" s="77" t="s">
        <v>5794</v>
      </c>
      <c r="AC593" s="81" t="s">
        <v>5805</v>
      </c>
      <c r="AD593" s="77" t="s">
        <v>5850</v>
      </c>
      <c r="AE593" s="83" t="str">
        <f>HYPERLINK("https://twitter.com/tneaar/status/1653812953462845467")</f>
        <v>https://twitter.com/tneaar/status/1653812953462845467</v>
      </c>
      <c r="AF593" s="79">
        <v>45049.725798611114</v>
      </c>
      <c r="AG593" s="85">
        <v>45049</v>
      </c>
      <c r="AH593" s="81" t="s">
        <v>6412</v>
      </c>
      <c r="AI593" s="77" t="b">
        <v>0</v>
      </c>
      <c r="AJ593" s="77"/>
      <c r="AK593" s="77"/>
      <c r="AL593" s="77"/>
      <c r="AM593" s="77"/>
      <c r="AN593" s="77"/>
      <c r="AO593" s="77"/>
      <c r="AP593" s="77"/>
      <c r="AQ593" s="77" t="s">
        <v>8316</v>
      </c>
      <c r="AR593" s="77"/>
      <c r="AS593" s="77"/>
      <c r="AT593" s="77"/>
      <c r="AU593" s="77"/>
      <c r="AV593" s="83" t="str">
        <f>HYPERLINK("https://pbs.twimg.com/media/FvOGGh7XsAwouLy.jpg")</f>
        <v>https://pbs.twimg.com/media/FvOGGh7XsAwouLy.jpg</v>
      </c>
      <c r="AW593" s="81" t="s">
        <v>9863</v>
      </c>
      <c r="AX593" s="81" t="s">
        <v>9863</v>
      </c>
      <c r="AY593" s="77"/>
      <c r="AZ593" s="81" t="s">
        <v>11359</v>
      </c>
      <c r="BA593" s="81" t="s">
        <v>11359</v>
      </c>
      <c r="BB593" s="81" t="s">
        <v>11359</v>
      </c>
      <c r="BC593" s="81" t="s">
        <v>9863</v>
      </c>
      <c r="BD593" s="77">
        <v>493423213</v>
      </c>
      <c r="BE593" s="77"/>
      <c r="BF593" s="77"/>
      <c r="BG593" s="77"/>
      <c r="BH593" s="77"/>
      <c r="BI593" s="77"/>
    </row>
    <row r="594" spans="1:61" x14ac:dyDescent="0.25">
      <c r="A594" s="62" t="s">
        <v>428</v>
      </c>
      <c r="B594" s="62" t="s">
        <v>428</v>
      </c>
      <c r="C594" s="63"/>
      <c r="D594" s="64"/>
      <c r="E594" s="65"/>
      <c r="F594" s="66"/>
      <c r="G594" s="63"/>
      <c r="H594" s="67"/>
      <c r="I594" s="68"/>
      <c r="J594" s="68"/>
      <c r="K594" s="32"/>
      <c r="L594" s="75">
        <v>594</v>
      </c>
      <c r="M594" s="75"/>
      <c r="N594" s="70"/>
      <c r="O594" s="77" t="s">
        <v>179</v>
      </c>
      <c r="P594" s="79">
        <v>45049.722199074073</v>
      </c>
      <c r="Q594" s="77" t="s">
        <v>1542</v>
      </c>
      <c r="R594" s="77">
        <v>0</v>
      </c>
      <c r="S594" s="77">
        <v>0</v>
      </c>
      <c r="T594" s="77">
        <v>0</v>
      </c>
      <c r="U594" s="77">
        <v>0</v>
      </c>
      <c r="V594" s="77">
        <v>95</v>
      </c>
      <c r="W594" s="81" t="s">
        <v>3254</v>
      </c>
      <c r="X594" s="77"/>
      <c r="Y594" s="77"/>
      <c r="Z594" s="77"/>
      <c r="AA594" s="77" t="s">
        <v>4814</v>
      </c>
      <c r="AB594" s="77" t="s">
        <v>5794</v>
      </c>
      <c r="AC594" s="81" t="s">
        <v>5805</v>
      </c>
      <c r="AD594" s="77" t="s">
        <v>5850</v>
      </c>
      <c r="AE594" s="83" t="str">
        <f>HYPERLINK("https://twitter.com/tneaar/status/1653811648921055237")</f>
        <v>https://twitter.com/tneaar/status/1653811648921055237</v>
      </c>
      <c r="AF594" s="79">
        <v>45049.722199074073</v>
      </c>
      <c r="AG594" s="85">
        <v>45049</v>
      </c>
      <c r="AH594" s="81" t="s">
        <v>6413</v>
      </c>
      <c r="AI594" s="77" t="b">
        <v>0</v>
      </c>
      <c r="AJ594" s="77"/>
      <c r="AK594" s="77"/>
      <c r="AL594" s="77"/>
      <c r="AM594" s="77"/>
      <c r="AN594" s="77"/>
      <c r="AO594" s="77"/>
      <c r="AP594" s="77"/>
      <c r="AQ594" s="77" t="s">
        <v>8317</v>
      </c>
      <c r="AR594" s="77"/>
      <c r="AS594" s="77"/>
      <c r="AT594" s="77"/>
      <c r="AU594" s="77"/>
      <c r="AV594" s="83" t="str">
        <f>HYPERLINK("https://pbs.twimg.com/media/FvOE7NRXsA0Ayfv.jpg")</f>
        <v>https://pbs.twimg.com/media/FvOE7NRXsA0Ayfv.jpg</v>
      </c>
      <c r="AW594" s="81" t="s">
        <v>9864</v>
      </c>
      <c r="AX594" s="81" t="s">
        <v>9864</v>
      </c>
      <c r="AY594" s="77"/>
      <c r="AZ594" s="81" t="s">
        <v>11359</v>
      </c>
      <c r="BA594" s="81" t="s">
        <v>11359</v>
      </c>
      <c r="BB594" s="81" t="s">
        <v>11359</v>
      </c>
      <c r="BC594" s="81" t="s">
        <v>9864</v>
      </c>
      <c r="BD594" s="77">
        <v>493423213</v>
      </c>
      <c r="BE594" s="77"/>
      <c r="BF594" s="77"/>
      <c r="BG594" s="77"/>
      <c r="BH594" s="77"/>
      <c r="BI594" s="77"/>
    </row>
    <row r="595" spans="1:61" x14ac:dyDescent="0.25">
      <c r="A595" s="62" t="s">
        <v>428</v>
      </c>
      <c r="B595" s="62" t="s">
        <v>428</v>
      </c>
      <c r="C595" s="63"/>
      <c r="D595" s="64"/>
      <c r="E595" s="65"/>
      <c r="F595" s="66"/>
      <c r="G595" s="63"/>
      <c r="H595" s="67"/>
      <c r="I595" s="68"/>
      <c r="J595" s="68"/>
      <c r="K595" s="32"/>
      <c r="L595" s="75">
        <v>595</v>
      </c>
      <c r="M595" s="75"/>
      <c r="N595" s="70"/>
      <c r="O595" s="77" t="s">
        <v>179</v>
      </c>
      <c r="P595" s="79">
        <v>45048.685694444444</v>
      </c>
      <c r="Q595" s="77" t="s">
        <v>1543</v>
      </c>
      <c r="R595" s="77">
        <v>0</v>
      </c>
      <c r="S595" s="77">
        <v>0</v>
      </c>
      <c r="T595" s="77">
        <v>0</v>
      </c>
      <c r="U595" s="77">
        <v>0</v>
      </c>
      <c r="V595" s="77">
        <v>73</v>
      </c>
      <c r="W595" s="81" t="s">
        <v>3300</v>
      </c>
      <c r="X595" s="77" t="s">
        <v>4168</v>
      </c>
      <c r="Y595" s="77" t="s">
        <v>4267</v>
      </c>
      <c r="Z595" s="77"/>
      <c r="AA595" s="77" t="s">
        <v>4815</v>
      </c>
      <c r="AB595" s="77" t="s">
        <v>5794</v>
      </c>
      <c r="AC595" s="81" t="s">
        <v>5805</v>
      </c>
      <c r="AD595" s="77" t="s">
        <v>5850</v>
      </c>
      <c r="AE595" s="83" t="str">
        <f>HYPERLINK("https://twitter.com/tneaar/status/1653436035693690880")</f>
        <v>https://twitter.com/tneaar/status/1653436035693690880</v>
      </c>
      <c r="AF595" s="79">
        <v>45048.685694444444</v>
      </c>
      <c r="AG595" s="85">
        <v>45048</v>
      </c>
      <c r="AH595" s="81" t="s">
        <v>6414</v>
      </c>
      <c r="AI595" s="77" t="b">
        <v>0</v>
      </c>
      <c r="AJ595" s="77"/>
      <c r="AK595" s="77"/>
      <c r="AL595" s="77"/>
      <c r="AM595" s="77"/>
      <c r="AN595" s="77"/>
      <c r="AO595" s="77"/>
      <c r="AP595" s="77"/>
      <c r="AQ595" s="77" t="s">
        <v>8318</v>
      </c>
      <c r="AR595" s="77"/>
      <c r="AS595" s="77"/>
      <c r="AT595" s="77"/>
      <c r="AU595" s="77"/>
      <c r="AV595" s="83" t="str">
        <f>HYPERLINK("https://pbs.twimg.com/media/FvIvTyAWIAMUr0W.png")</f>
        <v>https://pbs.twimg.com/media/FvIvTyAWIAMUr0W.png</v>
      </c>
      <c r="AW595" s="81" t="s">
        <v>9865</v>
      </c>
      <c r="AX595" s="81" t="s">
        <v>9865</v>
      </c>
      <c r="AY595" s="77"/>
      <c r="AZ595" s="81" t="s">
        <v>11359</v>
      </c>
      <c r="BA595" s="81" t="s">
        <v>11359</v>
      </c>
      <c r="BB595" s="81" t="s">
        <v>11359</v>
      </c>
      <c r="BC595" s="81" t="s">
        <v>9865</v>
      </c>
      <c r="BD595" s="77">
        <v>493423213</v>
      </c>
      <c r="BE595" s="77"/>
      <c r="BF595" s="77"/>
      <c r="BG595" s="77"/>
      <c r="BH595" s="77"/>
      <c r="BI595" s="77"/>
    </row>
    <row r="596" spans="1:61" x14ac:dyDescent="0.25">
      <c r="A596" s="62" t="s">
        <v>428</v>
      </c>
      <c r="B596" s="62" t="s">
        <v>428</v>
      </c>
      <c r="C596" s="63"/>
      <c r="D596" s="64"/>
      <c r="E596" s="65"/>
      <c r="F596" s="66"/>
      <c r="G596" s="63"/>
      <c r="H596" s="67"/>
      <c r="I596" s="68"/>
      <c r="J596" s="68"/>
      <c r="K596" s="32"/>
      <c r="L596" s="75">
        <v>596</v>
      </c>
      <c r="M596" s="75"/>
      <c r="N596" s="70"/>
      <c r="O596" s="77" t="s">
        <v>179</v>
      </c>
      <c r="P596" s="79">
        <v>45012.610335648147</v>
      </c>
      <c r="Q596" s="77" t="s">
        <v>1544</v>
      </c>
      <c r="R596" s="77">
        <v>0</v>
      </c>
      <c r="S596" s="77">
        <v>0</v>
      </c>
      <c r="T596" s="77">
        <v>0</v>
      </c>
      <c r="U596" s="77">
        <v>0</v>
      </c>
      <c r="V596" s="77">
        <v>70</v>
      </c>
      <c r="W596" s="81" t="s">
        <v>3301</v>
      </c>
      <c r="X596" s="77" t="s">
        <v>4169</v>
      </c>
      <c r="Y596" s="77" t="s">
        <v>4267</v>
      </c>
      <c r="Z596" s="77"/>
      <c r="AA596" s="77" t="s">
        <v>4816</v>
      </c>
      <c r="AB596" s="77" t="s">
        <v>5794</v>
      </c>
      <c r="AC596" s="81" t="s">
        <v>5805</v>
      </c>
      <c r="AD596" s="77" t="s">
        <v>5850</v>
      </c>
      <c r="AE596" s="83" t="str">
        <f>HYPERLINK("https://twitter.com/tneaar/status/1640362760092483586")</f>
        <v>https://twitter.com/tneaar/status/1640362760092483586</v>
      </c>
      <c r="AF596" s="79">
        <v>45012.610335648147</v>
      </c>
      <c r="AG596" s="85">
        <v>45012</v>
      </c>
      <c r="AH596" s="81" t="s">
        <v>6415</v>
      </c>
      <c r="AI596" s="77" t="b">
        <v>0</v>
      </c>
      <c r="AJ596" s="77"/>
      <c r="AK596" s="77"/>
      <c r="AL596" s="77"/>
      <c r="AM596" s="77"/>
      <c r="AN596" s="77"/>
      <c r="AO596" s="77"/>
      <c r="AP596" s="77"/>
      <c r="AQ596" s="77" t="s">
        <v>8319</v>
      </c>
      <c r="AR596" s="77"/>
      <c r="AS596" s="77"/>
      <c r="AT596" s="77"/>
      <c r="AU596" s="77"/>
      <c r="AV596" s="83" t="str">
        <f>HYPERLINK("https://pbs.twimg.com/media/FsO9PBSXsAEh2ej.png")</f>
        <v>https://pbs.twimg.com/media/FsO9PBSXsAEh2ej.png</v>
      </c>
      <c r="AW596" s="81" t="s">
        <v>9866</v>
      </c>
      <c r="AX596" s="81" t="s">
        <v>9866</v>
      </c>
      <c r="AY596" s="77"/>
      <c r="AZ596" s="81" t="s">
        <v>11359</v>
      </c>
      <c r="BA596" s="81" t="s">
        <v>11359</v>
      </c>
      <c r="BB596" s="81" t="s">
        <v>11359</v>
      </c>
      <c r="BC596" s="81" t="s">
        <v>9866</v>
      </c>
      <c r="BD596" s="77">
        <v>493423213</v>
      </c>
      <c r="BE596" s="77"/>
      <c r="BF596" s="77"/>
      <c r="BG596" s="77"/>
      <c r="BH596" s="77"/>
      <c r="BI596" s="77"/>
    </row>
    <row r="597" spans="1:61" x14ac:dyDescent="0.25">
      <c r="A597" s="62" t="s">
        <v>428</v>
      </c>
      <c r="B597" s="62" t="s">
        <v>428</v>
      </c>
      <c r="C597" s="63"/>
      <c r="D597" s="64"/>
      <c r="E597" s="65"/>
      <c r="F597" s="66"/>
      <c r="G597" s="63"/>
      <c r="H597" s="67"/>
      <c r="I597" s="68"/>
      <c r="J597" s="68"/>
      <c r="K597" s="32"/>
      <c r="L597" s="75">
        <v>597</v>
      </c>
      <c r="M597" s="75"/>
      <c r="N597" s="70"/>
      <c r="O597" s="77" t="s">
        <v>179</v>
      </c>
      <c r="P597" s="79">
        <v>45012.609444444446</v>
      </c>
      <c r="Q597" s="77" t="s">
        <v>1545</v>
      </c>
      <c r="R597" s="77">
        <v>1</v>
      </c>
      <c r="S597" s="77">
        <v>0</v>
      </c>
      <c r="T597" s="77">
        <v>0</v>
      </c>
      <c r="U597" s="77">
        <v>0</v>
      </c>
      <c r="V597" s="77">
        <v>114</v>
      </c>
      <c r="W597" s="81" t="s">
        <v>3302</v>
      </c>
      <c r="X597" s="77" t="s">
        <v>4170</v>
      </c>
      <c r="Y597" s="77" t="s">
        <v>4267</v>
      </c>
      <c r="Z597" s="77"/>
      <c r="AA597" s="77" t="s">
        <v>4817</v>
      </c>
      <c r="AB597" s="77" t="s">
        <v>5794</v>
      </c>
      <c r="AC597" s="81" t="s">
        <v>5805</v>
      </c>
      <c r="AD597" s="77" t="s">
        <v>5850</v>
      </c>
      <c r="AE597" s="83" t="str">
        <f>HYPERLINK("https://twitter.com/tneaar/status/1640362437105811456")</f>
        <v>https://twitter.com/tneaar/status/1640362437105811456</v>
      </c>
      <c r="AF597" s="79">
        <v>45012.609444444446</v>
      </c>
      <c r="AG597" s="85">
        <v>45012</v>
      </c>
      <c r="AH597" s="81" t="s">
        <v>6416</v>
      </c>
      <c r="AI597" s="77" t="b">
        <v>0</v>
      </c>
      <c r="AJ597" s="77"/>
      <c r="AK597" s="77"/>
      <c r="AL597" s="77"/>
      <c r="AM597" s="77"/>
      <c r="AN597" s="77"/>
      <c r="AO597" s="77"/>
      <c r="AP597" s="77"/>
      <c r="AQ597" s="77" t="s">
        <v>8320</v>
      </c>
      <c r="AR597" s="77"/>
      <c r="AS597" s="77"/>
      <c r="AT597" s="77"/>
      <c r="AU597" s="77"/>
      <c r="AV597" s="83" t="str">
        <f>HYPERLINK("https://pbs.twimg.com/media/FsO88PSWIAA8heG.png")</f>
        <v>https://pbs.twimg.com/media/FsO88PSWIAA8heG.png</v>
      </c>
      <c r="AW597" s="81" t="s">
        <v>9867</v>
      </c>
      <c r="AX597" s="81" t="s">
        <v>9867</v>
      </c>
      <c r="AY597" s="77"/>
      <c r="AZ597" s="81" t="s">
        <v>11359</v>
      </c>
      <c r="BA597" s="81" t="s">
        <v>11359</v>
      </c>
      <c r="BB597" s="81" t="s">
        <v>11359</v>
      </c>
      <c r="BC597" s="81" t="s">
        <v>9867</v>
      </c>
      <c r="BD597" s="77">
        <v>493423213</v>
      </c>
      <c r="BE597" s="77"/>
      <c r="BF597" s="77"/>
      <c r="BG597" s="77"/>
      <c r="BH597" s="77"/>
      <c r="BI597" s="77"/>
    </row>
    <row r="598" spans="1:61" x14ac:dyDescent="0.25">
      <c r="A598" s="62" t="s">
        <v>428</v>
      </c>
      <c r="B598" s="62" t="s">
        <v>428</v>
      </c>
      <c r="C598" s="63"/>
      <c r="D598" s="64"/>
      <c r="E598" s="65"/>
      <c r="F598" s="66"/>
      <c r="G598" s="63"/>
      <c r="H598" s="67"/>
      <c r="I598" s="68"/>
      <c r="J598" s="68"/>
      <c r="K598" s="32"/>
      <c r="L598" s="75">
        <v>598</v>
      </c>
      <c r="M598" s="75"/>
      <c r="N598" s="70"/>
      <c r="O598" s="77" t="s">
        <v>179</v>
      </c>
      <c r="P598" s="79">
        <v>45012.608206018522</v>
      </c>
      <c r="Q598" s="77" t="s">
        <v>1546</v>
      </c>
      <c r="R598" s="77">
        <v>0</v>
      </c>
      <c r="S598" s="77">
        <v>0</v>
      </c>
      <c r="T598" s="77">
        <v>0</v>
      </c>
      <c r="U598" s="77">
        <v>0</v>
      </c>
      <c r="V598" s="77">
        <v>64</v>
      </c>
      <c r="W598" s="81" t="s">
        <v>3303</v>
      </c>
      <c r="X598" s="77" t="s">
        <v>4171</v>
      </c>
      <c r="Y598" s="77" t="s">
        <v>4267</v>
      </c>
      <c r="Z598" s="77"/>
      <c r="AA598" s="77" t="s">
        <v>4818</v>
      </c>
      <c r="AB598" s="77" t="s">
        <v>5794</v>
      </c>
      <c r="AC598" s="81" t="s">
        <v>5805</v>
      </c>
      <c r="AD598" s="77" t="s">
        <v>5850</v>
      </c>
      <c r="AE598" s="83" t="str">
        <f>HYPERLINK("https://twitter.com/tneaar/status/1640361989925904384")</f>
        <v>https://twitter.com/tneaar/status/1640361989925904384</v>
      </c>
      <c r="AF598" s="79">
        <v>45012.608206018522</v>
      </c>
      <c r="AG598" s="85">
        <v>45012</v>
      </c>
      <c r="AH598" s="81" t="s">
        <v>6417</v>
      </c>
      <c r="AI598" s="77" t="b">
        <v>0</v>
      </c>
      <c r="AJ598" s="77"/>
      <c r="AK598" s="77"/>
      <c r="AL598" s="77"/>
      <c r="AM598" s="77"/>
      <c r="AN598" s="77"/>
      <c r="AO598" s="77"/>
      <c r="AP598" s="77"/>
      <c r="AQ598" s="77" t="s">
        <v>8321</v>
      </c>
      <c r="AR598" s="77"/>
      <c r="AS598" s="77"/>
      <c r="AT598" s="77"/>
      <c r="AU598" s="77"/>
      <c r="AV598" s="83" t="str">
        <f>HYPERLINK("https://pbs.twimg.com/media/FsO8iJQWIAQ0Uz9.png")</f>
        <v>https://pbs.twimg.com/media/FsO8iJQWIAQ0Uz9.png</v>
      </c>
      <c r="AW598" s="81" t="s">
        <v>9868</v>
      </c>
      <c r="AX598" s="81" t="s">
        <v>9868</v>
      </c>
      <c r="AY598" s="77"/>
      <c r="AZ598" s="81" t="s">
        <v>11359</v>
      </c>
      <c r="BA598" s="81" t="s">
        <v>11359</v>
      </c>
      <c r="BB598" s="81" t="s">
        <v>11359</v>
      </c>
      <c r="BC598" s="81" t="s">
        <v>9868</v>
      </c>
      <c r="BD598" s="77">
        <v>493423213</v>
      </c>
      <c r="BE598" s="77"/>
      <c r="BF598" s="77"/>
      <c r="BG598" s="77"/>
      <c r="BH598" s="77"/>
      <c r="BI598" s="77"/>
    </row>
    <row r="599" spans="1:61" x14ac:dyDescent="0.25">
      <c r="A599" s="62" t="s">
        <v>428</v>
      </c>
      <c r="B599" s="62" t="s">
        <v>428</v>
      </c>
      <c r="C599" s="63"/>
      <c r="D599" s="64"/>
      <c r="E599" s="65"/>
      <c r="F599" s="66"/>
      <c r="G599" s="63"/>
      <c r="H599" s="67"/>
      <c r="I599" s="68"/>
      <c r="J599" s="68"/>
      <c r="K599" s="32"/>
      <c r="L599" s="75">
        <v>599</v>
      </c>
      <c r="M599" s="75"/>
      <c r="N599" s="70"/>
      <c r="O599" s="77" t="s">
        <v>179</v>
      </c>
      <c r="P599" s="79">
        <v>44976.700138888889</v>
      </c>
      <c r="Q599" s="77" t="s">
        <v>1547</v>
      </c>
      <c r="R599" s="77">
        <v>0</v>
      </c>
      <c r="S599" s="77">
        <v>0</v>
      </c>
      <c r="T599" s="77">
        <v>0</v>
      </c>
      <c r="U599" s="77">
        <v>0</v>
      </c>
      <c r="V599" s="77">
        <v>75</v>
      </c>
      <c r="W599" s="81" t="s">
        <v>3282</v>
      </c>
      <c r="X599" s="77"/>
      <c r="Y599" s="77"/>
      <c r="Z599" s="77"/>
      <c r="AA599" s="77" t="s">
        <v>4819</v>
      </c>
      <c r="AB599" s="77" t="s">
        <v>5794</v>
      </c>
      <c r="AC599" s="81" t="s">
        <v>5805</v>
      </c>
      <c r="AD599" s="77" t="s">
        <v>5850</v>
      </c>
      <c r="AE599" s="83" t="str">
        <f>HYPERLINK("https://twitter.com/tneaar/status/1627349340036497408")</f>
        <v>https://twitter.com/tneaar/status/1627349340036497408</v>
      </c>
      <c r="AF599" s="79">
        <v>44976.700138888889</v>
      </c>
      <c r="AG599" s="85">
        <v>44976</v>
      </c>
      <c r="AH599" s="81" t="s">
        <v>6418</v>
      </c>
      <c r="AI599" s="77" t="b">
        <v>0</v>
      </c>
      <c r="AJ599" s="77"/>
      <c r="AK599" s="77"/>
      <c r="AL599" s="77"/>
      <c r="AM599" s="77"/>
      <c r="AN599" s="77"/>
      <c r="AO599" s="77"/>
      <c r="AP599" s="77"/>
      <c r="AQ599" s="77" t="s">
        <v>8322</v>
      </c>
      <c r="AR599" s="77"/>
      <c r="AS599" s="77"/>
      <c r="AT599" s="77"/>
      <c r="AU599" s="77"/>
      <c r="AV599" s="83" t="str">
        <f>HYPERLINK("https://pbs.twimg.com/media/FpWBko2WYAItrUo.jpg")</f>
        <v>https://pbs.twimg.com/media/FpWBko2WYAItrUo.jpg</v>
      </c>
      <c r="AW599" s="81" t="s">
        <v>9869</v>
      </c>
      <c r="AX599" s="81" t="s">
        <v>9869</v>
      </c>
      <c r="AY599" s="77"/>
      <c r="AZ599" s="81" t="s">
        <v>11359</v>
      </c>
      <c r="BA599" s="81" t="s">
        <v>11359</v>
      </c>
      <c r="BB599" s="81" t="s">
        <v>11359</v>
      </c>
      <c r="BC599" s="81" t="s">
        <v>9869</v>
      </c>
      <c r="BD599" s="77">
        <v>493423213</v>
      </c>
      <c r="BE599" s="77"/>
      <c r="BF599" s="77"/>
      <c r="BG599" s="77"/>
      <c r="BH599" s="77"/>
      <c r="BI599" s="77"/>
    </row>
    <row r="600" spans="1:61" x14ac:dyDescent="0.25">
      <c r="A600" s="62" t="s">
        <v>428</v>
      </c>
      <c r="B600" s="62" t="s">
        <v>428</v>
      </c>
      <c r="C600" s="63"/>
      <c r="D600" s="64"/>
      <c r="E600" s="65"/>
      <c r="F600" s="66"/>
      <c r="G600" s="63"/>
      <c r="H600" s="67"/>
      <c r="I600" s="68"/>
      <c r="J600" s="68"/>
      <c r="K600" s="32"/>
      <c r="L600" s="75">
        <v>600</v>
      </c>
      <c r="M600" s="75"/>
      <c r="N600" s="70"/>
      <c r="O600" s="77" t="s">
        <v>179</v>
      </c>
      <c r="P600" s="79">
        <v>44976.690104166664</v>
      </c>
      <c r="Q600" s="77" t="s">
        <v>1548</v>
      </c>
      <c r="R600" s="77">
        <v>0</v>
      </c>
      <c r="S600" s="77">
        <v>0</v>
      </c>
      <c r="T600" s="77">
        <v>0</v>
      </c>
      <c r="U600" s="77">
        <v>0</v>
      </c>
      <c r="V600" s="77">
        <v>60</v>
      </c>
      <c r="W600" s="81" t="s">
        <v>3254</v>
      </c>
      <c r="X600" s="77"/>
      <c r="Y600" s="77"/>
      <c r="Z600" s="77"/>
      <c r="AA600" s="77" t="s">
        <v>4820</v>
      </c>
      <c r="AB600" s="77" t="s">
        <v>5794</v>
      </c>
      <c r="AC600" s="81" t="s">
        <v>5805</v>
      </c>
      <c r="AD600" s="77" t="s">
        <v>5850</v>
      </c>
      <c r="AE600" s="83" t="str">
        <f>HYPERLINK("https://twitter.com/tneaar/status/1627345706200571904")</f>
        <v>https://twitter.com/tneaar/status/1627345706200571904</v>
      </c>
      <c r="AF600" s="79">
        <v>44976.690104166664</v>
      </c>
      <c r="AG600" s="85">
        <v>44976</v>
      </c>
      <c r="AH600" s="81" t="s">
        <v>6419</v>
      </c>
      <c r="AI600" s="77" t="b">
        <v>0</v>
      </c>
      <c r="AJ600" s="77"/>
      <c r="AK600" s="77"/>
      <c r="AL600" s="77"/>
      <c r="AM600" s="77"/>
      <c r="AN600" s="77"/>
      <c r="AO600" s="77"/>
      <c r="AP600" s="77"/>
      <c r="AQ600" s="77" t="s">
        <v>8323</v>
      </c>
      <c r="AR600" s="77"/>
      <c r="AS600" s="77"/>
      <c r="AT600" s="77"/>
      <c r="AU600" s="77"/>
      <c r="AV600" s="83" t="str">
        <f>HYPERLINK("https://pbs.twimg.com/media/FpV-Sq2XsAAq9GD.jpg")</f>
        <v>https://pbs.twimg.com/media/FpV-Sq2XsAAq9GD.jpg</v>
      </c>
      <c r="AW600" s="81" t="s">
        <v>9870</v>
      </c>
      <c r="AX600" s="81" t="s">
        <v>9870</v>
      </c>
      <c r="AY600" s="77"/>
      <c r="AZ600" s="81" t="s">
        <v>11359</v>
      </c>
      <c r="BA600" s="81" t="s">
        <v>11359</v>
      </c>
      <c r="BB600" s="81" t="s">
        <v>11359</v>
      </c>
      <c r="BC600" s="81" t="s">
        <v>9870</v>
      </c>
      <c r="BD600" s="77">
        <v>493423213</v>
      </c>
      <c r="BE600" s="77"/>
      <c r="BF600" s="77"/>
      <c r="BG600" s="77"/>
      <c r="BH600" s="77"/>
      <c r="BI600" s="77"/>
    </row>
    <row r="601" spans="1:61" x14ac:dyDescent="0.25">
      <c r="A601" s="62" t="s">
        <v>428</v>
      </c>
      <c r="B601" s="62" t="s">
        <v>428</v>
      </c>
      <c r="C601" s="63"/>
      <c r="D601" s="64"/>
      <c r="E601" s="65"/>
      <c r="F601" s="66"/>
      <c r="G601" s="63"/>
      <c r="H601" s="67"/>
      <c r="I601" s="68"/>
      <c r="J601" s="68"/>
      <c r="K601" s="32"/>
      <c r="L601" s="75">
        <v>601</v>
      </c>
      <c r="M601" s="75"/>
      <c r="N601" s="70"/>
      <c r="O601" s="77" t="s">
        <v>179</v>
      </c>
      <c r="P601" s="79">
        <v>44976.666296296295</v>
      </c>
      <c r="Q601" s="77" t="s">
        <v>1549</v>
      </c>
      <c r="R601" s="77">
        <v>0</v>
      </c>
      <c r="S601" s="77">
        <v>0</v>
      </c>
      <c r="T601" s="77">
        <v>0</v>
      </c>
      <c r="U601" s="77">
        <v>0</v>
      </c>
      <c r="V601" s="77">
        <v>32</v>
      </c>
      <c r="W601" s="81" t="s">
        <v>3283</v>
      </c>
      <c r="X601" s="77"/>
      <c r="Y601" s="77"/>
      <c r="Z601" s="77"/>
      <c r="AA601" s="77" t="s">
        <v>4821</v>
      </c>
      <c r="AB601" s="77" t="s">
        <v>5794</v>
      </c>
      <c r="AC601" s="81" t="s">
        <v>5805</v>
      </c>
      <c r="AD601" s="77" t="s">
        <v>5850</v>
      </c>
      <c r="AE601" s="83" t="str">
        <f>HYPERLINK("https://twitter.com/tneaar/status/1627337078844411907")</f>
        <v>https://twitter.com/tneaar/status/1627337078844411907</v>
      </c>
      <c r="AF601" s="79">
        <v>44976.666296296295</v>
      </c>
      <c r="AG601" s="85">
        <v>44976</v>
      </c>
      <c r="AH601" s="81" t="s">
        <v>6420</v>
      </c>
      <c r="AI601" s="77" t="b">
        <v>0</v>
      </c>
      <c r="AJ601" s="77"/>
      <c r="AK601" s="77"/>
      <c r="AL601" s="77"/>
      <c r="AM601" s="77"/>
      <c r="AN601" s="77"/>
      <c r="AO601" s="77"/>
      <c r="AP601" s="77"/>
      <c r="AQ601" s="77" t="s">
        <v>8324</v>
      </c>
      <c r="AR601" s="77"/>
      <c r="AS601" s="77"/>
      <c r="AT601" s="77"/>
      <c r="AU601" s="77"/>
      <c r="AV601" s="83" t="str">
        <f>HYPERLINK("https://pbs.twimg.com/media/FpV2cTzXoAAnEHU.jpg")</f>
        <v>https://pbs.twimg.com/media/FpV2cTzXoAAnEHU.jpg</v>
      </c>
      <c r="AW601" s="81" t="s">
        <v>9871</v>
      </c>
      <c r="AX601" s="81" t="s">
        <v>9871</v>
      </c>
      <c r="AY601" s="77"/>
      <c r="AZ601" s="81" t="s">
        <v>11359</v>
      </c>
      <c r="BA601" s="81" t="s">
        <v>11359</v>
      </c>
      <c r="BB601" s="81" t="s">
        <v>11359</v>
      </c>
      <c r="BC601" s="81" t="s">
        <v>9871</v>
      </c>
      <c r="BD601" s="77">
        <v>493423213</v>
      </c>
      <c r="BE601" s="77"/>
      <c r="BF601" s="77"/>
      <c r="BG601" s="77"/>
      <c r="BH601" s="77"/>
      <c r="BI601" s="77"/>
    </row>
    <row r="602" spans="1:61" x14ac:dyDescent="0.25">
      <c r="A602" s="62" t="s">
        <v>428</v>
      </c>
      <c r="B602" s="62" t="s">
        <v>428</v>
      </c>
      <c r="C602" s="63"/>
      <c r="D602" s="64"/>
      <c r="E602" s="65"/>
      <c r="F602" s="66"/>
      <c r="G602" s="63"/>
      <c r="H602" s="67"/>
      <c r="I602" s="68"/>
      <c r="J602" s="68"/>
      <c r="K602" s="32"/>
      <c r="L602" s="75">
        <v>602</v>
      </c>
      <c r="M602" s="75"/>
      <c r="N602" s="70"/>
      <c r="O602" s="77" t="s">
        <v>179</v>
      </c>
      <c r="P602" s="79">
        <v>44976.607581018521</v>
      </c>
      <c r="Q602" s="77" t="s">
        <v>1550</v>
      </c>
      <c r="R602" s="77">
        <v>0</v>
      </c>
      <c r="S602" s="77">
        <v>0</v>
      </c>
      <c r="T602" s="77">
        <v>0</v>
      </c>
      <c r="U602" s="77">
        <v>0</v>
      </c>
      <c r="V602" s="77">
        <v>41</v>
      </c>
      <c r="W602" s="81" t="s">
        <v>3260</v>
      </c>
      <c r="X602" s="77"/>
      <c r="Y602" s="77"/>
      <c r="Z602" s="77"/>
      <c r="AA602" s="77" t="s">
        <v>4822</v>
      </c>
      <c r="AB602" s="77" t="s">
        <v>5794</v>
      </c>
      <c r="AC602" s="81" t="s">
        <v>5805</v>
      </c>
      <c r="AD602" s="77" t="s">
        <v>5850</v>
      </c>
      <c r="AE602" s="83" t="str">
        <f>HYPERLINK("https://twitter.com/tneaar/status/1627315801958096897")</f>
        <v>https://twitter.com/tneaar/status/1627315801958096897</v>
      </c>
      <c r="AF602" s="79">
        <v>44976.607581018521</v>
      </c>
      <c r="AG602" s="85">
        <v>44976</v>
      </c>
      <c r="AH602" s="81" t="s">
        <v>6421</v>
      </c>
      <c r="AI602" s="77" t="b">
        <v>0</v>
      </c>
      <c r="AJ602" s="77"/>
      <c r="AK602" s="77"/>
      <c r="AL602" s="77"/>
      <c r="AM602" s="77"/>
      <c r="AN602" s="77"/>
      <c r="AO602" s="77"/>
      <c r="AP602" s="77"/>
      <c r="AQ602" s="77" t="s">
        <v>8325</v>
      </c>
      <c r="AR602" s="77"/>
      <c r="AS602" s="77"/>
      <c r="AT602" s="77"/>
      <c r="AU602" s="77"/>
      <c r="AV602" s="83" t="str">
        <f>HYPERLINK("https://pbs.twimg.com/media/FpVjF0DXsAEVYKh.jpg")</f>
        <v>https://pbs.twimg.com/media/FpVjF0DXsAEVYKh.jpg</v>
      </c>
      <c r="AW602" s="81" t="s">
        <v>9872</v>
      </c>
      <c r="AX602" s="81" t="s">
        <v>9872</v>
      </c>
      <c r="AY602" s="77"/>
      <c r="AZ602" s="81" t="s">
        <v>11359</v>
      </c>
      <c r="BA602" s="81" t="s">
        <v>11359</v>
      </c>
      <c r="BB602" s="81" t="s">
        <v>11359</v>
      </c>
      <c r="BC602" s="81" t="s">
        <v>9872</v>
      </c>
      <c r="BD602" s="77">
        <v>493423213</v>
      </c>
      <c r="BE602" s="77"/>
      <c r="BF602" s="77"/>
      <c r="BG602" s="77"/>
      <c r="BH602" s="77"/>
      <c r="BI602" s="77"/>
    </row>
    <row r="603" spans="1:61" x14ac:dyDescent="0.25">
      <c r="A603" s="62" t="s">
        <v>428</v>
      </c>
      <c r="B603" s="62" t="s">
        <v>428</v>
      </c>
      <c r="C603" s="63"/>
      <c r="D603" s="64"/>
      <c r="E603" s="65"/>
      <c r="F603" s="66"/>
      <c r="G603" s="63"/>
      <c r="H603" s="67"/>
      <c r="I603" s="68"/>
      <c r="J603" s="68"/>
      <c r="K603" s="32"/>
      <c r="L603" s="75">
        <v>603</v>
      </c>
      <c r="M603" s="75"/>
      <c r="N603" s="70"/>
      <c r="O603" s="77" t="s">
        <v>179</v>
      </c>
      <c r="P603" s="79">
        <v>44974.552199074074</v>
      </c>
      <c r="Q603" s="77" t="s">
        <v>1551</v>
      </c>
      <c r="R603" s="77">
        <v>0</v>
      </c>
      <c r="S603" s="77">
        <v>0</v>
      </c>
      <c r="T603" s="77">
        <v>0</v>
      </c>
      <c r="U603" s="77">
        <v>0</v>
      </c>
      <c r="V603" s="77">
        <v>54</v>
      </c>
      <c r="W603" s="81" t="s">
        <v>3304</v>
      </c>
      <c r="X603" s="77"/>
      <c r="Y603" s="77"/>
      <c r="Z603" s="77"/>
      <c r="AA603" s="77" t="s">
        <v>4823</v>
      </c>
      <c r="AB603" s="77" t="s">
        <v>5794</v>
      </c>
      <c r="AC603" s="81" t="s">
        <v>5805</v>
      </c>
      <c r="AD603" s="77" t="s">
        <v>5850</v>
      </c>
      <c r="AE603" s="83" t="str">
        <f>HYPERLINK("https://twitter.com/tneaar/status/1626570952724054016")</f>
        <v>https://twitter.com/tneaar/status/1626570952724054016</v>
      </c>
      <c r="AF603" s="79">
        <v>44974.552199074074</v>
      </c>
      <c r="AG603" s="85">
        <v>44974</v>
      </c>
      <c r="AH603" s="81" t="s">
        <v>6422</v>
      </c>
      <c r="AI603" s="77" t="b">
        <v>0</v>
      </c>
      <c r="AJ603" s="77"/>
      <c r="AK603" s="77"/>
      <c r="AL603" s="77"/>
      <c r="AM603" s="77"/>
      <c r="AN603" s="77"/>
      <c r="AO603" s="77"/>
      <c r="AP603" s="77"/>
      <c r="AQ603" s="77" t="s">
        <v>8326</v>
      </c>
      <c r="AR603" s="77"/>
      <c r="AS603" s="77"/>
      <c r="AT603" s="77"/>
      <c r="AU603" s="77"/>
      <c r="AV603" s="83" t="str">
        <f>HYPERLINK("https://pbs.twimg.com/media/FpK9puqXsAI7iZc.jpg")</f>
        <v>https://pbs.twimg.com/media/FpK9puqXsAI7iZc.jpg</v>
      </c>
      <c r="AW603" s="81" t="s">
        <v>9873</v>
      </c>
      <c r="AX603" s="81" t="s">
        <v>9873</v>
      </c>
      <c r="AY603" s="77"/>
      <c r="AZ603" s="81" t="s">
        <v>11359</v>
      </c>
      <c r="BA603" s="81" t="s">
        <v>11359</v>
      </c>
      <c r="BB603" s="81" t="s">
        <v>11359</v>
      </c>
      <c r="BC603" s="81" t="s">
        <v>9873</v>
      </c>
      <c r="BD603" s="77">
        <v>493423213</v>
      </c>
      <c r="BE603" s="77"/>
      <c r="BF603" s="77"/>
      <c r="BG603" s="77"/>
      <c r="BH603" s="77"/>
      <c r="BI603" s="77"/>
    </row>
    <row r="604" spans="1:61" x14ac:dyDescent="0.25">
      <c r="A604" s="62" t="s">
        <v>428</v>
      </c>
      <c r="B604" s="62" t="s">
        <v>428</v>
      </c>
      <c r="C604" s="63"/>
      <c r="D604" s="64"/>
      <c r="E604" s="65"/>
      <c r="F604" s="66"/>
      <c r="G604" s="63"/>
      <c r="H604" s="67"/>
      <c r="I604" s="68"/>
      <c r="J604" s="68"/>
      <c r="K604" s="32"/>
      <c r="L604" s="75">
        <v>604</v>
      </c>
      <c r="M604" s="75"/>
      <c r="N604" s="70"/>
      <c r="O604" s="77" t="s">
        <v>179</v>
      </c>
      <c r="P604" s="79">
        <v>44937.984699074077</v>
      </c>
      <c r="Q604" s="77" t="s">
        <v>1552</v>
      </c>
      <c r="R604" s="77">
        <v>0</v>
      </c>
      <c r="S604" s="77">
        <v>0</v>
      </c>
      <c r="T604" s="77">
        <v>0</v>
      </c>
      <c r="U604" s="77">
        <v>0</v>
      </c>
      <c r="V604" s="77">
        <v>92</v>
      </c>
      <c r="W604" s="81" t="s">
        <v>3258</v>
      </c>
      <c r="X604" s="77"/>
      <c r="Y604" s="77"/>
      <c r="Z604" s="77"/>
      <c r="AA604" s="77" t="s">
        <v>4824</v>
      </c>
      <c r="AB604" s="77" t="s">
        <v>5794</v>
      </c>
      <c r="AC604" s="81" t="s">
        <v>5805</v>
      </c>
      <c r="AD604" s="77" t="s">
        <v>5850</v>
      </c>
      <c r="AE604" s="83" t="str">
        <f>HYPERLINK("https://twitter.com/tneaar/status/1613319335354978304")</f>
        <v>https://twitter.com/tneaar/status/1613319335354978304</v>
      </c>
      <c r="AF604" s="79">
        <v>44937.984699074077</v>
      </c>
      <c r="AG604" s="85">
        <v>44937</v>
      </c>
      <c r="AH604" s="81" t="s">
        <v>6423</v>
      </c>
      <c r="AI604" s="77" t="b">
        <v>0</v>
      </c>
      <c r="AJ604" s="77"/>
      <c r="AK604" s="77"/>
      <c r="AL604" s="77"/>
      <c r="AM604" s="77"/>
      <c r="AN604" s="77"/>
      <c r="AO604" s="77"/>
      <c r="AP604" s="77"/>
      <c r="AQ604" s="77" t="s">
        <v>8327</v>
      </c>
      <c r="AR604" s="77"/>
      <c r="AS604" s="77"/>
      <c r="AT604" s="77"/>
      <c r="AU604" s="77"/>
      <c r="AV604" s="83" t="str">
        <f>HYPERLINK("https://pbs.twimg.com/media/FmOpYatWQAASXyC.jpg")</f>
        <v>https://pbs.twimg.com/media/FmOpYatWQAASXyC.jpg</v>
      </c>
      <c r="AW604" s="81" t="s">
        <v>9874</v>
      </c>
      <c r="AX604" s="81" t="s">
        <v>9874</v>
      </c>
      <c r="AY604" s="77"/>
      <c r="AZ604" s="81" t="s">
        <v>11359</v>
      </c>
      <c r="BA604" s="81" t="s">
        <v>11359</v>
      </c>
      <c r="BB604" s="81" t="s">
        <v>11359</v>
      </c>
      <c r="BC604" s="81" t="s">
        <v>9874</v>
      </c>
      <c r="BD604" s="77">
        <v>493423213</v>
      </c>
      <c r="BE604" s="77"/>
      <c r="BF604" s="77"/>
      <c r="BG604" s="77"/>
      <c r="BH604" s="77"/>
      <c r="BI604" s="77"/>
    </row>
    <row r="605" spans="1:61" x14ac:dyDescent="0.25">
      <c r="A605" s="62" t="s">
        <v>428</v>
      </c>
      <c r="B605" s="62" t="s">
        <v>428</v>
      </c>
      <c r="C605" s="63"/>
      <c r="D605" s="64"/>
      <c r="E605" s="65"/>
      <c r="F605" s="66"/>
      <c r="G605" s="63"/>
      <c r="H605" s="67"/>
      <c r="I605" s="68"/>
      <c r="J605" s="68"/>
      <c r="K605" s="32"/>
      <c r="L605" s="75">
        <v>605</v>
      </c>
      <c r="M605" s="75"/>
      <c r="N605" s="70"/>
      <c r="O605" s="77" t="s">
        <v>179</v>
      </c>
      <c r="P605" s="79">
        <v>44934.925312500003</v>
      </c>
      <c r="Q605" s="77" t="s">
        <v>1553</v>
      </c>
      <c r="R605" s="77">
        <v>0</v>
      </c>
      <c r="S605" s="77">
        <v>0</v>
      </c>
      <c r="T605" s="77">
        <v>0</v>
      </c>
      <c r="U605" s="77">
        <v>0</v>
      </c>
      <c r="V605" s="77">
        <v>121</v>
      </c>
      <c r="W605" s="81" t="s">
        <v>3285</v>
      </c>
      <c r="X605" s="77"/>
      <c r="Y605" s="77"/>
      <c r="Z605" s="77"/>
      <c r="AA605" s="77" t="s">
        <v>4825</v>
      </c>
      <c r="AB605" s="77" t="s">
        <v>5794</v>
      </c>
      <c r="AC605" s="81" t="s">
        <v>5805</v>
      </c>
      <c r="AD605" s="77" t="s">
        <v>5850</v>
      </c>
      <c r="AE605" s="83" t="str">
        <f>HYPERLINK("https://twitter.com/tneaar/status/1612210652759883776")</f>
        <v>https://twitter.com/tneaar/status/1612210652759883776</v>
      </c>
      <c r="AF605" s="79">
        <v>44934.925312500003</v>
      </c>
      <c r="AG605" s="85">
        <v>44934</v>
      </c>
      <c r="AH605" s="81" t="s">
        <v>6424</v>
      </c>
      <c r="AI605" s="77" t="b">
        <v>0</v>
      </c>
      <c r="AJ605" s="77"/>
      <c r="AK605" s="77"/>
      <c r="AL605" s="77"/>
      <c r="AM605" s="77"/>
      <c r="AN605" s="77"/>
      <c r="AO605" s="77"/>
      <c r="AP605" s="77"/>
      <c r="AQ605" s="77" t="s">
        <v>8328</v>
      </c>
      <c r="AR605" s="77"/>
      <c r="AS605" s="77"/>
      <c r="AT605" s="77"/>
      <c r="AU605" s="77"/>
      <c r="AV605" s="83" t="str">
        <f>HYPERLINK("https://pbs.twimg.com/media/Fl-5CsHXkAM9jyB.png")</f>
        <v>https://pbs.twimg.com/media/Fl-5CsHXkAM9jyB.png</v>
      </c>
      <c r="AW605" s="81" t="s">
        <v>9875</v>
      </c>
      <c r="AX605" s="81" t="s">
        <v>9875</v>
      </c>
      <c r="AY605" s="77"/>
      <c r="AZ605" s="81" t="s">
        <v>11359</v>
      </c>
      <c r="BA605" s="81" t="s">
        <v>11359</v>
      </c>
      <c r="BB605" s="81" t="s">
        <v>11359</v>
      </c>
      <c r="BC605" s="81" t="s">
        <v>9875</v>
      </c>
      <c r="BD605" s="77">
        <v>493423213</v>
      </c>
      <c r="BE605" s="77"/>
      <c r="BF605" s="77"/>
      <c r="BG605" s="77"/>
      <c r="BH605" s="77"/>
      <c r="BI605" s="77"/>
    </row>
    <row r="606" spans="1:61" x14ac:dyDescent="0.25">
      <c r="A606" s="62" t="s">
        <v>428</v>
      </c>
      <c r="B606" s="62" t="s">
        <v>428</v>
      </c>
      <c r="C606" s="63"/>
      <c r="D606" s="64"/>
      <c r="E606" s="65"/>
      <c r="F606" s="66"/>
      <c r="G606" s="63"/>
      <c r="H606" s="67"/>
      <c r="I606" s="68"/>
      <c r="J606" s="68"/>
      <c r="K606" s="32"/>
      <c r="L606" s="75">
        <v>606</v>
      </c>
      <c r="M606" s="75"/>
      <c r="N606" s="70"/>
      <c r="O606" s="77" t="s">
        <v>179</v>
      </c>
      <c r="P606" s="79">
        <v>44934.923645833333</v>
      </c>
      <c r="Q606" s="77" t="s">
        <v>1554</v>
      </c>
      <c r="R606" s="77">
        <v>0</v>
      </c>
      <c r="S606" s="77">
        <v>0</v>
      </c>
      <c r="T606" s="77">
        <v>0</v>
      </c>
      <c r="U606" s="77">
        <v>0</v>
      </c>
      <c r="V606" s="77">
        <v>97</v>
      </c>
      <c r="W606" s="81" t="s">
        <v>3284</v>
      </c>
      <c r="X606" s="77"/>
      <c r="Y606" s="77"/>
      <c r="Z606" s="77"/>
      <c r="AA606" s="77" t="s">
        <v>4826</v>
      </c>
      <c r="AB606" s="77" t="s">
        <v>5794</v>
      </c>
      <c r="AC606" s="81" t="s">
        <v>5805</v>
      </c>
      <c r="AD606" s="77" t="s">
        <v>5850</v>
      </c>
      <c r="AE606" s="83" t="str">
        <f>HYPERLINK("https://twitter.com/tneaar/status/1612210047844483074")</f>
        <v>https://twitter.com/tneaar/status/1612210047844483074</v>
      </c>
      <c r="AF606" s="79">
        <v>44934.923645833333</v>
      </c>
      <c r="AG606" s="85">
        <v>44934</v>
      </c>
      <c r="AH606" s="81" t="s">
        <v>6425</v>
      </c>
      <c r="AI606" s="77" t="b">
        <v>0</v>
      </c>
      <c r="AJ606" s="77"/>
      <c r="AK606" s="77"/>
      <c r="AL606" s="77"/>
      <c r="AM606" s="77"/>
      <c r="AN606" s="77"/>
      <c r="AO606" s="77"/>
      <c r="AP606" s="77"/>
      <c r="AQ606" s="77" t="s">
        <v>8329</v>
      </c>
      <c r="AR606" s="77"/>
      <c r="AS606" s="77"/>
      <c r="AT606" s="77"/>
      <c r="AU606" s="77"/>
      <c r="AV606" s="83" t="str">
        <f>HYPERLINK("https://pbs.twimg.com/media/Fl-4fbnXwAcvYrq.jpg")</f>
        <v>https://pbs.twimg.com/media/Fl-4fbnXwAcvYrq.jpg</v>
      </c>
      <c r="AW606" s="81" t="s">
        <v>9876</v>
      </c>
      <c r="AX606" s="81" t="s">
        <v>9876</v>
      </c>
      <c r="AY606" s="77"/>
      <c r="AZ606" s="81" t="s">
        <v>11359</v>
      </c>
      <c r="BA606" s="81" t="s">
        <v>11359</v>
      </c>
      <c r="BB606" s="81" t="s">
        <v>11359</v>
      </c>
      <c r="BC606" s="81" t="s">
        <v>9876</v>
      </c>
      <c r="BD606" s="77">
        <v>493423213</v>
      </c>
      <c r="BE606" s="77"/>
      <c r="BF606" s="77"/>
      <c r="BG606" s="77"/>
      <c r="BH606" s="77"/>
      <c r="BI606" s="77"/>
    </row>
    <row r="607" spans="1:61" x14ac:dyDescent="0.25">
      <c r="A607" s="62" t="s">
        <v>428</v>
      </c>
      <c r="B607" s="62" t="s">
        <v>428</v>
      </c>
      <c r="C607" s="63"/>
      <c r="D607" s="64"/>
      <c r="E607" s="65"/>
      <c r="F607" s="66"/>
      <c r="G607" s="63"/>
      <c r="H607" s="67"/>
      <c r="I607" s="68"/>
      <c r="J607" s="68"/>
      <c r="K607" s="32"/>
      <c r="L607" s="75">
        <v>607</v>
      </c>
      <c r="M607" s="75"/>
      <c r="N607" s="70"/>
      <c r="O607" s="77" t="s">
        <v>179</v>
      </c>
      <c r="P607" s="79">
        <v>44934.915300925924</v>
      </c>
      <c r="Q607" s="77" t="s">
        <v>1555</v>
      </c>
      <c r="R607" s="77">
        <v>0</v>
      </c>
      <c r="S607" s="77">
        <v>0</v>
      </c>
      <c r="T607" s="77">
        <v>0</v>
      </c>
      <c r="U607" s="77">
        <v>0</v>
      </c>
      <c r="V607" s="77">
        <v>100</v>
      </c>
      <c r="W607" s="81" t="s">
        <v>3255</v>
      </c>
      <c r="X607" s="77"/>
      <c r="Y607" s="77"/>
      <c r="Z607" s="77"/>
      <c r="AA607" s="77" t="s">
        <v>4827</v>
      </c>
      <c r="AB607" s="77" t="s">
        <v>5794</v>
      </c>
      <c r="AC607" s="81" t="s">
        <v>5805</v>
      </c>
      <c r="AD607" s="77" t="s">
        <v>5850</v>
      </c>
      <c r="AE607" s="83" t="str">
        <f>HYPERLINK("https://twitter.com/tneaar/status/1612207022136561665")</f>
        <v>https://twitter.com/tneaar/status/1612207022136561665</v>
      </c>
      <c r="AF607" s="79">
        <v>44934.915300925924</v>
      </c>
      <c r="AG607" s="85">
        <v>44934</v>
      </c>
      <c r="AH607" s="81" t="s">
        <v>6426</v>
      </c>
      <c r="AI607" s="77" t="b">
        <v>0</v>
      </c>
      <c r="AJ607" s="77"/>
      <c r="AK607" s="77"/>
      <c r="AL607" s="77"/>
      <c r="AM607" s="77"/>
      <c r="AN607" s="77"/>
      <c r="AO607" s="77"/>
      <c r="AP607" s="77"/>
      <c r="AQ607" s="77" t="s">
        <v>8330</v>
      </c>
      <c r="AR607" s="77"/>
      <c r="AS607" s="77"/>
      <c r="AT607" s="77"/>
      <c r="AU607" s="77"/>
      <c r="AV607" s="83" t="str">
        <f>HYPERLINK("https://pbs.twimg.com/media/Fl-1vJAXoAYgf6f.jpg")</f>
        <v>https://pbs.twimg.com/media/Fl-1vJAXoAYgf6f.jpg</v>
      </c>
      <c r="AW607" s="81" t="s">
        <v>9877</v>
      </c>
      <c r="AX607" s="81" t="s">
        <v>9877</v>
      </c>
      <c r="AY607" s="77"/>
      <c r="AZ607" s="81" t="s">
        <v>11359</v>
      </c>
      <c r="BA607" s="81" t="s">
        <v>11359</v>
      </c>
      <c r="BB607" s="81" t="s">
        <v>11359</v>
      </c>
      <c r="BC607" s="81" t="s">
        <v>9877</v>
      </c>
      <c r="BD607" s="77">
        <v>493423213</v>
      </c>
      <c r="BE607" s="77"/>
      <c r="BF607" s="77"/>
      <c r="BG607" s="77"/>
      <c r="BH607" s="77"/>
      <c r="BI607" s="77"/>
    </row>
    <row r="608" spans="1:61" x14ac:dyDescent="0.25">
      <c r="A608" s="62" t="s">
        <v>428</v>
      </c>
      <c r="B608" s="62" t="s">
        <v>428</v>
      </c>
      <c r="C608" s="63"/>
      <c r="D608" s="64"/>
      <c r="E608" s="65"/>
      <c r="F608" s="66"/>
      <c r="G608" s="63"/>
      <c r="H608" s="67"/>
      <c r="I608" s="68"/>
      <c r="J608" s="68"/>
      <c r="K608" s="32"/>
      <c r="L608" s="75">
        <v>608</v>
      </c>
      <c r="M608" s="75"/>
      <c r="N608" s="70"/>
      <c r="O608" s="77" t="s">
        <v>179</v>
      </c>
      <c r="P608" s="79">
        <v>44934.912939814814</v>
      </c>
      <c r="Q608" s="77" t="s">
        <v>1556</v>
      </c>
      <c r="R608" s="77">
        <v>0</v>
      </c>
      <c r="S608" s="77">
        <v>0</v>
      </c>
      <c r="T608" s="77">
        <v>0</v>
      </c>
      <c r="U608" s="77">
        <v>0</v>
      </c>
      <c r="V608" s="77">
        <v>103</v>
      </c>
      <c r="W608" s="81" t="s">
        <v>3256</v>
      </c>
      <c r="X608" s="77"/>
      <c r="Y608" s="77"/>
      <c r="Z608" s="77"/>
      <c r="AA608" s="77" t="s">
        <v>4828</v>
      </c>
      <c r="AB608" s="77" t="s">
        <v>5794</v>
      </c>
      <c r="AC608" s="81" t="s">
        <v>5805</v>
      </c>
      <c r="AD608" s="77" t="s">
        <v>5850</v>
      </c>
      <c r="AE608" s="83" t="str">
        <f>HYPERLINK("https://twitter.com/tneaar/status/1612206168658567169")</f>
        <v>https://twitter.com/tneaar/status/1612206168658567169</v>
      </c>
      <c r="AF608" s="79">
        <v>44934.912939814814</v>
      </c>
      <c r="AG608" s="85">
        <v>44934</v>
      </c>
      <c r="AH608" s="81" t="s">
        <v>6427</v>
      </c>
      <c r="AI608" s="77" t="b">
        <v>0</v>
      </c>
      <c r="AJ608" s="77"/>
      <c r="AK608" s="77"/>
      <c r="AL608" s="77"/>
      <c r="AM608" s="77"/>
      <c r="AN608" s="77"/>
      <c r="AO608" s="77"/>
      <c r="AP608" s="77"/>
      <c r="AQ608" s="77" t="s">
        <v>8331</v>
      </c>
      <c r="AR608" s="77"/>
      <c r="AS608" s="77"/>
      <c r="AT608" s="77"/>
      <c r="AU608" s="77"/>
      <c r="AV608" s="83" t="str">
        <f>HYPERLINK("https://pbs.twimg.com/media/Fl-09nYXEAAn3lX.png")</f>
        <v>https://pbs.twimg.com/media/Fl-09nYXEAAn3lX.png</v>
      </c>
      <c r="AW608" s="81" t="s">
        <v>9878</v>
      </c>
      <c r="AX608" s="81" t="s">
        <v>9878</v>
      </c>
      <c r="AY608" s="77"/>
      <c r="AZ608" s="81" t="s">
        <v>11359</v>
      </c>
      <c r="BA608" s="81" t="s">
        <v>11359</v>
      </c>
      <c r="BB608" s="81" t="s">
        <v>11359</v>
      </c>
      <c r="BC608" s="81" t="s">
        <v>9878</v>
      </c>
      <c r="BD608" s="77">
        <v>493423213</v>
      </c>
      <c r="BE608" s="77"/>
      <c r="BF608" s="77"/>
      <c r="BG608" s="77"/>
      <c r="BH608" s="77"/>
      <c r="BI608" s="77"/>
    </row>
    <row r="609" spans="1:61" x14ac:dyDescent="0.25">
      <c r="A609" s="62" t="s">
        <v>428</v>
      </c>
      <c r="B609" s="62" t="s">
        <v>428</v>
      </c>
      <c r="C609" s="63"/>
      <c r="D609" s="64"/>
      <c r="E609" s="65"/>
      <c r="F609" s="66"/>
      <c r="G609" s="63"/>
      <c r="H609" s="67"/>
      <c r="I609" s="68"/>
      <c r="J609" s="68"/>
      <c r="K609" s="32"/>
      <c r="L609" s="75">
        <v>609</v>
      </c>
      <c r="M609" s="75"/>
      <c r="N609" s="70"/>
      <c r="O609" s="77" t="s">
        <v>179</v>
      </c>
      <c r="P609" s="79">
        <v>44934.906875000001</v>
      </c>
      <c r="Q609" s="77" t="s">
        <v>1557</v>
      </c>
      <c r="R609" s="77">
        <v>0</v>
      </c>
      <c r="S609" s="77">
        <v>1</v>
      </c>
      <c r="T609" s="77">
        <v>0</v>
      </c>
      <c r="U609" s="77">
        <v>0</v>
      </c>
      <c r="V609" s="77">
        <v>99</v>
      </c>
      <c r="W609" s="81" t="s">
        <v>3257</v>
      </c>
      <c r="X609" s="77"/>
      <c r="Y609" s="77"/>
      <c r="Z609" s="77"/>
      <c r="AA609" s="77" t="s">
        <v>4829</v>
      </c>
      <c r="AB609" s="77" t="s">
        <v>5794</v>
      </c>
      <c r="AC609" s="81" t="s">
        <v>5805</v>
      </c>
      <c r="AD609" s="77" t="s">
        <v>5850</v>
      </c>
      <c r="AE609" s="83" t="str">
        <f>HYPERLINK("https://twitter.com/tneaar/status/1612203970768035841")</f>
        <v>https://twitter.com/tneaar/status/1612203970768035841</v>
      </c>
      <c r="AF609" s="79">
        <v>44934.906875000001</v>
      </c>
      <c r="AG609" s="85">
        <v>44934</v>
      </c>
      <c r="AH609" s="81" t="s">
        <v>6428</v>
      </c>
      <c r="AI609" s="77" t="b">
        <v>0</v>
      </c>
      <c r="AJ609" s="77"/>
      <c r="AK609" s="77"/>
      <c r="AL609" s="77"/>
      <c r="AM609" s="77"/>
      <c r="AN609" s="77"/>
      <c r="AO609" s="77"/>
      <c r="AP609" s="77"/>
      <c r="AQ609" s="77" t="s">
        <v>8332</v>
      </c>
      <c r="AR609" s="77"/>
      <c r="AS609" s="77"/>
      <c r="AT609" s="77"/>
      <c r="AU609" s="77"/>
      <c r="AV609" s="83" t="str">
        <f>HYPERLINK("https://pbs.twimg.com/media/Fl-y9x6XEAA9PPO.jpg")</f>
        <v>https://pbs.twimg.com/media/Fl-y9x6XEAA9PPO.jpg</v>
      </c>
      <c r="AW609" s="81" t="s">
        <v>9879</v>
      </c>
      <c r="AX609" s="81" t="s">
        <v>9879</v>
      </c>
      <c r="AY609" s="77"/>
      <c r="AZ609" s="81" t="s">
        <v>11359</v>
      </c>
      <c r="BA609" s="81" t="s">
        <v>11359</v>
      </c>
      <c r="BB609" s="81" t="s">
        <v>11359</v>
      </c>
      <c r="BC609" s="81" t="s">
        <v>9879</v>
      </c>
      <c r="BD609" s="77">
        <v>493423213</v>
      </c>
      <c r="BE609" s="77"/>
      <c r="BF609" s="77"/>
      <c r="BG609" s="77"/>
      <c r="BH609" s="77"/>
      <c r="BI609" s="77"/>
    </row>
    <row r="610" spans="1:61" x14ac:dyDescent="0.25">
      <c r="A610" s="62" t="s">
        <v>428</v>
      </c>
      <c r="B610" s="62" t="s">
        <v>428</v>
      </c>
      <c r="C610" s="63"/>
      <c r="D610" s="64"/>
      <c r="E610" s="65"/>
      <c r="F610" s="66"/>
      <c r="G610" s="63"/>
      <c r="H610" s="67"/>
      <c r="I610" s="68"/>
      <c r="J610" s="68"/>
      <c r="K610" s="32"/>
      <c r="L610" s="75">
        <v>610</v>
      </c>
      <c r="M610" s="75"/>
      <c r="N610" s="70"/>
      <c r="O610" s="77" t="s">
        <v>179</v>
      </c>
      <c r="P610" s="79">
        <v>45193.811365740738</v>
      </c>
      <c r="Q610" s="77" t="s">
        <v>1558</v>
      </c>
      <c r="R610" s="77">
        <v>0</v>
      </c>
      <c r="S610" s="77">
        <v>0</v>
      </c>
      <c r="T610" s="77">
        <v>0</v>
      </c>
      <c r="U610" s="77">
        <v>0</v>
      </c>
      <c r="V610" s="77">
        <v>42</v>
      </c>
      <c r="W610" s="81" t="s">
        <v>3260</v>
      </c>
      <c r="X610" s="77"/>
      <c r="Y610" s="77"/>
      <c r="Z610" s="77"/>
      <c r="AA610" s="77" t="s">
        <v>4830</v>
      </c>
      <c r="AB610" s="77" t="s">
        <v>5794</v>
      </c>
      <c r="AC610" s="81" t="s">
        <v>5805</v>
      </c>
      <c r="AD610" s="77" t="s">
        <v>5850</v>
      </c>
      <c r="AE610" s="83" t="str">
        <f>HYPERLINK("https://twitter.com/tneaar/status/1706027815395565976")</f>
        <v>https://twitter.com/tneaar/status/1706027815395565976</v>
      </c>
      <c r="AF610" s="79">
        <v>45193.811365740738</v>
      </c>
      <c r="AG610" s="85">
        <v>45193</v>
      </c>
      <c r="AH610" s="81" t="s">
        <v>6429</v>
      </c>
      <c r="AI610" s="77" t="b">
        <v>0</v>
      </c>
      <c r="AJ610" s="77"/>
      <c r="AK610" s="77"/>
      <c r="AL610" s="77"/>
      <c r="AM610" s="77"/>
      <c r="AN610" s="77"/>
      <c r="AO610" s="77"/>
      <c r="AP610" s="77"/>
      <c r="AQ610" s="77" t="s">
        <v>8333</v>
      </c>
      <c r="AR610" s="77"/>
      <c r="AS610" s="77"/>
      <c r="AT610" s="77"/>
      <c r="AU610" s="77"/>
      <c r="AV610" s="83" t="str">
        <f>HYPERLINK("https://pbs.twimg.com/media/F60HQIKXQAAp2Hm.jpg")</f>
        <v>https://pbs.twimg.com/media/F60HQIKXQAAp2Hm.jpg</v>
      </c>
      <c r="AW610" s="81" t="s">
        <v>9880</v>
      </c>
      <c r="AX610" s="81" t="s">
        <v>9880</v>
      </c>
      <c r="AY610" s="77"/>
      <c r="AZ610" s="81" t="s">
        <v>11359</v>
      </c>
      <c r="BA610" s="81" t="s">
        <v>11359</v>
      </c>
      <c r="BB610" s="81" t="s">
        <v>11359</v>
      </c>
      <c r="BC610" s="81" t="s">
        <v>9880</v>
      </c>
      <c r="BD610" s="77">
        <v>493423213</v>
      </c>
      <c r="BE610" s="77"/>
      <c r="BF610" s="77"/>
      <c r="BG610" s="77"/>
      <c r="BH610" s="77"/>
      <c r="BI610" s="77"/>
    </row>
    <row r="611" spans="1:61" x14ac:dyDescent="0.25">
      <c r="A611" s="62" t="s">
        <v>428</v>
      </c>
      <c r="B611" s="62" t="s">
        <v>428</v>
      </c>
      <c r="C611" s="63"/>
      <c r="D611" s="64"/>
      <c r="E611" s="65"/>
      <c r="F611" s="66"/>
      <c r="G611" s="63"/>
      <c r="H611" s="67"/>
      <c r="I611" s="68"/>
      <c r="J611" s="68"/>
      <c r="K611" s="32"/>
      <c r="L611" s="75">
        <v>611</v>
      </c>
      <c r="M611" s="75"/>
      <c r="N611" s="70"/>
      <c r="O611" s="77" t="s">
        <v>179</v>
      </c>
      <c r="P611" s="79">
        <v>45193.810601851852</v>
      </c>
      <c r="Q611" s="77" t="s">
        <v>1559</v>
      </c>
      <c r="R611" s="77">
        <v>0</v>
      </c>
      <c r="S611" s="77">
        <v>0</v>
      </c>
      <c r="T611" s="77">
        <v>0</v>
      </c>
      <c r="U611" s="77">
        <v>0</v>
      </c>
      <c r="V611" s="77">
        <v>27</v>
      </c>
      <c r="W611" s="81" t="s">
        <v>3287</v>
      </c>
      <c r="X611" s="77"/>
      <c r="Y611" s="77"/>
      <c r="Z611" s="77"/>
      <c r="AA611" s="77" t="s">
        <v>4831</v>
      </c>
      <c r="AB611" s="77" t="s">
        <v>5794</v>
      </c>
      <c r="AC611" s="81" t="s">
        <v>5805</v>
      </c>
      <c r="AD611" s="77" t="s">
        <v>5851</v>
      </c>
      <c r="AE611" s="83" t="str">
        <f>HYPERLINK("https://twitter.com/tneaar/status/1706027537912979738")</f>
        <v>https://twitter.com/tneaar/status/1706027537912979738</v>
      </c>
      <c r="AF611" s="79">
        <v>45193.810601851852</v>
      </c>
      <c r="AG611" s="85">
        <v>45193</v>
      </c>
      <c r="AH611" s="81" t="s">
        <v>6430</v>
      </c>
      <c r="AI611" s="77" t="b">
        <v>0</v>
      </c>
      <c r="AJ611" s="77"/>
      <c r="AK611" s="77"/>
      <c r="AL611" s="77"/>
      <c r="AM611" s="77"/>
      <c r="AN611" s="77"/>
      <c r="AO611" s="77"/>
      <c r="AP611" s="77"/>
      <c r="AQ611" s="77" t="s">
        <v>8334</v>
      </c>
      <c r="AR611" s="77"/>
      <c r="AS611" s="77"/>
      <c r="AT611" s="77"/>
      <c r="AU611" s="77"/>
      <c r="AV611" s="83" t="str">
        <f>HYPERLINK("https://pbs.twimg.com/media/F60G__0XgAACLnp.jpg")</f>
        <v>https://pbs.twimg.com/media/F60G__0XgAACLnp.jpg</v>
      </c>
      <c r="AW611" s="81" t="s">
        <v>9881</v>
      </c>
      <c r="AX611" s="81" t="s">
        <v>9881</v>
      </c>
      <c r="AY611" s="77"/>
      <c r="AZ611" s="81" t="s">
        <v>11359</v>
      </c>
      <c r="BA611" s="81" t="s">
        <v>11359</v>
      </c>
      <c r="BB611" s="81" t="s">
        <v>11359</v>
      </c>
      <c r="BC611" s="81" t="s">
        <v>9881</v>
      </c>
      <c r="BD611" s="77">
        <v>493423213</v>
      </c>
      <c r="BE611" s="77"/>
      <c r="BF611" s="77"/>
      <c r="BG611" s="77"/>
      <c r="BH611" s="77"/>
      <c r="BI611" s="77"/>
    </row>
    <row r="612" spans="1:61" x14ac:dyDescent="0.25">
      <c r="A612" s="62" t="s">
        <v>428</v>
      </c>
      <c r="B612" s="62" t="s">
        <v>428</v>
      </c>
      <c r="C612" s="63"/>
      <c r="D612" s="64"/>
      <c r="E612" s="65"/>
      <c r="F612" s="66"/>
      <c r="G612" s="63"/>
      <c r="H612" s="67"/>
      <c r="I612" s="68"/>
      <c r="J612" s="68"/>
      <c r="K612" s="32"/>
      <c r="L612" s="75">
        <v>612</v>
      </c>
      <c r="M612" s="75"/>
      <c r="N612" s="70"/>
      <c r="O612" s="77" t="s">
        <v>179</v>
      </c>
      <c r="P612" s="79">
        <v>45193.810115740744</v>
      </c>
      <c r="Q612" s="77" t="s">
        <v>1560</v>
      </c>
      <c r="R612" s="77">
        <v>0</v>
      </c>
      <c r="S612" s="77">
        <v>0</v>
      </c>
      <c r="T612" s="77">
        <v>0</v>
      </c>
      <c r="U612" s="77">
        <v>0</v>
      </c>
      <c r="V612" s="77">
        <v>39</v>
      </c>
      <c r="W612" s="81" t="s">
        <v>3305</v>
      </c>
      <c r="X612" s="77"/>
      <c r="Y612" s="77"/>
      <c r="Z612" s="77"/>
      <c r="AA612" s="77" t="s">
        <v>4832</v>
      </c>
      <c r="AB612" s="77" t="s">
        <v>5794</v>
      </c>
      <c r="AC612" s="81" t="s">
        <v>5805</v>
      </c>
      <c r="AD612" s="77" t="s">
        <v>5850</v>
      </c>
      <c r="AE612" s="83" t="str">
        <f>HYPERLINK("https://twitter.com/tneaar/status/1706027363899773288")</f>
        <v>https://twitter.com/tneaar/status/1706027363899773288</v>
      </c>
      <c r="AF612" s="79">
        <v>45193.810115740744</v>
      </c>
      <c r="AG612" s="85">
        <v>45193</v>
      </c>
      <c r="AH612" s="81" t="s">
        <v>6431</v>
      </c>
      <c r="AI612" s="77" t="b">
        <v>0</v>
      </c>
      <c r="AJ612" s="77"/>
      <c r="AK612" s="77"/>
      <c r="AL612" s="77"/>
      <c r="AM612" s="77"/>
      <c r="AN612" s="77"/>
      <c r="AO612" s="77"/>
      <c r="AP612" s="77"/>
      <c r="AQ612" s="77" t="s">
        <v>8335</v>
      </c>
      <c r="AR612" s="77"/>
      <c r="AS612" s="77"/>
      <c r="AT612" s="77"/>
      <c r="AU612" s="77"/>
      <c r="AV612" s="83" t="str">
        <f>HYPERLINK("https://pbs.twimg.com/media/F60G0tOXUAA3DI7.jpg")</f>
        <v>https://pbs.twimg.com/media/F60G0tOXUAA3DI7.jpg</v>
      </c>
      <c r="AW612" s="81" t="s">
        <v>9882</v>
      </c>
      <c r="AX612" s="81" t="s">
        <v>9882</v>
      </c>
      <c r="AY612" s="77"/>
      <c r="AZ612" s="81" t="s">
        <v>11359</v>
      </c>
      <c r="BA612" s="81" t="s">
        <v>11359</v>
      </c>
      <c r="BB612" s="81" t="s">
        <v>11359</v>
      </c>
      <c r="BC612" s="81" t="s">
        <v>9882</v>
      </c>
      <c r="BD612" s="77">
        <v>493423213</v>
      </c>
      <c r="BE612" s="77"/>
      <c r="BF612" s="77"/>
      <c r="BG612" s="77"/>
      <c r="BH612" s="77"/>
      <c r="BI612" s="77"/>
    </row>
    <row r="613" spans="1:61" x14ac:dyDescent="0.25">
      <c r="A613" s="62" t="s">
        <v>428</v>
      </c>
      <c r="B613" s="62" t="s">
        <v>428</v>
      </c>
      <c r="C613" s="63"/>
      <c r="D613" s="64"/>
      <c r="E613" s="65"/>
      <c r="F613" s="66"/>
      <c r="G613" s="63"/>
      <c r="H613" s="67"/>
      <c r="I613" s="68"/>
      <c r="J613" s="68"/>
      <c r="K613" s="32"/>
      <c r="L613" s="75">
        <v>613</v>
      </c>
      <c r="M613" s="75"/>
      <c r="N613" s="70"/>
      <c r="O613" s="77" t="s">
        <v>179</v>
      </c>
      <c r="P613" s="79">
        <v>45193.80914351852</v>
      </c>
      <c r="Q613" s="77" t="s">
        <v>1561</v>
      </c>
      <c r="R613" s="77">
        <v>0</v>
      </c>
      <c r="S613" s="77">
        <v>0</v>
      </c>
      <c r="T613" s="77">
        <v>0</v>
      </c>
      <c r="U613" s="77">
        <v>0</v>
      </c>
      <c r="V613" s="77">
        <v>30</v>
      </c>
      <c r="W613" s="81" t="s">
        <v>3246</v>
      </c>
      <c r="X613" s="77"/>
      <c r="Y613" s="77"/>
      <c r="Z613" s="77"/>
      <c r="AA613" s="77" t="s">
        <v>4833</v>
      </c>
      <c r="AB613" s="77" t="s">
        <v>5794</v>
      </c>
      <c r="AC613" s="81" t="s">
        <v>5805</v>
      </c>
      <c r="AD613" s="77" t="s">
        <v>5850</v>
      </c>
      <c r="AE613" s="83" t="str">
        <f>HYPERLINK("https://twitter.com/tneaar/status/1706027012685537729")</f>
        <v>https://twitter.com/tneaar/status/1706027012685537729</v>
      </c>
      <c r="AF613" s="79">
        <v>45193.80914351852</v>
      </c>
      <c r="AG613" s="85">
        <v>45193</v>
      </c>
      <c r="AH613" s="81" t="s">
        <v>6432</v>
      </c>
      <c r="AI613" s="77" t="b">
        <v>0</v>
      </c>
      <c r="AJ613" s="77"/>
      <c r="AK613" s="77"/>
      <c r="AL613" s="77"/>
      <c r="AM613" s="77"/>
      <c r="AN613" s="77"/>
      <c r="AO613" s="77"/>
      <c r="AP613" s="77"/>
      <c r="AQ613" s="77" t="s">
        <v>8336</v>
      </c>
      <c r="AR613" s="77"/>
      <c r="AS613" s="77"/>
      <c r="AT613" s="77"/>
      <c r="AU613" s="77"/>
      <c r="AV613" s="83" t="str">
        <f>HYPERLINK("https://pbs.twimg.com/media/F60GhdHWYAAPYlP.jpg")</f>
        <v>https://pbs.twimg.com/media/F60GhdHWYAAPYlP.jpg</v>
      </c>
      <c r="AW613" s="81" t="s">
        <v>9883</v>
      </c>
      <c r="AX613" s="81" t="s">
        <v>9883</v>
      </c>
      <c r="AY613" s="77"/>
      <c r="AZ613" s="81" t="s">
        <v>11359</v>
      </c>
      <c r="BA613" s="81" t="s">
        <v>11359</v>
      </c>
      <c r="BB613" s="81" t="s">
        <v>11359</v>
      </c>
      <c r="BC613" s="81" t="s">
        <v>9883</v>
      </c>
      <c r="BD613" s="77">
        <v>493423213</v>
      </c>
      <c r="BE613" s="77"/>
      <c r="BF613" s="77"/>
      <c r="BG613" s="77"/>
      <c r="BH613" s="77"/>
      <c r="BI613" s="77"/>
    </row>
    <row r="614" spans="1:61" x14ac:dyDescent="0.25">
      <c r="A614" s="62" t="s">
        <v>428</v>
      </c>
      <c r="B614" s="62" t="s">
        <v>428</v>
      </c>
      <c r="C614" s="63"/>
      <c r="D614" s="64"/>
      <c r="E614" s="65"/>
      <c r="F614" s="66"/>
      <c r="G614" s="63"/>
      <c r="H614" s="67"/>
      <c r="I614" s="68"/>
      <c r="J614" s="68"/>
      <c r="K614" s="32"/>
      <c r="L614" s="75">
        <v>614</v>
      </c>
      <c r="M614" s="75"/>
      <c r="N614" s="70"/>
      <c r="O614" s="77" t="s">
        <v>179</v>
      </c>
      <c r="P614" s="79">
        <v>45193.805196759262</v>
      </c>
      <c r="Q614" s="77" t="s">
        <v>1562</v>
      </c>
      <c r="R614" s="77">
        <v>0</v>
      </c>
      <c r="S614" s="77">
        <v>0</v>
      </c>
      <c r="T614" s="77">
        <v>0</v>
      </c>
      <c r="U614" s="77">
        <v>0</v>
      </c>
      <c r="V614" s="77">
        <v>43</v>
      </c>
      <c r="W614" s="81" t="s">
        <v>3273</v>
      </c>
      <c r="X614" s="77"/>
      <c r="Y614" s="77"/>
      <c r="Z614" s="77"/>
      <c r="AA614" s="77" t="s">
        <v>4834</v>
      </c>
      <c r="AB614" s="77" t="s">
        <v>5794</v>
      </c>
      <c r="AC614" s="81" t="s">
        <v>5805</v>
      </c>
      <c r="AD614" s="77" t="s">
        <v>5850</v>
      </c>
      <c r="AE614" s="83" t="str">
        <f>HYPERLINK("https://twitter.com/tneaar/status/1706025578548101413")</f>
        <v>https://twitter.com/tneaar/status/1706025578548101413</v>
      </c>
      <c r="AF614" s="79">
        <v>45193.805196759262</v>
      </c>
      <c r="AG614" s="85">
        <v>45193</v>
      </c>
      <c r="AH614" s="81" t="s">
        <v>6433</v>
      </c>
      <c r="AI614" s="77" t="b">
        <v>0</v>
      </c>
      <c r="AJ614" s="77"/>
      <c r="AK614" s="77"/>
      <c r="AL614" s="77"/>
      <c r="AM614" s="77"/>
      <c r="AN614" s="77"/>
      <c r="AO614" s="77"/>
      <c r="AP614" s="77"/>
      <c r="AQ614" s="77" t="s">
        <v>8337</v>
      </c>
      <c r="AR614" s="77"/>
      <c r="AS614" s="77"/>
      <c r="AT614" s="77"/>
      <c r="AU614" s="77"/>
      <c r="AV614" s="83" t="str">
        <f>HYPERLINK("https://pbs.twimg.com/media/F60FOASWMAALNOb.jpg")</f>
        <v>https://pbs.twimg.com/media/F60FOASWMAALNOb.jpg</v>
      </c>
      <c r="AW614" s="81" t="s">
        <v>9884</v>
      </c>
      <c r="AX614" s="81" t="s">
        <v>9884</v>
      </c>
      <c r="AY614" s="77"/>
      <c r="AZ614" s="81" t="s">
        <v>11359</v>
      </c>
      <c r="BA614" s="81" t="s">
        <v>11359</v>
      </c>
      <c r="BB614" s="81" t="s">
        <v>11359</v>
      </c>
      <c r="BC614" s="81" t="s">
        <v>9884</v>
      </c>
      <c r="BD614" s="77">
        <v>493423213</v>
      </c>
      <c r="BE614" s="77"/>
      <c r="BF614" s="77"/>
      <c r="BG614" s="77"/>
      <c r="BH614" s="77"/>
      <c r="BI614" s="77"/>
    </row>
    <row r="615" spans="1:61" x14ac:dyDescent="0.25">
      <c r="A615" s="62" t="s">
        <v>428</v>
      </c>
      <c r="B615" s="62" t="s">
        <v>428</v>
      </c>
      <c r="C615" s="63"/>
      <c r="D615" s="64"/>
      <c r="E615" s="65"/>
      <c r="F615" s="66"/>
      <c r="G615" s="63"/>
      <c r="H615" s="67"/>
      <c r="I615" s="68"/>
      <c r="J615" s="68"/>
      <c r="K615" s="32"/>
      <c r="L615" s="75">
        <v>615</v>
      </c>
      <c r="M615" s="75"/>
      <c r="N615" s="70"/>
      <c r="O615" s="77" t="s">
        <v>179</v>
      </c>
      <c r="P615" s="79">
        <v>45193.804328703707</v>
      </c>
      <c r="Q615" s="77" t="s">
        <v>1563</v>
      </c>
      <c r="R615" s="77">
        <v>0</v>
      </c>
      <c r="S615" s="77">
        <v>0</v>
      </c>
      <c r="T615" s="77">
        <v>0</v>
      </c>
      <c r="U615" s="77">
        <v>0</v>
      </c>
      <c r="V615" s="77">
        <v>37</v>
      </c>
      <c r="W615" s="81" t="s">
        <v>3262</v>
      </c>
      <c r="X615" s="77"/>
      <c r="Y615" s="77"/>
      <c r="Z615" s="77"/>
      <c r="AA615" s="77" t="s">
        <v>4835</v>
      </c>
      <c r="AB615" s="77" t="s">
        <v>5794</v>
      </c>
      <c r="AC615" s="81" t="s">
        <v>5805</v>
      </c>
      <c r="AD615" s="77" t="s">
        <v>5850</v>
      </c>
      <c r="AE615" s="83" t="str">
        <f>HYPERLINK("https://twitter.com/tneaar/status/1706025267200688165")</f>
        <v>https://twitter.com/tneaar/status/1706025267200688165</v>
      </c>
      <c r="AF615" s="79">
        <v>45193.804328703707</v>
      </c>
      <c r="AG615" s="85">
        <v>45193</v>
      </c>
      <c r="AH615" s="81" t="s">
        <v>6434</v>
      </c>
      <c r="AI615" s="77" t="b">
        <v>0</v>
      </c>
      <c r="AJ615" s="77"/>
      <c r="AK615" s="77"/>
      <c r="AL615" s="77"/>
      <c r="AM615" s="77"/>
      <c r="AN615" s="77"/>
      <c r="AO615" s="77"/>
      <c r="AP615" s="77"/>
      <c r="AQ615" s="77" t="s">
        <v>8338</v>
      </c>
      <c r="AR615" s="77"/>
      <c r="AS615" s="77"/>
      <c r="AT615" s="77"/>
      <c r="AU615" s="77"/>
      <c r="AV615" s="83" t="str">
        <f>HYPERLINK("https://pbs.twimg.com/media/F60E74cWAAAN4or.jpg")</f>
        <v>https://pbs.twimg.com/media/F60E74cWAAAN4or.jpg</v>
      </c>
      <c r="AW615" s="81" t="s">
        <v>9885</v>
      </c>
      <c r="AX615" s="81" t="s">
        <v>9885</v>
      </c>
      <c r="AY615" s="77"/>
      <c r="AZ615" s="81" t="s">
        <v>11359</v>
      </c>
      <c r="BA615" s="81" t="s">
        <v>11359</v>
      </c>
      <c r="BB615" s="81" t="s">
        <v>11359</v>
      </c>
      <c r="BC615" s="81" t="s">
        <v>9885</v>
      </c>
      <c r="BD615" s="77">
        <v>493423213</v>
      </c>
      <c r="BE615" s="77"/>
      <c r="BF615" s="77"/>
      <c r="BG615" s="77"/>
      <c r="BH615" s="77"/>
      <c r="BI615" s="77"/>
    </row>
    <row r="616" spans="1:61" x14ac:dyDescent="0.25">
      <c r="A616" s="62" t="s">
        <v>428</v>
      </c>
      <c r="B616" s="62" t="s">
        <v>428</v>
      </c>
      <c r="C616" s="63"/>
      <c r="D616" s="64"/>
      <c r="E616" s="65"/>
      <c r="F616" s="66"/>
      <c r="G616" s="63"/>
      <c r="H616" s="67"/>
      <c r="I616" s="68"/>
      <c r="J616" s="68"/>
      <c r="K616" s="32"/>
      <c r="L616" s="75">
        <v>616</v>
      </c>
      <c r="M616" s="75"/>
      <c r="N616" s="70"/>
      <c r="O616" s="77" t="s">
        <v>179</v>
      </c>
      <c r="P616" s="79">
        <v>45193.801944444444</v>
      </c>
      <c r="Q616" s="77" t="s">
        <v>1564</v>
      </c>
      <c r="R616" s="77">
        <v>0</v>
      </c>
      <c r="S616" s="77">
        <v>0</v>
      </c>
      <c r="T616" s="77">
        <v>0</v>
      </c>
      <c r="U616" s="77">
        <v>0</v>
      </c>
      <c r="V616" s="77">
        <v>23</v>
      </c>
      <c r="W616" s="81" t="s">
        <v>3252</v>
      </c>
      <c r="X616" s="77"/>
      <c r="Y616" s="77"/>
      <c r="Z616" s="77"/>
      <c r="AA616" s="77" t="s">
        <v>4836</v>
      </c>
      <c r="AB616" s="77" t="s">
        <v>5794</v>
      </c>
      <c r="AC616" s="81" t="s">
        <v>5805</v>
      </c>
      <c r="AD616" s="77" t="s">
        <v>5850</v>
      </c>
      <c r="AE616" s="83" t="str">
        <f>HYPERLINK("https://twitter.com/tneaar/status/1706024401525735582")</f>
        <v>https://twitter.com/tneaar/status/1706024401525735582</v>
      </c>
      <c r="AF616" s="79">
        <v>45193.801944444444</v>
      </c>
      <c r="AG616" s="85">
        <v>45193</v>
      </c>
      <c r="AH616" s="81" t="s">
        <v>6435</v>
      </c>
      <c r="AI616" s="77" t="b">
        <v>0</v>
      </c>
      <c r="AJ616" s="77"/>
      <c r="AK616" s="77"/>
      <c r="AL616" s="77"/>
      <c r="AM616" s="77"/>
      <c r="AN616" s="77"/>
      <c r="AO616" s="77"/>
      <c r="AP616" s="77"/>
      <c r="AQ616" s="77" t="s">
        <v>8339</v>
      </c>
      <c r="AR616" s="77"/>
      <c r="AS616" s="77"/>
      <c r="AT616" s="77"/>
      <c r="AU616" s="77"/>
      <c r="AV616" s="83" t="str">
        <f>HYPERLINK("https://pbs.twimg.com/media/F60EJhzWQAEph72.jpg")</f>
        <v>https://pbs.twimg.com/media/F60EJhzWQAEph72.jpg</v>
      </c>
      <c r="AW616" s="81" t="s">
        <v>9886</v>
      </c>
      <c r="AX616" s="81" t="s">
        <v>9886</v>
      </c>
      <c r="AY616" s="77"/>
      <c r="AZ616" s="81" t="s">
        <v>11359</v>
      </c>
      <c r="BA616" s="81" t="s">
        <v>11359</v>
      </c>
      <c r="BB616" s="81" t="s">
        <v>11359</v>
      </c>
      <c r="BC616" s="81" t="s">
        <v>9886</v>
      </c>
      <c r="BD616" s="77">
        <v>493423213</v>
      </c>
      <c r="BE616" s="77"/>
      <c r="BF616" s="77"/>
      <c r="BG616" s="77"/>
      <c r="BH616" s="77"/>
      <c r="BI616" s="77"/>
    </row>
    <row r="617" spans="1:61" x14ac:dyDescent="0.25">
      <c r="A617" s="62" t="s">
        <v>428</v>
      </c>
      <c r="B617" s="62" t="s">
        <v>428</v>
      </c>
      <c r="C617" s="63"/>
      <c r="D617" s="64"/>
      <c r="E617" s="65"/>
      <c r="F617" s="66"/>
      <c r="G617" s="63"/>
      <c r="H617" s="67"/>
      <c r="I617" s="68"/>
      <c r="J617" s="68"/>
      <c r="K617" s="32"/>
      <c r="L617" s="75">
        <v>617</v>
      </c>
      <c r="M617" s="75"/>
      <c r="N617" s="70"/>
      <c r="O617" s="77" t="s">
        <v>179</v>
      </c>
      <c r="P617" s="79">
        <v>45193.801504629628</v>
      </c>
      <c r="Q617" s="77" t="s">
        <v>1565</v>
      </c>
      <c r="R617" s="77">
        <v>0</v>
      </c>
      <c r="S617" s="77">
        <v>0</v>
      </c>
      <c r="T617" s="77">
        <v>0</v>
      </c>
      <c r="U617" s="77">
        <v>0</v>
      </c>
      <c r="V617" s="77">
        <v>29</v>
      </c>
      <c r="W617" s="81" t="s">
        <v>3288</v>
      </c>
      <c r="X617" s="77"/>
      <c r="Y617" s="77"/>
      <c r="Z617" s="77"/>
      <c r="AA617" s="77" t="s">
        <v>4837</v>
      </c>
      <c r="AB617" s="77" t="s">
        <v>5794</v>
      </c>
      <c r="AC617" s="81" t="s">
        <v>5805</v>
      </c>
      <c r="AD617" s="77" t="s">
        <v>5850</v>
      </c>
      <c r="AE617" s="83" t="str">
        <f>HYPERLINK("https://twitter.com/tneaar/status/1706024240649052438")</f>
        <v>https://twitter.com/tneaar/status/1706024240649052438</v>
      </c>
      <c r="AF617" s="79">
        <v>45193.801504629628</v>
      </c>
      <c r="AG617" s="85">
        <v>45193</v>
      </c>
      <c r="AH617" s="81" t="s">
        <v>6436</v>
      </c>
      <c r="AI617" s="77" t="b">
        <v>0</v>
      </c>
      <c r="AJ617" s="77"/>
      <c r="AK617" s="77"/>
      <c r="AL617" s="77"/>
      <c r="AM617" s="77"/>
      <c r="AN617" s="77"/>
      <c r="AO617" s="77"/>
      <c r="AP617" s="77"/>
      <c r="AQ617" s="77" t="s">
        <v>8340</v>
      </c>
      <c r="AR617" s="77"/>
      <c r="AS617" s="77"/>
      <c r="AT617" s="77"/>
      <c r="AU617" s="77"/>
      <c r="AV617" s="83" t="str">
        <f>HYPERLINK("https://pbs.twimg.com/media/F60EALYWEAAjoZZ.jpg")</f>
        <v>https://pbs.twimg.com/media/F60EALYWEAAjoZZ.jpg</v>
      </c>
      <c r="AW617" s="81" t="s">
        <v>9887</v>
      </c>
      <c r="AX617" s="81" t="s">
        <v>9887</v>
      </c>
      <c r="AY617" s="77"/>
      <c r="AZ617" s="81" t="s">
        <v>11359</v>
      </c>
      <c r="BA617" s="81" t="s">
        <v>11359</v>
      </c>
      <c r="BB617" s="81" t="s">
        <v>11359</v>
      </c>
      <c r="BC617" s="81" t="s">
        <v>9887</v>
      </c>
      <c r="BD617" s="77">
        <v>493423213</v>
      </c>
      <c r="BE617" s="77"/>
      <c r="BF617" s="77"/>
      <c r="BG617" s="77"/>
      <c r="BH617" s="77"/>
      <c r="BI617" s="77"/>
    </row>
    <row r="618" spans="1:61" x14ac:dyDescent="0.25">
      <c r="A618" s="62" t="s">
        <v>428</v>
      </c>
      <c r="B618" s="62" t="s">
        <v>428</v>
      </c>
      <c r="C618" s="63"/>
      <c r="D618" s="64"/>
      <c r="E618" s="65"/>
      <c r="F618" s="66"/>
      <c r="G618" s="63"/>
      <c r="H618" s="67"/>
      <c r="I618" s="68"/>
      <c r="J618" s="68"/>
      <c r="K618" s="32"/>
      <c r="L618" s="75">
        <v>618</v>
      </c>
      <c r="M618" s="75"/>
      <c r="N618" s="70"/>
      <c r="O618" s="77" t="s">
        <v>179</v>
      </c>
      <c r="P618" s="79">
        <v>45193.801053240742</v>
      </c>
      <c r="Q618" s="77" t="s">
        <v>1566</v>
      </c>
      <c r="R618" s="77">
        <v>0</v>
      </c>
      <c r="S618" s="77">
        <v>0</v>
      </c>
      <c r="T618" s="77">
        <v>0</v>
      </c>
      <c r="U618" s="77">
        <v>0</v>
      </c>
      <c r="V618" s="77">
        <v>32</v>
      </c>
      <c r="W618" s="81" t="s">
        <v>3252</v>
      </c>
      <c r="X618" s="77"/>
      <c r="Y618" s="77"/>
      <c r="Z618" s="77"/>
      <c r="AA618" s="77" t="s">
        <v>4838</v>
      </c>
      <c r="AB618" s="77" t="s">
        <v>5794</v>
      </c>
      <c r="AC618" s="81" t="s">
        <v>5805</v>
      </c>
      <c r="AD618" s="77" t="s">
        <v>5850</v>
      </c>
      <c r="AE618" s="83" t="str">
        <f>HYPERLINK("https://twitter.com/tneaar/status/1706024077066956952")</f>
        <v>https://twitter.com/tneaar/status/1706024077066956952</v>
      </c>
      <c r="AF618" s="79">
        <v>45193.801053240742</v>
      </c>
      <c r="AG618" s="85">
        <v>45193</v>
      </c>
      <c r="AH618" s="81" t="s">
        <v>6437</v>
      </c>
      <c r="AI618" s="77" t="b">
        <v>0</v>
      </c>
      <c r="AJ618" s="77"/>
      <c r="AK618" s="77"/>
      <c r="AL618" s="77"/>
      <c r="AM618" s="77"/>
      <c r="AN618" s="77"/>
      <c r="AO618" s="77"/>
      <c r="AP618" s="77"/>
      <c r="AQ618" s="77" t="s">
        <v>8341</v>
      </c>
      <c r="AR618" s="77"/>
      <c r="AS618" s="77"/>
      <c r="AT618" s="77"/>
      <c r="AU618" s="77"/>
      <c r="AV618" s="83" t="str">
        <f>HYPERLINK("https://pbs.twimg.com/media/F60D2k7XcAE-s0J.jpg")</f>
        <v>https://pbs.twimg.com/media/F60D2k7XcAE-s0J.jpg</v>
      </c>
      <c r="AW618" s="81" t="s">
        <v>9888</v>
      </c>
      <c r="AX618" s="81" t="s">
        <v>9888</v>
      </c>
      <c r="AY618" s="77"/>
      <c r="AZ618" s="81" t="s">
        <v>11359</v>
      </c>
      <c r="BA618" s="81" t="s">
        <v>11359</v>
      </c>
      <c r="BB618" s="81" t="s">
        <v>11359</v>
      </c>
      <c r="BC618" s="81" t="s">
        <v>9888</v>
      </c>
      <c r="BD618" s="77">
        <v>493423213</v>
      </c>
      <c r="BE618" s="77"/>
      <c r="BF618" s="77"/>
      <c r="BG618" s="77"/>
      <c r="BH618" s="77"/>
      <c r="BI618" s="77"/>
    </row>
    <row r="619" spans="1:61" x14ac:dyDescent="0.25">
      <c r="A619" s="62" t="s">
        <v>428</v>
      </c>
      <c r="B619" s="62" t="s">
        <v>428</v>
      </c>
      <c r="C619" s="63"/>
      <c r="D619" s="64"/>
      <c r="E619" s="65"/>
      <c r="F619" s="66"/>
      <c r="G619" s="63"/>
      <c r="H619" s="67"/>
      <c r="I619" s="68"/>
      <c r="J619" s="68"/>
      <c r="K619" s="32"/>
      <c r="L619" s="75">
        <v>619</v>
      </c>
      <c r="M619" s="75"/>
      <c r="N619" s="70"/>
      <c r="O619" s="77" t="s">
        <v>179</v>
      </c>
      <c r="P619" s="79">
        <v>45193.800613425927</v>
      </c>
      <c r="Q619" s="77" t="s">
        <v>1567</v>
      </c>
      <c r="R619" s="77">
        <v>0</v>
      </c>
      <c r="S619" s="77">
        <v>0</v>
      </c>
      <c r="T619" s="77">
        <v>0</v>
      </c>
      <c r="U619" s="77">
        <v>0</v>
      </c>
      <c r="V619" s="77">
        <v>22</v>
      </c>
      <c r="W619" s="81" t="s">
        <v>3261</v>
      </c>
      <c r="X619" s="83" t="str">
        <f>HYPERLINK("https://wa.link/lqxueu")</f>
        <v>https://wa.link/lqxueu</v>
      </c>
      <c r="Y619" s="77" t="s">
        <v>4266</v>
      </c>
      <c r="Z619" s="77"/>
      <c r="AA619" s="77" t="s">
        <v>4839</v>
      </c>
      <c r="AB619" s="77" t="s">
        <v>5794</v>
      </c>
      <c r="AC619" s="81" t="s">
        <v>5805</v>
      </c>
      <c r="AD619" s="77" t="s">
        <v>5850</v>
      </c>
      <c r="AE619" s="83" t="str">
        <f>HYPERLINK("https://twitter.com/tneaar/status/1706023918677508224")</f>
        <v>https://twitter.com/tneaar/status/1706023918677508224</v>
      </c>
      <c r="AF619" s="79">
        <v>45193.800613425927</v>
      </c>
      <c r="AG619" s="85">
        <v>45193</v>
      </c>
      <c r="AH619" s="81" t="s">
        <v>6438</v>
      </c>
      <c r="AI619" s="77" t="b">
        <v>0</v>
      </c>
      <c r="AJ619" s="77"/>
      <c r="AK619" s="77"/>
      <c r="AL619" s="77"/>
      <c r="AM619" s="77"/>
      <c r="AN619" s="77"/>
      <c r="AO619" s="77"/>
      <c r="AP619" s="77"/>
      <c r="AQ619" s="77" t="s">
        <v>8342</v>
      </c>
      <c r="AR619" s="77"/>
      <c r="AS619" s="77"/>
      <c r="AT619" s="77"/>
      <c r="AU619" s="77"/>
      <c r="AV619" s="83" t="str">
        <f>HYPERLINK("https://pbs.twimg.com/media/F60DtacXUAATbDM.jpg")</f>
        <v>https://pbs.twimg.com/media/F60DtacXUAATbDM.jpg</v>
      </c>
      <c r="AW619" s="81" t="s">
        <v>9889</v>
      </c>
      <c r="AX619" s="81" t="s">
        <v>9889</v>
      </c>
      <c r="AY619" s="77"/>
      <c r="AZ619" s="81" t="s">
        <v>11359</v>
      </c>
      <c r="BA619" s="81" t="s">
        <v>11359</v>
      </c>
      <c r="BB619" s="81" t="s">
        <v>11359</v>
      </c>
      <c r="BC619" s="81" t="s">
        <v>9889</v>
      </c>
      <c r="BD619" s="77">
        <v>493423213</v>
      </c>
      <c r="BE619" s="77"/>
      <c r="BF619" s="77"/>
      <c r="BG619" s="77"/>
      <c r="BH619" s="77"/>
      <c r="BI619" s="77"/>
    </row>
    <row r="620" spans="1:61" x14ac:dyDescent="0.25">
      <c r="A620" s="62" t="s">
        <v>428</v>
      </c>
      <c r="B620" s="62" t="s">
        <v>428</v>
      </c>
      <c r="C620" s="63"/>
      <c r="D620" s="64"/>
      <c r="E620" s="65"/>
      <c r="F620" s="66"/>
      <c r="G620" s="63"/>
      <c r="H620" s="67"/>
      <c r="I620" s="68"/>
      <c r="J620" s="68"/>
      <c r="K620" s="32"/>
      <c r="L620" s="75">
        <v>620</v>
      </c>
      <c r="M620" s="75"/>
      <c r="N620" s="70"/>
      <c r="O620" s="77" t="s">
        <v>179</v>
      </c>
      <c r="P620" s="79">
        <v>45193.798506944448</v>
      </c>
      <c r="Q620" s="77" t="s">
        <v>1568</v>
      </c>
      <c r="R620" s="77">
        <v>0</v>
      </c>
      <c r="S620" s="77">
        <v>0</v>
      </c>
      <c r="T620" s="77">
        <v>0</v>
      </c>
      <c r="U620" s="77">
        <v>0</v>
      </c>
      <c r="V620" s="77">
        <v>25</v>
      </c>
      <c r="W620" s="81" t="s">
        <v>3260</v>
      </c>
      <c r="X620" s="77"/>
      <c r="Y620" s="77"/>
      <c r="Z620" s="77"/>
      <c r="AA620" s="77" t="s">
        <v>4840</v>
      </c>
      <c r="AB620" s="77" t="s">
        <v>5794</v>
      </c>
      <c r="AC620" s="81" t="s">
        <v>5805</v>
      </c>
      <c r="AD620" s="77" t="s">
        <v>5850</v>
      </c>
      <c r="AE620" s="83" t="str">
        <f>HYPERLINK("https://twitter.com/tneaar/status/1706023155343450484")</f>
        <v>https://twitter.com/tneaar/status/1706023155343450484</v>
      </c>
      <c r="AF620" s="79">
        <v>45193.798506944448</v>
      </c>
      <c r="AG620" s="85">
        <v>45193</v>
      </c>
      <c r="AH620" s="81" t="s">
        <v>6439</v>
      </c>
      <c r="AI620" s="77" t="b">
        <v>0</v>
      </c>
      <c r="AJ620" s="77"/>
      <c r="AK620" s="77"/>
      <c r="AL620" s="77"/>
      <c r="AM620" s="77"/>
      <c r="AN620" s="77"/>
      <c r="AO620" s="77"/>
      <c r="AP620" s="77"/>
      <c r="AQ620" s="77" t="s">
        <v>8343</v>
      </c>
      <c r="AR620" s="77"/>
      <c r="AS620" s="77"/>
      <c r="AT620" s="77"/>
      <c r="AU620" s="77"/>
      <c r="AV620" s="83" t="str">
        <f>HYPERLINK("https://pbs.twimg.com/media/F60DA_vXcAAqK_w.jpg")</f>
        <v>https://pbs.twimg.com/media/F60DA_vXcAAqK_w.jpg</v>
      </c>
      <c r="AW620" s="81" t="s">
        <v>9890</v>
      </c>
      <c r="AX620" s="81" t="s">
        <v>9890</v>
      </c>
      <c r="AY620" s="77"/>
      <c r="AZ620" s="81" t="s">
        <v>11359</v>
      </c>
      <c r="BA620" s="81" t="s">
        <v>11359</v>
      </c>
      <c r="BB620" s="81" t="s">
        <v>11359</v>
      </c>
      <c r="BC620" s="81" t="s">
        <v>9890</v>
      </c>
      <c r="BD620" s="77">
        <v>493423213</v>
      </c>
      <c r="BE620" s="77"/>
      <c r="BF620" s="77"/>
      <c r="BG620" s="77"/>
      <c r="BH620" s="77"/>
      <c r="BI620" s="77"/>
    </row>
    <row r="621" spans="1:61" x14ac:dyDescent="0.25">
      <c r="A621" s="62" t="s">
        <v>428</v>
      </c>
      <c r="B621" s="62" t="s">
        <v>428</v>
      </c>
      <c r="C621" s="63"/>
      <c r="D621" s="64"/>
      <c r="E621" s="65"/>
      <c r="F621" s="66"/>
      <c r="G621" s="63"/>
      <c r="H621" s="67"/>
      <c r="I621" s="68"/>
      <c r="J621" s="68"/>
      <c r="K621" s="32"/>
      <c r="L621" s="75">
        <v>621</v>
      </c>
      <c r="M621" s="75"/>
      <c r="N621" s="70"/>
      <c r="O621" s="77" t="s">
        <v>179</v>
      </c>
      <c r="P621" s="79">
        <v>45193.794629629629</v>
      </c>
      <c r="Q621" s="77" t="s">
        <v>1569</v>
      </c>
      <c r="R621" s="77">
        <v>0</v>
      </c>
      <c r="S621" s="77">
        <v>0</v>
      </c>
      <c r="T621" s="77">
        <v>0</v>
      </c>
      <c r="U621" s="77">
        <v>0</v>
      </c>
      <c r="V621" s="77">
        <v>39</v>
      </c>
      <c r="W621" s="81" t="s">
        <v>3260</v>
      </c>
      <c r="X621" s="77"/>
      <c r="Y621" s="77"/>
      <c r="Z621" s="77"/>
      <c r="AA621" s="77" t="s">
        <v>4841</v>
      </c>
      <c r="AB621" s="77" t="s">
        <v>5794</v>
      </c>
      <c r="AC621" s="81" t="s">
        <v>5805</v>
      </c>
      <c r="AD621" s="77" t="s">
        <v>5850</v>
      </c>
      <c r="AE621" s="83" t="str">
        <f>HYPERLINK("https://twitter.com/tneaar/status/1706021752197837145")</f>
        <v>https://twitter.com/tneaar/status/1706021752197837145</v>
      </c>
      <c r="AF621" s="79">
        <v>45193.794629629629</v>
      </c>
      <c r="AG621" s="85">
        <v>45193</v>
      </c>
      <c r="AH621" s="81" t="s">
        <v>6440</v>
      </c>
      <c r="AI621" s="77" t="b">
        <v>0</v>
      </c>
      <c r="AJ621" s="77"/>
      <c r="AK621" s="77"/>
      <c r="AL621" s="77"/>
      <c r="AM621" s="77"/>
      <c r="AN621" s="77"/>
      <c r="AO621" s="77"/>
      <c r="AP621" s="77"/>
      <c r="AQ621" s="77" t="s">
        <v>8344</v>
      </c>
      <c r="AR621" s="77"/>
      <c r="AS621" s="77"/>
      <c r="AT621" s="77"/>
      <c r="AU621" s="77"/>
      <c r="AV621" s="83" t="str">
        <f>HYPERLINK("https://pbs.twimg.com/media/F60BvRKWAAABM48.jpg")</f>
        <v>https://pbs.twimg.com/media/F60BvRKWAAABM48.jpg</v>
      </c>
      <c r="AW621" s="81" t="s">
        <v>9891</v>
      </c>
      <c r="AX621" s="81" t="s">
        <v>9891</v>
      </c>
      <c r="AY621" s="77"/>
      <c r="AZ621" s="81" t="s">
        <v>11359</v>
      </c>
      <c r="BA621" s="81" t="s">
        <v>11359</v>
      </c>
      <c r="BB621" s="81" t="s">
        <v>11359</v>
      </c>
      <c r="BC621" s="81" t="s">
        <v>9891</v>
      </c>
      <c r="BD621" s="77">
        <v>493423213</v>
      </c>
      <c r="BE621" s="77"/>
      <c r="BF621" s="77"/>
      <c r="BG621" s="77"/>
      <c r="BH621" s="77"/>
      <c r="BI621" s="77"/>
    </row>
    <row r="622" spans="1:61" x14ac:dyDescent="0.25">
      <c r="A622" s="62" t="s">
        <v>428</v>
      </c>
      <c r="B622" s="62" t="s">
        <v>428</v>
      </c>
      <c r="C622" s="63"/>
      <c r="D622" s="64"/>
      <c r="E622" s="65"/>
      <c r="F622" s="66"/>
      <c r="G622" s="63"/>
      <c r="H622" s="67"/>
      <c r="I622" s="68"/>
      <c r="J622" s="68"/>
      <c r="K622" s="32"/>
      <c r="L622" s="75">
        <v>622</v>
      </c>
      <c r="M622" s="75"/>
      <c r="N622" s="70"/>
      <c r="O622" s="77" t="s">
        <v>179</v>
      </c>
      <c r="P622" s="79">
        <v>45193.788553240738</v>
      </c>
      <c r="Q622" s="77" t="s">
        <v>1570</v>
      </c>
      <c r="R622" s="77">
        <v>0</v>
      </c>
      <c r="S622" s="77">
        <v>0</v>
      </c>
      <c r="T622" s="77">
        <v>0</v>
      </c>
      <c r="U622" s="77">
        <v>0</v>
      </c>
      <c r="V622" s="77">
        <v>55</v>
      </c>
      <c r="W622" s="81" t="s">
        <v>3280</v>
      </c>
      <c r="X622" s="77"/>
      <c r="Y622" s="77"/>
      <c r="Z622" s="77"/>
      <c r="AA622" s="77" t="s">
        <v>4842</v>
      </c>
      <c r="AB622" s="77" t="s">
        <v>5794</v>
      </c>
      <c r="AC622" s="81" t="s">
        <v>5805</v>
      </c>
      <c r="AD622" s="77" t="s">
        <v>5850</v>
      </c>
      <c r="AE622" s="83" t="str">
        <f>HYPERLINK("https://twitter.com/tneaar/status/1706019548468552020")</f>
        <v>https://twitter.com/tneaar/status/1706019548468552020</v>
      </c>
      <c r="AF622" s="79">
        <v>45193.788553240738</v>
      </c>
      <c r="AG622" s="85">
        <v>45193</v>
      </c>
      <c r="AH622" s="81" t="s">
        <v>6441</v>
      </c>
      <c r="AI622" s="77" t="b">
        <v>0</v>
      </c>
      <c r="AJ622" s="77"/>
      <c r="AK622" s="77"/>
      <c r="AL622" s="77"/>
      <c r="AM622" s="77"/>
      <c r="AN622" s="77"/>
      <c r="AO622" s="77"/>
      <c r="AP622" s="77"/>
      <c r="AQ622" s="77" t="s">
        <v>8345</v>
      </c>
      <c r="AR622" s="77"/>
      <c r="AS622" s="77"/>
      <c r="AT622" s="77"/>
      <c r="AU622" s="77"/>
      <c r="AV622" s="83" t="str">
        <f>HYPERLINK("https://pbs.twimg.com/media/F6z_u5_XwAAud-x.jpg")</f>
        <v>https://pbs.twimg.com/media/F6z_u5_XwAAud-x.jpg</v>
      </c>
      <c r="AW622" s="81" t="s">
        <v>9892</v>
      </c>
      <c r="AX622" s="81" t="s">
        <v>9892</v>
      </c>
      <c r="AY622" s="77"/>
      <c r="AZ622" s="81" t="s">
        <v>11359</v>
      </c>
      <c r="BA622" s="81" t="s">
        <v>11359</v>
      </c>
      <c r="BB622" s="81" t="s">
        <v>11359</v>
      </c>
      <c r="BC622" s="81" t="s">
        <v>9892</v>
      </c>
      <c r="BD622" s="77">
        <v>493423213</v>
      </c>
      <c r="BE622" s="77"/>
      <c r="BF622" s="77"/>
      <c r="BG622" s="77"/>
      <c r="BH622" s="77"/>
      <c r="BI622" s="77"/>
    </row>
    <row r="623" spans="1:61" x14ac:dyDescent="0.25">
      <c r="A623" s="62" t="s">
        <v>428</v>
      </c>
      <c r="B623" s="62" t="s">
        <v>428</v>
      </c>
      <c r="C623" s="63"/>
      <c r="D623" s="64"/>
      <c r="E623" s="65"/>
      <c r="F623" s="66"/>
      <c r="G623" s="63"/>
      <c r="H623" s="67"/>
      <c r="I623" s="68"/>
      <c r="J623" s="68"/>
      <c r="K623" s="32"/>
      <c r="L623" s="75">
        <v>623</v>
      </c>
      <c r="M623" s="75"/>
      <c r="N623" s="70"/>
      <c r="O623" s="77" t="s">
        <v>179</v>
      </c>
      <c r="P623" s="79">
        <v>45193.787060185183</v>
      </c>
      <c r="Q623" s="77" t="s">
        <v>1571</v>
      </c>
      <c r="R623" s="77">
        <v>0</v>
      </c>
      <c r="S623" s="77">
        <v>0</v>
      </c>
      <c r="T623" s="77">
        <v>0</v>
      </c>
      <c r="U623" s="77">
        <v>0</v>
      </c>
      <c r="V623" s="77">
        <v>24</v>
      </c>
      <c r="W623" s="81" t="s">
        <v>3279</v>
      </c>
      <c r="X623" s="77"/>
      <c r="Y623" s="77"/>
      <c r="Z623" s="77"/>
      <c r="AA623" s="77" t="s">
        <v>4843</v>
      </c>
      <c r="AB623" s="77" t="s">
        <v>5794</v>
      </c>
      <c r="AC623" s="81" t="s">
        <v>5805</v>
      </c>
      <c r="AD623" s="77" t="s">
        <v>5850</v>
      </c>
      <c r="AE623" s="83" t="str">
        <f>HYPERLINK("https://twitter.com/tneaar/status/1706019006224715825")</f>
        <v>https://twitter.com/tneaar/status/1706019006224715825</v>
      </c>
      <c r="AF623" s="79">
        <v>45193.787060185183</v>
      </c>
      <c r="AG623" s="85">
        <v>45193</v>
      </c>
      <c r="AH623" s="81" t="s">
        <v>6442</v>
      </c>
      <c r="AI623" s="77" t="b">
        <v>0</v>
      </c>
      <c r="AJ623" s="77"/>
      <c r="AK623" s="77"/>
      <c r="AL623" s="77"/>
      <c r="AM623" s="77"/>
      <c r="AN623" s="77"/>
      <c r="AO623" s="77"/>
      <c r="AP623" s="77"/>
      <c r="AQ623" s="77" t="s">
        <v>8346</v>
      </c>
      <c r="AR623" s="77"/>
      <c r="AS623" s="77"/>
      <c r="AT623" s="77"/>
      <c r="AU623" s="77"/>
      <c r="AV623" s="83" t="str">
        <f>HYPERLINK("https://pbs.twimg.com/media/F6z-yyKXMAAETwN.jpg")</f>
        <v>https://pbs.twimg.com/media/F6z-yyKXMAAETwN.jpg</v>
      </c>
      <c r="AW623" s="81" t="s">
        <v>9893</v>
      </c>
      <c r="AX623" s="81" t="s">
        <v>9893</v>
      </c>
      <c r="AY623" s="77"/>
      <c r="AZ623" s="81" t="s">
        <v>11359</v>
      </c>
      <c r="BA623" s="81" t="s">
        <v>11359</v>
      </c>
      <c r="BB623" s="81" t="s">
        <v>11359</v>
      </c>
      <c r="BC623" s="81" t="s">
        <v>9893</v>
      </c>
      <c r="BD623" s="77">
        <v>493423213</v>
      </c>
      <c r="BE623" s="77"/>
      <c r="BF623" s="77"/>
      <c r="BG623" s="77"/>
      <c r="BH623" s="77"/>
      <c r="BI623" s="77"/>
    </row>
    <row r="624" spans="1:61" x14ac:dyDescent="0.25">
      <c r="A624" s="62" t="s">
        <v>428</v>
      </c>
      <c r="B624" s="62" t="s">
        <v>428</v>
      </c>
      <c r="C624" s="63"/>
      <c r="D624" s="64"/>
      <c r="E624" s="65"/>
      <c r="F624" s="66"/>
      <c r="G624" s="63"/>
      <c r="H624" s="67"/>
      <c r="I624" s="68"/>
      <c r="J624" s="68"/>
      <c r="K624" s="32"/>
      <c r="L624" s="75">
        <v>624</v>
      </c>
      <c r="M624" s="75"/>
      <c r="N624" s="70"/>
      <c r="O624" s="77" t="s">
        <v>179</v>
      </c>
      <c r="P624" s="79">
        <v>45189.632673611108</v>
      </c>
      <c r="Q624" s="77" t="s">
        <v>1572</v>
      </c>
      <c r="R624" s="77">
        <v>0</v>
      </c>
      <c r="S624" s="77">
        <v>0</v>
      </c>
      <c r="T624" s="77">
        <v>0</v>
      </c>
      <c r="U624" s="77">
        <v>0</v>
      </c>
      <c r="V624" s="77">
        <v>85</v>
      </c>
      <c r="W624" s="81" t="s">
        <v>3260</v>
      </c>
      <c r="X624" s="77"/>
      <c r="Y624" s="77"/>
      <c r="Z624" s="77"/>
      <c r="AA624" s="77" t="s">
        <v>4844</v>
      </c>
      <c r="AB624" s="77" t="s">
        <v>5794</v>
      </c>
      <c r="AC624" s="81" t="s">
        <v>5805</v>
      </c>
      <c r="AD624" s="77" t="s">
        <v>5850</v>
      </c>
      <c r="AE624" s="83" t="str">
        <f>HYPERLINK("https://twitter.com/tneaar/status/1704513508518347154")</f>
        <v>https://twitter.com/tneaar/status/1704513508518347154</v>
      </c>
      <c r="AF624" s="79">
        <v>45189.632673611108</v>
      </c>
      <c r="AG624" s="85">
        <v>45189</v>
      </c>
      <c r="AH624" s="81" t="s">
        <v>6443</v>
      </c>
      <c r="AI624" s="77" t="b">
        <v>0</v>
      </c>
      <c r="AJ624" s="77"/>
      <c r="AK624" s="77"/>
      <c r="AL624" s="77"/>
      <c r="AM624" s="77"/>
      <c r="AN624" s="77"/>
      <c r="AO624" s="77"/>
      <c r="AP624" s="77"/>
      <c r="AQ624" s="77" t="s">
        <v>8347</v>
      </c>
      <c r="AR624" s="77"/>
      <c r="AS624" s="77"/>
      <c r="AT624" s="77"/>
      <c r="AU624" s="77"/>
      <c r="AV624" s="83" t="str">
        <f>HYPERLINK("https://pbs.twimg.com/media/F6el_7RWsAAhHts.jpg")</f>
        <v>https://pbs.twimg.com/media/F6el_7RWsAAhHts.jpg</v>
      </c>
      <c r="AW624" s="81" t="s">
        <v>9894</v>
      </c>
      <c r="AX624" s="81" t="s">
        <v>9894</v>
      </c>
      <c r="AY624" s="77"/>
      <c r="AZ624" s="81" t="s">
        <v>11359</v>
      </c>
      <c r="BA624" s="81" t="s">
        <v>11359</v>
      </c>
      <c r="BB624" s="81" t="s">
        <v>11359</v>
      </c>
      <c r="BC624" s="81" t="s">
        <v>9894</v>
      </c>
      <c r="BD624" s="77">
        <v>493423213</v>
      </c>
      <c r="BE624" s="77"/>
      <c r="BF624" s="77"/>
      <c r="BG624" s="77"/>
      <c r="BH624" s="77"/>
      <c r="BI624" s="77"/>
    </row>
    <row r="625" spans="1:61" x14ac:dyDescent="0.25">
      <c r="A625" s="62" t="s">
        <v>428</v>
      </c>
      <c r="B625" s="62" t="s">
        <v>428</v>
      </c>
      <c r="C625" s="63"/>
      <c r="D625" s="64"/>
      <c r="E625" s="65"/>
      <c r="F625" s="66"/>
      <c r="G625" s="63"/>
      <c r="H625" s="67"/>
      <c r="I625" s="68"/>
      <c r="J625" s="68"/>
      <c r="K625" s="32"/>
      <c r="L625" s="75">
        <v>625</v>
      </c>
      <c r="M625" s="75"/>
      <c r="N625" s="70"/>
      <c r="O625" s="77" t="s">
        <v>179</v>
      </c>
      <c r="P625" s="79">
        <v>45167.625219907408</v>
      </c>
      <c r="Q625" s="77" t="s">
        <v>1573</v>
      </c>
      <c r="R625" s="77">
        <v>0</v>
      </c>
      <c r="S625" s="77">
        <v>0</v>
      </c>
      <c r="T625" s="77">
        <v>0</v>
      </c>
      <c r="U625" s="77">
        <v>0</v>
      </c>
      <c r="V625" s="77">
        <v>58</v>
      </c>
      <c r="W625" s="81" t="s">
        <v>3279</v>
      </c>
      <c r="X625" s="77"/>
      <c r="Y625" s="77"/>
      <c r="Z625" s="77"/>
      <c r="AA625" s="77" t="s">
        <v>4845</v>
      </c>
      <c r="AB625" s="77" t="s">
        <v>5794</v>
      </c>
      <c r="AC625" s="81" t="s">
        <v>5805</v>
      </c>
      <c r="AD625" s="77" t="s">
        <v>5850</v>
      </c>
      <c r="AE625" s="83" t="str">
        <f>HYPERLINK("https://twitter.com/tneaar/status/1696538275811635403")</f>
        <v>https://twitter.com/tneaar/status/1696538275811635403</v>
      </c>
      <c r="AF625" s="79">
        <v>45167.625219907408</v>
      </c>
      <c r="AG625" s="85">
        <v>45167</v>
      </c>
      <c r="AH625" s="81" t="s">
        <v>6444</v>
      </c>
      <c r="AI625" s="77" t="b">
        <v>0</v>
      </c>
      <c r="AJ625" s="77"/>
      <c r="AK625" s="77"/>
      <c r="AL625" s="77"/>
      <c r="AM625" s="77"/>
      <c r="AN625" s="77"/>
      <c r="AO625" s="77"/>
      <c r="AP625" s="77"/>
      <c r="AQ625" s="77" t="s">
        <v>8348</v>
      </c>
      <c r="AR625" s="77"/>
      <c r="AS625" s="77"/>
      <c r="AT625" s="77"/>
      <c r="AU625" s="77"/>
      <c r="AV625" s="83" t="str">
        <f>HYPERLINK("https://pbs.twimg.com/media/F4tQibHbMAAmAQj.jpg")</f>
        <v>https://pbs.twimg.com/media/F4tQibHbMAAmAQj.jpg</v>
      </c>
      <c r="AW625" s="81" t="s">
        <v>9895</v>
      </c>
      <c r="AX625" s="81" t="s">
        <v>9895</v>
      </c>
      <c r="AY625" s="77"/>
      <c r="AZ625" s="81" t="s">
        <v>11359</v>
      </c>
      <c r="BA625" s="81" t="s">
        <v>11359</v>
      </c>
      <c r="BB625" s="81" t="s">
        <v>11359</v>
      </c>
      <c r="BC625" s="81" t="s">
        <v>9895</v>
      </c>
      <c r="BD625" s="77">
        <v>493423213</v>
      </c>
      <c r="BE625" s="77"/>
      <c r="BF625" s="77"/>
      <c r="BG625" s="77"/>
      <c r="BH625" s="77"/>
      <c r="BI625" s="77"/>
    </row>
    <row r="626" spans="1:61" x14ac:dyDescent="0.25">
      <c r="A626" s="62" t="s">
        <v>428</v>
      </c>
      <c r="B626" s="62" t="s">
        <v>428</v>
      </c>
      <c r="C626" s="63"/>
      <c r="D626" s="64"/>
      <c r="E626" s="65"/>
      <c r="F626" s="66"/>
      <c r="G626" s="63"/>
      <c r="H626" s="67"/>
      <c r="I626" s="68"/>
      <c r="J626" s="68"/>
      <c r="K626" s="32"/>
      <c r="L626" s="75">
        <v>626</v>
      </c>
      <c r="M626" s="75"/>
      <c r="N626" s="70"/>
      <c r="O626" s="77" t="s">
        <v>179</v>
      </c>
      <c r="P626" s="79">
        <v>45167.621747685182</v>
      </c>
      <c r="Q626" s="77" t="s">
        <v>1574</v>
      </c>
      <c r="R626" s="77">
        <v>0</v>
      </c>
      <c r="S626" s="77">
        <v>0</v>
      </c>
      <c r="T626" s="77">
        <v>0</v>
      </c>
      <c r="U626" s="77">
        <v>0</v>
      </c>
      <c r="V626" s="77">
        <v>42</v>
      </c>
      <c r="W626" s="81" t="s">
        <v>3247</v>
      </c>
      <c r="X626" s="77"/>
      <c r="Y626" s="77"/>
      <c r="Z626" s="77"/>
      <c r="AA626" s="77" t="s">
        <v>4846</v>
      </c>
      <c r="AB626" s="77" t="s">
        <v>5794</v>
      </c>
      <c r="AC626" s="81" t="s">
        <v>5805</v>
      </c>
      <c r="AD626" s="77" t="s">
        <v>5850</v>
      </c>
      <c r="AE626" s="83" t="str">
        <f>HYPERLINK("https://twitter.com/tneaar/status/1696537014550896890")</f>
        <v>https://twitter.com/tneaar/status/1696537014550896890</v>
      </c>
      <c r="AF626" s="79">
        <v>45167.621747685182</v>
      </c>
      <c r="AG626" s="85">
        <v>45167</v>
      </c>
      <c r="AH626" s="81" t="s">
        <v>6445</v>
      </c>
      <c r="AI626" s="77" t="b">
        <v>0</v>
      </c>
      <c r="AJ626" s="77"/>
      <c r="AK626" s="77"/>
      <c r="AL626" s="77"/>
      <c r="AM626" s="77"/>
      <c r="AN626" s="77"/>
      <c r="AO626" s="77"/>
      <c r="AP626" s="77"/>
      <c r="AQ626" s="77" t="s">
        <v>8349</v>
      </c>
      <c r="AR626" s="77"/>
      <c r="AS626" s="77"/>
      <c r="AT626" s="77"/>
      <c r="AU626" s="77"/>
      <c r="AV626" s="83" t="str">
        <f>HYPERLINK("https://pbs.twimg.com/media/F4tPaRrbMAAQoLs.jpg")</f>
        <v>https://pbs.twimg.com/media/F4tPaRrbMAAQoLs.jpg</v>
      </c>
      <c r="AW626" s="81" t="s">
        <v>9896</v>
      </c>
      <c r="AX626" s="81" t="s">
        <v>9896</v>
      </c>
      <c r="AY626" s="77"/>
      <c r="AZ626" s="81" t="s">
        <v>11359</v>
      </c>
      <c r="BA626" s="81" t="s">
        <v>11359</v>
      </c>
      <c r="BB626" s="81" t="s">
        <v>11359</v>
      </c>
      <c r="BC626" s="81" t="s">
        <v>9896</v>
      </c>
      <c r="BD626" s="77">
        <v>493423213</v>
      </c>
      <c r="BE626" s="77"/>
      <c r="BF626" s="77"/>
      <c r="BG626" s="77"/>
      <c r="BH626" s="77"/>
      <c r="BI626" s="77"/>
    </row>
    <row r="627" spans="1:61" x14ac:dyDescent="0.25">
      <c r="A627" s="62" t="s">
        <v>428</v>
      </c>
      <c r="B627" s="62" t="s">
        <v>428</v>
      </c>
      <c r="C627" s="63"/>
      <c r="D627" s="64"/>
      <c r="E627" s="65"/>
      <c r="F627" s="66"/>
      <c r="G627" s="63"/>
      <c r="H627" s="67"/>
      <c r="I627" s="68"/>
      <c r="J627" s="68"/>
      <c r="K627" s="32"/>
      <c r="L627" s="75">
        <v>627</v>
      </c>
      <c r="M627" s="75"/>
      <c r="N627" s="70"/>
      <c r="O627" s="77" t="s">
        <v>179</v>
      </c>
      <c r="P627" s="79">
        <v>45167.615694444445</v>
      </c>
      <c r="Q627" s="77" t="s">
        <v>1575</v>
      </c>
      <c r="R627" s="77">
        <v>0</v>
      </c>
      <c r="S627" s="77">
        <v>0</v>
      </c>
      <c r="T627" s="77">
        <v>0</v>
      </c>
      <c r="U627" s="77">
        <v>0</v>
      </c>
      <c r="V627" s="77">
        <v>38</v>
      </c>
      <c r="W627" s="81" t="s">
        <v>3272</v>
      </c>
      <c r="X627" s="77"/>
      <c r="Y627" s="77"/>
      <c r="Z627" s="77"/>
      <c r="AA627" s="77" t="s">
        <v>4847</v>
      </c>
      <c r="AB627" s="77" t="s">
        <v>5794</v>
      </c>
      <c r="AC627" s="81" t="s">
        <v>5805</v>
      </c>
      <c r="AD627" s="77" t="s">
        <v>5850</v>
      </c>
      <c r="AE627" s="83" t="str">
        <f>HYPERLINK("https://twitter.com/tneaar/status/1696534822775328825")</f>
        <v>https://twitter.com/tneaar/status/1696534822775328825</v>
      </c>
      <c r="AF627" s="79">
        <v>45167.615694444445</v>
      </c>
      <c r="AG627" s="85">
        <v>45167</v>
      </c>
      <c r="AH627" s="81" t="s">
        <v>6446</v>
      </c>
      <c r="AI627" s="77" t="b">
        <v>0</v>
      </c>
      <c r="AJ627" s="77"/>
      <c r="AK627" s="77"/>
      <c r="AL627" s="77"/>
      <c r="AM627" s="77"/>
      <c r="AN627" s="77"/>
      <c r="AO627" s="77"/>
      <c r="AP627" s="77"/>
      <c r="AQ627" s="77" t="s">
        <v>8350</v>
      </c>
      <c r="AR627" s="77"/>
      <c r="AS627" s="77"/>
      <c r="AT627" s="77"/>
      <c r="AU627" s="77"/>
      <c r="AV627" s="83" t="str">
        <f>HYPERLINK("https://pbs.twimg.com/media/F4tNbHYagAAK2m-.jpg")</f>
        <v>https://pbs.twimg.com/media/F4tNbHYagAAK2m-.jpg</v>
      </c>
      <c r="AW627" s="81" t="s">
        <v>9897</v>
      </c>
      <c r="AX627" s="81" t="s">
        <v>9897</v>
      </c>
      <c r="AY627" s="77"/>
      <c r="AZ627" s="81" t="s">
        <v>11359</v>
      </c>
      <c r="BA627" s="81" t="s">
        <v>11359</v>
      </c>
      <c r="BB627" s="81" t="s">
        <v>11359</v>
      </c>
      <c r="BC627" s="81" t="s">
        <v>9897</v>
      </c>
      <c r="BD627" s="77">
        <v>493423213</v>
      </c>
      <c r="BE627" s="77"/>
      <c r="BF627" s="77"/>
      <c r="BG627" s="77"/>
      <c r="BH627" s="77"/>
      <c r="BI627" s="77"/>
    </row>
    <row r="628" spans="1:61" x14ac:dyDescent="0.25">
      <c r="A628" s="62" t="s">
        <v>428</v>
      </c>
      <c r="B628" s="62" t="s">
        <v>428</v>
      </c>
      <c r="C628" s="63"/>
      <c r="D628" s="64"/>
      <c r="E628" s="65"/>
      <c r="F628" s="66"/>
      <c r="G628" s="63"/>
      <c r="H628" s="67"/>
      <c r="I628" s="68"/>
      <c r="J628" s="68"/>
      <c r="K628" s="32"/>
      <c r="L628" s="75">
        <v>628</v>
      </c>
      <c r="M628" s="75"/>
      <c r="N628" s="70"/>
      <c r="O628" s="77" t="s">
        <v>179</v>
      </c>
      <c r="P628" s="79">
        <v>45167.612222222226</v>
      </c>
      <c r="Q628" s="77" t="s">
        <v>1576</v>
      </c>
      <c r="R628" s="77">
        <v>0</v>
      </c>
      <c r="S628" s="77">
        <v>0</v>
      </c>
      <c r="T628" s="77">
        <v>0</v>
      </c>
      <c r="U628" s="77">
        <v>0</v>
      </c>
      <c r="V628" s="77">
        <v>46</v>
      </c>
      <c r="W628" s="81" t="s">
        <v>3263</v>
      </c>
      <c r="X628" s="77"/>
      <c r="Y628" s="77"/>
      <c r="Z628" s="77"/>
      <c r="AA628" s="77" t="s">
        <v>4848</v>
      </c>
      <c r="AB628" s="77" t="s">
        <v>5794</v>
      </c>
      <c r="AC628" s="81" t="s">
        <v>5805</v>
      </c>
      <c r="AD628" s="77" t="s">
        <v>5850</v>
      </c>
      <c r="AE628" s="83" t="str">
        <f>HYPERLINK("https://twitter.com/tneaar/status/1696533563674661157")</f>
        <v>https://twitter.com/tneaar/status/1696533563674661157</v>
      </c>
      <c r="AF628" s="79">
        <v>45167.612222222226</v>
      </c>
      <c r="AG628" s="85">
        <v>45167</v>
      </c>
      <c r="AH628" s="81" t="s">
        <v>6447</v>
      </c>
      <c r="AI628" s="77" t="b">
        <v>0</v>
      </c>
      <c r="AJ628" s="77"/>
      <c r="AK628" s="77"/>
      <c r="AL628" s="77"/>
      <c r="AM628" s="77"/>
      <c r="AN628" s="77"/>
      <c r="AO628" s="77"/>
      <c r="AP628" s="77"/>
      <c r="AQ628" s="77" t="s">
        <v>8351</v>
      </c>
      <c r="AR628" s="77"/>
      <c r="AS628" s="77"/>
      <c r="AT628" s="77"/>
      <c r="AU628" s="77"/>
      <c r="AV628" s="83" t="str">
        <f>HYPERLINK("https://pbs.twimg.com/media/F4tMR2LbAAAr4z9.jpg")</f>
        <v>https://pbs.twimg.com/media/F4tMR2LbAAAr4z9.jpg</v>
      </c>
      <c r="AW628" s="81" t="s">
        <v>9898</v>
      </c>
      <c r="AX628" s="81" t="s">
        <v>9898</v>
      </c>
      <c r="AY628" s="77"/>
      <c r="AZ628" s="81" t="s">
        <v>11359</v>
      </c>
      <c r="BA628" s="81" t="s">
        <v>11359</v>
      </c>
      <c r="BB628" s="81" t="s">
        <v>11359</v>
      </c>
      <c r="BC628" s="81" t="s">
        <v>9898</v>
      </c>
      <c r="BD628" s="77">
        <v>493423213</v>
      </c>
      <c r="BE628" s="77"/>
      <c r="BF628" s="77"/>
      <c r="BG628" s="77"/>
      <c r="BH628" s="77"/>
      <c r="BI628" s="77"/>
    </row>
    <row r="629" spans="1:61" x14ac:dyDescent="0.25">
      <c r="A629" s="62" t="s">
        <v>428</v>
      </c>
      <c r="B629" s="62" t="s">
        <v>428</v>
      </c>
      <c r="C629" s="63"/>
      <c r="D629" s="64"/>
      <c r="E629" s="65"/>
      <c r="F629" s="66"/>
      <c r="G629" s="63"/>
      <c r="H629" s="67"/>
      <c r="I629" s="68"/>
      <c r="J629" s="68"/>
      <c r="K629" s="32"/>
      <c r="L629" s="75">
        <v>629</v>
      </c>
      <c r="M629" s="75"/>
      <c r="N629" s="70"/>
      <c r="O629" s="77" t="s">
        <v>179</v>
      </c>
      <c r="P629" s="79">
        <v>45167.611678240741</v>
      </c>
      <c r="Q629" s="77" t="s">
        <v>1577</v>
      </c>
      <c r="R629" s="77">
        <v>0</v>
      </c>
      <c r="S629" s="77">
        <v>0</v>
      </c>
      <c r="T629" s="77">
        <v>0</v>
      </c>
      <c r="U629" s="77">
        <v>0</v>
      </c>
      <c r="V629" s="77">
        <v>48</v>
      </c>
      <c r="W629" s="81" t="s">
        <v>3253</v>
      </c>
      <c r="X629" s="77"/>
      <c r="Y629" s="77"/>
      <c r="Z629" s="77"/>
      <c r="AA629" s="77" t="s">
        <v>4849</v>
      </c>
      <c r="AB629" s="77" t="s">
        <v>5794</v>
      </c>
      <c r="AC629" s="81" t="s">
        <v>5805</v>
      </c>
      <c r="AD629" s="77" t="s">
        <v>5850</v>
      </c>
      <c r="AE629" s="83" t="str">
        <f>HYPERLINK("https://twitter.com/tneaar/status/1696533367762936047")</f>
        <v>https://twitter.com/tneaar/status/1696533367762936047</v>
      </c>
      <c r="AF629" s="79">
        <v>45167.611678240741</v>
      </c>
      <c r="AG629" s="85">
        <v>45167</v>
      </c>
      <c r="AH629" s="81" t="s">
        <v>6448</v>
      </c>
      <c r="AI629" s="77" t="b">
        <v>0</v>
      </c>
      <c r="AJ629" s="77"/>
      <c r="AK629" s="77"/>
      <c r="AL629" s="77"/>
      <c r="AM629" s="77"/>
      <c r="AN629" s="77"/>
      <c r="AO629" s="77"/>
      <c r="AP629" s="77"/>
      <c r="AQ629" s="77" t="s">
        <v>8352</v>
      </c>
      <c r="AR629" s="77"/>
      <c r="AS629" s="77"/>
      <c r="AT629" s="77"/>
      <c r="AU629" s="77"/>
      <c r="AV629" s="83" t="str">
        <f>HYPERLINK("https://pbs.twimg.com/media/F4tMFqlbIAAMWmo.jpg")</f>
        <v>https://pbs.twimg.com/media/F4tMFqlbIAAMWmo.jpg</v>
      </c>
      <c r="AW629" s="81" t="s">
        <v>9899</v>
      </c>
      <c r="AX629" s="81" t="s">
        <v>9899</v>
      </c>
      <c r="AY629" s="77"/>
      <c r="AZ629" s="81" t="s">
        <v>11359</v>
      </c>
      <c r="BA629" s="81" t="s">
        <v>11359</v>
      </c>
      <c r="BB629" s="81" t="s">
        <v>11359</v>
      </c>
      <c r="BC629" s="81" t="s">
        <v>9899</v>
      </c>
      <c r="BD629" s="77">
        <v>493423213</v>
      </c>
      <c r="BE629" s="77"/>
      <c r="BF629" s="77"/>
      <c r="BG629" s="77"/>
      <c r="BH629" s="77"/>
      <c r="BI629" s="77"/>
    </row>
    <row r="630" spans="1:61" x14ac:dyDescent="0.25">
      <c r="A630" s="62" t="s">
        <v>428</v>
      </c>
      <c r="B630" s="62" t="s">
        <v>428</v>
      </c>
      <c r="C630" s="63"/>
      <c r="D630" s="64"/>
      <c r="E630" s="65"/>
      <c r="F630" s="66"/>
      <c r="G630" s="63"/>
      <c r="H630" s="67"/>
      <c r="I630" s="68"/>
      <c r="J630" s="68"/>
      <c r="K630" s="32"/>
      <c r="L630" s="75">
        <v>630</v>
      </c>
      <c r="M630" s="75"/>
      <c r="N630" s="70"/>
      <c r="O630" s="77" t="s">
        <v>179</v>
      </c>
      <c r="P630" s="79">
        <v>45167.611273148148</v>
      </c>
      <c r="Q630" s="77" t="s">
        <v>1578</v>
      </c>
      <c r="R630" s="77">
        <v>0</v>
      </c>
      <c r="S630" s="77">
        <v>0</v>
      </c>
      <c r="T630" s="77">
        <v>0</v>
      </c>
      <c r="U630" s="77">
        <v>0</v>
      </c>
      <c r="V630" s="77">
        <v>50</v>
      </c>
      <c r="W630" s="81" t="s">
        <v>3244</v>
      </c>
      <c r="X630" s="77"/>
      <c r="Y630" s="77"/>
      <c r="Z630" s="77"/>
      <c r="AA630" s="77" t="s">
        <v>4850</v>
      </c>
      <c r="AB630" s="77" t="s">
        <v>5794</v>
      </c>
      <c r="AC630" s="81" t="s">
        <v>5805</v>
      </c>
      <c r="AD630" s="77" t="s">
        <v>5850</v>
      </c>
      <c r="AE630" s="83" t="str">
        <f>HYPERLINK("https://twitter.com/tneaar/status/1696533222489014404")</f>
        <v>https://twitter.com/tneaar/status/1696533222489014404</v>
      </c>
      <c r="AF630" s="79">
        <v>45167.611273148148</v>
      </c>
      <c r="AG630" s="85">
        <v>45167</v>
      </c>
      <c r="AH630" s="81" t="s">
        <v>6449</v>
      </c>
      <c r="AI630" s="77" t="b">
        <v>0</v>
      </c>
      <c r="AJ630" s="77"/>
      <c r="AK630" s="77"/>
      <c r="AL630" s="77"/>
      <c r="AM630" s="77"/>
      <c r="AN630" s="77"/>
      <c r="AO630" s="77"/>
      <c r="AP630" s="77"/>
      <c r="AQ630" s="77" t="s">
        <v>8353</v>
      </c>
      <c r="AR630" s="77"/>
      <c r="AS630" s="77"/>
      <c r="AT630" s="77"/>
      <c r="AU630" s="77"/>
      <c r="AV630" s="83" t="str">
        <f>HYPERLINK("https://pbs.twimg.com/media/F4tL9-6bMAAKApn.jpg")</f>
        <v>https://pbs.twimg.com/media/F4tL9-6bMAAKApn.jpg</v>
      </c>
      <c r="AW630" s="81" t="s">
        <v>9900</v>
      </c>
      <c r="AX630" s="81" t="s">
        <v>9900</v>
      </c>
      <c r="AY630" s="77"/>
      <c r="AZ630" s="81" t="s">
        <v>11359</v>
      </c>
      <c r="BA630" s="81" t="s">
        <v>11359</v>
      </c>
      <c r="BB630" s="81" t="s">
        <v>11359</v>
      </c>
      <c r="BC630" s="81" t="s">
        <v>9900</v>
      </c>
      <c r="BD630" s="77">
        <v>493423213</v>
      </c>
      <c r="BE630" s="77"/>
      <c r="BF630" s="77"/>
      <c r="BG630" s="77"/>
      <c r="BH630" s="77"/>
      <c r="BI630" s="77"/>
    </row>
    <row r="631" spans="1:61" x14ac:dyDescent="0.25">
      <c r="A631" s="62" t="s">
        <v>428</v>
      </c>
      <c r="B631" s="62" t="s">
        <v>428</v>
      </c>
      <c r="C631" s="63"/>
      <c r="D631" s="64"/>
      <c r="E631" s="65"/>
      <c r="F631" s="66"/>
      <c r="G631" s="63"/>
      <c r="H631" s="67"/>
      <c r="I631" s="68"/>
      <c r="J631" s="68"/>
      <c r="K631" s="32"/>
      <c r="L631" s="75">
        <v>631</v>
      </c>
      <c r="M631" s="75"/>
      <c r="N631" s="70"/>
      <c r="O631" s="77" t="s">
        <v>179</v>
      </c>
      <c r="P631" s="79">
        <v>45167.602384259262</v>
      </c>
      <c r="Q631" s="77" t="s">
        <v>1579</v>
      </c>
      <c r="R631" s="77">
        <v>0</v>
      </c>
      <c r="S631" s="77">
        <v>0</v>
      </c>
      <c r="T631" s="77">
        <v>0</v>
      </c>
      <c r="U631" s="77">
        <v>0</v>
      </c>
      <c r="V631" s="77">
        <v>32</v>
      </c>
      <c r="W631" s="81" t="s">
        <v>3261</v>
      </c>
      <c r="X631" s="77"/>
      <c r="Y631" s="77"/>
      <c r="Z631" s="77"/>
      <c r="AA631" s="77" t="s">
        <v>4851</v>
      </c>
      <c r="AB631" s="77" t="s">
        <v>5794</v>
      </c>
      <c r="AC631" s="81" t="s">
        <v>5805</v>
      </c>
      <c r="AD631" s="77" t="s">
        <v>5850</v>
      </c>
      <c r="AE631" s="83" t="str">
        <f>HYPERLINK("https://twitter.com/tneaar/status/1696529997815861551")</f>
        <v>https://twitter.com/tneaar/status/1696529997815861551</v>
      </c>
      <c r="AF631" s="79">
        <v>45167.602384259262</v>
      </c>
      <c r="AG631" s="85">
        <v>45167</v>
      </c>
      <c r="AH631" s="81" t="s">
        <v>6450</v>
      </c>
      <c r="AI631" s="77" t="b">
        <v>0</v>
      </c>
      <c r="AJ631" s="77"/>
      <c r="AK631" s="77"/>
      <c r="AL631" s="77"/>
      <c r="AM631" s="77"/>
      <c r="AN631" s="77"/>
      <c r="AO631" s="77"/>
      <c r="AP631" s="77"/>
      <c r="AQ631" s="77" t="s">
        <v>8354</v>
      </c>
      <c r="AR631" s="77"/>
      <c r="AS631" s="77"/>
      <c r="AT631" s="77"/>
      <c r="AU631" s="77"/>
      <c r="AV631" s="83" t="str">
        <f>HYPERLINK("https://pbs.twimg.com/media/F4tJCZobgAAqa2T.jpg")</f>
        <v>https://pbs.twimg.com/media/F4tJCZobgAAqa2T.jpg</v>
      </c>
      <c r="AW631" s="81" t="s">
        <v>9901</v>
      </c>
      <c r="AX631" s="81" t="s">
        <v>9901</v>
      </c>
      <c r="AY631" s="77"/>
      <c r="AZ631" s="81" t="s">
        <v>11359</v>
      </c>
      <c r="BA631" s="81" t="s">
        <v>11359</v>
      </c>
      <c r="BB631" s="81" t="s">
        <v>11359</v>
      </c>
      <c r="BC631" s="81" t="s">
        <v>9901</v>
      </c>
      <c r="BD631" s="77">
        <v>493423213</v>
      </c>
      <c r="BE631" s="77"/>
      <c r="BF631" s="77"/>
      <c r="BG631" s="77"/>
      <c r="BH631" s="77"/>
      <c r="BI631" s="77"/>
    </row>
    <row r="632" spans="1:61" x14ac:dyDescent="0.25">
      <c r="A632" s="62" t="s">
        <v>428</v>
      </c>
      <c r="B632" s="62" t="s">
        <v>428</v>
      </c>
      <c r="C632" s="63"/>
      <c r="D632" s="64"/>
      <c r="E632" s="65"/>
      <c r="F632" s="66"/>
      <c r="G632" s="63"/>
      <c r="H632" s="67"/>
      <c r="I632" s="68"/>
      <c r="J632" s="68"/>
      <c r="K632" s="32"/>
      <c r="L632" s="75">
        <v>632</v>
      </c>
      <c r="M632" s="75"/>
      <c r="N632" s="70"/>
      <c r="O632" s="77" t="s">
        <v>179</v>
      </c>
      <c r="P632" s="79">
        <v>45167.587187500001</v>
      </c>
      <c r="Q632" s="77" t="s">
        <v>1580</v>
      </c>
      <c r="R632" s="77">
        <v>0</v>
      </c>
      <c r="S632" s="77">
        <v>0</v>
      </c>
      <c r="T632" s="77">
        <v>0</v>
      </c>
      <c r="U632" s="77">
        <v>0</v>
      </c>
      <c r="V632" s="77">
        <v>29</v>
      </c>
      <c r="W632" s="81" t="s">
        <v>3306</v>
      </c>
      <c r="X632" s="77"/>
      <c r="Y632" s="77"/>
      <c r="Z632" s="77"/>
      <c r="AA632" s="77" t="s">
        <v>4852</v>
      </c>
      <c r="AB632" s="77" t="s">
        <v>5794</v>
      </c>
      <c r="AC632" s="81" t="s">
        <v>5805</v>
      </c>
      <c r="AD632" s="77" t="s">
        <v>5850</v>
      </c>
      <c r="AE632" s="83" t="str">
        <f>HYPERLINK("https://twitter.com/tneaar/status/1696524491307069638")</f>
        <v>https://twitter.com/tneaar/status/1696524491307069638</v>
      </c>
      <c r="AF632" s="79">
        <v>45167.587187500001</v>
      </c>
      <c r="AG632" s="85">
        <v>45167</v>
      </c>
      <c r="AH632" s="81" t="s">
        <v>6451</v>
      </c>
      <c r="AI632" s="77" t="b">
        <v>0</v>
      </c>
      <c r="AJ632" s="77"/>
      <c r="AK632" s="77"/>
      <c r="AL632" s="77"/>
      <c r="AM632" s="77"/>
      <c r="AN632" s="77"/>
      <c r="AO632" s="77"/>
      <c r="AP632" s="77"/>
      <c r="AQ632" s="77" t="s">
        <v>8355</v>
      </c>
      <c r="AR632" s="77"/>
      <c r="AS632" s="77"/>
      <c r="AT632" s="77"/>
      <c r="AU632" s="77"/>
      <c r="AV632" s="83" t="str">
        <f>HYPERLINK("https://pbs.twimg.com/media/F4tDtd0aMAASgO8.jpg")</f>
        <v>https://pbs.twimg.com/media/F4tDtd0aMAASgO8.jpg</v>
      </c>
      <c r="AW632" s="81" t="s">
        <v>9902</v>
      </c>
      <c r="AX632" s="81" t="s">
        <v>9902</v>
      </c>
      <c r="AY632" s="77"/>
      <c r="AZ632" s="81" t="s">
        <v>11359</v>
      </c>
      <c r="BA632" s="81" t="s">
        <v>11359</v>
      </c>
      <c r="BB632" s="81" t="s">
        <v>11359</v>
      </c>
      <c r="BC632" s="81" t="s">
        <v>9902</v>
      </c>
      <c r="BD632" s="77">
        <v>493423213</v>
      </c>
      <c r="BE632" s="77"/>
      <c r="BF632" s="77"/>
      <c r="BG632" s="77"/>
      <c r="BH632" s="77"/>
      <c r="BI632" s="77"/>
    </row>
    <row r="633" spans="1:61" x14ac:dyDescent="0.25">
      <c r="A633" s="62" t="s">
        <v>428</v>
      </c>
      <c r="B633" s="62" t="s">
        <v>428</v>
      </c>
      <c r="C633" s="63"/>
      <c r="D633" s="64"/>
      <c r="E633" s="65"/>
      <c r="F633" s="66"/>
      <c r="G633" s="63"/>
      <c r="H633" s="67"/>
      <c r="I633" s="68"/>
      <c r="J633" s="68"/>
      <c r="K633" s="32"/>
      <c r="L633" s="75">
        <v>633</v>
      </c>
      <c r="M633" s="75"/>
      <c r="N633" s="70"/>
      <c r="O633" s="77" t="s">
        <v>179</v>
      </c>
      <c r="P633" s="79">
        <v>45167.582766203705</v>
      </c>
      <c r="Q633" s="77" t="s">
        <v>1581</v>
      </c>
      <c r="R633" s="77">
        <v>1</v>
      </c>
      <c r="S633" s="77">
        <v>0</v>
      </c>
      <c r="T633" s="77">
        <v>0</v>
      </c>
      <c r="U633" s="77">
        <v>0</v>
      </c>
      <c r="V633" s="77">
        <v>69</v>
      </c>
      <c r="W633" s="81" t="s">
        <v>3246</v>
      </c>
      <c r="X633" s="77"/>
      <c r="Y633" s="77"/>
      <c r="Z633" s="77"/>
      <c r="AA633" s="77" t="s">
        <v>4853</v>
      </c>
      <c r="AB633" s="77" t="s">
        <v>5794</v>
      </c>
      <c r="AC633" s="81" t="s">
        <v>5805</v>
      </c>
      <c r="AD633" s="77" t="s">
        <v>5850</v>
      </c>
      <c r="AE633" s="83" t="str">
        <f>HYPERLINK("https://twitter.com/tneaar/status/1696522889158398234")</f>
        <v>https://twitter.com/tneaar/status/1696522889158398234</v>
      </c>
      <c r="AF633" s="79">
        <v>45167.582766203705</v>
      </c>
      <c r="AG633" s="85">
        <v>45167</v>
      </c>
      <c r="AH633" s="81" t="s">
        <v>6452</v>
      </c>
      <c r="AI633" s="77" t="b">
        <v>0</v>
      </c>
      <c r="AJ633" s="77"/>
      <c r="AK633" s="77"/>
      <c r="AL633" s="77"/>
      <c r="AM633" s="77"/>
      <c r="AN633" s="77"/>
      <c r="AO633" s="77"/>
      <c r="AP633" s="77"/>
      <c r="AQ633" s="77" t="s">
        <v>8356</v>
      </c>
      <c r="AR633" s="77"/>
      <c r="AS633" s="77"/>
      <c r="AT633" s="77"/>
      <c r="AU633" s="77"/>
      <c r="AV633" s="83" t="str">
        <f>HYPERLINK("https://pbs.twimg.com/media/F4tCkHibcAAiwrB.jpg")</f>
        <v>https://pbs.twimg.com/media/F4tCkHibcAAiwrB.jpg</v>
      </c>
      <c r="AW633" s="81" t="s">
        <v>9903</v>
      </c>
      <c r="AX633" s="81" t="s">
        <v>9903</v>
      </c>
      <c r="AY633" s="77"/>
      <c r="AZ633" s="81" t="s">
        <v>11359</v>
      </c>
      <c r="BA633" s="81" t="s">
        <v>11359</v>
      </c>
      <c r="BB633" s="81" t="s">
        <v>11359</v>
      </c>
      <c r="BC633" s="81" t="s">
        <v>9903</v>
      </c>
      <c r="BD633" s="77">
        <v>493423213</v>
      </c>
      <c r="BE633" s="77"/>
      <c r="BF633" s="77"/>
      <c r="BG633" s="77"/>
      <c r="BH633" s="77"/>
      <c r="BI633" s="77"/>
    </row>
    <row r="634" spans="1:61" x14ac:dyDescent="0.25">
      <c r="A634" s="62" t="s">
        <v>428</v>
      </c>
      <c r="B634" s="62" t="s">
        <v>428</v>
      </c>
      <c r="C634" s="63"/>
      <c r="D634" s="64"/>
      <c r="E634" s="65"/>
      <c r="F634" s="66"/>
      <c r="G634" s="63"/>
      <c r="H634" s="67"/>
      <c r="I634" s="68"/>
      <c r="J634" s="68"/>
      <c r="K634" s="32"/>
      <c r="L634" s="75">
        <v>634</v>
      </c>
      <c r="M634" s="75"/>
      <c r="N634" s="70"/>
      <c r="O634" s="77" t="s">
        <v>179</v>
      </c>
      <c r="P634" s="79">
        <v>45145.530590277776</v>
      </c>
      <c r="Q634" s="77" t="s">
        <v>1582</v>
      </c>
      <c r="R634" s="77">
        <v>0</v>
      </c>
      <c r="S634" s="77">
        <v>0</v>
      </c>
      <c r="T634" s="77">
        <v>0</v>
      </c>
      <c r="U634" s="77">
        <v>0</v>
      </c>
      <c r="V634" s="77">
        <v>55</v>
      </c>
      <c r="W634" s="81" t="s">
        <v>3294</v>
      </c>
      <c r="X634" s="77"/>
      <c r="Y634" s="77"/>
      <c r="Z634" s="77"/>
      <c r="AA634" s="77" t="s">
        <v>4854</v>
      </c>
      <c r="AB634" s="77" t="s">
        <v>5794</v>
      </c>
      <c r="AC634" s="81" t="s">
        <v>5805</v>
      </c>
      <c r="AD634" s="77" t="s">
        <v>5850</v>
      </c>
      <c r="AE634" s="83" t="str">
        <f>HYPERLINK("https://twitter.com/tneaar/status/1688531447580106752")</f>
        <v>https://twitter.com/tneaar/status/1688531447580106752</v>
      </c>
      <c r="AF634" s="79">
        <v>45145.530590277776</v>
      </c>
      <c r="AG634" s="85">
        <v>45145</v>
      </c>
      <c r="AH634" s="81" t="s">
        <v>6453</v>
      </c>
      <c r="AI634" s="77" t="b">
        <v>0</v>
      </c>
      <c r="AJ634" s="77"/>
      <c r="AK634" s="77"/>
      <c r="AL634" s="77"/>
      <c r="AM634" s="77"/>
      <c r="AN634" s="77"/>
      <c r="AO634" s="77"/>
      <c r="AP634" s="77"/>
      <c r="AQ634" s="77" t="s">
        <v>8357</v>
      </c>
      <c r="AR634" s="77"/>
      <c r="AS634" s="77"/>
      <c r="AT634" s="77"/>
      <c r="AU634" s="77"/>
      <c r="AV634" s="83" t="str">
        <f>HYPERLINK("https://pbs.twimg.com/media/F27eZmUXAAAJDwD.jpg")</f>
        <v>https://pbs.twimg.com/media/F27eZmUXAAAJDwD.jpg</v>
      </c>
      <c r="AW634" s="81" t="s">
        <v>9904</v>
      </c>
      <c r="AX634" s="81" t="s">
        <v>9904</v>
      </c>
      <c r="AY634" s="77"/>
      <c r="AZ634" s="81" t="s">
        <v>11359</v>
      </c>
      <c r="BA634" s="81" t="s">
        <v>11359</v>
      </c>
      <c r="BB634" s="81" t="s">
        <v>11359</v>
      </c>
      <c r="BC634" s="81" t="s">
        <v>9904</v>
      </c>
      <c r="BD634" s="77">
        <v>493423213</v>
      </c>
      <c r="BE634" s="77"/>
      <c r="BF634" s="77"/>
      <c r="BG634" s="77"/>
      <c r="BH634" s="77"/>
      <c r="BI634" s="77"/>
    </row>
    <row r="635" spans="1:61" x14ac:dyDescent="0.25">
      <c r="A635" s="62" t="s">
        <v>428</v>
      </c>
      <c r="B635" s="62" t="s">
        <v>428</v>
      </c>
      <c r="C635" s="63"/>
      <c r="D635" s="64"/>
      <c r="E635" s="65"/>
      <c r="F635" s="66"/>
      <c r="G635" s="63"/>
      <c r="H635" s="67"/>
      <c r="I635" s="68"/>
      <c r="J635" s="68"/>
      <c r="K635" s="32"/>
      <c r="L635" s="75">
        <v>635</v>
      </c>
      <c r="M635" s="75"/>
      <c r="N635" s="70"/>
      <c r="O635" s="77" t="s">
        <v>179</v>
      </c>
      <c r="P635" s="79">
        <v>45145.525104166663</v>
      </c>
      <c r="Q635" s="77" t="s">
        <v>1583</v>
      </c>
      <c r="R635" s="77">
        <v>0</v>
      </c>
      <c r="S635" s="77">
        <v>0</v>
      </c>
      <c r="T635" s="77">
        <v>0</v>
      </c>
      <c r="U635" s="77">
        <v>0</v>
      </c>
      <c r="V635" s="77">
        <v>56</v>
      </c>
      <c r="W635" s="81" t="s">
        <v>3289</v>
      </c>
      <c r="X635" s="77"/>
      <c r="Y635" s="77"/>
      <c r="Z635" s="77"/>
      <c r="AA635" s="77" t="s">
        <v>4855</v>
      </c>
      <c r="AB635" s="77" t="s">
        <v>5794</v>
      </c>
      <c r="AC635" s="81" t="s">
        <v>5805</v>
      </c>
      <c r="AD635" s="77" t="s">
        <v>5850</v>
      </c>
      <c r="AE635" s="83" t="str">
        <f>HYPERLINK("https://twitter.com/tneaar/status/1688529461510049792")</f>
        <v>https://twitter.com/tneaar/status/1688529461510049792</v>
      </c>
      <c r="AF635" s="79">
        <v>45145.525104166663</v>
      </c>
      <c r="AG635" s="85">
        <v>45145</v>
      </c>
      <c r="AH635" s="81" t="s">
        <v>6454</v>
      </c>
      <c r="AI635" s="77" t="b">
        <v>0</v>
      </c>
      <c r="AJ635" s="77"/>
      <c r="AK635" s="77"/>
      <c r="AL635" s="77"/>
      <c r="AM635" s="77"/>
      <c r="AN635" s="77"/>
      <c r="AO635" s="77"/>
      <c r="AP635" s="77"/>
      <c r="AQ635" s="77" t="s">
        <v>8358</v>
      </c>
      <c r="AR635" s="77"/>
      <c r="AS635" s="77"/>
      <c r="AT635" s="77"/>
      <c r="AU635" s="77"/>
      <c r="AV635" s="83" t="str">
        <f>HYPERLINK("https://pbs.twimg.com/media/F27cmFAWMAEZt4l.jpg")</f>
        <v>https://pbs.twimg.com/media/F27cmFAWMAEZt4l.jpg</v>
      </c>
      <c r="AW635" s="81" t="s">
        <v>9905</v>
      </c>
      <c r="AX635" s="81" t="s">
        <v>9905</v>
      </c>
      <c r="AY635" s="77"/>
      <c r="AZ635" s="81" t="s">
        <v>11359</v>
      </c>
      <c r="BA635" s="81" t="s">
        <v>11359</v>
      </c>
      <c r="BB635" s="81" t="s">
        <v>11359</v>
      </c>
      <c r="BC635" s="81" t="s">
        <v>9905</v>
      </c>
      <c r="BD635" s="77">
        <v>493423213</v>
      </c>
      <c r="BE635" s="77"/>
      <c r="BF635" s="77"/>
      <c r="BG635" s="77"/>
      <c r="BH635" s="77"/>
      <c r="BI635" s="77"/>
    </row>
    <row r="636" spans="1:61" x14ac:dyDescent="0.25">
      <c r="A636" s="62" t="s">
        <v>428</v>
      </c>
      <c r="B636" s="62" t="s">
        <v>428</v>
      </c>
      <c r="C636" s="63"/>
      <c r="D636" s="64"/>
      <c r="E636" s="65"/>
      <c r="F636" s="66"/>
      <c r="G636" s="63"/>
      <c r="H636" s="67"/>
      <c r="I636" s="68"/>
      <c r="J636" s="68"/>
      <c r="K636" s="32"/>
      <c r="L636" s="75">
        <v>636</v>
      </c>
      <c r="M636" s="75"/>
      <c r="N636" s="70"/>
      <c r="O636" s="77" t="s">
        <v>179</v>
      </c>
      <c r="P636" s="79">
        <v>45145.521990740737</v>
      </c>
      <c r="Q636" s="77" t="s">
        <v>1584</v>
      </c>
      <c r="R636" s="77">
        <v>2</v>
      </c>
      <c r="S636" s="77">
        <v>0</v>
      </c>
      <c r="T636" s="77">
        <v>0</v>
      </c>
      <c r="U636" s="77">
        <v>0</v>
      </c>
      <c r="V636" s="77">
        <v>127</v>
      </c>
      <c r="W636" s="81" t="s">
        <v>3290</v>
      </c>
      <c r="X636" s="83" t="str">
        <f>HYPERLINK("http://www.previsoradelparana.com")</f>
        <v>http://www.previsoradelparana.com</v>
      </c>
      <c r="Y636" s="77" t="s">
        <v>4270</v>
      </c>
      <c r="Z636" s="77"/>
      <c r="AA636" s="77" t="s">
        <v>4856</v>
      </c>
      <c r="AB636" s="77" t="s">
        <v>5794</v>
      </c>
      <c r="AC636" s="81" t="s">
        <v>5805</v>
      </c>
      <c r="AD636" s="77" t="s">
        <v>5850</v>
      </c>
      <c r="AE636" s="83" t="str">
        <f>HYPERLINK("https://twitter.com/tneaar/status/1688528333904990208")</f>
        <v>https://twitter.com/tneaar/status/1688528333904990208</v>
      </c>
      <c r="AF636" s="79">
        <v>45145.521990740737</v>
      </c>
      <c r="AG636" s="85">
        <v>45145</v>
      </c>
      <c r="AH636" s="81" t="s">
        <v>6455</v>
      </c>
      <c r="AI636" s="77" t="b">
        <v>0</v>
      </c>
      <c r="AJ636" s="77"/>
      <c r="AK636" s="77"/>
      <c r="AL636" s="77"/>
      <c r="AM636" s="77"/>
      <c r="AN636" s="77"/>
      <c r="AO636" s="77"/>
      <c r="AP636" s="77"/>
      <c r="AQ636" s="77" t="s">
        <v>8359</v>
      </c>
      <c r="AR636" s="77"/>
      <c r="AS636" s="77"/>
      <c r="AT636" s="77"/>
      <c r="AU636" s="77"/>
      <c r="AV636" s="83" t="str">
        <f>HYPERLINK("https://pbs.twimg.com/media/F27bkV8XIAAya4O.jpg")</f>
        <v>https://pbs.twimg.com/media/F27bkV8XIAAya4O.jpg</v>
      </c>
      <c r="AW636" s="81" t="s">
        <v>9906</v>
      </c>
      <c r="AX636" s="81" t="s">
        <v>9906</v>
      </c>
      <c r="AY636" s="77"/>
      <c r="AZ636" s="81" t="s">
        <v>11359</v>
      </c>
      <c r="BA636" s="81" t="s">
        <v>11359</v>
      </c>
      <c r="BB636" s="81" t="s">
        <v>11359</v>
      </c>
      <c r="BC636" s="81" t="s">
        <v>9906</v>
      </c>
      <c r="BD636" s="77">
        <v>493423213</v>
      </c>
      <c r="BE636" s="77"/>
      <c r="BF636" s="77"/>
      <c r="BG636" s="77"/>
      <c r="BH636" s="77"/>
      <c r="BI636" s="77"/>
    </row>
    <row r="637" spans="1:61" x14ac:dyDescent="0.25">
      <c r="A637" s="62" t="s">
        <v>428</v>
      </c>
      <c r="B637" s="62" t="s">
        <v>428</v>
      </c>
      <c r="C637" s="63"/>
      <c r="D637" s="64"/>
      <c r="E637" s="65"/>
      <c r="F637" s="66"/>
      <c r="G637" s="63"/>
      <c r="H637" s="67"/>
      <c r="I637" s="68"/>
      <c r="J637" s="68"/>
      <c r="K637" s="32"/>
      <c r="L637" s="75">
        <v>637</v>
      </c>
      <c r="M637" s="75"/>
      <c r="N637" s="70"/>
      <c r="O637" s="77" t="s">
        <v>179</v>
      </c>
      <c r="P637" s="79">
        <v>45145.10423611111</v>
      </c>
      <c r="Q637" s="77" t="s">
        <v>1585</v>
      </c>
      <c r="R637" s="77">
        <v>0</v>
      </c>
      <c r="S637" s="77">
        <v>0</v>
      </c>
      <c r="T637" s="77">
        <v>0</v>
      </c>
      <c r="U637" s="77">
        <v>0</v>
      </c>
      <c r="V637" s="77">
        <v>68</v>
      </c>
      <c r="W637" s="81" t="s">
        <v>3246</v>
      </c>
      <c r="X637" s="77"/>
      <c r="Y637" s="77"/>
      <c r="Z637" s="77"/>
      <c r="AA637" s="77" t="s">
        <v>4857</v>
      </c>
      <c r="AB637" s="77" t="s">
        <v>5794</v>
      </c>
      <c r="AC637" s="81" t="s">
        <v>5805</v>
      </c>
      <c r="AD637" s="77" t="s">
        <v>5850</v>
      </c>
      <c r="AE637" s="83" t="str">
        <f>HYPERLINK("https://twitter.com/tneaar/status/1688376942158852096")</f>
        <v>https://twitter.com/tneaar/status/1688376942158852096</v>
      </c>
      <c r="AF637" s="79">
        <v>45145.10423611111</v>
      </c>
      <c r="AG637" s="85">
        <v>45145</v>
      </c>
      <c r="AH637" s="81" t="s">
        <v>6456</v>
      </c>
      <c r="AI637" s="77" t="b">
        <v>0</v>
      </c>
      <c r="AJ637" s="77"/>
      <c r="AK637" s="77"/>
      <c r="AL637" s="77"/>
      <c r="AM637" s="77"/>
      <c r="AN637" s="77"/>
      <c r="AO637" s="77"/>
      <c r="AP637" s="77"/>
      <c r="AQ637" s="77" t="s">
        <v>8360</v>
      </c>
      <c r="AR637" s="77"/>
      <c r="AS637" s="77"/>
      <c r="AT637" s="77"/>
      <c r="AU637" s="77"/>
      <c r="AV637" s="83" t="str">
        <f>HYPERLINK("https://pbs.twimg.com/media/F25R4QoXEAER2GN.jpg")</f>
        <v>https://pbs.twimg.com/media/F25R4QoXEAER2GN.jpg</v>
      </c>
      <c r="AW637" s="81" t="s">
        <v>9907</v>
      </c>
      <c r="AX637" s="81" t="s">
        <v>9907</v>
      </c>
      <c r="AY637" s="77"/>
      <c r="AZ637" s="81" t="s">
        <v>11359</v>
      </c>
      <c r="BA637" s="81" t="s">
        <v>11359</v>
      </c>
      <c r="BB637" s="81" t="s">
        <v>11359</v>
      </c>
      <c r="BC637" s="81" t="s">
        <v>9907</v>
      </c>
      <c r="BD637" s="77">
        <v>493423213</v>
      </c>
      <c r="BE637" s="77"/>
      <c r="BF637" s="77"/>
      <c r="BG637" s="77"/>
      <c r="BH637" s="77"/>
      <c r="BI637" s="77"/>
    </row>
    <row r="638" spans="1:61" x14ac:dyDescent="0.25">
      <c r="A638" s="62" t="s">
        <v>428</v>
      </c>
      <c r="B638" s="62" t="s">
        <v>428</v>
      </c>
      <c r="C638" s="63"/>
      <c r="D638" s="64"/>
      <c r="E638" s="65"/>
      <c r="F638" s="66"/>
      <c r="G638" s="63"/>
      <c r="H638" s="67"/>
      <c r="I638" s="68"/>
      <c r="J638" s="68"/>
      <c r="K638" s="32"/>
      <c r="L638" s="75">
        <v>638</v>
      </c>
      <c r="M638" s="75"/>
      <c r="N638" s="70"/>
      <c r="O638" s="77" t="s">
        <v>179</v>
      </c>
      <c r="P638" s="79">
        <v>45145.099756944444</v>
      </c>
      <c r="Q638" s="77" t="s">
        <v>1586</v>
      </c>
      <c r="R638" s="77">
        <v>0</v>
      </c>
      <c r="S638" s="77">
        <v>0</v>
      </c>
      <c r="T638" s="77">
        <v>0</v>
      </c>
      <c r="U638" s="77">
        <v>0</v>
      </c>
      <c r="V638" s="77">
        <v>66</v>
      </c>
      <c r="W638" s="81" t="s">
        <v>3254</v>
      </c>
      <c r="X638" s="77"/>
      <c r="Y638" s="77"/>
      <c r="Z638" s="77"/>
      <c r="AA638" s="77" t="s">
        <v>4858</v>
      </c>
      <c r="AB638" s="77" t="s">
        <v>5794</v>
      </c>
      <c r="AC638" s="81" t="s">
        <v>5805</v>
      </c>
      <c r="AD638" s="77" t="s">
        <v>5850</v>
      </c>
      <c r="AE638" s="83" t="str">
        <f>HYPERLINK("https://twitter.com/tneaar/status/1688375321064529921")</f>
        <v>https://twitter.com/tneaar/status/1688375321064529921</v>
      </c>
      <c r="AF638" s="79">
        <v>45145.099756944444</v>
      </c>
      <c r="AG638" s="85">
        <v>45145</v>
      </c>
      <c r="AH638" s="81" t="s">
        <v>6457</v>
      </c>
      <c r="AI638" s="77" t="b">
        <v>0</v>
      </c>
      <c r="AJ638" s="77"/>
      <c r="AK638" s="77"/>
      <c r="AL638" s="77"/>
      <c r="AM638" s="77"/>
      <c r="AN638" s="77"/>
      <c r="AO638" s="77"/>
      <c r="AP638" s="77"/>
      <c r="AQ638" s="77" t="s">
        <v>8361</v>
      </c>
      <c r="AR638" s="77"/>
      <c r="AS638" s="77"/>
      <c r="AT638" s="77"/>
      <c r="AU638" s="77"/>
      <c r="AV638" s="83" t="str">
        <f>HYPERLINK("https://pbs.twimg.com/media/F25QZ1ZWAAAlkxO.jpg")</f>
        <v>https://pbs.twimg.com/media/F25QZ1ZWAAAlkxO.jpg</v>
      </c>
      <c r="AW638" s="81" t="s">
        <v>9908</v>
      </c>
      <c r="AX638" s="81" t="s">
        <v>9908</v>
      </c>
      <c r="AY638" s="77"/>
      <c r="AZ638" s="81" t="s">
        <v>11359</v>
      </c>
      <c r="BA638" s="81" t="s">
        <v>11359</v>
      </c>
      <c r="BB638" s="81" t="s">
        <v>11359</v>
      </c>
      <c r="BC638" s="81" t="s">
        <v>9908</v>
      </c>
      <c r="BD638" s="77">
        <v>493423213</v>
      </c>
      <c r="BE638" s="77"/>
      <c r="BF638" s="77"/>
      <c r="BG638" s="77"/>
      <c r="BH638" s="77"/>
      <c r="BI638" s="77"/>
    </row>
    <row r="639" spans="1:61" x14ac:dyDescent="0.25">
      <c r="A639" s="62" t="s">
        <v>428</v>
      </c>
      <c r="B639" s="62" t="s">
        <v>428</v>
      </c>
      <c r="C639" s="63"/>
      <c r="D639" s="64"/>
      <c r="E639" s="65"/>
      <c r="F639" s="66"/>
      <c r="G639" s="63"/>
      <c r="H639" s="67"/>
      <c r="I639" s="68"/>
      <c r="J639" s="68"/>
      <c r="K639" s="32"/>
      <c r="L639" s="75">
        <v>639</v>
      </c>
      <c r="M639" s="75"/>
      <c r="N639" s="70"/>
      <c r="O639" s="77" t="s">
        <v>179</v>
      </c>
      <c r="P639" s="79">
        <v>45145.099016203705</v>
      </c>
      <c r="Q639" s="77" t="s">
        <v>1587</v>
      </c>
      <c r="R639" s="77">
        <v>0</v>
      </c>
      <c r="S639" s="77">
        <v>0</v>
      </c>
      <c r="T639" s="77">
        <v>0</v>
      </c>
      <c r="U639" s="77">
        <v>0</v>
      </c>
      <c r="V639" s="77">
        <v>50</v>
      </c>
      <c r="W639" s="81" t="s">
        <v>3307</v>
      </c>
      <c r="X639" s="77"/>
      <c r="Y639" s="77"/>
      <c r="Z639" s="77"/>
      <c r="AA639" s="77" t="s">
        <v>4859</v>
      </c>
      <c r="AB639" s="77" t="s">
        <v>5794</v>
      </c>
      <c r="AC639" s="81" t="s">
        <v>5805</v>
      </c>
      <c r="AD639" s="77" t="s">
        <v>5850</v>
      </c>
      <c r="AE639" s="83" t="str">
        <f>HYPERLINK("https://twitter.com/tneaar/status/1688375050745819136")</f>
        <v>https://twitter.com/tneaar/status/1688375050745819136</v>
      </c>
      <c r="AF639" s="79">
        <v>45145.099016203705</v>
      </c>
      <c r="AG639" s="85">
        <v>45145</v>
      </c>
      <c r="AH639" s="81" t="s">
        <v>6458</v>
      </c>
      <c r="AI639" s="77" t="b">
        <v>0</v>
      </c>
      <c r="AJ639" s="77"/>
      <c r="AK639" s="77"/>
      <c r="AL639" s="77"/>
      <c r="AM639" s="77"/>
      <c r="AN639" s="77"/>
      <c r="AO639" s="77"/>
      <c r="AP639" s="77"/>
      <c r="AQ639" s="77" t="s">
        <v>8362</v>
      </c>
      <c r="AR639" s="77"/>
      <c r="AS639" s="77"/>
      <c r="AT639" s="77"/>
      <c r="AU639" s="77"/>
      <c r="AV639" s="83" t="str">
        <f>HYPERLINK("https://pbs.twimg.com/media/F25QJ5-WsAAGh7H.jpg")</f>
        <v>https://pbs.twimg.com/media/F25QJ5-WsAAGh7H.jpg</v>
      </c>
      <c r="AW639" s="81" t="s">
        <v>9909</v>
      </c>
      <c r="AX639" s="81" t="s">
        <v>9909</v>
      </c>
      <c r="AY639" s="77"/>
      <c r="AZ639" s="81" t="s">
        <v>11359</v>
      </c>
      <c r="BA639" s="81" t="s">
        <v>11359</v>
      </c>
      <c r="BB639" s="81" t="s">
        <v>11359</v>
      </c>
      <c r="BC639" s="81" t="s">
        <v>9909</v>
      </c>
      <c r="BD639" s="77">
        <v>493423213</v>
      </c>
      <c r="BE639" s="77"/>
      <c r="BF639" s="77"/>
      <c r="BG639" s="77"/>
      <c r="BH639" s="77"/>
      <c r="BI639" s="77"/>
    </row>
    <row r="640" spans="1:61" x14ac:dyDescent="0.25">
      <c r="A640" s="62" t="s">
        <v>428</v>
      </c>
      <c r="B640" s="62" t="s">
        <v>428</v>
      </c>
      <c r="C640" s="63"/>
      <c r="D640" s="64"/>
      <c r="E640" s="65"/>
      <c r="F640" s="66"/>
      <c r="G640" s="63"/>
      <c r="H640" s="67"/>
      <c r="I640" s="68"/>
      <c r="J640" s="68"/>
      <c r="K640" s="32"/>
      <c r="L640" s="75">
        <v>640</v>
      </c>
      <c r="M640" s="75"/>
      <c r="N640" s="70"/>
      <c r="O640" s="77" t="s">
        <v>179</v>
      </c>
      <c r="P640" s="79">
        <v>45145.068854166668</v>
      </c>
      <c r="Q640" s="77" t="s">
        <v>1588</v>
      </c>
      <c r="R640" s="77">
        <v>0</v>
      </c>
      <c r="S640" s="77">
        <v>0</v>
      </c>
      <c r="T640" s="77">
        <v>0</v>
      </c>
      <c r="U640" s="77">
        <v>0</v>
      </c>
      <c r="V640" s="77">
        <v>49</v>
      </c>
      <c r="W640" s="81" t="s">
        <v>3261</v>
      </c>
      <c r="X640" s="77"/>
      <c r="Y640" s="77"/>
      <c r="Z640" s="77"/>
      <c r="AA640" s="77" t="s">
        <v>4860</v>
      </c>
      <c r="AB640" s="77" t="s">
        <v>5794</v>
      </c>
      <c r="AC640" s="81" t="s">
        <v>5805</v>
      </c>
      <c r="AD640" s="77" t="s">
        <v>5850</v>
      </c>
      <c r="AE640" s="83" t="str">
        <f>HYPERLINK("https://twitter.com/tneaar/status/1688364121446633472")</f>
        <v>https://twitter.com/tneaar/status/1688364121446633472</v>
      </c>
      <c r="AF640" s="79">
        <v>45145.068854166668</v>
      </c>
      <c r="AG640" s="85">
        <v>45145</v>
      </c>
      <c r="AH640" s="81" t="s">
        <v>6459</v>
      </c>
      <c r="AI640" s="77" t="b">
        <v>0</v>
      </c>
      <c r="AJ640" s="77"/>
      <c r="AK640" s="77"/>
      <c r="AL640" s="77"/>
      <c r="AM640" s="77"/>
      <c r="AN640" s="77"/>
      <c r="AO640" s="77"/>
      <c r="AP640" s="77"/>
      <c r="AQ640" s="77" t="s">
        <v>8363</v>
      </c>
      <c r="AR640" s="77"/>
      <c r="AS640" s="77"/>
      <c r="AT640" s="77"/>
      <c r="AU640" s="77"/>
      <c r="AV640" s="83" t="str">
        <f>HYPERLINK("https://pbs.twimg.com/media/F25GN3rXUAAQm7a.jpg")</f>
        <v>https://pbs.twimg.com/media/F25GN3rXUAAQm7a.jpg</v>
      </c>
      <c r="AW640" s="81" t="s">
        <v>9910</v>
      </c>
      <c r="AX640" s="81" t="s">
        <v>9910</v>
      </c>
      <c r="AY640" s="77"/>
      <c r="AZ640" s="81" t="s">
        <v>11359</v>
      </c>
      <c r="BA640" s="81" t="s">
        <v>11359</v>
      </c>
      <c r="BB640" s="81" t="s">
        <v>11359</v>
      </c>
      <c r="BC640" s="81" t="s">
        <v>9910</v>
      </c>
      <c r="BD640" s="77">
        <v>493423213</v>
      </c>
      <c r="BE640" s="77"/>
      <c r="BF640" s="77"/>
      <c r="BG640" s="77"/>
      <c r="BH640" s="77"/>
      <c r="BI640" s="77"/>
    </row>
    <row r="641" spans="1:61" x14ac:dyDescent="0.25">
      <c r="A641" s="62" t="s">
        <v>428</v>
      </c>
      <c r="B641" s="62" t="s">
        <v>428</v>
      </c>
      <c r="C641" s="63"/>
      <c r="D641" s="64"/>
      <c r="E641" s="65"/>
      <c r="F641" s="66"/>
      <c r="G641" s="63"/>
      <c r="H641" s="67"/>
      <c r="I641" s="68"/>
      <c r="J641" s="68"/>
      <c r="K641" s="32"/>
      <c r="L641" s="75">
        <v>641</v>
      </c>
      <c r="M641" s="75"/>
      <c r="N641" s="70"/>
      <c r="O641" s="77" t="s">
        <v>179</v>
      </c>
      <c r="P641" s="79">
        <v>45143.960266203707</v>
      </c>
      <c r="Q641" s="77" t="s">
        <v>1589</v>
      </c>
      <c r="R641" s="77">
        <v>0</v>
      </c>
      <c r="S641" s="77">
        <v>0</v>
      </c>
      <c r="T641" s="77">
        <v>0</v>
      </c>
      <c r="U641" s="77">
        <v>0</v>
      </c>
      <c r="V641" s="77">
        <v>104</v>
      </c>
      <c r="W641" s="81" t="s">
        <v>3261</v>
      </c>
      <c r="X641" s="77"/>
      <c r="Y641" s="77"/>
      <c r="Z641" s="77"/>
      <c r="AA641" s="77" t="s">
        <v>4861</v>
      </c>
      <c r="AB641" s="77" t="s">
        <v>5794</v>
      </c>
      <c r="AC641" s="81" t="s">
        <v>5805</v>
      </c>
      <c r="AD641" s="77" t="s">
        <v>5850</v>
      </c>
      <c r="AE641" s="83" t="str">
        <f>HYPERLINK("https://twitter.com/tneaar/status/1687962383895965696")</f>
        <v>https://twitter.com/tneaar/status/1687962383895965696</v>
      </c>
      <c r="AF641" s="79">
        <v>45143.960266203707</v>
      </c>
      <c r="AG641" s="85">
        <v>45143</v>
      </c>
      <c r="AH641" s="81" t="s">
        <v>6460</v>
      </c>
      <c r="AI641" s="77" t="b">
        <v>0</v>
      </c>
      <c r="AJ641" s="77"/>
      <c r="AK641" s="77"/>
      <c r="AL641" s="77"/>
      <c r="AM641" s="77"/>
      <c r="AN641" s="77"/>
      <c r="AO641" s="77"/>
      <c r="AP641" s="77"/>
      <c r="AQ641" s="77" t="s">
        <v>8364</v>
      </c>
      <c r="AR641" s="77"/>
      <c r="AS641" s="77"/>
      <c r="AT641" s="77"/>
      <c r="AU641" s="77"/>
      <c r="AV641" s="83" t="str">
        <f>HYPERLINK("https://pbs.twimg.com/media/F2zY1lRW8AAtpmX.jpg")</f>
        <v>https://pbs.twimg.com/media/F2zY1lRW8AAtpmX.jpg</v>
      </c>
      <c r="AW641" s="81" t="s">
        <v>9911</v>
      </c>
      <c r="AX641" s="81" t="s">
        <v>9911</v>
      </c>
      <c r="AY641" s="77"/>
      <c r="AZ641" s="81" t="s">
        <v>11359</v>
      </c>
      <c r="BA641" s="81" t="s">
        <v>11359</v>
      </c>
      <c r="BB641" s="81" t="s">
        <v>11359</v>
      </c>
      <c r="BC641" s="81" t="s">
        <v>9911</v>
      </c>
      <c r="BD641" s="77">
        <v>493423213</v>
      </c>
      <c r="BE641" s="77"/>
      <c r="BF641" s="77"/>
      <c r="BG641" s="77"/>
      <c r="BH641" s="77"/>
      <c r="BI641" s="77"/>
    </row>
    <row r="642" spans="1:61" x14ac:dyDescent="0.25">
      <c r="A642" s="62" t="s">
        <v>428</v>
      </c>
      <c r="B642" s="62" t="s">
        <v>428</v>
      </c>
      <c r="C642" s="63"/>
      <c r="D642" s="64"/>
      <c r="E642" s="65"/>
      <c r="F642" s="66"/>
      <c r="G642" s="63"/>
      <c r="H642" s="67"/>
      <c r="I642" s="68"/>
      <c r="J642" s="68"/>
      <c r="K642" s="32"/>
      <c r="L642" s="75">
        <v>642</v>
      </c>
      <c r="M642" s="75"/>
      <c r="N642" s="70"/>
      <c r="O642" s="77" t="s">
        <v>179</v>
      </c>
      <c r="P642" s="79">
        <v>45089.513993055552</v>
      </c>
      <c r="Q642" s="77" t="s">
        <v>1590</v>
      </c>
      <c r="R642" s="77">
        <v>0</v>
      </c>
      <c r="S642" s="77">
        <v>0</v>
      </c>
      <c r="T642" s="77">
        <v>0</v>
      </c>
      <c r="U642" s="77">
        <v>0</v>
      </c>
      <c r="V642" s="77">
        <v>40</v>
      </c>
      <c r="W642" s="81" t="s">
        <v>3266</v>
      </c>
      <c r="X642" s="77"/>
      <c r="Y642" s="77"/>
      <c r="Z642" s="77"/>
      <c r="AA642" s="77" t="s">
        <v>4862</v>
      </c>
      <c r="AB642" s="77" t="s">
        <v>5794</v>
      </c>
      <c r="AC642" s="81" t="s">
        <v>5805</v>
      </c>
      <c r="AD642" s="77" t="s">
        <v>5850</v>
      </c>
      <c r="AE642" s="83" t="str">
        <f>HYPERLINK("https://twitter.com/tneaar/status/1668231713674100736")</f>
        <v>https://twitter.com/tneaar/status/1668231713674100736</v>
      </c>
      <c r="AF642" s="79">
        <v>45089.513993055552</v>
      </c>
      <c r="AG642" s="85">
        <v>45089</v>
      </c>
      <c r="AH642" s="81" t="s">
        <v>6461</v>
      </c>
      <c r="AI642" s="77" t="b">
        <v>0</v>
      </c>
      <c r="AJ642" s="77"/>
      <c r="AK642" s="77"/>
      <c r="AL642" s="77"/>
      <c r="AM642" s="77"/>
      <c r="AN642" s="77"/>
      <c r="AO642" s="77"/>
      <c r="AP642" s="77"/>
      <c r="AQ642" s="77" t="s">
        <v>8365</v>
      </c>
      <c r="AR642" s="77"/>
      <c r="AS642" s="77"/>
      <c r="AT642" s="77"/>
      <c r="AU642" s="77"/>
      <c r="AV642" s="83" t="str">
        <f>HYPERLINK("https://pbs.twimg.com/media/Fya_4xlXsAMFomw.jpg")</f>
        <v>https://pbs.twimg.com/media/Fya_4xlXsAMFomw.jpg</v>
      </c>
      <c r="AW642" s="81" t="s">
        <v>9912</v>
      </c>
      <c r="AX642" s="81" t="s">
        <v>9912</v>
      </c>
      <c r="AY642" s="77"/>
      <c r="AZ642" s="81" t="s">
        <v>11359</v>
      </c>
      <c r="BA642" s="81" t="s">
        <v>11359</v>
      </c>
      <c r="BB642" s="81" t="s">
        <v>11359</v>
      </c>
      <c r="BC642" s="81" t="s">
        <v>9912</v>
      </c>
      <c r="BD642" s="77">
        <v>493423213</v>
      </c>
      <c r="BE642" s="77"/>
      <c r="BF642" s="77"/>
      <c r="BG642" s="77"/>
      <c r="BH642" s="77"/>
      <c r="BI642" s="77"/>
    </row>
    <row r="643" spans="1:61" x14ac:dyDescent="0.25">
      <c r="A643" s="62" t="s">
        <v>428</v>
      </c>
      <c r="B643" s="62" t="s">
        <v>428</v>
      </c>
      <c r="C643" s="63"/>
      <c r="D643" s="64"/>
      <c r="E643" s="65"/>
      <c r="F643" s="66"/>
      <c r="G643" s="63"/>
      <c r="H643" s="67"/>
      <c r="I643" s="68"/>
      <c r="J643" s="68"/>
      <c r="K643" s="32"/>
      <c r="L643" s="75">
        <v>643</v>
      </c>
      <c r="M643" s="75"/>
      <c r="N643" s="70"/>
      <c r="O643" s="77" t="s">
        <v>179</v>
      </c>
      <c r="P643" s="79">
        <v>45089.511886574073</v>
      </c>
      <c r="Q643" s="77" t="s">
        <v>1591</v>
      </c>
      <c r="R643" s="77">
        <v>0</v>
      </c>
      <c r="S643" s="77">
        <v>0</v>
      </c>
      <c r="T643" s="77">
        <v>0</v>
      </c>
      <c r="U643" s="77">
        <v>0</v>
      </c>
      <c r="V643" s="77">
        <v>53</v>
      </c>
      <c r="W643" s="81" t="s">
        <v>3265</v>
      </c>
      <c r="X643" s="77"/>
      <c r="Y643" s="77"/>
      <c r="Z643" s="77"/>
      <c r="AA643" s="77" t="s">
        <v>4863</v>
      </c>
      <c r="AB643" s="77" t="s">
        <v>5794</v>
      </c>
      <c r="AC643" s="81" t="s">
        <v>5805</v>
      </c>
      <c r="AD643" s="77" t="s">
        <v>5850</v>
      </c>
      <c r="AE643" s="83" t="str">
        <f>HYPERLINK("https://twitter.com/tneaar/status/1668230950583521281")</f>
        <v>https://twitter.com/tneaar/status/1668230950583521281</v>
      </c>
      <c r="AF643" s="79">
        <v>45089.511886574073</v>
      </c>
      <c r="AG643" s="85">
        <v>45089</v>
      </c>
      <c r="AH643" s="81" t="s">
        <v>6462</v>
      </c>
      <c r="AI643" s="77" t="b">
        <v>0</v>
      </c>
      <c r="AJ643" s="77"/>
      <c r="AK643" s="77"/>
      <c r="AL643" s="77"/>
      <c r="AM643" s="77"/>
      <c r="AN643" s="77"/>
      <c r="AO643" s="77"/>
      <c r="AP643" s="77"/>
      <c r="AQ643" s="77" t="s">
        <v>8366</v>
      </c>
      <c r="AR643" s="77"/>
      <c r="AS643" s="77"/>
      <c r="AT643" s="77"/>
      <c r="AU643" s="77"/>
      <c r="AV643" s="83" t="str">
        <f>HYPERLINK("https://pbs.twimg.com/media/Fya_MjkX0AEQYoH.jpg")</f>
        <v>https://pbs.twimg.com/media/Fya_MjkX0AEQYoH.jpg</v>
      </c>
      <c r="AW643" s="81" t="s">
        <v>9913</v>
      </c>
      <c r="AX643" s="81" t="s">
        <v>9913</v>
      </c>
      <c r="AY643" s="77"/>
      <c r="AZ643" s="81" t="s">
        <v>11359</v>
      </c>
      <c r="BA643" s="81" t="s">
        <v>11359</v>
      </c>
      <c r="BB643" s="81" t="s">
        <v>11359</v>
      </c>
      <c r="BC643" s="81" t="s">
        <v>9913</v>
      </c>
      <c r="BD643" s="77">
        <v>493423213</v>
      </c>
      <c r="BE643" s="77"/>
      <c r="BF643" s="77"/>
      <c r="BG643" s="77"/>
      <c r="BH643" s="77"/>
      <c r="BI643" s="77"/>
    </row>
    <row r="644" spans="1:61" x14ac:dyDescent="0.25">
      <c r="A644" s="62" t="s">
        <v>428</v>
      </c>
      <c r="B644" s="62" t="s">
        <v>428</v>
      </c>
      <c r="C644" s="63"/>
      <c r="D644" s="64"/>
      <c r="E644" s="65"/>
      <c r="F644" s="66"/>
      <c r="G644" s="63"/>
      <c r="H644" s="67"/>
      <c r="I644" s="68"/>
      <c r="J644" s="68"/>
      <c r="K644" s="32"/>
      <c r="L644" s="75">
        <v>644</v>
      </c>
      <c r="M644" s="75"/>
      <c r="N644" s="70"/>
      <c r="O644" s="77" t="s">
        <v>179</v>
      </c>
      <c r="P644" s="79">
        <v>45039.814050925925</v>
      </c>
      <c r="Q644" s="77" t="s">
        <v>1592</v>
      </c>
      <c r="R644" s="77">
        <v>0</v>
      </c>
      <c r="S644" s="77">
        <v>0</v>
      </c>
      <c r="T644" s="77">
        <v>0</v>
      </c>
      <c r="U644" s="77">
        <v>0</v>
      </c>
      <c r="V644" s="77">
        <v>73</v>
      </c>
      <c r="W644" s="81" t="s">
        <v>3268</v>
      </c>
      <c r="X644" s="83" t="str">
        <f>HYPERLINK("http://bit.ly/MA-vendedor-repartidor")</f>
        <v>http://bit.ly/MA-vendedor-repartidor</v>
      </c>
      <c r="Y644" s="77" t="s">
        <v>4213</v>
      </c>
      <c r="Z644" s="77"/>
      <c r="AA644" s="77" t="s">
        <v>4864</v>
      </c>
      <c r="AB644" s="77" t="s">
        <v>5794</v>
      </c>
      <c r="AC644" s="81" t="s">
        <v>5805</v>
      </c>
      <c r="AD644" s="77" t="s">
        <v>5850</v>
      </c>
      <c r="AE644" s="83" t="str">
        <f>HYPERLINK("https://twitter.com/tneaar/status/1650221056664252416")</f>
        <v>https://twitter.com/tneaar/status/1650221056664252416</v>
      </c>
      <c r="AF644" s="79">
        <v>45039.814050925925</v>
      </c>
      <c r="AG644" s="85">
        <v>45039</v>
      </c>
      <c r="AH644" s="81" t="s">
        <v>6463</v>
      </c>
      <c r="AI644" s="77" t="b">
        <v>0</v>
      </c>
      <c r="AJ644" s="77"/>
      <c r="AK644" s="77"/>
      <c r="AL644" s="77"/>
      <c r="AM644" s="77"/>
      <c r="AN644" s="77"/>
      <c r="AO644" s="77"/>
      <c r="AP644" s="77"/>
      <c r="AQ644" s="77" t="s">
        <v>8367</v>
      </c>
      <c r="AR644" s="77"/>
      <c r="AS644" s="77"/>
      <c r="AT644" s="77"/>
      <c r="AU644" s="77"/>
      <c r="AV644" s="83" t="str">
        <f>HYPERLINK("https://pbs.twimg.com/media/FubDTReWwAAtruy.jpg")</f>
        <v>https://pbs.twimg.com/media/FubDTReWwAAtruy.jpg</v>
      </c>
      <c r="AW644" s="81" t="s">
        <v>9914</v>
      </c>
      <c r="AX644" s="81" t="s">
        <v>9914</v>
      </c>
      <c r="AY644" s="77"/>
      <c r="AZ644" s="81" t="s">
        <v>11359</v>
      </c>
      <c r="BA644" s="81" t="s">
        <v>11359</v>
      </c>
      <c r="BB644" s="81" t="s">
        <v>11359</v>
      </c>
      <c r="BC644" s="81" t="s">
        <v>9914</v>
      </c>
      <c r="BD644" s="77">
        <v>493423213</v>
      </c>
      <c r="BE644" s="77"/>
      <c r="BF644" s="77"/>
      <c r="BG644" s="77"/>
      <c r="BH644" s="77"/>
      <c r="BI644" s="77"/>
    </row>
    <row r="645" spans="1:61" x14ac:dyDescent="0.25">
      <c r="A645" s="62" t="s">
        <v>428</v>
      </c>
      <c r="B645" s="62" t="s">
        <v>428</v>
      </c>
      <c r="C645" s="63"/>
      <c r="D645" s="64"/>
      <c r="E645" s="65"/>
      <c r="F645" s="66"/>
      <c r="G645" s="63"/>
      <c r="H645" s="67"/>
      <c r="I645" s="68"/>
      <c r="J645" s="68"/>
      <c r="K645" s="32"/>
      <c r="L645" s="75">
        <v>645</v>
      </c>
      <c r="M645" s="75"/>
      <c r="N645" s="70"/>
      <c r="O645" s="77" t="s">
        <v>179</v>
      </c>
      <c r="P645" s="79">
        <v>45039.804837962962</v>
      </c>
      <c r="Q645" s="77" t="s">
        <v>1593</v>
      </c>
      <c r="R645" s="77">
        <v>0</v>
      </c>
      <c r="S645" s="77">
        <v>0</v>
      </c>
      <c r="T645" s="77">
        <v>0</v>
      </c>
      <c r="U645" s="77">
        <v>0</v>
      </c>
      <c r="V645" s="77">
        <v>69</v>
      </c>
      <c r="W645" s="81" t="s">
        <v>3269</v>
      </c>
      <c r="X645" s="77"/>
      <c r="Y645" s="77"/>
      <c r="Z645" s="77"/>
      <c r="AA645" s="77" t="s">
        <v>4865</v>
      </c>
      <c r="AB645" s="77" t="s">
        <v>5794</v>
      </c>
      <c r="AC645" s="81" t="s">
        <v>5805</v>
      </c>
      <c r="AD645" s="77" t="s">
        <v>5850</v>
      </c>
      <c r="AE645" s="83" t="str">
        <f>HYPERLINK("https://twitter.com/tneaar/status/1650217720753926144")</f>
        <v>https://twitter.com/tneaar/status/1650217720753926144</v>
      </c>
      <c r="AF645" s="79">
        <v>45039.804837962962</v>
      </c>
      <c r="AG645" s="85">
        <v>45039</v>
      </c>
      <c r="AH645" s="81" t="s">
        <v>6464</v>
      </c>
      <c r="AI645" s="77" t="b">
        <v>0</v>
      </c>
      <c r="AJ645" s="77"/>
      <c r="AK645" s="77"/>
      <c r="AL645" s="77"/>
      <c r="AM645" s="77"/>
      <c r="AN645" s="77"/>
      <c r="AO645" s="77"/>
      <c r="AP645" s="77"/>
      <c r="AQ645" s="77" t="s">
        <v>8368</v>
      </c>
      <c r="AR645" s="77"/>
      <c r="AS645" s="77"/>
      <c r="AT645" s="77"/>
      <c r="AU645" s="77"/>
      <c r="AV645" s="83" t="str">
        <f>HYPERLINK("https://pbs.twimg.com/media/FubARFZX0AIROEo.jpg")</f>
        <v>https://pbs.twimg.com/media/FubARFZX0AIROEo.jpg</v>
      </c>
      <c r="AW645" s="81" t="s">
        <v>9915</v>
      </c>
      <c r="AX645" s="81" t="s">
        <v>9915</v>
      </c>
      <c r="AY645" s="77"/>
      <c r="AZ645" s="81" t="s">
        <v>11359</v>
      </c>
      <c r="BA645" s="81" t="s">
        <v>11359</v>
      </c>
      <c r="BB645" s="81" t="s">
        <v>11359</v>
      </c>
      <c r="BC645" s="81" t="s">
        <v>9915</v>
      </c>
      <c r="BD645" s="77">
        <v>493423213</v>
      </c>
      <c r="BE645" s="77"/>
      <c r="BF645" s="77"/>
      <c r="BG645" s="77"/>
      <c r="BH645" s="77"/>
      <c r="BI645" s="77"/>
    </row>
    <row r="646" spans="1:61" x14ac:dyDescent="0.25">
      <c r="A646" s="62" t="s">
        <v>428</v>
      </c>
      <c r="B646" s="62" t="s">
        <v>428</v>
      </c>
      <c r="C646" s="63"/>
      <c r="D646" s="64"/>
      <c r="E646" s="65"/>
      <c r="F646" s="66"/>
      <c r="G646" s="63"/>
      <c r="H646" s="67"/>
      <c r="I646" s="68"/>
      <c r="J646" s="68"/>
      <c r="K646" s="32"/>
      <c r="L646" s="75">
        <v>646</v>
      </c>
      <c r="M646" s="75"/>
      <c r="N646" s="70"/>
      <c r="O646" s="77" t="s">
        <v>179</v>
      </c>
      <c r="P646" s="79">
        <v>45039.786377314813</v>
      </c>
      <c r="Q646" s="77" t="s">
        <v>1594</v>
      </c>
      <c r="R646" s="77">
        <v>0</v>
      </c>
      <c r="S646" s="77">
        <v>0</v>
      </c>
      <c r="T646" s="77">
        <v>0</v>
      </c>
      <c r="U646" s="77">
        <v>0</v>
      </c>
      <c r="V646" s="77">
        <v>46</v>
      </c>
      <c r="W646" s="81" t="s">
        <v>3270</v>
      </c>
      <c r="X646" s="77"/>
      <c r="Y646" s="77"/>
      <c r="Z646" s="77"/>
      <c r="AA646" s="77" t="s">
        <v>4866</v>
      </c>
      <c r="AB646" s="77" t="s">
        <v>5794</v>
      </c>
      <c r="AC646" s="81" t="s">
        <v>5805</v>
      </c>
      <c r="AD646" s="77" t="s">
        <v>5850</v>
      </c>
      <c r="AE646" s="83" t="str">
        <f>HYPERLINK("https://twitter.com/tneaar/status/1650211031057039360")</f>
        <v>https://twitter.com/tneaar/status/1650211031057039360</v>
      </c>
      <c r="AF646" s="79">
        <v>45039.786377314813</v>
      </c>
      <c r="AG646" s="85">
        <v>45039</v>
      </c>
      <c r="AH646" s="81" t="s">
        <v>6465</v>
      </c>
      <c r="AI646" s="77" t="b">
        <v>0</v>
      </c>
      <c r="AJ646" s="77"/>
      <c r="AK646" s="77"/>
      <c r="AL646" s="77"/>
      <c r="AM646" s="77"/>
      <c r="AN646" s="77"/>
      <c r="AO646" s="77"/>
      <c r="AP646" s="77"/>
      <c r="AQ646" s="77" t="s">
        <v>8369</v>
      </c>
      <c r="AR646" s="77"/>
      <c r="AS646" s="77"/>
      <c r="AT646" s="77"/>
      <c r="AU646" s="77"/>
      <c r="AV646" s="83" t="str">
        <f>HYPERLINK("https://pbs.twimg.com/media/Fua6LhqWwAEj9l4.jpg")</f>
        <v>https://pbs.twimg.com/media/Fua6LhqWwAEj9l4.jpg</v>
      </c>
      <c r="AW646" s="81" t="s">
        <v>9916</v>
      </c>
      <c r="AX646" s="81" t="s">
        <v>9916</v>
      </c>
      <c r="AY646" s="77"/>
      <c r="AZ646" s="81" t="s">
        <v>11359</v>
      </c>
      <c r="BA646" s="81" t="s">
        <v>11359</v>
      </c>
      <c r="BB646" s="81" t="s">
        <v>11359</v>
      </c>
      <c r="BC646" s="81" t="s">
        <v>9916</v>
      </c>
      <c r="BD646" s="77">
        <v>493423213</v>
      </c>
      <c r="BE646" s="77"/>
      <c r="BF646" s="77"/>
      <c r="BG646" s="77"/>
      <c r="BH646" s="77"/>
      <c r="BI646" s="77"/>
    </row>
    <row r="647" spans="1:61" x14ac:dyDescent="0.25">
      <c r="A647" s="62" t="s">
        <v>428</v>
      </c>
      <c r="B647" s="62" t="s">
        <v>428</v>
      </c>
      <c r="C647" s="63"/>
      <c r="D647" s="64"/>
      <c r="E647" s="65"/>
      <c r="F647" s="66"/>
      <c r="G647" s="63"/>
      <c r="H647" s="67"/>
      <c r="I647" s="68"/>
      <c r="J647" s="68"/>
      <c r="K647" s="32"/>
      <c r="L647" s="75">
        <v>647</v>
      </c>
      <c r="M647" s="75"/>
      <c r="N647" s="70"/>
      <c r="O647" s="77" t="s">
        <v>179</v>
      </c>
      <c r="P647" s="79">
        <v>44994.981828703705</v>
      </c>
      <c r="Q647" s="77" t="s">
        <v>1595</v>
      </c>
      <c r="R647" s="77">
        <v>0</v>
      </c>
      <c r="S647" s="77">
        <v>0</v>
      </c>
      <c r="T647" s="77">
        <v>0</v>
      </c>
      <c r="U647" s="77">
        <v>0</v>
      </c>
      <c r="V647" s="77">
        <v>100</v>
      </c>
      <c r="W647" s="81" t="s">
        <v>3272</v>
      </c>
      <c r="X647" s="77"/>
      <c r="Y647" s="77"/>
      <c r="Z647" s="77"/>
      <c r="AA647" s="77" t="s">
        <v>4867</v>
      </c>
      <c r="AB647" s="77" t="s">
        <v>5794</v>
      </c>
      <c r="AC647" s="81" t="s">
        <v>5805</v>
      </c>
      <c r="AD647" s="77" t="s">
        <v>5850</v>
      </c>
      <c r="AE647" s="83" t="str">
        <f>HYPERLINK("https://twitter.com/tneaar/status/1633974405276549128")</f>
        <v>https://twitter.com/tneaar/status/1633974405276549128</v>
      </c>
      <c r="AF647" s="79">
        <v>44994.981828703705</v>
      </c>
      <c r="AG647" s="85">
        <v>44994</v>
      </c>
      <c r="AH647" s="81" t="s">
        <v>6466</v>
      </c>
      <c r="AI647" s="77" t="b">
        <v>0</v>
      </c>
      <c r="AJ647" s="77"/>
      <c r="AK647" s="77"/>
      <c r="AL647" s="77"/>
      <c r="AM647" s="77"/>
      <c r="AN647" s="77"/>
      <c r="AO647" s="77"/>
      <c r="AP647" s="77"/>
      <c r="AQ647" s="77" t="s">
        <v>8370</v>
      </c>
      <c r="AR647" s="77"/>
      <c r="AS647" s="77"/>
      <c r="AT647" s="77"/>
      <c r="AU647" s="77"/>
      <c r="AV647" s="83" t="str">
        <f>HYPERLINK("https://pbs.twimg.com/media/Fq0LDiEWYAA6WON.jpg")</f>
        <v>https://pbs.twimg.com/media/Fq0LDiEWYAA6WON.jpg</v>
      </c>
      <c r="AW647" s="81" t="s">
        <v>9917</v>
      </c>
      <c r="AX647" s="81" t="s">
        <v>9917</v>
      </c>
      <c r="AY647" s="77"/>
      <c r="AZ647" s="81" t="s">
        <v>11359</v>
      </c>
      <c r="BA647" s="81" t="s">
        <v>11359</v>
      </c>
      <c r="BB647" s="81" t="s">
        <v>11359</v>
      </c>
      <c r="BC647" s="81" t="s">
        <v>9917</v>
      </c>
      <c r="BD647" s="77">
        <v>493423213</v>
      </c>
      <c r="BE647" s="77"/>
      <c r="BF647" s="77"/>
      <c r="BG647" s="77"/>
      <c r="BH647" s="77"/>
      <c r="BI647" s="77"/>
    </row>
    <row r="648" spans="1:61" x14ac:dyDescent="0.25">
      <c r="A648" s="62" t="s">
        <v>428</v>
      </c>
      <c r="B648" s="62" t="s">
        <v>428</v>
      </c>
      <c r="C648" s="63"/>
      <c r="D648" s="64"/>
      <c r="E648" s="65"/>
      <c r="F648" s="66"/>
      <c r="G648" s="63"/>
      <c r="H648" s="67"/>
      <c r="I648" s="68"/>
      <c r="J648" s="68"/>
      <c r="K648" s="32"/>
      <c r="L648" s="75">
        <v>648</v>
      </c>
      <c r="M648" s="75"/>
      <c r="N648" s="70"/>
      <c r="O648" s="77" t="s">
        <v>179</v>
      </c>
      <c r="P648" s="79">
        <v>44994.968587962961</v>
      </c>
      <c r="Q648" s="77" t="s">
        <v>1596</v>
      </c>
      <c r="R648" s="77">
        <v>0</v>
      </c>
      <c r="S648" s="77">
        <v>0</v>
      </c>
      <c r="T648" s="77">
        <v>0</v>
      </c>
      <c r="U648" s="77">
        <v>0</v>
      </c>
      <c r="V648" s="77">
        <v>63</v>
      </c>
      <c r="W648" s="81" t="s">
        <v>3308</v>
      </c>
      <c r="X648" s="77" t="s">
        <v>4172</v>
      </c>
      <c r="Y648" s="77" t="s">
        <v>4267</v>
      </c>
      <c r="Z648" s="77"/>
      <c r="AA648" s="77" t="s">
        <v>4868</v>
      </c>
      <c r="AB648" s="77" t="s">
        <v>5794</v>
      </c>
      <c r="AC648" s="81" t="s">
        <v>5805</v>
      </c>
      <c r="AD648" s="77" t="s">
        <v>5850</v>
      </c>
      <c r="AE648" s="83" t="str">
        <f>HYPERLINK("https://twitter.com/tneaar/status/1633969605692600320")</f>
        <v>https://twitter.com/tneaar/status/1633969605692600320</v>
      </c>
      <c r="AF648" s="79">
        <v>44994.968587962961</v>
      </c>
      <c r="AG648" s="85">
        <v>44994</v>
      </c>
      <c r="AH648" s="81" t="s">
        <v>6467</v>
      </c>
      <c r="AI648" s="77" t="b">
        <v>0</v>
      </c>
      <c r="AJ648" s="77"/>
      <c r="AK648" s="77"/>
      <c r="AL648" s="77"/>
      <c r="AM648" s="77"/>
      <c r="AN648" s="77"/>
      <c r="AO648" s="77"/>
      <c r="AP648" s="77"/>
      <c r="AQ648" s="77" t="s">
        <v>8371</v>
      </c>
      <c r="AR648" s="77"/>
      <c r="AS648" s="77"/>
      <c r="AT648" s="77"/>
      <c r="AU648" s="77"/>
      <c r="AV648" s="83" t="str">
        <f>HYPERLINK("https://pbs.twimg.com/media/Fq0GsQuXsAIDR58.jpg")</f>
        <v>https://pbs.twimg.com/media/Fq0GsQuXsAIDR58.jpg</v>
      </c>
      <c r="AW648" s="81" t="s">
        <v>9918</v>
      </c>
      <c r="AX648" s="81" t="s">
        <v>9918</v>
      </c>
      <c r="AY648" s="77"/>
      <c r="AZ648" s="81" t="s">
        <v>11359</v>
      </c>
      <c r="BA648" s="81" t="s">
        <v>11359</v>
      </c>
      <c r="BB648" s="81" t="s">
        <v>11359</v>
      </c>
      <c r="BC648" s="81" t="s">
        <v>9918</v>
      </c>
      <c r="BD648" s="77">
        <v>493423213</v>
      </c>
      <c r="BE648" s="77"/>
      <c r="BF648" s="77"/>
      <c r="BG648" s="77"/>
      <c r="BH648" s="77"/>
      <c r="BI648" s="77"/>
    </row>
    <row r="649" spans="1:61" x14ac:dyDescent="0.25">
      <c r="A649" s="62" t="s">
        <v>428</v>
      </c>
      <c r="B649" s="62" t="s">
        <v>428</v>
      </c>
      <c r="C649" s="63"/>
      <c r="D649" s="64"/>
      <c r="E649" s="65"/>
      <c r="F649" s="66"/>
      <c r="G649" s="63"/>
      <c r="H649" s="67"/>
      <c r="I649" s="68"/>
      <c r="J649" s="68"/>
      <c r="K649" s="32"/>
      <c r="L649" s="75">
        <v>649</v>
      </c>
      <c r="M649" s="75"/>
      <c r="N649" s="70"/>
      <c r="O649" s="77" t="s">
        <v>179</v>
      </c>
      <c r="P649" s="79">
        <v>44990.916018518517</v>
      </c>
      <c r="Q649" s="77" t="s">
        <v>1597</v>
      </c>
      <c r="R649" s="77">
        <v>0</v>
      </c>
      <c r="S649" s="77">
        <v>0</v>
      </c>
      <c r="T649" s="77">
        <v>0</v>
      </c>
      <c r="U649" s="77">
        <v>0</v>
      </c>
      <c r="V649" s="77">
        <v>48</v>
      </c>
      <c r="W649" s="81" t="s">
        <v>3248</v>
      </c>
      <c r="X649" s="77"/>
      <c r="Y649" s="77"/>
      <c r="Z649" s="77"/>
      <c r="AA649" s="77" t="s">
        <v>4869</v>
      </c>
      <c r="AB649" s="77" t="s">
        <v>5794</v>
      </c>
      <c r="AC649" s="81" t="s">
        <v>5805</v>
      </c>
      <c r="AD649" s="77" t="s">
        <v>5850</v>
      </c>
      <c r="AE649" s="83" t="str">
        <f>HYPERLINK("https://twitter.com/tneaar/status/1632501002736640001")</f>
        <v>https://twitter.com/tneaar/status/1632501002736640001</v>
      </c>
      <c r="AF649" s="79">
        <v>44990.916018518517</v>
      </c>
      <c r="AG649" s="85">
        <v>44990</v>
      </c>
      <c r="AH649" s="81" t="s">
        <v>6468</v>
      </c>
      <c r="AI649" s="77" t="b">
        <v>0</v>
      </c>
      <c r="AJ649" s="77"/>
      <c r="AK649" s="77"/>
      <c r="AL649" s="77"/>
      <c r="AM649" s="77"/>
      <c r="AN649" s="77"/>
      <c r="AO649" s="77"/>
      <c r="AP649" s="77"/>
      <c r="AQ649" s="77" t="s">
        <v>8372</v>
      </c>
      <c r="AR649" s="77"/>
      <c r="AS649" s="77"/>
      <c r="AT649" s="77"/>
      <c r="AU649" s="77"/>
      <c r="AV649" s="83" t="str">
        <f>HYPERLINK("https://pbs.twimg.com/media/FqfPAbTXgAAQb8g.jpg")</f>
        <v>https://pbs.twimg.com/media/FqfPAbTXgAAQb8g.jpg</v>
      </c>
      <c r="AW649" s="81" t="s">
        <v>9919</v>
      </c>
      <c r="AX649" s="81" t="s">
        <v>9919</v>
      </c>
      <c r="AY649" s="77"/>
      <c r="AZ649" s="81" t="s">
        <v>11359</v>
      </c>
      <c r="BA649" s="81" t="s">
        <v>11359</v>
      </c>
      <c r="BB649" s="81" t="s">
        <v>11359</v>
      </c>
      <c r="BC649" s="81" t="s">
        <v>9919</v>
      </c>
      <c r="BD649" s="77">
        <v>493423213</v>
      </c>
      <c r="BE649" s="77"/>
      <c r="BF649" s="77"/>
      <c r="BG649" s="77"/>
      <c r="BH649" s="77"/>
      <c r="BI649" s="77"/>
    </row>
    <row r="650" spans="1:61" x14ac:dyDescent="0.25">
      <c r="A650" s="62" t="s">
        <v>428</v>
      </c>
      <c r="B650" s="62" t="s">
        <v>428</v>
      </c>
      <c r="C650" s="63"/>
      <c r="D650" s="64"/>
      <c r="E650" s="65"/>
      <c r="F650" s="66"/>
      <c r="G650" s="63"/>
      <c r="H650" s="67"/>
      <c r="I650" s="68"/>
      <c r="J650" s="68"/>
      <c r="K650" s="32"/>
      <c r="L650" s="75">
        <v>650</v>
      </c>
      <c r="M650" s="75"/>
      <c r="N650" s="70"/>
      <c r="O650" s="77" t="s">
        <v>179</v>
      </c>
      <c r="P650" s="79">
        <v>44989.827361111114</v>
      </c>
      <c r="Q650" s="77" t="s">
        <v>1598</v>
      </c>
      <c r="R650" s="77">
        <v>1</v>
      </c>
      <c r="S650" s="77">
        <v>0</v>
      </c>
      <c r="T650" s="77">
        <v>0</v>
      </c>
      <c r="U650" s="77">
        <v>0</v>
      </c>
      <c r="V650" s="77">
        <v>87</v>
      </c>
      <c r="W650" s="81" t="s">
        <v>3248</v>
      </c>
      <c r="X650" s="77"/>
      <c r="Y650" s="77"/>
      <c r="Z650" s="77"/>
      <c r="AA650" s="77" t="s">
        <v>4870</v>
      </c>
      <c r="AB650" s="77" t="s">
        <v>5794</v>
      </c>
      <c r="AC650" s="81" t="s">
        <v>5805</v>
      </c>
      <c r="AD650" s="77" t="s">
        <v>5850</v>
      </c>
      <c r="AE650" s="83" t="str">
        <f>HYPERLINK("https://twitter.com/tneaar/status/1632106487739719680")</f>
        <v>https://twitter.com/tneaar/status/1632106487739719680</v>
      </c>
      <c r="AF650" s="79">
        <v>44989.827361111114</v>
      </c>
      <c r="AG650" s="85">
        <v>44989</v>
      </c>
      <c r="AH650" s="81" t="s">
        <v>6469</v>
      </c>
      <c r="AI650" s="77" t="b">
        <v>0</v>
      </c>
      <c r="AJ650" s="77"/>
      <c r="AK650" s="77"/>
      <c r="AL650" s="77"/>
      <c r="AM650" s="77"/>
      <c r="AN650" s="77"/>
      <c r="AO650" s="77"/>
      <c r="AP650" s="77"/>
      <c r="AQ650" s="77" t="s">
        <v>8373</v>
      </c>
      <c r="AR650" s="77"/>
      <c r="AS650" s="77"/>
      <c r="AT650" s="77"/>
      <c r="AU650" s="77"/>
      <c r="AV650" s="83" t="str">
        <f>HYPERLINK("https://pbs.twimg.com/media/FqZoMj-WcAIsOUR.jpg")</f>
        <v>https://pbs.twimg.com/media/FqZoMj-WcAIsOUR.jpg</v>
      </c>
      <c r="AW650" s="81" t="s">
        <v>9920</v>
      </c>
      <c r="AX650" s="81" t="s">
        <v>9920</v>
      </c>
      <c r="AY650" s="77"/>
      <c r="AZ650" s="81" t="s">
        <v>11359</v>
      </c>
      <c r="BA650" s="81" t="s">
        <v>11359</v>
      </c>
      <c r="BB650" s="81" t="s">
        <v>11359</v>
      </c>
      <c r="BC650" s="81" t="s">
        <v>9920</v>
      </c>
      <c r="BD650" s="77">
        <v>493423213</v>
      </c>
      <c r="BE650" s="77"/>
      <c r="BF650" s="77"/>
      <c r="BG650" s="77"/>
      <c r="BH650" s="77"/>
      <c r="BI650" s="77"/>
    </row>
    <row r="651" spans="1:61" x14ac:dyDescent="0.25">
      <c r="A651" s="62" t="s">
        <v>428</v>
      </c>
      <c r="B651" s="62" t="s">
        <v>428</v>
      </c>
      <c r="C651" s="63"/>
      <c r="D651" s="64"/>
      <c r="E651" s="65"/>
      <c r="F651" s="66"/>
      <c r="G651" s="63"/>
      <c r="H651" s="67"/>
      <c r="I651" s="68"/>
      <c r="J651" s="68"/>
      <c r="K651" s="32"/>
      <c r="L651" s="75">
        <v>651</v>
      </c>
      <c r="M651" s="75"/>
      <c r="N651" s="70"/>
      <c r="O651" s="77" t="s">
        <v>179</v>
      </c>
      <c r="P651" s="79">
        <v>45196.851539351854</v>
      </c>
      <c r="Q651" s="77" t="s">
        <v>1599</v>
      </c>
      <c r="R651" s="77">
        <v>0</v>
      </c>
      <c r="S651" s="77">
        <v>0</v>
      </c>
      <c r="T651" s="77">
        <v>0</v>
      </c>
      <c r="U651" s="77">
        <v>0</v>
      </c>
      <c r="V651" s="77">
        <v>35</v>
      </c>
      <c r="W651" s="81" t="s">
        <v>3309</v>
      </c>
      <c r="X651" s="77"/>
      <c r="Y651" s="77"/>
      <c r="Z651" s="77"/>
      <c r="AA651" s="77" t="s">
        <v>4871</v>
      </c>
      <c r="AB651" s="77" t="s">
        <v>5794</v>
      </c>
      <c r="AC651" s="81" t="s">
        <v>5805</v>
      </c>
      <c r="AD651" s="77" t="s">
        <v>5850</v>
      </c>
      <c r="AE651" s="83" t="str">
        <f>HYPERLINK("https://twitter.com/tneaar/status/1707129538386272364")</f>
        <v>https://twitter.com/tneaar/status/1707129538386272364</v>
      </c>
      <c r="AF651" s="79">
        <v>45196.851539351854</v>
      </c>
      <c r="AG651" s="85">
        <v>45196</v>
      </c>
      <c r="AH651" s="81" t="s">
        <v>6470</v>
      </c>
      <c r="AI651" s="77" t="b">
        <v>0</v>
      </c>
      <c r="AJ651" s="77"/>
      <c r="AK651" s="77"/>
      <c r="AL651" s="77"/>
      <c r="AM651" s="77"/>
      <c r="AN651" s="77"/>
      <c r="AO651" s="77"/>
      <c r="AP651" s="77"/>
      <c r="AQ651" s="77" t="s">
        <v>8374</v>
      </c>
      <c r="AR651" s="77"/>
      <c r="AS651" s="77"/>
      <c r="AT651" s="77"/>
      <c r="AU651" s="77"/>
      <c r="AV651" s="83" t="str">
        <f>HYPERLINK("https://pbs.twimg.com/media/F7DxQ2KWAAAen57.png")</f>
        <v>https://pbs.twimg.com/media/F7DxQ2KWAAAen57.png</v>
      </c>
      <c r="AW651" s="81" t="s">
        <v>9921</v>
      </c>
      <c r="AX651" s="81" t="s">
        <v>9921</v>
      </c>
      <c r="AY651" s="77"/>
      <c r="AZ651" s="81" t="s">
        <v>11359</v>
      </c>
      <c r="BA651" s="81" t="s">
        <v>11359</v>
      </c>
      <c r="BB651" s="81" t="s">
        <v>11359</v>
      </c>
      <c r="BC651" s="81" t="s">
        <v>9921</v>
      </c>
      <c r="BD651" s="77">
        <v>493423213</v>
      </c>
      <c r="BE651" s="77"/>
      <c r="BF651" s="77"/>
      <c r="BG651" s="77"/>
      <c r="BH651" s="77"/>
      <c r="BI651" s="77"/>
    </row>
    <row r="652" spans="1:61" x14ac:dyDescent="0.25">
      <c r="A652" s="62" t="s">
        <v>428</v>
      </c>
      <c r="B652" s="62" t="s">
        <v>428</v>
      </c>
      <c r="C652" s="63"/>
      <c r="D652" s="64"/>
      <c r="E652" s="65"/>
      <c r="F652" s="66"/>
      <c r="G652" s="63"/>
      <c r="H652" s="67"/>
      <c r="I652" s="68"/>
      <c r="J652" s="68"/>
      <c r="K652" s="32"/>
      <c r="L652" s="75">
        <v>652</v>
      </c>
      <c r="M652" s="75"/>
      <c r="N652" s="70"/>
      <c r="O652" s="77" t="s">
        <v>179</v>
      </c>
      <c r="P652" s="79">
        <v>45188.603993055556</v>
      </c>
      <c r="Q652" s="77" t="s">
        <v>1600</v>
      </c>
      <c r="R652" s="77">
        <v>0</v>
      </c>
      <c r="S652" s="77">
        <v>0</v>
      </c>
      <c r="T652" s="77">
        <v>0</v>
      </c>
      <c r="U652" s="77">
        <v>0</v>
      </c>
      <c r="V652" s="77">
        <v>68</v>
      </c>
      <c r="W652" s="81" t="s">
        <v>3310</v>
      </c>
      <c r="X652" s="77"/>
      <c r="Y652" s="77"/>
      <c r="Z652" s="77"/>
      <c r="AA652" s="77" t="s">
        <v>4872</v>
      </c>
      <c r="AB652" s="77" t="s">
        <v>5794</v>
      </c>
      <c r="AC652" s="81" t="s">
        <v>5805</v>
      </c>
      <c r="AD652" s="77" t="s">
        <v>5850</v>
      </c>
      <c r="AE652" s="83" t="str">
        <f>HYPERLINK("https://twitter.com/tneaar/status/1704140729335890378")</f>
        <v>https://twitter.com/tneaar/status/1704140729335890378</v>
      </c>
      <c r="AF652" s="79">
        <v>45188.603993055556</v>
      </c>
      <c r="AG652" s="85">
        <v>45188</v>
      </c>
      <c r="AH652" s="81" t="s">
        <v>6471</v>
      </c>
      <c r="AI652" s="77" t="b">
        <v>0</v>
      </c>
      <c r="AJ652" s="77"/>
      <c r="AK652" s="77"/>
      <c r="AL652" s="77"/>
      <c r="AM652" s="77"/>
      <c r="AN652" s="77"/>
      <c r="AO652" s="77"/>
      <c r="AP652" s="77"/>
      <c r="AQ652" s="77" t="s">
        <v>8375</v>
      </c>
      <c r="AR652" s="77"/>
      <c r="AS652" s="77"/>
      <c r="AT652" s="77"/>
      <c r="AU652" s="77"/>
      <c r="AV652" s="83" t="str">
        <f>HYPERLINK("https://pbs.twimg.com/media/F6ZS9RfX0AEzpoD.jpg")</f>
        <v>https://pbs.twimg.com/media/F6ZS9RfX0AEzpoD.jpg</v>
      </c>
      <c r="AW652" s="81" t="s">
        <v>9922</v>
      </c>
      <c r="AX652" s="81" t="s">
        <v>9922</v>
      </c>
      <c r="AY652" s="77"/>
      <c r="AZ652" s="81" t="s">
        <v>11359</v>
      </c>
      <c r="BA652" s="81" t="s">
        <v>11359</v>
      </c>
      <c r="BB652" s="81" t="s">
        <v>11359</v>
      </c>
      <c r="BC652" s="81" t="s">
        <v>9922</v>
      </c>
      <c r="BD652" s="77">
        <v>493423213</v>
      </c>
      <c r="BE652" s="77"/>
      <c r="BF652" s="77"/>
      <c r="BG652" s="77"/>
      <c r="BH652" s="77"/>
      <c r="BI652" s="77"/>
    </row>
    <row r="653" spans="1:61" x14ac:dyDescent="0.25">
      <c r="A653" s="62" t="s">
        <v>428</v>
      </c>
      <c r="B653" s="62" t="s">
        <v>428</v>
      </c>
      <c r="C653" s="63"/>
      <c r="D653" s="64"/>
      <c r="E653" s="65"/>
      <c r="F653" s="66"/>
      <c r="G653" s="63"/>
      <c r="H653" s="67"/>
      <c r="I653" s="68"/>
      <c r="J653" s="68"/>
      <c r="K653" s="32"/>
      <c r="L653" s="75">
        <v>653</v>
      </c>
      <c r="M653" s="75"/>
      <c r="N653" s="70"/>
      <c r="O653" s="77" t="s">
        <v>179</v>
      </c>
      <c r="P653" s="79">
        <v>45186.628229166665</v>
      </c>
      <c r="Q653" s="77" t="s">
        <v>1601</v>
      </c>
      <c r="R653" s="77">
        <v>0</v>
      </c>
      <c r="S653" s="77">
        <v>0</v>
      </c>
      <c r="T653" s="77">
        <v>0</v>
      </c>
      <c r="U653" s="77">
        <v>0</v>
      </c>
      <c r="V653" s="77">
        <v>72</v>
      </c>
      <c r="W653" s="81" t="s">
        <v>3288</v>
      </c>
      <c r="X653" s="77"/>
      <c r="Y653" s="77"/>
      <c r="Z653" s="77"/>
      <c r="AA653" s="77" t="s">
        <v>4873</v>
      </c>
      <c r="AB653" s="77" t="s">
        <v>5794</v>
      </c>
      <c r="AC653" s="81" t="s">
        <v>5805</v>
      </c>
      <c r="AD653" s="77" t="s">
        <v>5850</v>
      </c>
      <c r="AE653" s="83" t="str">
        <f>HYPERLINK("https://twitter.com/tneaar/status/1703424734560481290")</f>
        <v>https://twitter.com/tneaar/status/1703424734560481290</v>
      </c>
      <c r="AF653" s="79">
        <v>45186.628229166665</v>
      </c>
      <c r="AG653" s="85">
        <v>45186</v>
      </c>
      <c r="AH653" s="81" t="s">
        <v>6472</v>
      </c>
      <c r="AI653" s="77" t="b">
        <v>0</v>
      </c>
      <c r="AJ653" s="77"/>
      <c r="AK653" s="77"/>
      <c r="AL653" s="77"/>
      <c r="AM653" s="77"/>
      <c r="AN653" s="77"/>
      <c r="AO653" s="77"/>
      <c r="AP653" s="77"/>
      <c r="AQ653" s="77" t="s">
        <v>8376</v>
      </c>
      <c r="AR653" s="77"/>
      <c r="AS653" s="77"/>
      <c r="AT653" s="77"/>
      <c r="AU653" s="77"/>
      <c r="AV653" s="83" t="str">
        <f>HYPERLINK("https://pbs.twimg.com/media/F6PHw6jXUAAcjp-.jpg")</f>
        <v>https://pbs.twimg.com/media/F6PHw6jXUAAcjp-.jpg</v>
      </c>
      <c r="AW653" s="81" t="s">
        <v>9923</v>
      </c>
      <c r="AX653" s="81" t="s">
        <v>9923</v>
      </c>
      <c r="AY653" s="77"/>
      <c r="AZ653" s="81" t="s">
        <v>11359</v>
      </c>
      <c r="BA653" s="81" t="s">
        <v>11359</v>
      </c>
      <c r="BB653" s="81" t="s">
        <v>11359</v>
      </c>
      <c r="BC653" s="81" t="s">
        <v>9923</v>
      </c>
      <c r="BD653" s="77">
        <v>493423213</v>
      </c>
      <c r="BE653" s="77"/>
      <c r="BF653" s="77"/>
      <c r="BG653" s="77"/>
      <c r="BH653" s="77"/>
      <c r="BI653" s="77"/>
    </row>
    <row r="654" spans="1:61" x14ac:dyDescent="0.25">
      <c r="A654" s="62" t="s">
        <v>428</v>
      </c>
      <c r="B654" s="62" t="s">
        <v>428</v>
      </c>
      <c r="C654" s="63"/>
      <c r="D654" s="64"/>
      <c r="E654" s="65"/>
      <c r="F654" s="66"/>
      <c r="G654" s="63"/>
      <c r="H654" s="67"/>
      <c r="I654" s="68"/>
      <c r="J654" s="68"/>
      <c r="K654" s="32"/>
      <c r="L654" s="75">
        <v>654</v>
      </c>
      <c r="M654" s="75"/>
      <c r="N654" s="70"/>
      <c r="O654" s="77" t="s">
        <v>179</v>
      </c>
      <c r="P654" s="79">
        <v>45186.627604166664</v>
      </c>
      <c r="Q654" s="77" t="s">
        <v>1602</v>
      </c>
      <c r="R654" s="77">
        <v>0</v>
      </c>
      <c r="S654" s="77">
        <v>0</v>
      </c>
      <c r="T654" s="77">
        <v>0</v>
      </c>
      <c r="U654" s="77">
        <v>0</v>
      </c>
      <c r="V654" s="77">
        <v>63</v>
      </c>
      <c r="W654" s="81" t="s">
        <v>3252</v>
      </c>
      <c r="X654" s="77"/>
      <c r="Y654" s="77"/>
      <c r="Z654" s="77"/>
      <c r="AA654" s="77" t="s">
        <v>4874</v>
      </c>
      <c r="AB654" s="77" t="s">
        <v>5794</v>
      </c>
      <c r="AC654" s="81" t="s">
        <v>5805</v>
      </c>
      <c r="AD654" s="77" t="s">
        <v>5850</v>
      </c>
      <c r="AE654" s="83" t="str">
        <f>HYPERLINK("https://twitter.com/tneaar/status/1703424506088275997")</f>
        <v>https://twitter.com/tneaar/status/1703424506088275997</v>
      </c>
      <c r="AF654" s="79">
        <v>45186.627604166664</v>
      </c>
      <c r="AG654" s="85">
        <v>45186</v>
      </c>
      <c r="AH654" s="81" t="s">
        <v>6473</v>
      </c>
      <c r="AI654" s="77" t="b">
        <v>0</v>
      </c>
      <c r="AJ654" s="77"/>
      <c r="AK654" s="77"/>
      <c r="AL654" s="77"/>
      <c r="AM654" s="77"/>
      <c r="AN654" s="77"/>
      <c r="AO654" s="77"/>
      <c r="AP654" s="77"/>
      <c r="AQ654" s="77" t="s">
        <v>8377</v>
      </c>
      <c r="AR654" s="77"/>
      <c r="AS654" s="77"/>
      <c r="AT654" s="77"/>
      <c r="AU654" s="77"/>
      <c r="AV654" s="83" t="str">
        <f>HYPERLINK("https://pbs.twimg.com/media/F6PHjmeXwAArq7k.jpg")</f>
        <v>https://pbs.twimg.com/media/F6PHjmeXwAArq7k.jpg</v>
      </c>
      <c r="AW654" s="81" t="s">
        <v>9924</v>
      </c>
      <c r="AX654" s="81" t="s">
        <v>9924</v>
      </c>
      <c r="AY654" s="77"/>
      <c r="AZ654" s="81" t="s">
        <v>11359</v>
      </c>
      <c r="BA654" s="81" t="s">
        <v>11359</v>
      </c>
      <c r="BB654" s="81" t="s">
        <v>11359</v>
      </c>
      <c r="BC654" s="81" t="s">
        <v>9924</v>
      </c>
      <c r="BD654" s="77">
        <v>493423213</v>
      </c>
      <c r="BE654" s="77"/>
      <c r="BF654" s="77"/>
      <c r="BG654" s="77"/>
      <c r="BH654" s="77"/>
      <c r="BI654" s="77"/>
    </row>
    <row r="655" spans="1:61" x14ac:dyDescent="0.25">
      <c r="A655" s="62" t="s">
        <v>428</v>
      </c>
      <c r="B655" s="62" t="s">
        <v>428</v>
      </c>
      <c r="C655" s="63"/>
      <c r="D655" s="64"/>
      <c r="E655" s="65"/>
      <c r="F655" s="66"/>
      <c r="G655" s="63"/>
      <c r="H655" s="67"/>
      <c r="I655" s="68"/>
      <c r="J655" s="68"/>
      <c r="K655" s="32"/>
      <c r="L655" s="75">
        <v>655</v>
      </c>
      <c r="M655" s="75"/>
      <c r="N655" s="70"/>
      <c r="O655" s="77" t="s">
        <v>179</v>
      </c>
      <c r="P655" s="79">
        <v>45186.605138888888</v>
      </c>
      <c r="Q655" s="77" t="s">
        <v>1603</v>
      </c>
      <c r="R655" s="77">
        <v>0</v>
      </c>
      <c r="S655" s="77">
        <v>0</v>
      </c>
      <c r="T655" s="77">
        <v>0</v>
      </c>
      <c r="U655" s="77">
        <v>0</v>
      </c>
      <c r="V655" s="77">
        <v>54</v>
      </c>
      <c r="W655" s="81" t="s">
        <v>3279</v>
      </c>
      <c r="X655" s="77"/>
      <c r="Y655" s="77"/>
      <c r="Z655" s="77"/>
      <c r="AA655" s="77" t="s">
        <v>4875</v>
      </c>
      <c r="AB655" s="77" t="s">
        <v>5794</v>
      </c>
      <c r="AC655" s="81" t="s">
        <v>5805</v>
      </c>
      <c r="AD655" s="77" t="s">
        <v>5850</v>
      </c>
      <c r="AE655" s="83" t="str">
        <f>HYPERLINK("https://twitter.com/tneaar/status/1703416368261955670")</f>
        <v>https://twitter.com/tneaar/status/1703416368261955670</v>
      </c>
      <c r="AF655" s="79">
        <v>45186.605138888888</v>
      </c>
      <c r="AG655" s="85">
        <v>45186</v>
      </c>
      <c r="AH655" s="81" t="s">
        <v>6474</v>
      </c>
      <c r="AI655" s="77" t="b">
        <v>0</v>
      </c>
      <c r="AJ655" s="77"/>
      <c r="AK655" s="77"/>
      <c r="AL655" s="77"/>
      <c r="AM655" s="77"/>
      <c r="AN655" s="77"/>
      <c r="AO655" s="77"/>
      <c r="AP655" s="77"/>
      <c r="AQ655" s="77" t="s">
        <v>8378</v>
      </c>
      <c r="AR655" s="77"/>
      <c r="AS655" s="77"/>
      <c r="AT655" s="77"/>
      <c r="AU655" s="77"/>
      <c r="AV655" s="83" t="str">
        <f>HYPERLINK("https://pbs.twimg.com/media/F6PAIUbWgAIWE5q.jpg")</f>
        <v>https://pbs.twimg.com/media/F6PAIUbWgAIWE5q.jpg</v>
      </c>
      <c r="AW655" s="81" t="s">
        <v>9925</v>
      </c>
      <c r="AX655" s="81" t="s">
        <v>9925</v>
      </c>
      <c r="AY655" s="77"/>
      <c r="AZ655" s="81" t="s">
        <v>11359</v>
      </c>
      <c r="BA655" s="81" t="s">
        <v>11359</v>
      </c>
      <c r="BB655" s="81" t="s">
        <v>11359</v>
      </c>
      <c r="BC655" s="81" t="s">
        <v>9925</v>
      </c>
      <c r="BD655" s="77">
        <v>493423213</v>
      </c>
      <c r="BE655" s="77"/>
      <c r="BF655" s="77"/>
      <c r="BG655" s="77"/>
      <c r="BH655" s="77"/>
      <c r="BI655" s="77"/>
    </row>
    <row r="656" spans="1:61" x14ac:dyDescent="0.25">
      <c r="A656" s="62" t="s">
        <v>428</v>
      </c>
      <c r="B656" s="62" t="s">
        <v>428</v>
      </c>
      <c r="C656" s="63"/>
      <c r="D656" s="64"/>
      <c r="E656" s="65"/>
      <c r="F656" s="66"/>
      <c r="G656" s="63"/>
      <c r="H656" s="67"/>
      <c r="I656" s="68"/>
      <c r="J656" s="68"/>
      <c r="K656" s="32"/>
      <c r="L656" s="75">
        <v>656</v>
      </c>
      <c r="M656" s="75"/>
      <c r="N656" s="70"/>
      <c r="O656" s="77" t="s">
        <v>179</v>
      </c>
      <c r="P656" s="79">
        <v>45180.570300925923</v>
      </c>
      <c r="Q656" s="77" t="s">
        <v>1604</v>
      </c>
      <c r="R656" s="77">
        <v>0</v>
      </c>
      <c r="S656" s="77">
        <v>0</v>
      </c>
      <c r="T656" s="77">
        <v>0</v>
      </c>
      <c r="U656" s="77">
        <v>0</v>
      </c>
      <c r="V656" s="77">
        <v>35</v>
      </c>
      <c r="W656" s="81" t="s">
        <v>3288</v>
      </c>
      <c r="X656" s="77"/>
      <c r="Y656" s="77"/>
      <c r="Z656" s="77"/>
      <c r="AA656" s="77" t="s">
        <v>4876</v>
      </c>
      <c r="AB656" s="77" t="s">
        <v>5794</v>
      </c>
      <c r="AC656" s="81" t="s">
        <v>5805</v>
      </c>
      <c r="AD656" s="77" t="s">
        <v>5850</v>
      </c>
      <c r="AE656" s="83" t="str">
        <f>HYPERLINK("https://twitter.com/tneaar/status/1701229416880185576")</f>
        <v>https://twitter.com/tneaar/status/1701229416880185576</v>
      </c>
      <c r="AF656" s="79">
        <v>45180.570300925923</v>
      </c>
      <c r="AG656" s="85">
        <v>45180</v>
      </c>
      <c r="AH656" s="81" t="s">
        <v>6475</v>
      </c>
      <c r="AI656" s="77" t="b">
        <v>0</v>
      </c>
      <c r="AJ656" s="77"/>
      <c r="AK656" s="77"/>
      <c r="AL656" s="77"/>
      <c r="AM656" s="77"/>
      <c r="AN656" s="77"/>
      <c r="AO656" s="77"/>
      <c r="AP656" s="77"/>
      <c r="AQ656" s="77" t="s">
        <v>8379</v>
      </c>
      <c r="AR656" s="77"/>
      <c r="AS656" s="77"/>
      <c r="AT656" s="77"/>
      <c r="AU656" s="77"/>
      <c r="AV656" s="83" t="str">
        <f>HYPERLINK("https://pbs.twimg.com/media/F5v7In0WUAETTFw.jpg")</f>
        <v>https://pbs.twimg.com/media/F5v7In0WUAETTFw.jpg</v>
      </c>
      <c r="AW656" s="81" t="s">
        <v>9926</v>
      </c>
      <c r="AX656" s="81" t="s">
        <v>9926</v>
      </c>
      <c r="AY656" s="77"/>
      <c r="AZ656" s="81" t="s">
        <v>11359</v>
      </c>
      <c r="BA656" s="81" t="s">
        <v>11359</v>
      </c>
      <c r="BB656" s="81" t="s">
        <v>11359</v>
      </c>
      <c r="BC656" s="81" t="s">
        <v>9926</v>
      </c>
      <c r="BD656" s="77">
        <v>493423213</v>
      </c>
      <c r="BE656" s="77"/>
      <c r="BF656" s="77"/>
      <c r="BG656" s="77"/>
      <c r="BH656" s="77"/>
      <c r="BI656" s="77"/>
    </row>
    <row r="657" spans="1:61" x14ac:dyDescent="0.25">
      <c r="A657" s="62" t="s">
        <v>428</v>
      </c>
      <c r="B657" s="62" t="s">
        <v>428</v>
      </c>
      <c r="C657" s="63"/>
      <c r="D657" s="64"/>
      <c r="E657" s="65"/>
      <c r="F657" s="66"/>
      <c r="G657" s="63"/>
      <c r="H657" s="67"/>
      <c r="I657" s="68"/>
      <c r="J657" s="68"/>
      <c r="K657" s="32"/>
      <c r="L657" s="75">
        <v>657</v>
      </c>
      <c r="M657" s="75"/>
      <c r="N657" s="70"/>
      <c r="O657" s="77" t="s">
        <v>179</v>
      </c>
      <c r="P657" s="79">
        <v>45180.569733796299</v>
      </c>
      <c r="Q657" s="77" t="s">
        <v>1605</v>
      </c>
      <c r="R657" s="77">
        <v>0</v>
      </c>
      <c r="S657" s="77">
        <v>0</v>
      </c>
      <c r="T657" s="77">
        <v>0</v>
      </c>
      <c r="U657" s="77">
        <v>0</v>
      </c>
      <c r="V657" s="77">
        <v>31</v>
      </c>
      <c r="W657" s="81" t="s">
        <v>3252</v>
      </c>
      <c r="X657" s="77"/>
      <c r="Y657" s="77"/>
      <c r="Z657" s="77"/>
      <c r="AA657" s="77" t="s">
        <v>4877</v>
      </c>
      <c r="AB657" s="77" t="s">
        <v>5794</v>
      </c>
      <c r="AC657" s="81" t="s">
        <v>5805</v>
      </c>
      <c r="AD657" s="77" t="s">
        <v>5850</v>
      </c>
      <c r="AE657" s="83" t="str">
        <f>HYPERLINK("https://twitter.com/tneaar/status/1701229208456843393")</f>
        <v>https://twitter.com/tneaar/status/1701229208456843393</v>
      </c>
      <c r="AF657" s="79">
        <v>45180.569733796299</v>
      </c>
      <c r="AG657" s="85">
        <v>45180</v>
      </c>
      <c r="AH657" s="81" t="s">
        <v>6476</v>
      </c>
      <c r="AI657" s="77" t="b">
        <v>0</v>
      </c>
      <c r="AJ657" s="77"/>
      <c r="AK657" s="77"/>
      <c r="AL657" s="77"/>
      <c r="AM657" s="77"/>
      <c r="AN657" s="77"/>
      <c r="AO657" s="77"/>
      <c r="AP657" s="77"/>
      <c r="AQ657" s="77" t="s">
        <v>8380</v>
      </c>
      <c r="AR657" s="77"/>
      <c r="AS657" s="77"/>
      <c r="AT657" s="77"/>
      <c r="AU657" s="77"/>
      <c r="AV657" s="83" t="str">
        <f>HYPERLINK("https://pbs.twimg.com/media/F5v68nkXYAAsaRo.jpg")</f>
        <v>https://pbs.twimg.com/media/F5v68nkXYAAsaRo.jpg</v>
      </c>
      <c r="AW657" s="81" t="s">
        <v>9927</v>
      </c>
      <c r="AX657" s="81" t="s">
        <v>9927</v>
      </c>
      <c r="AY657" s="77"/>
      <c r="AZ657" s="81" t="s">
        <v>11359</v>
      </c>
      <c r="BA657" s="81" t="s">
        <v>11359</v>
      </c>
      <c r="BB657" s="81" t="s">
        <v>11359</v>
      </c>
      <c r="BC657" s="81" t="s">
        <v>9927</v>
      </c>
      <c r="BD657" s="77">
        <v>493423213</v>
      </c>
      <c r="BE657" s="77"/>
      <c r="BF657" s="77"/>
      <c r="BG657" s="77"/>
      <c r="BH657" s="77"/>
      <c r="BI657" s="77"/>
    </row>
    <row r="658" spans="1:61" x14ac:dyDescent="0.25">
      <c r="A658" s="62" t="s">
        <v>428</v>
      </c>
      <c r="B658" s="62" t="s">
        <v>428</v>
      </c>
      <c r="C658" s="63"/>
      <c r="D658" s="64"/>
      <c r="E658" s="65"/>
      <c r="F658" s="66"/>
      <c r="G658" s="63"/>
      <c r="H658" s="67"/>
      <c r="I658" s="68"/>
      <c r="J658" s="68"/>
      <c r="K658" s="32"/>
      <c r="L658" s="75">
        <v>658</v>
      </c>
      <c r="M658" s="75"/>
      <c r="N658" s="70"/>
      <c r="O658" s="77" t="s">
        <v>179</v>
      </c>
      <c r="P658" s="79">
        <v>45180.56759259259</v>
      </c>
      <c r="Q658" s="77" t="s">
        <v>1606</v>
      </c>
      <c r="R658" s="77">
        <v>0</v>
      </c>
      <c r="S658" s="77">
        <v>0</v>
      </c>
      <c r="T658" s="77">
        <v>0</v>
      </c>
      <c r="U658" s="77">
        <v>0</v>
      </c>
      <c r="V658" s="77">
        <v>31</v>
      </c>
      <c r="W658" s="81" t="s">
        <v>3262</v>
      </c>
      <c r="X658" s="77"/>
      <c r="Y658" s="77"/>
      <c r="Z658" s="77"/>
      <c r="AA658" s="77" t="s">
        <v>4878</v>
      </c>
      <c r="AB658" s="77" t="s">
        <v>5794</v>
      </c>
      <c r="AC658" s="81" t="s">
        <v>5805</v>
      </c>
      <c r="AD658" s="77" t="s">
        <v>5850</v>
      </c>
      <c r="AE658" s="83" t="str">
        <f>HYPERLINK("https://twitter.com/tneaar/status/1701228431915057644")</f>
        <v>https://twitter.com/tneaar/status/1701228431915057644</v>
      </c>
      <c r="AF658" s="79">
        <v>45180.56759259259</v>
      </c>
      <c r="AG658" s="85">
        <v>45180</v>
      </c>
      <c r="AH658" s="81" t="s">
        <v>6477</v>
      </c>
      <c r="AI658" s="77" t="b">
        <v>0</v>
      </c>
      <c r="AJ658" s="77"/>
      <c r="AK658" s="77"/>
      <c r="AL658" s="77"/>
      <c r="AM658" s="77"/>
      <c r="AN658" s="77"/>
      <c r="AO658" s="77"/>
      <c r="AP658" s="77"/>
      <c r="AQ658" s="77" t="s">
        <v>8381</v>
      </c>
      <c r="AR658" s="77"/>
      <c r="AS658" s="77"/>
      <c r="AT658" s="77"/>
      <c r="AU658" s="77"/>
      <c r="AV658" s="83" t="str">
        <f>HYPERLINK("https://pbs.twimg.com/media/F5v6PUlXgAAtC7W.jpg")</f>
        <v>https://pbs.twimg.com/media/F5v6PUlXgAAtC7W.jpg</v>
      </c>
      <c r="AW658" s="81" t="s">
        <v>9928</v>
      </c>
      <c r="AX658" s="81" t="s">
        <v>9928</v>
      </c>
      <c r="AY658" s="77"/>
      <c r="AZ658" s="81" t="s">
        <v>11359</v>
      </c>
      <c r="BA658" s="81" t="s">
        <v>11359</v>
      </c>
      <c r="BB658" s="81" t="s">
        <v>11359</v>
      </c>
      <c r="BC658" s="81" t="s">
        <v>9928</v>
      </c>
      <c r="BD658" s="77">
        <v>493423213</v>
      </c>
      <c r="BE658" s="77"/>
      <c r="BF658" s="77"/>
      <c r="BG658" s="77"/>
      <c r="BH658" s="77"/>
      <c r="BI658" s="77"/>
    </row>
    <row r="659" spans="1:61" x14ac:dyDescent="0.25">
      <c r="A659" s="62" t="s">
        <v>428</v>
      </c>
      <c r="B659" s="62" t="s">
        <v>428</v>
      </c>
      <c r="C659" s="63"/>
      <c r="D659" s="64"/>
      <c r="E659" s="65"/>
      <c r="F659" s="66"/>
      <c r="G659" s="63"/>
      <c r="H659" s="67"/>
      <c r="I659" s="68"/>
      <c r="J659" s="68"/>
      <c r="K659" s="32"/>
      <c r="L659" s="75">
        <v>659</v>
      </c>
      <c r="M659" s="75"/>
      <c r="N659" s="70"/>
      <c r="O659" s="77" t="s">
        <v>179</v>
      </c>
      <c r="P659" s="79">
        <v>45174.832627314812</v>
      </c>
      <c r="Q659" s="77" t="s">
        <v>1607</v>
      </c>
      <c r="R659" s="77">
        <v>0</v>
      </c>
      <c r="S659" s="77">
        <v>0</v>
      </c>
      <c r="T659" s="77">
        <v>0</v>
      </c>
      <c r="U659" s="77">
        <v>0</v>
      </c>
      <c r="V659" s="77">
        <v>82</v>
      </c>
      <c r="W659" s="81" t="s">
        <v>3260</v>
      </c>
      <c r="X659" s="77"/>
      <c r="Y659" s="77"/>
      <c r="Z659" s="77"/>
      <c r="AA659" s="77" t="s">
        <v>4879</v>
      </c>
      <c r="AB659" s="77" t="s">
        <v>5794</v>
      </c>
      <c r="AC659" s="81" t="s">
        <v>5805</v>
      </c>
      <c r="AD659" s="77" t="s">
        <v>5850</v>
      </c>
      <c r="AE659" s="83" t="str">
        <f>HYPERLINK("https://twitter.com/tneaar/status/1699150151460290783")</f>
        <v>https://twitter.com/tneaar/status/1699150151460290783</v>
      </c>
      <c r="AF659" s="79">
        <v>45174.832627314812</v>
      </c>
      <c r="AG659" s="85">
        <v>45174</v>
      </c>
      <c r="AH659" s="81" t="s">
        <v>6478</v>
      </c>
      <c r="AI659" s="77" t="b">
        <v>0</v>
      </c>
      <c r="AJ659" s="77"/>
      <c r="AK659" s="77"/>
      <c r="AL659" s="77"/>
      <c r="AM659" s="77"/>
      <c r="AN659" s="77"/>
      <c r="AO659" s="77"/>
      <c r="AP659" s="77"/>
      <c r="AQ659" s="77" t="s">
        <v>8382</v>
      </c>
      <c r="AR659" s="77"/>
      <c r="AS659" s="77"/>
      <c r="AT659" s="77"/>
      <c r="AU659" s="77"/>
      <c r="AV659" s="83" t="str">
        <f>HYPERLINK("https://pbs.twimg.com/media/F5SYDe9WYAE7OWA.jpg")</f>
        <v>https://pbs.twimg.com/media/F5SYDe9WYAE7OWA.jpg</v>
      </c>
      <c r="AW659" s="81" t="s">
        <v>9929</v>
      </c>
      <c r="AX659" s="81" t="s">
        <v>9929</v>
      </c>
      <c r="AY659" s="77"/>
      <c r="AZ659" s="81" t="s">
        <v>11359</v>
      </c>
      <c r="BA659" s="81" t="s">
        <v>11359</v>
      </c>
      <c r="BB659" s="81" t="s">
        <v>11359</v>
      </c>
      <c r="BC659" s="81" t="s">
        <v>9929</v>
      </c>
      <c r="BD659" s="77">
        <v>493423213</v>
      </c>
      <c r="BE659" s="77"/>
      <c r="BF659" s="77"/>
      <c r="BG659" s="77"/>
      <c r="BH659" s="77"/>
      <c r="BI659" s="77"/>
    </row>
    <row r="660" spans="1:61" x14ac:dyDescent="0.25">
      <c r="A660" s="62" t="s">
        <v>428</v>
      </c>
      <c r="B660" s="62" t="s">
        <v>428</v>
      </c>
      <c r="C660" s="63"/>
      <c r="D660" s="64"/>
      <c r="E660" s="65"/>
      <c r="F660" s="66"/>
      <c r="G660" s="63"/>
      <c r="H660" s="67"/>
      <c r="I660" s="68"/>
      <c r="J660" s="68"/>
      <c r="K660" s="32"/>
      <c r="L660" s="75">
        <v>660</v>
      </c>
      <c r="M660" s="75"/>
      <c r="N660" s="70"/>
      <c r="O660" s="77" t="s">
        <v>179</v>
      </c>
      <c r="P660" s="79">
        <v>45172.884444444448</v>
      </c>
      <c r="Q660" s="77" t="s">
        <v>1608</v>
      </c>
      <c r="R660" s="77">
        <v>0</v>
      </c>
      <c r="S660" s="77">
        <v>1</v>
      </c>
      <c r="T660" s="77">
        <v>0</v>
      </c>
      <c r="U660" s="77">
        <v>0</v>
      </c>
      <c r="V660" s="77">
        <v>63</v>
      </c>
      <c r="W660" s="81" t="s">
        <v>3253</v>
      </c>
      <c r="X660" s="77"/>
      <c r="Y660" s="77"/>
      <c r="Z660" s="77"/>
      <c r="AA660" s="77" t="s">
        <v>4880</v>
      </c>
      <c r="AB660" s="77" t="s">
        <v>5794</v>
      </c>
      <c r="AC660" s="81" t="s">
        <v>5805</v>
      </c>
      <c r="AD660" s="77" t="s">
        <v>5850</v>
      </c>
      <c r="AE660" s="83" t="str">
        <f>HYPERLINK("https://twitter.com/tneaar/status/1698444155700080699")</f>
        <v>https://twitter.com/tneaar/status/1698444155700080699</v>
      </c>
      <c r="AF660" s="79">
        <v>45172.884444444448</v>
      </c>
      <c r="AG660" s="85">
        <v>45172</v>
      </c>
      <c r="AH660" s="81" t="s">
        <v>6479</v>
      </c>
      <c r="AI660" s="77" t="b">
        <v>0</v>
      </c>
      <c r="AJ660" s="77"/>
      <c r="AK660" s="77"/>
      <c r="AL660" s="77"/>
      <c r="AM660" s="77"/>
      <c r="AN660" s="77"/>
      <c r="AO660" s="77"/>
      <c r="AP660" s="77"/>
      <c r="AQ660" s="77" t="s">
        <v>8383</v>
      </c>
      <c r="AR660" s="77"/>
      <c r="AS660" s="77"/>
      <c r="AT660" s="77"/>
      <c r="AU660" s="77"/>
      <c r="AV660" s="83" t="str">
        <f>HYPERLINK("https://pbs.twimg.com/media/F5IV9MiW4AArTa7.jpg")</f>
        <v>https://pbs.twimg.com/media/F5IV9MiW4AArTa7.jpg</v>
      </c>
      <c r="AW660" s="81" t="s">
        <v>9930</v>
      </c>
      <c r="AX660" s="81" t="s">
        <v>9930</v>
      </c>
      <c r="AY660" s="77"/>
      <c r="AZ660" s="81" t="s">
        <v>11359</v>
      </c>
      <c r="BA660" s="81" t="s">
        <v>11359</v>
      </c>
      <c r="BB660" s="81" t="s">
        <v>11359</v>
      </c>
      <c r="BC660" s="81" t="s">
        <v>9930</v>
      </c>
      <c r="BD660" s="77">
        <v>493423213</v>
      </c>
      <c r="BE660" s="77"/>
      <c r="BF660" s="77"/>
      <c r="BG660" s="77"/>
      <c r="BH660" s="77"/>
      <c r="BI660" s="77"/>
    </row>
    <row r="661" spans="1:61" x14ac:dyDescent="0.25">
      <c r="A661" s="62" t="s">
        <v>428</v>
      </c>
      <c r="B661" s="62" t="s">
        <v>428</v>
      </c>
      <c r="C661" s="63"/>
      <c r="D661" s="64"/>
      <c r="E661" s="65"/>
      <c r="F661" s="66"/>
      <c r="G661" s="63"/>
      <c r="H661" s="67"/>
      <c r="I661" s="68"/>
      <c r="J661" s="68"/>
      <c r="K661" s="32"/>
      <c r="L661" s="75">
        <v>661</v>
      </c>
      <c r="M661" s="75"/>
      <c r="N661" s="70"/>
      <c r="O661" s="77" t="s">
        <v>179</v>
      </c>
      <c r="P661" s="79">
        <v>45172.846192129633</v>
      </c>
      <c r="Q661" s="77" t="s">
        <v>1609</v>
      </c>
      <c r="R661" s="77">
        <v>0</v>
      </c>
      <c r="S661" s="77">
        <v>0</v>
      </c>
      <c r="T661" s="77">
        <v>0</v>
      </c>
      <c r="U661" s="77">
        <v>0</v>
      </c>
      <c r="V661" s="77">
        <v>41</v>
      </c>
      <c r="W661" s="81" t="s">
        <v>3272</v>
      </c>
      <c r="X661" s="77"/>
      <c r="Y661" s="77"/>
      <c r="Z661" s="77"/>
      <c r="AA661" s="77" t="s">
        <v>4881</v>
      </c>
      <c r="AB661" s="77" t="s">
        <v>5794</v>
      </c>
      <c r="AC661" s="81" t="s">
        <v>5805</v>
      </c>
      <c r="AD661" s="77" t="s">
        <v>5850</v>
      </c>
      <c r="AE661" s="83" t="str">
        <f>HYPERLINK("https://twitter.com/tneaar/status/1698430293147836923")</f>
        <v>https://twitter.com/tneaar/status/1698430293147836923</v>
      </c>
      <c r="AF661" s="79">
        <v>45172.846192129633</v>
      </c>
      <c r="AG661" s="85">
        <v>45172</v>
      </c>
      <c r="AH661" s="81" t="s">
        <v>6480</v>
      </c>
      <c r="AI661" s="77" t="b">
        <v>0</v>
      </c>
      <c r="AJ661" s="77"/>
      <c r="AK661" s="77"/>
      <c r="AL661" s="77"/>
      <c r="AM661" s="77"/>
      <c r="AN661" s="77"/>
      <c r="AO661" s="77"/>
      <c r="AP661" s="77"/>
      <c r="AQ661" s="77" t="s">
        <v>8384</v>
      </c>
      <c r="AR661" s="77"/>
      <c r="AS661" s="77"/>
      <c r="AT661" s="77"/>
      <c r="AU661" s="77"/>
      <c r="AV661" s="83" t="str">
        <f>HYPERLINK("https://pbs.twimg.com/media/F5IJWSrWQAEUwmL.jpg")</f>
        <v>https://pbs.twimg.com/media/F5IJWSrWQAEUwmL.jpg</v>
      </c>
      <c r="AW661" s="81" t="s">
        <v>9931</v>
      </c>
      <c r="AX661" s="81" t="s">
        <v>9931</v>
      </c>
      <c r="AY661" s="77"/>
      <c r="AZ661" s="81" t="s">
        <v>11359</v>
      </c>
      <c r="BA661" s="81" t="s">
        <v>11359</v>
      </c>
      <c r="BB661" s="81" t="s">
        <v>11359</v>
      </c>
      <c r="BC661" s="81" t="s">
        <v>9931</v>
      </c>
      <c r="BD661" s="77">
        <v>493423213</v>
      </c>
      <c r="BE661" s="77"/>
      <c r="BF661" s="77"/>
      <c r="BG661" s="77"/>
      <c r="BH661" s="77"/>
      <c r="BI661" s="77"/>
    </row>
    <row r="662" spans="1:61" x14ac:dyDescent="0.25">
      <c r="A662" s="62" t="s">
        <v>428</v>
      </c>
      <c r="B662" s="62" t="s">
        <v>428</v>
      </c>
      <c r="C662" s="63"/>
      <c r="D662" s="64"/>
      <c r="E662" s="65"/>
      <c r="F662" s="66"/>
      <c r="G662" s="63"/>
      <c r="H662" s="67"/>
      <c r="I662" s="68"/>
      <c r="J662" s="68"/>
      <c r="K662" s="32"/>
      <c r="L662" s="75">
        <v>662</v>
      </c>
      <c r="M662" s="75"/>
      <c r="N662" s="70"/>
      <c r="O662" s="77" t="s">
        <v>179</v>
      </c>
      <c r="P662" s="79">
        <v>45172.840856481482</v>
      </c>
      <c r="Q662" s="77" t="s">
        <v>1610</v>
      </c>
      <c r="R662" s="77">
        <v>0</v>
      </c>
      <c r="S662" s="77">
        <v>0</v>
      </c>
      <c r="T662" s="77">
        <v>0</v>
      </c>
      <c r="U662" s="77">
        <v>0</v>
      </c>
      <c r="V662" s="77">
        <v>34</v>
      </c>
      <c r="W662" s="81" t="s">
        <v>3247</v>
      </c>
      <c r="X662" s="77"/>
      <c r="Y662" s="77"/>
      <c r="Z662" s="77"/>
      <c r="AA662" s="77" t="s">
        <v>4882</v>
      </c>
      <c r="AB662" s="77" t="s">
        <v>5794</v>
      </c>
      <c r="AC662" s="81" t="s">
        <v>5805</v>
      </c>
      <c r="AD662" s="77" t="s">
        <v>5850</v>
      </c>
      <c r="AE662" s="83" t="str">
        <f>HYPERLINK("https://twitter.com/tneaar/status/1698428358705512577")</f>
        <v>https://twitter.com/tneaar/status/1698428358705512577</v>
      </c>
      <c r="AF662" s="79">
        <v>45172.840856481482</v>
      </c>
      <c r="AG662" s="85">
        <v>45172</v>
      </c>
      <c r="AH662" s="81" t="s">
        <v>6481</v>
      </c>
      <c r="AI662" s="77" t="b">
        <v>0</v>
      </c>
      <c r="AJ662" s="77"/>
      <c r="AK662" s="77"/>
      <c r="AL662" s="77"/>
      <c r="AM662" s="77"/>
      <c r="AN662" s="77"/>
      <c r="AO662" s="77"/>
      <c r="AP662" s="77"/>
      <c r="AQ662" s="77" t="s">
        <v>8385</v>
      </c>
      <c r="AR662" s="77"/>
      <c r="AS662" s="77"/>
      <c r="AT662" s="77"/>
      <c r="AU662" s="77"/>
      <c r="AV662" s="83" t="str">
        <f>HYPERLINK("https://pbs.twimg.com/media/F5IHlfCX0AAS6rt.jpg")</f>
        <v>https://pbs.twimg.com/media/F5IHlfCX0AAS6rt.jpg</v>
      </c>
      <c r="AW662" s="81" t="s">
        <v>9932</v>
      </c>
      <c r="AX662" s="81" t="s">
        <v>9932</v>
      </c>
      <c r="AY662" s="77"/>
      <c r="AZ662" s="81" t="s">
        <v>11359</v>
      </c>
      <c r="BA662" s="81" t="s">
        <v>11359</v>
      </c>
      <c r="BB662" s="81" t="s">
        <v>11359</v>
      </c>
      <c r="BC662" s="81" t="s">
        <v>9932</v>
      </c>
      <c r="BD662" s="77">
        <v>493423213</v>
      </c>
      <c r="BE662" s="77"/>
      <c r="BF662" s="77"/>
      <c r="BG662" s="77"/>
      <c r="BH662" s="77"/>
      <c r="BI662" s="77"/>
    </row>
    <row r="663" spans="1:61" x14ac:dyDescent="0.25">
      <c r="A663" s="62" t="s">
        <v>428</v>
      </c>
      <c r="B663" s="62" t="s">
        <v>428</v>
      </c>
      <c r="C663" s="63"/>
      <c r="D663" s="64"/>
      <c r="E663" s="65"/>
      <c r="F663" s="66"/>
      <c r="G663" s="63"/>
      <c r="H663" s="67"/>
      <c r="I663" s="68"/>
      <c r="J663" s="68"/>
      <c r="K663" s="32"/>
      <c r="L663" s="75">
        <v>663</v>
      </c>
      <c r="M663" s="75"/>
      <c r="N663" s="70"/>
      <c r="O663" s="77" t="s">
        <v>179</v>
      </c>
      <c r="P663" s="79">
        <v>45172.833645833336</v>
      </c>
      <c r="Q663" s="77" t="s">
        <v>1611</v>
      </c>
      <c r="R663" s="77">
        <v>0</v>
      </c>
      <c r="S663" s="77">
        <v>0</v>
      </c>
      <c r="T663" s="77">
        <v>0</v>
      </c>
      <c r="U663" s="77">
        <v>0</v>
      </c>
      <c r="V663" s="77">
        <v>49</v>
      </c>
      <c r="W663" s="81" t="s">
        <v>3280</v>
      </c>
      <c r="X663" s="77"/>
      <c r="Y663" s="77"/>
      <c r="Z663" s="77"/>
      <c r="AA663" s="77" t="s">
        <v>4883</v>
      </c>
      <c r="AB663" s="77" t="s">
        <v>5794</v>
      </c>
      <c r="AC663" s="81" t="s">
        <v>5805</v>
      </c>
      <c r="AD663" s="77" t="s">
        <v>5850</v>
      </c>
      <c r="AE663" s="83" t="str">
        <f>HYPERLINK("https://twitter.com/tneaar/status/1698425743288434694")</f>
        <v>https://twitter.com/tneaar/status/1698425743288434694</v>
      </c>
      <c r="AF663" s="79">
        <v>45172.833645833336</v>
      </c>
      <c r="AG663" s="85">
        <v>45172</v>
      </c>
      <c r="AH663" s="81" t="s">
        <v>6482</v>
      </c>
      <c r="AI663" s="77" t="b">
        <v>0</v>
      </c>
      <c r="AJ663" s="77"/>
      <c r="AK663" s="77"/>
      <c r="AL663" s="77"/>
      <c r="AM663" s="77"/>
      <c r="AN663" s="77"/>
      <c r="AO663" s="77"/>
      <c r="AP663" s="77"/>
      <c r="AQ663" s="77" t="s">
        <v>8386</v>
      </c>
      <c r="AR663" s="77"/>
      <c r="AS663" s="77"/>
      <c r="AT663" s="77"/>
      <c r="AU663" s="77"/>
      <c r="AV663" s="83" t="str">
        <f>HYPERLINK("https://pbs.twimg.com/media/F5IFNaZWQAAzOo1.jpg")</f>
        <v>https://pbs.twimg.com/media/F5IFNaZWQAAzOo1.jpg</v>
      </c>
      <c r="AW663" s="81" t="s">
        <v>9933</v>
      </c>
      <c r="AX663" s="81" t="s">
        <v>9933</v>
      </c>
      <c r="AY663" s="77"/>
      <c r="AZ663" s="81" t="s">
        <v>11359</v>
      </c>
      <c r="BA663" s="81" t="s">
        <v>11359</v>
      </c>
      <c r="BB663" s="81" t="s">
        <v>11359</v>
      </c>
      <c r="BC663" s="81" t="s">
        <v>9933</v>
      </c>
      <c r="BD663" s="77">
        <v>493423213</v>
      </c>
      <c r="BE663" s="77"/>
      <c r="BF663" s="77"/>
      <c r="BG663" s="77"/>
      <c r="BH663" s="77"/>
      <c r="BI663" s="77"/>
    </row>
    <row r="664" spans="1:61" x14ac:dyDescent="0.25">
      <c r="A664" s="62" t="s">
        <v>428</v>
      </c>
      <c r="B664" s="62" t="s">
        <v>428</v>
      </c>
      <c r="C664" s="63"/>
      <c r="D664" s="64"/>
      <c r="E664" s="65"/>
      <c r="F664" s="66"/>
      <c r="G664" s="63"/>
      <c r="H664" s="67"/>
      <c r="I664" s="68"/>
      <c r="J664" s="68"/>
      <c r="K664" s="32"/>
      <c r="L664" s="75">
        <v>664</v>
      </c>
      <c r="M664" s="75"/>
      <c r="N664" s="70"/>
      <c r="O664" s="77" t="s">
        <v>179</v>
      </c>
      <c r="P664" s="79">
        <v>45172.827939814815</v>
      </c>
      <c r="Q664" s="77" t="s">
        <v>1612</v>
      </c>
      <c r="R664" s="77">
        <v>0</v>
      </c>
      <c r="S664" s="77">
        <v>0</v>
      </c>
      <c r="T664" s="77">
        <v>0</v>
      </c>
      <c r="U664" s="77">
        <v>0</v>
      </c>
      <c r="V664" s="77">
        <v>53</v>
      </c>
      <c r="W664" s="81" t="s">
        <v>3260</v>
      </c>
      <c r="X664" s="77"/>
      <c r="Y664" s="77"/>
      <c r="Z664" s="77"/>
      <c r="AA664" s="77" t="s">
        <v>4884</v>
      </c>
      <c r="AB664" s="77" t="s">
        <v>5794</v>
      </c>
      <c r="AC664" s="81" t="s">
        <v>5805</v>
      </c>
      <c r="AD664" s="77" t="s">
        <v>5850</v>
      </c>
      <c r="AE664" s="83" t="str">
        <f>HYPERLINK("https://twitter.com/tneaar/status/1698423676591354119")</f>
        <v>https://twitter.com/tneaar/status/1698423676591354119</v>
      </c>
      <c r="AF664" s="79">
        <v>45172.827939814815</v>
      </c>
      <c r="AG664" s="85">
        <v>45172</v>
      </c>
      <c r="AH664" s="81" t="s">
        <v>6483</v>
      </c>
      <c r="AI664" s="77" t="b">
        <v>0</v>
      </c>
      <c r="AJ664" s="77"/>
      <c r="AK664" s="77"/>
      <c r="AL664" s="77"/>
      <c r="AM664" s="77"/>
      <c r="AN664" s="77"/>
      <c r="AO664" s="77"/>
      <c r="AP664" s="77"/>
      <c r="AQ664" s="77" t="s">
        <v>8387</v>
      </c>
      <c r="AR664" s="77"/>
      <c r="AS664" s="77"/>
      <c r="AT664" s="77"/>
      <c r="AU664" s="77"/>
      <c r="AV664" s="83" t="str">
        <f>HYPERLINK("https://pbs.twimg.com/media/F5IDVKQWUAAFvAq.jpg")</f>
        <v>https://pbs.twimg.com/media/F5IDVKQWUAAFvAq.jpg</v>
      </c>
      <c r="AW664" s="81" t="s">
        <v>9934</v>
      </c>
      <c r="AX664" s="81" t="s">
        <v>9934</v>
      </c>
      <c r="AY664" s="77"/>
      <c r="AZ664" s="81" t="s">
        <v>11359</v>
      </c>
      <c r="BA664" s="81" t="s">
        <v>11359</v>
      </c>
      <c r="BB664" s="81" t="s">
        <v>11359</v>
      </c>
      <c r="BC664" s="81" t="s">
        <v>9934</v>
      </c>
      <c r="BD664" s="77">
        <v>493423213</v>
      </c>
      <c r="BE664" s="77"/>
      <c r="BF664" s="77"/>
      <c r="BG664" s="77"/>
      <c r="BH664" s="77"/>
      <c r="BI664" s="77"/>
    </row>
    <row r="665" spans="1:61" x14ac:dyDescent="0.25">
      <c r="A665" s="62" t="s">
        <v>428</v>
      </c>
      <c r="B665" s="62" t="s">
        <v>428</v>
      </c>
      <c r="C665" s="63"/>
      <c r="D665" s="64"/>
      <c r="E665" s="65"/>
      <c r="F665" s="66"/>
      <c r="G665" s="63"/>
      <c r="H665" s="67"/>
      <c r="I665" s="68"/>
      <c r="J665" s="68"/>
      <c r="K665" s="32"/>
      <c r="L665" s="75">
        <v>665</v>
      </c>
      <c r="M665" s="75"/>
      <c r="N665" s="70"/>
      <c r="O665" s="77" t="s">
        <v>179</v>
      </c>
      <c r="P665" s="79">
        <v>45130.96539351852</v>
      </c>
      <c r="Q665" s="77" t="s">
        <v>1613</v>
      </c>
      <c r="R665" s="77">
        <v>0</v>
      </c>
      <c r="S665" s="77">
        <v>0</v>
      </c>
      <c r="T665" s="77">
        <v>0</v>
      </c>
      <c r="U665" s="77">
        <v>0</v>
      </c>
      <c r="V665" s="77">
        <v>50</v>
      </c>
      <c r="W665" s="81" t="s">
        <v>3294</v>
      </c>
      <c r="X665" s="77"/>
      <c r="Y665" s="77"/>
      <c r="Z665" s="77"/>
      <c r="AA665" s="77" t="s">
        <v>4885</v>
      </c>
      <c r="AB665" s="77" t="s">
        <v>5794</v>
      </c>
      <c r="AC665" s="81" t="s">
        <v>5805</v>
      </c>
      <c r="AD665" s="77" t="s">
        <v>5850</v>
      </c>
      <c r="AE665" s="83" t="str">
        <f>HYPERLINK("https://twitter.com/tneaar/status/1683253197048102912")</f>
        <v>https://twitter.com/tneaar/status/1683253197048102912</v>
      </c>
      <c r="AF665" s="79">
        <v>45130.96539351852</v>
      </c>
      <c r="AG665" s="85">
        <v>45130</v>
      </c>
      <c r="AH665" s="81" t="s">
        <v>6484</v>
      </c>
      <c r="AI665" s="77" t="b">
        <v>0</v>
      </c>
      <c r="AJ665" s="77"/>
      <c r="AK665" s="77"/>
      <c r="AL665" s="77"/>
      <c r="AM665" s="77"/>
      <c r="AN665" s="77"/>
      <c r="AO665" s="77"/>
      <c r="AP665" s="77"/>
      <c r="AQ665" s="77" t="s">
        <v>8388</v>
      </c>
      <c r="AR665" s="77"/>
      <c r="AS665" s="77"/>
      <c r="AT665" s="77"/>
      <c r="AU665" s="77"/>
      <c r="AV665" s="83" t="str">
        <f>HYPERLINK("https://pbs.twimg.com/media/F1wd3CcWcAEVCR6.jpg")</f>
        <v>https://pbs.twimg.com/media/F1wd3CcWcAEVCR6.jpg</v>
      </c>
      <c r="AW665" s="81" t="s">
        <v>9935</v>
      </c>
      <c r="AX665" s="81" t="s">
        <v>9935</v>
      </c>
      <c r="AY665" s="77"/>
      <c r="AZ665" s="81" t="s">
        <v>11359</v>
      </c>
      <c r="BA665" s="81" t="s">
        <v>11359</v>
      </c>
      <c r="BB665" s="81" t="s">
        <v>11359</v>
      </c>
      <c r="BC665" s="81" t="s">
        <v>9935</v>
      </c>
      <c r="BD665" s="77">
        <v>493423213</v>
      </c>
      <c r="BE665" s="77"/>
      <c r="BF665" s="77"/>
      <c r="BG665" s="77"/>
      <c r="BH665" s="77"/>
      <c r="BI665" s="77"/>
    </row>
    <row r="666" spans="1:61" x14ac:dyDescent="0.25">
      <c r="A666" s="62" t="s">
        <v>428</v>
      </c>
      <c r="B666" s="62" t="s">
        <v>428</v>
      </c>
      <c r="C666" s="63"/>
      <c r="D666" s="64"/>
      <c r="E666" s="65"/>
      <c r="F666" s="66"/>
      <c r="G666" s="63"/>
      <c r="H666" s="67"/>
      <c r="I666" s="68"/>
      <c r="J666" s="68"/>
      <c r="K666" s="32"/>
      <c r="L666" s="75">
        <v>666</v>
      </c>
      <c r="M666" s="75"/>
      <c r="N666" s="70"/>
      <c r="O666" s="77" t="s">
        <v>179</v>
      </c>
      <c r="P666" s="79">
        <v>45130.957337962966</v>
      </c>
      <c r="Q666" s="77" t="s">
        <v>1614</v>
      </c>
      <c r="R666" s="77">
        <v>0</v>
      </c>
      <c r="S666" s="77">
        <v>0</v>
      </c>
      <c r="T666" s="77">
        <v>0</v>
      </c>
      <c r="U666" s="77">
        <v>0</v>
      </c>
      <c r="V666" s="77">
        <v>57</v>
      </c>
      <c r="W666" s="81" t="s">
        <v>3289</v>
      </c>
      <c r="X666" s="77"/>
      <c r="Y666" s="77"/>
      <c r="Z666" s="77"/>
      <c r="AA666" s="77" t="s">
        <v>4886</v>
      </c>
      <c r="AB666" s="77" t="s">
        <v>5794</v>
      </c>
      <c r="AC666" s="81" t="s">
        <v>5805</v>
      </c>
      <c r="AD666" s="77" t="s">
        <v>5850</v>
      </c>
      <c r="AE666" s="83" t="str">
        <f>HYPERLINK("https://twitter.com/tneaar/status/1683250279498543104")</f>
        <v>https://twitter.com/tneaar/status/1683250279498543104</v>
      </c>
      <c r="AF666" s="79">
        <v>45130.957337962966</v>
      </c>
      <c r="AG666" s="85">
        <v>45130</v>
      </c>
      <c r="AH666" s="81" t="s">
        <v>6485</v>
      </c>
      <c r="AI666" s="77" t="b">
        <v>0</v>
      </c>
      <c r="AJ666" s="77"/>
      <c r="AK666" s="77"/>
      <c r="AL666" s="77"/>
      <c r="AM666" s="77"/>
      <c r="AN666" s="77"/>
      <c r="AO666" s="77"/>
      <c r="AP666" s="77"/>
      <c r="AQ666" s="77" t="s">
        <v>8389</v>
      </c>
      <c r="AR666" s="77"/>
      <c r="AS666" s="77"/>
      <c r="AT666" s="77"/>
      <c r="AU666" s="77"/>
      <c r="AV666" s="83" t="str">
        <f>HYPERLINK("https://pbs.twimg.com/media/F1wbNL7XgAAcTrT.jpg")</f>
        <v>https://pbs.twimg.com/media/F1wbNL7XgAAcTrT.jpg</v>
      </c>
      <c r="AW666" s="81" t="s">
        <v>9936</v>
      </c>
      <c r="AX666" s="81" t="s">
        <v>9936</v>
      </c>
      <c r="AY666" s="77"/>
      <c r="AZ666" s="81" t="s">
        <v>11359</v>
      </c>
      <c r="BA666" s="81" t="s">
        <v>11359</v>
      </c>
      <c r="BB666" s="81" t="s">
        <v>11359</v>
      </c>
      <c r="BC666" s="81" t="s">
        <v>9936</v>
      </c>
      <c r="BD666" s="77">
        <v>493423213</v>
      </c>
      <c r="BE666" s="77"/>
      <c r="BF666" s="77"/>
      <c r="BG666" s="77"/>
      <c r="BH666" s="77"/>
      <c r="BI666" s="77"/>
    </row>
    <row r="667" spans="1:61" x14ac:dyDescent="0.25">
      <c r="A667" s="62" t="s">
        <v>428</v>
      </c>
      <c r="B667" s="62" t="s">
        <v>428</v>
      </c>
      <c r="C667" s="63"/>
      <c r="D667" s="64"/>
      <c r="E667" s="65"/>
      <c r="F667" s="66"/>
      <c r="G667" s="63"/>
      <c r="H667" s="67"/>
      <c r="I667" s="68"/>
      <c r="J667" s="68"/>
      <c r="K667" s="32"/>
      <c r="L667" s="75">
        <v>667</v>
      </c>
      <c r="M667" s="75"/>
      <c r="N667" s="70"/>
      <c r="O667" s="77" t="s">
        <v>179</v>
      </c>
      <c r="P667" s="79">
        <v>45130.956087962964</v>
      </c>
      <c r="Q667" s="77" t="s">
        <v>1615</v>
      </c>
      <c r="R667" s="77">
        <v>0</v>
      </c>
      <c r="S667" s="77">
        <v>0</v>
      </c>
      <c r="T667" s="77">
        <v>0</v>
      </c>
      <c r="U667" s="77">
        <v>0</v>
      </c>
      <c r="V667" s="77">
        <v>68</v>
      </c>
      <c r="W667" s="81" t="s">
        <v>3290</v>
      </c>
      <c r="X667" s="83" t="str">
        <f>HYPERLINK("http://www.previsoradelparana.com")</f>
        <v>http://www.previsoradelparana.com</v>
      </c>
      <c r="Y667" s="77" t="s">
        <v>4270</v>
      </c>
      <c r="Z667" s="77"/>
      <c r="AA667" s="77" t="s">
        <v>4887</v>
      </c>
      <c r="AB667" s="77" t="s">
        <v>5794</v>
      </c>
      <c r="AC667" s="81" t="s">
        <v>5805</v>
      </c>
      <c r="AD667" s="77" t="s">
        <v>5850</v>
      </c>
      <c r="AE667" s="83" t="str">
        <f>HYPERLINK("https://twitter.com/tneaar/status/1683249827570655233")</f>
        <v>https://twitter.com/tneaar/status/1683249827570655233</v>
      </c>
      <c r="AF667" s="79">
        <v>45130.956087962964</v>
      </c>
      <c r="AG667" s="85">
        <v>45130</v>
      </c>
      <c r="AH667" s="81" t="s">
        <v>6486</v>
      </c>
      <c r="AI667" s="77" t="b">
        <v>0</v>
      </c>
      <c r="AJ667" s="77"/>
      <c r="AK667" s="77"/>
      <c r="AL667" s="77"/>
      <c r="AM667" s="77"/>
      <c r="AN667" s="77"/>
      <c r="AO667" s="77"/>
      <c r="AP667" s="77"/>
      <c r="AQ667" s="77" t="s">
        <v>8390</v>
      </c>
      <c r="AR667" s="77"/>
      <c r="AS667" s="77"/>
      <c r="AT667" s="77"/>
      <c r="AU667" s="77"/>
      <c r="AV667" s="83" t="str">
        <f>HYPERLINK("https://pbs.twimg.com/media/F1way2jWcAAD9K1.jpg")</f>
        <v>https://pbs.twimg.com/media/F1way2jWcAAD9K1.jpg</v>
      </c>
      <c r="AW667" s="81" t="s">
        <v>9937</v>
      </c>
      <c r="AX667" s="81" t="s">
        <v>9937</v>
      </c>
      <c r="AY667" s="77"/>
      <c r="AZ667" s="81" t="s">
        <v>11359</v>
      </c>
      <c r="BA667" s="81" t="s">
        <v>11359</v>
      </c>
      <c r="BB667" s="81" t="s">
        <v>11359</v>
      </c>
      <c r="BC667" s="81" t="s">
        <v>9937</v>
      </c>
      <c r="BD667" s="77">
        <v>493423213</v>
      </c>
      <c r="BE667" s="77"/>
      <c r="BF667" s="77"/>
      <c r="BG667" s="77"/>
      <c r="BH667" s="77"/>
      <c r="BI667" s="77"/>
    </row>
    <row r="668" spans="1:61" x14ac:dyDescent="0.25">
      <c r="A668" s="62" t="s">
        <v>428</v>
      </c>
      <c r="B668" s="62" t="s">
        <v>428</v>
      </c>
      <c r="C668" s="63"/>
      <c r="D668" s="64"/>
      <c r="E668" s="65"/>
      <c r="F668" s="66"/>
      <c r="G668" s="63"/>
      <c r="H668" s="67"/>
      <c r="I668" s="68"/>
      <c r="J668" s="68"/>
      <c r="K668" s="32"/>
      <c r="L668" s="75">
        <v>668</v>
      </c>
      <c r="M668" s="75"/>
      <c r="N668" s="70"/>
      <c r="O668" s="77" t="s">
        <v>179</v>
      </c>
      <c r="P668" s="79">
        <v>45130.954722222225</v>
      </c>
      <c r="Q668" s="77" t="s">
        <v>1616</v>
      </c>
      <c r="R668" s="77">
        <v>0</v>
      </c>
      <c r="S668" s="77">
        <v>0</v>
      </c>
      <c r="T668" s="77">
        <v>0</v>
      </c>
      <c r="U668" s="77">
        <v>0</v>
      </c>
      <c r="V668" s="77">
        <v>41</v>
      </c>
      <c r="W668" s="81" t="s">
        <v>3311</v>
      </c>
      <c r="X668" s="77"/>
      <c r="Y668" s="77"/>
      <c r="Z668" s="77"/>
      <c r="AA668" s="77" t="s">
        <v>4888</v>
      </c>
      <c r="AB668" s="77" t="s">
        <v>5794</v>
      </c>
      <c r="AC668" s="81" t="s">
        <v>5805</v>
      </c>
      <c r="AD668" s="77" t="s">
        <v>5850</v>
      </c>
      <c r="AE668" s="83" t="str">
        <f>HYPERLINK("https://twitter.com/tneaar/status/1683249332953251841")</f>
        <v>https://twitter.com/tneaar/status/1683249332953251841</v>
      </c>
      <c r="AF668" s="79">
        <v>45130.954722222225</v>
      </c>
      <c r="AG668" s="85">
        <v>45130</v>
      </c>
      <c r="AH668" s="81" t="s">
        <v>6487</v>
      </c>
      <c r="AI668" s="77" t="b">
        <v>0</v>
      </c>
      <c r="AJ668" s="77"/>
      <c r="AK668" s="77"/>
      <c r="AL668" s="77"/>
      <c r="AM668" s="77"/>
      <c r="AN668" s="77"/>
      <c r="AO668" s="77"/>
      <c r="AP668" s="77"/>
      <c r="AQ668" s="77" t="s">
        <v>8391</v>
      </c>
      <c r="AR668" s="77"/>
      <c r="AS668" s="77"/>
      <c r="AT668" s="77"/>
      <c r="AU668" s="77"/>
      <c r="AV668" s="83" t="str">
        <f>HYPERLINK("https://pbs.twimg.com/media/F1waWIAWYAABd3X.jpg")</f>
        <v>https://pbs.twimg.com/media/F1waWIAWYAABd3X.jpg</v>
      </c>
      <c r="AW668" s="81" t="s">
        <v>9938</v>
      </c>
      <c r="AX668" s="81" t="s">
        <v>9938</v>
      </c>
      <c r="AY668" s="77"/>
      <c r="AZ668" s="81" t="s">
        <v>11359</v>
      </c>
      <c r="BA668" s="81" t="s">
        <v>11359</v>
      </c>
      <c r="BB668" s="81" t="s">
        <v>11359</v>
      </c>
      <c r="BC668" s="81" t="s">
        <v>9938</v>
      </c>
      <c r="BD668" s="77">
        <v>493423213</v>
      </c>
      <c r="BE668" s="77"/>
      <c r="BF668" s="77"/>
      <c r="BG668" s="77"/>
      <c r="BH668" s="77"/>
      <c r="BI668" s="77"/>
    </row>
    <row r="669" spans="1:61" x14ac:dyDescent="0.25">
      <c r="A669" s="62" t="s">
        <v>428</v>
      </c>
      <c r="B669" s="62" t="s">
        <v>428</v>
      </c>
      <c r="C669" s="63"/>
      <c r="D669" s="64"/>
      <c r="E669" s="65"/>
      <c r="F669" s="66"/>
      <c r="G669" s="63"/>
      <c r="H669" s="67"/>
      <c r="I669" s="68"/>
      <c r="J669" s="68"/>
      <c r="K669" s="32"/>
      <c r="L669" s="75">
        <v>669</v>
      </c>
      <c r="M669" s="75"/>
      <c r="N669" s="70"/>
      <c r="O669" s="77" t="s">
        <v>179</v>
      </c>
      <c r="P669" s="79">
        <v>45124.991249999999</v>
      </c>
      <c r="Q669" s="77" t="s">
        <v>1617</v>
      </c>
      <c r="R669" s="77">
        <v>0</v>
      </c>
      <c r="S669" s="77">
        <v>0</v>
      </c>
      <c r="T669" s="77">
        <v>0</v>
      </c>
      <c r="U669" s="77">
        <v>0</v>
      </c>
      <c r="V669" s="77">
        <v>144</v>
      </c>
      <c r="W669" s="81" t="s">
        <v>3289</v>
      </c>
      <c r="X669" s="77"/>
      <c r="Y669" s="77"/>
      <c r="Z669" s="77"/>
      <c r="AA669" s="77" t="s">
        <v>4889</v>
      </c>
      <c r="AB669" s="77" t="s">
        <v>5794</v>
      </c>
      <c r="AC669" s="81" t="s">
        <v>5805</v>
      </c>
      <c r="AD669" s="77" t="s">
        <v>5850</v>
      </c>
      <c r="AE669" s="83" t="str">
        <f>HYPERLINK("https://twitter.com/tneaar/status/1681088242530111489")</f>
        <v>https://twitter.com/tneaar/status/1681088242530111489</v>
      </c>
      <c r="AF669" s="79">
        <v>45124.991249999999</v>
      </c>
      <c r="AG669" s="85">
        <v>45124</v>
      </c>
      <c r="AH669" s="81" t="s">
        <v>6488</v>
      </c>
      <c r="AI669" s="77" t="b">
        <v>0</v>
      </c>
      <c r="AJ669" s="77"/>
      <c r="AK669" s="77"/>
      <c r="AL669" s="77"/>
      <c r="AM669" s="77"/>
      <c r="AN669" s="77"/>
      <c r="AO669" s="77"/>
      <c r="AP669" s="77"/>
      <c r="AQ669" s="77" t="s">
        <v>8392</v>
      </c>
      <c r="AR669" s="77"/>
      <c r="AS669" s="77"/>
      <c r="AT669" s="77"/>
      <c r="AU669" s="77"/>
      <c r="AV669" s="83" t="str">
        <f>HYPERLINK("https://pbs.twimg.com/media/F1Rs15-WwAADJPH.jpg")</f>
        <v>https://pbs.twimg.com/media/F1Rs15-WwAADJPH.jpg</v>
      </c>
      <c r="AW669" s="81" t="s">
        <v>9939</v>
      </c>
      <c r="AX669" s="81" t="s">
        <v>9939</v>
      </c>
      <c r="AY669" s="77"/>
      <c r="AZ669" s="81" t="s">
        <v>11359</v>
      </c>
      <c r="BA669" s="81" t="s">
        <v>11359</v>
      </c>
      <c r="BB669" s="81" t="s">
        <v>11359</v>
      </c>
      <c r="BC669" s="81" t="s">
        <v>9939</v>
      </c>
      <c r="BD669" s="77">
        <v>493423213</v>
      </c>
      <c r="BE669" s="77"/>
      <c r="BF669" s="77"/>
      <c r="BG669" s="77"/>
      <c r="BH669" s="77"/>
      <c r="BI669" s="77"/>
    </row>
    <row r="670" spans="1:61" x14ac:dyDescent="0.25">
      <c r="A670" s="62" t="s">
        <v>428</v>
      </c>
      <c r="B670" s="62" t="s">
        <v>428</v>
      </c>
      <c r="C670" s="63"/>
      <c r="D670" s="64"/>
      <c r="E670" s="65"/>
      <c r="F670" s="66"/>
      <c r="G670" s="63"/>
      <c r="H670" s="67"/>
      <c r="I670" s="68"/>
      <c r="J670" s="68"/>
      <c r="K670" s="32"/>
      <c r="L670" s="75">
        <v>670</v>
      </c>
      <c r="M670" s="75"/>
      <c r="N670" s="70"/>
      <c r="O670" s="77" t="s">
        <v>179</v>
      </c>
      <c r="P670" s="79">
        <v>45117.998055555552</v>
      </c>
      <c r="Q670" s="77" t="s">
        <v>1618</v>
      </c>
      <c r="R670" s="77">
        <v>0</v>
      </c>
      <c r="S670" s="77">
        <v>0</v>
      </c>
      <c r="T670" s="77">
        <v>0</v>
      </c>
      <c r="U670" s="77">
        <v>0</v>
      </c>
      <c r="V670" s="77">
        <v>84</v>
      </c>
      <c r="W670" s="81" t="s">
        <v>3294</v>
      </c>
      <c r="X670" s="77"/>
      <c r="Y670" s="77"/>
      <c r="Z670" s="77"/>
      <c r="AA670" s="77" t="s">
        <v>4890</v>
      </c>
      <c r="AB670" s="77" t="s">
        <v>5794</v>
      </c>
      <c r="AC670" s="81" t="s">
        <v>5805</v>
      </c>
      <c r="AD670" s="77" t="s">
        <v>5850</v>
      </c>
      <c r="AE670" s="83" t="str">
        <f>HYPERLINK("https://twitter.com/tneaar/status/1678553991012048896")</f>
        <v>https://twitter.com/tneaar/status/1678553991012048896</v>
      </c>
      <c r="AF670" s="79">
        <v>45117.998055555552</v>
      </c>
      <c r="AG670" s="85">
        <v>45117</v>
      </c>
      <c r="AH670" s="81" t="s">
        <v>6489</v>
      </c>
      <c r="AI670" s="77" t="b">
        <v>0</v>
      </c>
      <c r="AJ670" s="77"/>
      <c r="AK670" s="77"/>
      <c r="AL670" s="77"/>
      <c r="AM670" s="77"/>
      <c r="AN670" s="77"/>
      <c r="AO670" s="77"/>
      <c r="AP670" s="77"/>
      <c r="AQ670" s="77" t="s">
        <v>8393</v>
      </c>
      <c r="AR670" s="77"/>
      <c r="AS670" s="77"/>
      <c r="AT670" s="77"/>
      <c r="AU670" s="77"/>
      <c r="AV670" s="83" t="str">
        <f>HYPERLINK("https://pbs.twimg.com/media/F0tr9HDWwAI9igy.jpg")</f>
        <v>https://pbs.twimg.com/media/F0tr9HDWwAI9igy.jpg</v>
      </c>
      <c r="AW670" s="81" t="s">
        <v>9940</v>
      </c>
      <c r="AX670" s="81" t="s">
        <v>9940</v>
      </c>
      <c r="AY670" s="77"/>
      <c r="AZ670" s="81" t="s">
        <v>11359</v>
      </c>
      <c r="BA670" s="81" t="s">
        <v>11359</v>
      </c>
      <c r="BB670" s="81" t="s">
        <v>11359</v>
      </c>
      <c r="BC670" s="81" t="s">
        <v>9940</v>
      </c>
      <c r="BD670" s="77">
        <v>493423213</v>
      </c>
      <c r="BE670" s="77"/>
      <c r="BF670" s="77"/>
      <c r="BG670" s="77"/>
      <c r="BH670" s="77"/>
      <c r="BI670" s="77"/>
    </row>
    <row r="671" spans="1:61" x14ac:dyDescent="0.25">
      <c r="A671" s="62" t="s">
        <v>428</v>
      </c>
      <c r="B671" s="62" t="s">
        <v>428</v>
      </c>
      <c r="C671" s="63"/>
      <c r="D671" s="64"/>
      <c r="E671" s="65"/>
      <c r="F671" s="66"/>
      <c r="G671" s="63"/>
      <c r="H671" s="67"/>
      <c r="I671" s="68"/>
      <c r="J671" s="68"/>
      <c r="K671" s="32"/>
      <c r="L671" s="75">
        <v>671</v>
      </c>
      <c r="M671" s="75"/>
      <c r="N671" s="70"/>
      <c r="O671" s="77" t="s">
        <v>179</v>
      </c>
      <c r="P671" s="79">
        <v>45117.991261574076</v>
      </c>
      <c r="Q671" s="77" t="s">
        <v>1619</v>
      </c>
      <c r="R671" s="77">
        <v>0</v>
      </c>
      <c r="S671" s="77">
        <v>0</v>
      </c>
      <c r="T671" s="77">
        <v>0</v>
      </c>
      <c r="U671" s="77">
        <v>0</v>
      </c>
      <c r="V671" s="77">
        <v>55</v>
      </c>
      <c r="W671" s="81" t="s">
        <v>3295</v>
      </c>
      <c r="X671" s="77"/>
      <c r="Y671" s="77"/>
      <c r="Z671" s="77"/>
      <c r="AA671" s="77" t="s">
        <v>4891</v>
      </c>
      <c r="AB671" s="77" t="s">
        <v>5794</v>
      </c>
      <c r="AC671" s="81" t="s">
        <v>5805</v>
      </c>
      <c r="AD671" s="77" t="s">
        <v>5850</v>
      </c>
      <c r="AE671" s="83" t="str">
        <f>HYPERLINK("https://twitter.com/tneaar/status/1678551531665096705")</f>
        <v>https://twitter.com/tneaar/status/1678551531665096705</v>
      </c>
      <c r="AF671" s="79">
        <v>45117.991261574076</v>
      </c>
      <c r="AG671" s="85">
        <v>45117</v>
      </c>
      <c r="AH671" s="81" t="s">
        <v>6490</v>
      </c>
      <c r="AI671" s="77" t="b">
        <v>0</v>
      </c>
      <c r="AJ671" s="77"/>
      <c r="AK671" s="77"/>
      <c r="AL671" s="77"/>
      <c r="AM671" s="77"/>
      <c r="AN671" s="77"/>
      <c r="AO671" s="77"/>
      <c r="AP671" s="77"/>
      <c r="AQ671" s="77" t="s">
        <v>8394</v>
      </c>
      <c r="AR671" s="77"/>
      <c r="AS671" s="77"/>
      <c r="AT671" s="77"/>
      <c r="AU671" s="77"/>
      <c r="AV671" s="83" t="str">
        <f>HYPERLINK("https://pbs.twimg.com/media/F0tpt-XWYAEttpS.jpg")</f>
        <v>https://pbs.twimg.com/media/F0tpt-XWYAEttpS.jpg</v>
      </c>
      <c r="AW671" s="81" t="s">
        <v>9941</v>
      </c>
      <c r="AX671" s="81" t="s">
        <v>9941</v>
      </c>
      <c r="AY671" s="77"/>
      <c r="AZ671" s="81" t="s">
        <v>11359</v>
      </c>
      <c r="BA671" s="81" t="s">
        <v>11359</v>
      </c>
      <c r="BB671" s="81" t="s">
        <v>11359</v>
      </c>
      <c r="BC671" s="81" t="s">
        <v>9941</v>
      </c>
      <c r="BD671" s="77">
        <v>493423213</v>
      </c>
      <c r="BE671" s="77"/>
      <c r="BF671" s="77"/>
      <c r="BG671" s="77"/>
      <c r="BH671" s="77"/>
      <c r="BI671" s="77"/>
    </row>
    <row r="672" spans="1:61" x14ac:dyDescent="0.25">
      <c r="A672" s="62" t="s">
        <v>428</v>
      </c>
      <c r="B672" s="62" t="s">
        <v>428</v>
      </c>
      <c r="C672" s="63"/>
      <c r="D672" s="64"/>
      <c r="E672" s="65"/>
      <c r="F672" s="66"/>
      <c r="G672" s="63"/>
      <c r="H672" s="67"/>
      <c r="I672" s="68"/>
      <c r="J672" s="68"/>
      <c r="K672" s="32"/>
      <c r="L672" s="75">
        <v>672</v>
      </c>
      <c r="M672" s="75"/>
      <c r="N672" s="70"/>
      <c r="O672" s="77" t="s">
        <v>179</v>
      </c>
      <c r="P672" s="79">
        <v>45117.978854166664</v>
      </c>
      <c r="Q672" s="77" t="s">
        <v>1620</v>
      </c>
      <c r="R672" s="77">
        <v>0</v>
      </c>
      <c r="S672" s="77">
        <v>0</v>
      </c>
      <c r="T672" s="77">
        <v>0</v>
      </c>
      <c r="U672" s="77">
        <v>0</v>
      </c>
      <c r="V672" s="77">
        <v>76</v>
      </c>
      <c r="W672" s="81" t="s">
        <v>3248</v>
      </c>
      <c r="X672" s="77"/>
      <c r="Y672" s="77"/>
      <c r="Z672" s="77"/>
      <c r="AA672" s="77" t="s">
        <v>4892</v>
      </c>
      <c r="AB672" s="77" t="s">
        <v>5794</v>
      </c>
      <c r="AC672" s="81" t="s">
        <v>5805</v>
      </c>
      <c r="AD672" s="77" t="s">
        <v>5850</v>
      </c>
      <c r="AE672" s="83" t="str">
        <f>HYPERLINK("https://twitter.com/tneaar/status/1678547035346157568")</f>
        <v>https://twitter.com/tneaar/status/1678547035346157568</v>
      </c>
      <c r="AF672" s="79">
        <v>45117.978854166664</v>
      </c>
      <c r="AG672" s="85">
        <v>45117</v>
      </c>
      <c r="AH672" s="81" t="s">
        <v>6491</v>
      </c>
      <c r="AI672" s="77" t="b">
        <v>0</v>
      </c>
      <c r="AJ672" s="77"/>
      <c r="AK672" s="77"/>
      <c r="AL672" s="77"/>
      <c r="AM672" s="77"/>
      <c r="AN672" s="77"/>
      <c r="AO672" s="77"/>
      <c r="AP672" s="77"/>
      <c r="AQ672" s="77" t="s">
        <v>8395</v>
      </c>
      <c r="AR672" s="77"/>
      <c r="AS672" s="77"/>
      <c r="AT672" s="77"/>
      <c r="AU672" s="77"/>
      <c r="AV672" s="83" t="str">
        <f>HYPERLINK("https://pbs.twimg.com/media/F0tloO-XsAEttR7.jpg")</f>
        <v>https://pbs.twimg.com/media/F0tloO-XsAEttR7.jpg</v>
      </c>
      <c r="AW672" s="81" t="s">
        <v>9942</v>
      </c>
      <c r="AX672" s="81" t="s">
        <v>9942</v>
      </c>
      <c r="AY672" s="77"/>
      <c r="AZ672" s="81" t="s">
        <v>11359</v>
      </c>
      <c r="BA672" s="81" t="s">
        <v>11359</v>
      </c>
      <c r="BB672" s="81" t="s">
        <v>11359</v>
      </c>
      <c r="BC672" s="81" t="s">
        <v>9942</v>
      </c>
      <c r="BD672" s="77">
        <v>493423213</v>
      </c>
      <c r="BE672" s="77"/>
      <c r="BF672" s="77"/>
      <c r="BG672" s="77"/>
      <c r="BH672" s="77"/>
      <c r="BI672" s="77"/>
    </row>
    <row r="673" spans="1:61" x14ac:dyDescent="0.25">
      <c r="A673" s="62" t="s">
        <v>428</v>
      </c>
      <c r="B673" s="62" t="s">
        <v>428</v>
      </c>
      <c r="C673" s="63"/>
      <c r="D673" s="64"/>
      <c r="E673" s="65"/>
      <c r="F673" s="66"/>
      <c r="G673" s="63"/>
      <c r="H673" s="67"/>
      <c r="I673" s="68"/>
      <c r="J673" s="68"/>
      <c r="K673" s="32"/>
      <c r="L673" s="75">
        <v>673</v>
      </c>
      <c r="M673" s="75"/>
      <c r="N673" s="70"/>
      <c r="O673" s="77" t="s">
        <v>179</v>
      </c>
      <c r="P673" s="79">
        <v>45110.903020833335</v>
      </c>
      <c r="Q673" s="77" t="s">
        <v>1621</v>
      </c>
      <c r="R673" s="77">
        <v>0</v>
      </c>
      <c r="S673" s="77">
        <v>0</v>
      </c>
      <c r="T673" s="77">
        <v>0</v>
      </c>
      <c r="U673" s="77">
        <v>0</v>
      </c>
      <c r="V673" s="77">
        <v>101</v>
      </c>
      <c r="W673" s="81" t="s">
        <v>3295</v>
      </c>
      <c r="X673" s="77"/>
      <c r="Y673" s="77"/>
      <c r="Z673" s="77"/>
      <c r="AA673" s="77" t="s">
        <v>4893</v>
      </c>
      <c r="AB673" s="77" t="s">
        <v>5794</v>
      </c>
      <c r="AC673" s="81" t="s">
        <v>5805</v>
      </c>
      <c r="AD673" s="77" t="s">
        <v>5850</v>
      </c>
      <c r="AE673" s="83" t="str">
        <f>HYPERLINK("https://twitter.com/tneaar/status/1675982838498246657")</f>
        <v>https://twitter.com/tneaar/status/1675982838498246657</v>
      </c>
      <c r="AF673" s="79">
        <v>45110.903020833335</v>
      </c>
      <c r="AG673" s="85">
        <v>45110</v>
      </c>
      <c r="AH673" s="81" t="s">
        <v>6492</v>
      </c>
      <c r="AI673" s="77" t="b">
        <v>0</v>
      </c>
      <c r="AJ673" s="77"/>
      <c r="AK673" s="77"/>
      <c r="AL673" s="77"/>
      <c r="AM673" s="77"/>
      <c r="AN673" s="77"/>
      <c r="AO673" s="77"/>
      <c r="AP673" s="77"/>
      <c r="AQ673" s="77" t="s">
        <v>8396</v>
      </c>
      <c r="AR673" s="77"/>
      <c r="AS673" s="77"/>
      <c r="AT673" s="77"/>
      <c r="AU673" s="77"/>
      <c r="AV673" s="83" t="str">
        <f>HYPERLINK("https://pbs.twimg.com/media/F0JJgLoXoAEv6dF.jpg")</f>
        <v>https://pbs.twimg.com/media/F0JJgLoXoAEv6dF.jpg</v>
      </c>
      <c r="AW673" s="81" t="s">
        <v>9943</v>
      </c>
      <c r="AX673" s="81" t="s">
        <v>9943</v>
      </c>
      <c r="AY673" s="77"/>
      <c r="AZ673" s="81" t="s">
        <v>11359</v>
      </c>
      <c r="BA673" s="81" t="s">
        <v>11359</v>
      </c>
      <c r="BB673" s="81" t="s">
        <v>11359</v>
      </c>
      <c r="BC673" s="81" t="s">
        <v>9943</v>
      </c>
      <c r="BD673" s="77">
        <v>493423213</v>
      </c>
      <c r="BE673" s="77"/>
      <c r="BF673" s="77"/>
      <c r="BG673" s="77"/>
      <c r="BH673" s="77"/>
      <c r="BI673" s="77"/>
    </row>
    <row r="674" spans="1:61" x14ac:dyDescent="0.25">
      <c r="A674" s="62" t="s">
        <v>428</v>
      </c>
      <c r="B674" s="62" t="s">
        <v>428</v>
      </c>
      <c r="C674" s="63"/>
      <c r="D674" s="64"/>
      <c r="E674" s="65"/>
      <c r="F674" s="66"/>
      <c r="G674" s="63"/>
      <c r="H674" s="67"/>
      <c r="I674" s="68"/>
      <c r="J674" s="68"/>
      <c r="K674" s="32"/>
      <c r="L674" s="75">
        <v>674</v>
      </c>
      <c r="M674" s="75"/>
      <c r="N674" s="70"/>
      <c r="O674" s="77" t="s">
        <v>179</v>
      </c>
      <c r="P674" s="79">
        <v>45110.088692129626</v>
      </c>
      <c r="Q674" s="77" t="s">
        <v>1622</v>
      </c>
      <c r="R674" s="77">
        <v>1</v>
      </c>
      <c r="S674" s="77">
        <v>0</v>
      </c>
      <c r="T674" s="77">
        <v>0</v>
      </c>
      <c r="U674" s="77">
        <v>0</v>
      </c>
      <c r="V674" s="77">
        <v>116</v>
      </c>
      <c r="W674" s="81" t="s">
        <v>3248</v>
      </c>
      <c r="X674" s="77"/>
      <c r="Y674" s="77"/>
      <c r="Z674" s="77"/>
      <c r="AA674" s="77" t="s">
        <v>4894</v>
      </c>
      <c r="AB674" s="77" t="s">
        <v>5794</v>
      </c>
      <c r="AC674" s="81" t="s">
        <v>5805</v>
      </c>
      <c r="AD674" s="77" t="s">
        <v>5850</v>
      </c>
      <c r="AE674" s="83" t="str">
        <f>HYPERLINK("https://twitter.com/tneaar/status/1675687733702868992")</f>
        <v>https://twitter.com/tneaar/status/1675687733702868992</v>
      </c>
      <c r="AF674" s="79">
        <v>45110.088692129626</v>
      </c>
      <c r="AG674" s="85">
        <v>45110</v>
      </c>
      <c r="AH674" s="81" t="s">
        <v>6493</v>
      </c>
      <c r="AI674" s="77" t="b">
        <v>0</v>
      </c>
      <c r="AJ674" s="77"/>
      <c r="AK674" s="77"/>
      <c r="AL674" s="77"/>
      <c r="AM674" s="77"/>
      <c r="AN674" s="77"/>
      <c r="AO674" s="77"/>
      <c r="AP674" s="77"/>
      <c r="AQ674" s="77" t="s">
        <v>8397</v>
      </c>
      <c r="AR674" s="77"/>
      <c r="AS674" s="77"/>
      <c r="AT674" s="77"/>
      <c r="AU674" s="77"/>
      <c r="AV674" s="83" t="str">
        <f>HYPERLINK("https://pbs.twimg.com/media/F0E9HFJXwAEhNli.jpg")</f>
        <v>https://pbs.twimg.com/media/F0E9HFJXwAEhNli.jpg</v>
      </c>
      <c r="AW674" s="81" t="s">
        <v>9944</v>
      </c>
      <c r="AX674" s="81" t="s">
        <v>9944</v>
      </c>
      <c r="AY674" s="77"/>
      <c r="AZ674" s="81" t="s">
        <v>11359</v>
      </c>
      <c r="BA674" s="81" t="s">
        <v>11359</v>
      </c>
      <c r="BB674" s="81" t="s">
        <v>11359</v>
      </c>
      <c r="BC674" s="81" t="s">
        <v>9944</v>
      </c>
      <c r="BD674" s="77">
        <v>493423213</v>
      </c>
      <c r="BE674" s="77"/>
      <c r="BF674" s="77"/>
      <c r="BG674" s="77"/>
      <c r="BH674" s="77"/>
      <c r="BI674" s="77"/>
    </row>
    <row r="675" spans="1:61" x14ac:dyDescent="0.25">
      <c r="A675" s="62" t="s">
        <v>428</v>
      </c>
      <c r="B675" s="62" t="s">
        <v>428</v>
      </c>
      <c r="C675" s="63"/>
      <c r="D675" s="64"/>
      <c r="E675" s="65"/>
      <c r="F675" s="66"/>
      <c r="G675" s="63"/>
      <c r="H675" s="67"/>
      <c r="I675" s="68"/>
      <c r="J675" s="68"/>
      <c r="K675" s="32"/>
      <c r="L675" s="75">
        <v>675</v>
      </c>
      <c r="M675" s="75"/>
      <c r="N675" s="70"/>
      <c r="O675" s="77" t="s">
        <v>179</v>
      </c>
      <c r="P675" s="79">
        <v>45108.626226851855</v>
      </c>
      <c r="Q675" s="77" t="s">
        <v>1623</v>
      </c>
      <c r="R675" s="77">
        <v>0</v>
      </c>
      <c r="S675" s="77">
        <v>0</v>
      </c>
      <c r="T675" s="77">
        <v>0</v>
      </c>
      <c r="U675" s="77">
        <v>0</v>
      </c>
      <c r="V675" s="77">
        <v>50</v>
      </c>
      <c r="W675" s="81" t="s">
        <v>3312</v>
      </c>
      <c r="X675" s="77" t="s">
        <v>4173</v>
      </c>
      <c r="Y675" s="77" t="s">
        <v>4271</v>
      </c>
      <c r="Z675" s="77"/>
      <c r="AA675" s="77" t="s">
        <v>4895</v>
      </c>
      <c r="AB675" s="77" t="s">
        <v>5794</v>
      </c>
      <c r="AC675" s="81" t="s">
        <v>5805</v>
      </c>
      <c r="AD675" s="77" t="s">
        <v>5850</v>
      </c>
      <c r="AE675" s="83" t="str">
        <f>HYPERLINK("https://twitter.com/tneaar/status/1675157753776545792")</f>
        <v>https://twitter.com/tneaar/status/1675157753776545792</v>
      </c>
      <c r="AF675" s="79">
        <v>45108.626226851855</v>
      </c>
      <c r="AG675" s="85">
        <v>45108</v>
      </c>
      <c r="AH675" s="81" t="s">
        <v>6494</v>
      </c>
      <c r="AI675" s="77" t="b">
        <v>0</v>
      </c>
      <c r="AJ675" s="77"/>
      <c r="AK675" s="77"/>
      <c r="AL675" s="77"/>
      <c r="AM675" s="77"/>
      <c r="AN675" s="77"/>
      <c r="AO675" s="77"/>
      <c r="AP675" s="77"/>
      <c r="AQ675" s="77" t="s">
        <v>8398</v>
      </c>
      <c r="AR675" s="77"/>
      <c r="AS675" s="77"/>
      <c r="AT675" s="77"/>
      <c r="AU675" s="77"/>
      <c r="AV675" s="83" t="str">
        <f>HYPERLINK("https://pbs.twimg.com/media/Fz9bFPMWYAE5hDM.jpg")</f>
        <v>https://pbs.twimg.com/media/Fz9bFPMWYAE5hDM.jpg</v>
      </c>
      <c r="AW675" s="81" t="s">
        <v>9945</v>
      </c>
      <c r="AX675" s="81" t="s">
        <v>9945</v>
      </c>
      <c r="AY675" s="77"/>
      <c r="AZ675" s="81" t="s">
        <v>11359</v>
      </c>
      <c r="BA675" s="81" t="s">
        <v>11359</v>
      </c>
      <c r="BB675" s="81" t="s">
        <v>11359</v>
      </c>
      <c r="BC675" s="81" t="s">
        <v>9945</v>
      </c>
      <c r="BD675" s="77">
        <v>493423213</v>
      </c>
      <c r="BE675" s="77"/>
      <c r="BF675" s="77"/>
      <c r="BG675" s="77"/>
      <c r="BH675" s="77"/>
      <c r="BI675" s="77"/>
    </row>
    <row r="676" spans="1:61" x14ac:dyDescent="0.25">
      <c r="A676" s="62" t="s">
        <v>428</v>
      </c>
      <c r="B676" s="62" t="s">
        <v>428</v>
      </c>
      <c r="C676" s="63"/>
      <c r="D676" s="64"/>
      <c r="E676" s="65"/>
      <c r="F676" s="66"/>
      <c r="G676" s="63"/>
      <c r="H676" s="67"/>
      <c r="I676" s="68"/>
      <c r="J676" s="68"/>
      <c r="K676" s="32"/>
      <c r="L676" s="75">
        <v>676</v>
      </c>
      <c r="M676" s="75"/>
      <c r="N676" s="70"/>
      <c r="O676" s="77" t="s">
        <v>179</v>
      </c>
      <c r="P676" s="79">
        <v>45108.590069444443</v>
      </c>
      <c r="Q676" s="77" t="s">
        <v>1624</v>
      </c>
      <c r="R676" s="77">
        <v>0</v>
      </c>
      <c r="S676" s="77">
        <v>0</v>
      </c>
      <c r="T676" s="77">
        <v>0</v>
      </c>
      <c r="U676" s="77">
        <v>0</v>
      </c>
      <c r="V676" s="77">
        <v>44</v>
      </c>
      <c r="W676" s="81" t="s">
        <v>3313</v>
      </c>
      <c r="X676" s="77" t="s">
        <v>4174</v>
      </c>
      <c r="Y676" s="77" t="s">
        <v>4267</v>
      </c>
      <c r="Z676" s="77"/>
      <c r="AA676" s="77" t="s">
        <v>4896</v>
      </c>
      <c r="AB676" s="77" t="s">
        <v>5794</v>
      </c>
      <c r="AC676" s="81" t="s">
        <v>5805</v>
      </c>
      <c r="AD676" s="77" t="s">
        <v>5850</v>
      </c>
      <c r="AE676" s="83" t="str">
        <f>HYPERLINK("https://twitter.com/tneaar/status/1675144651253088256")</f>
        <v>https://twitter.com/tneaar/status/1675144651253088256</v>
      </c>
      <c r="AF676" s="79">
        <v>45108.590069444443</v>
      </c>
      <c r="AG676" s="85">
        <v>45108</v>
      </c>
      <c r="AH676" s="81" t="s">
        <v>6495</v>
      </c>
      <c r="AI676" s="77" t="b">
        <v>0</v>
      </c>
      <c r="AJ676" s="77"/>
      <c r="AK676" s="77"/>
      <c r="AL676" s="77"/>
      <c r="AM676" s="77"/>
      <c r="AN676" s="77"/>
      <c r="AO676" s="77"/>
      <c r="AP676" s="77"/>
      <c r="AQ676" s="77" t="s">
        <v>8399</v>
      </c>
      <c r="AR676" s="77"/>
      <c r="AS676" s="77"/>
      <c r="AT676" s="77"/>
      <c r="AU676" s="77"/>
      <c r="AV676" s="83" t="str">
        <f>HYPERLINK("https://pbs.twimg.com/media/Fz9PLPAXwAA9l_I.jpg")</f>
        <v>https://pbs.twimg.com/media/Fz9PLPAXwAA9l_I.jpg</v>
      </c>
      <c r="AW676" s="81" t="s">
        <v>9946</v>
      </c>
      <c r="AX676" s="81" t="s">
        <v>9946</v>
      </c>
      <c r="AY676" s="77"/>
      <c r="AZ676" s="81" t="s">
        <v>11359</v>
      </c>
      <c r="BA676" s="81" t="s">
        <v>11359</v>
      </c>
      <c r="BB676" s="81" t="s">
        <v>11359</v>
      </c>
      <c r="BC676" s="81" t="s">
        <v>9946</v>
      </c>
      <c r="BD676" s="77">
        <v>493423213</v>
      </c>
      <c r="BE676" s="77"/>
      <c r="BF676" s="77"/>
      <c r="BG676" s="77"/>
      <c r="BH676" s="77"/>
      <c r="BI676" s="77"/>
    </row>
    <row r="677" spans="1:61" x14ac:dyDescent="0.25">
      <c r="A677" s="62" t="s">
        <v>428</v>
      </c>
      <c r="B677" s="62" t="s">
        <v>428</v>
      </c>
      <c r="C677" s="63"/>
      <c r="D677" s="64"/>
      <c r="E677" s="65"/>
      <c r="F677" s="66"/>
      <c r="G677" s="63"/>
      <c r="H677" s="67"/>
      <c r="I677" s="68"/>
      <c r="J677" s="68"/>
      <c r="K677" s="32"/>
      <c r="L677" s="75">
        <v>677</v>
      </c>
      <c r="M677" s="75"/>
      <c r="N677" s="70"/>
      <c r="O677" s="77" t="s">
        <v>179</v>
      </c>
      <c r="P677" s="79">
        <v>45069.588472222225</v>
      </c>
      <c r="Q677" s="77" t="s">
        <v>1625</v>
      </c>
      <c r="R677" s="77">
        <v>0</v>
      </c>
      <c r="S677" s="77">
        <v>0</v>
      </c>
      <c r="T677" s="77">
        <v>0</v>
      </c>
      <c r="U677" s="77">
        <v>0</v>
      </c>
      <c r="V677" s="77">
        <v>105</v>
      </c>
      <c r="W677" s="81" t="s">
        <v>3299</v>
      </c>
      <c r="X677" s="77" t="s">
        <v>4175</v>
      </c>
      <c r="Y677" s="77" t="s">
        <v>4267</v>
      </c>
      <c r="Z677" s="77"/>
      <c r="AA677" s="77" t="s">
        <v>4897</v>
      </c>
      <c r="AB677" s="77" t="s">
        <v>5794</v>
      </c>
      <c r="AC677" s="81" t="s">
        <v>5805</v>
      </c>
      <c r="AD677" s="77" t="s">
        <v>5850</v>
      </c>
      <c r="AE677" s="83" t="str">
        <f>HYPERLINK("https://twitter.com/tneaar/status/1661010948679925763")</f>
        <v>https://twitter.com/tneaar/status/1661010948679925763</v>
      </c>
      <c r="AF677" s="79">
        <v>45069.588472222225</v>
      </c>
      <c r="AG677" s="85">
        <v>45069</v>
      </c>
      <c r="AH677" s="81" t="s">
        <v>6496</v>
      </c>
      <c r="AI677" s="77" t="b">
        <v>0</v>
      </c>
      <c r="AJ677" s="77"/>
      <c r="AK677" s="77"/>
      <c r="AL677" s="77"/>
      <c r="AM677" s="77"/>
      <c r="AN677" s="77"/>
      <c r="AO677" s="77"/>
      <c r="AP677" s="77"/>
      <c r="AQ677" s="77" t="s">
        <v>8400</v>
      </c>
      <c r="AR677" s="77"/>
      <c r="AS677" s="77"/>
      <c r="AT677" s="77"/>
      <c r="AU677" s="77"/>
      <c r="AV677" s="83" t="str">
        <f>HYPERLINK("https://pbs.twimg.com/media/Fw0YpPjaUAMe8Wo.jpg")</f>
        <v>https://pbs.twimg.com/media/Fw0YpPjaUAMe8Wo.jpg</v>
      </c>
      <c r="AW677" s="81" t="s">
        <v>9947</v>
      </c>
      <c r="AX677" s="81" t="s">
        <v>9947</v>
      </c>
      <c r="AY677" s="77"/>
      <c r="AZ677" s="81" t="s">
        <v>11359</v>
      </c>
      <c r="BA677" s="81" t="s">
        <v>11359</v>
      </c>
      <c r="BB677" s="81" t="s">
        <v>11359</v>
      </c>
      <c r="BC677" s="81" t="s">
        <v>9947</v>
      </c>
      <c r="BD677" s="77">
        <v>493423213</v>
      </c>
      <c r="BE677" s="77"/>
      <c r="BF677" s="77"/>
      <c r="BG677" s="77"/>
      <c r="BH677" s="77"/>
      <c r="BI677" s="77"/>
    </row>
    <row r="678" spans="1:61" x14ac:dyDescent="0.25">
      <c r="A678" s="62" t="s">
        <v>428</v>
      </c>
      <c r="B678" s="62" t="s">
        <v>428</v>
      </c>
      <c r="C678" s="63"/>
      <c r="D678" s="64"/>
      <c r="E678" s="65"/>
      <c r="F678" s="66"/>
      <c r="G678" s="63"/>
      <c r="H678" s="67"/>
      <c r="I678" s="68"/>
      <c r="J678" s="68"/>
      <c r="K678" s="32"/>
      <c r="L678" s="75">
        <v>678</v>
      </c>
      <c r="M678" s="75"/>
      <c r="N678" s="70"/>
      <c r="O678" s="77" t="s">
        <v>179</v>
      </c>
      <c r="P678" s="79">
        <v>45069.587233796294</v>
      </c>
      <c r="Q678" s="77" t="s">
        <v>1626</v>
      </c>
      <c r="R678" s="77">
        <v>0</v>
      </c>
      <c r="S678" s="77">
        <v>0</v>
      </c>
      <c r="T678" s="77">
        <v>0</v>
      </c>
      <c r="U678" s="77">
        <v>0</v>
      </c>
      <c r="V678" s="77">
        <v>73</v>
      </c>
      <c r="W678" s="81" t="s">
        <v>3314</v>
      </c>
      <c r="X678" s="77" t="s">
        <v>4176</v>
      </c>
      <c r="Y678" s="77" t="s">
        <v>4267</v>
      </c>
      <c r="Z678" s="77"/>
      <c r="AA678" s="77" t="s">
        <v>4898</v>
      </c>
      <c r="AB678" s="77" t="s">
        <v>5794</v>
      </c>
      <c r="AC678" s="81" t="s">
        <v>5805</v>
      </c>
      <c r="AD678" s="77" t="s">
        <v>5850</v>
      </c>
      <c r="AE678" s="83" t="str">
        <f>HYPERLINK("https://twitter.com/tneaar/status/1661010498782101510")</f>
        <v>https://twitter.com/tneaar/status/1661010498782101510</v>
      </c>
      <c r="AF678" s="79">
        <v>45069.587233796294</v>
      </c>
      <c r="AG678" s="85">
        <v>45069</v>
      </c>
      <c r="AH678" s="81" t="s">
        <v>6497</v>
      </c>
      <c r="AI678" s="77" t="b">
        <v>0</v>
      </c>
      <c r="AJ678" s="77"/>
      <c r="AK678" s="77"/>
      <c r="AL678" s="77"/>
      <c r="AM678" s="77"/>
      <c r="AN678" s="77"/>
      <c r="AO678" s="77"/>
      <c r="AP678" s="77"/>
      <c r="AQ678" s="77" t="s">
        <v>8401</v>
      </c>
      <c r="AR678" s="77"/>
      <c r="AS678" s="77"/>
      <c r="AT678" s="77"/>
      <c r="AU678" s="77"/>
      <c r="AV678" s="83" t="str">
        <f>HYPERLINK("https://pbs.twimg.com/media/Fw0YPejaMAEqxCz.png")</f>
        <v>https://pbs.twimg.com/media/Fw0YPejaMAEqxCz.png</v>
      </c>
      <c r="AW678" s="81" t="s">
        <v>9948</v>
      </c>
      <c r="AX678" s="81" t="s">
        <v>9948</v>
      </c>
      <c r="AY678" s="77"/>
      <c r="AZ678" s="81" t="s">
        <v>11359</v>
      </c>
      <c r="BA678" s="81" t="s">
        <v>11359</v>
      </c>
      <c r="BB678" s="81" t="s">
        <v>11359</v>
      </c>
      <c r="BC678" s="81" t="s">
        <v>9948</v>
      </c>
      <c r="BD678" s="77">
        <v>493423213</v>
      </c>
      <c r="BE678" s="77"/>
      <c r="BF678" s="77"/>
      <c r="BG678" s="77"/>
      <c r="BH678" s="77"/>
      <c r="BI678" s="77"/>
    </row>
    <row r="679" spans="1:61" x14ac:dyDescent="0.25">
      <c r="A679" s="62" t="s">
        <v>428</v>
      </c>
      <c r="B679" s="62" t="s">
        <v>428</v>
      </c>
      <c r="C679" s="63"/>
      <c r="D679" s="64"/>
      <c r="E679" s="65"/>
      <c r="F679" s="66"/>
      <c r="G679" s="63"/>
      <c r="H679" s="67"/>
      <c r="I679" s="68"/>
      <c r="J679" s="68"/>
      <c r="K679" s="32"/>
      <c r="L679" s="75">
        <v>679</v>
      </c>
      <c r="M679" s="75"/>
      <c r="N679" s="70"/>
      <c r="O679" s="77" t="s">
        <v>179</v>
      </c>
      <c r="P679" s="79">
        <v>45069.58289351852</v>
      </c>
      <c r="Q679" s="77" t="s">
        <v>1627</v>
      </c>
      <c r="R679" s="77">
        <v>0</v>
      </c>
      <c r="S679" s="77">
        <v>0</v>
      </c>
      <c r="T679" s="77">
        <v>0</v>
      </c>
      <c r="U679" s="77">
        <v>0</v>
      </c>
      <c r="V679" s="77">
        <v>71</v>
      </c>
      <c r="W679" s="81" t="s">
        <v>3315</v>
      </c>
      <c r="X679" s="77" t="s">
        <v>4177</v>
      </c>
      <c r="Y679" s="77" t="s">
        <v>4267</v>
      </c>
      <c r="Z679" s="77"/>
      <c r="AA679" s="77" t="s">
        <v>4899</v>
      </c>
      <c r="AB679" s="77" t="s">
        <v>5794</v>
      </c>
      <c r="AC679" s="81" t="s">
        <v>5805</v>
      </c>
      <c r="AD679" s="77" t="s">
        <v>5850</v>
      </c>
      <c r="AE679" s="83" t="str">
        <f>HYPERLINK("https://twitter.com/tneaar/status/1661008926002003974")</f>
        <v>https://twitter.com/tneaar/status/1661008926002003974</v>
      </c>
      <c r="AF679" s="79">
        <v>45069.58289351852</v>
      </c>
      <c r="AG679" s="85">
        <v>45069</v>
      </c>
      <c r="AH679" s="81" t="s">
        <v>6498</v>
      </c>
      <c r="AI679" s="77" t="b">
        <v>0</v>
      </c>
      <c r="AJ679" s="77"/>
      <c r="AK679" s="77"/>
      <c r="AL679" s="77"/>
      <c r="AM679" s="77"/>
      <c r="AN679" s="77"/>
      <c r="AO679" s="77"/>
      <c r="AP679" s="77"/>
      <c r="AQ679" s="77" t="s">
        <v>8402</v>
      </c>
      <c r="AR679" s="77"/>
      <c r="AS679" s="77"/>
      <c r="AT679" s="77"/>
      <c r="AU679" s="77"/>
      <c r="AV679" s="83" t="str">
        <f>HYPERLINK("https://pbs.twimg.com/media/Fw0Wz82agAgGgzT.png")</f>
        <v>https://pbs.twimg.com/media/Fw0Wz82agAgGgzT.png</v>
      </c>
      <c r="AW679" s="81" t="s">
        <v>9949</v>
      </c>
      <c r="AX679" s="81" t="s">
        <v>9949</v>
      </c>
      <c r="AY679" s="77"/>
      <c r="AZ679" s="81" t="s">
        <v>11359</v>
      </c>
      <c r="BA679" s="81" t="s">
        <v>11359</v>
      </c>
      <c r="BB679" s="81" t="s">
        <v>11359</v>
      </c>
      <c r="BC679" s="81" t="s">
        <v>9949</v>
      </c>
      <c r="BD679" s="77">
        <v>493423213</v>
      </c>
      <c r="BE679" s="77"/>
      <c r="BF679" s="77"/>
      <c r="BG679" s="77"/>
      <c r="BH679" s="77"/>
      <c r="BI679" s="77"/>
    </row>
    <row r="680" spans="1:61" x14ac:dyDescent="0.25">
      <c r="A680" s="62" t="s">
        <v>428</v>
      </c>
      <c r="B680" s="62" t="s">
        <v>428</v>
      </c>
      <c r="C680" s="63"/>
      <c r="D680" s="64"/>
      <c r="E680" s="65"/>
      <c r="F680" s="66"/>
      <c r="G680" s="63"/>
      <c r="H680" s="67"/>
      <c r="I680" s="68"/>
      <c r="J680" s="68"/>
      <c r="K680" s="32"/>
      <c r="L680" s="75">
        <v>680</v>
      </c>
      <c r="M680" s="75"/>
      <c r="N680" s="70"/>
      <c r="O680" s="77" t="s">
        <v>179</v>
      </c>
      <c r="P680" s="79">
        <v>45069.581932870373</v>
      </c>
      <c r="Q680" s="77" t="s">
        <v>1628</v>
      </c>
      <c r="R680" s="77">
        <v>0</v>
      </c>
      <c r="S680" s="77">
        <v>0</v>
      </c>
      <c r="T680" s="77">
        <v>0</v>
      </c>
      <c r="U680" s="77">
        <v>0</v>
      </c>
      <c r="V680" s="77">
        <v>334</v>
      </c>
      <c r="W680" s="81" t="s">
        <v>3259</v>
      </c>
      <c r="X680" s="77" t="s">
        <v>4178</v>
      </c>
      <c r="Y680" s="77" t="s">
        <v>4267</v>
      </c>
      <c r="Z680" s="77"/>
      <c r="AA680" s="77" t="s">
        <v>4900</v>
      </c>
      <c r="AB680" s="77" t="s">
        <v>5794</v>
      </c>
      <c r="AC680" s="81" t="s">
        <v>5805</v>
      </c>
      <c r="AD680" s="77" t="s">
        <v>5850</v>
      </c>
      <c r="AE680" s="83" t="str">
        <f>HYPERLINK("https://twitter.com/tneaar/status/1661008577241440258")</f>
        <v>https://twitter.com/tneaar/status/1661008577241440258</v>
      </c>
      <c r="AF680" s="79">
        <v>45069.581932870373</v>
      </c>
      <c r="AG680" s="85">
        <v>45069</v>
      </c>
      <c r="AH680" s="81" t="s">
        <v>6499</v>
      </c>
      <c r="AI680" s="77" t="b">
        <v>0</v>
      </c>
      <c r="AJ680" s="77"/>
      <c r="AK680" s="77"/>
      <c r="AL680" s="77"/>
      <c r="AM680" s="77"/>
      <c r="AN680" s="77"/>
      <c r="AO680" s="77"/>
      <c r="AP680" s="77"/>
      <c r="AQ680" s="77" t="s">
        <v>8403</v>
      </c>
      <c r="AR680" s="77"/>
      <c r="AS680" s="77"/>
      <c r="AT680" s="77"/>
      <c r="AU680" s="77"/>
      <c r="AV680" s="83" t="str">
        <f>HYPERLINK("https://pbs.twimg.com/media/Fw0WfExaIAIR6ut.jpg")</f>
        <v>https://pbs.twimg.com/media/Fw0WfExaIAIR6ut.jpg</v>
      </c>
      <c r="AW680" s="81" t="s">
        <v>9950</v>
      </c>
      <c r="AX680" s="81" t="s">
        <v>9950</v>
      </c>
      <c r="AY680" s="77"/>
      <c r="AZ680" s="81" t="s">
        <v>11359</v>
      </c>
      <c r="BA680" s="81" t="s">
        <v>11359</v>
      </c>
      <c r="BB680" s="81" t="s">
        <v>11359</v>
      </c>
      <c r="BC680" s="81" t="s">
        <v>9950</v>
      </c>
      <c r="BD680" s="77">
        <v>493423213</v>
      </c>
      <c r="BE680" s="77"/>
      <c r="BF680" s="77"/>
      <c r="BG680" s="77"/>
      <c r="BH680" s="77"/>
      <c r="BI680" s="77"/>
    </row>
    <row r="681" spans="1:61" x14ac:dyDescent="0.25">
      <c r="A681" s="62" t="s">
        <v>428</v>
      </c>
      <c r="B681" s="62" t="s">
        <v>428</v>
      </c>
      <c r="C681" s="63"/>
      <c r="D681" s="64"/>
      <c r="E681" s="65"/>
      <c r="F681" s="66"/>
      <c r="G681" s="63"/>
      <c r="H681" s="67"/>
      <c r="I681" s="68"/>
      <c r="J681" s="68"/>
      <c r="K681" s="32"/>
      <c r="L681" s="75">
        <v>681</v>
      </c>
      <c r="M681" s="75"/>
      <c r="N681" s="70"/>
      <c r="O681" s="77" t="s">
        <v>179</v>
      </c>
      <c r="P681" s="79">
        <v>45068.641863425924</v>
      </c>
      <c r="Q681" s="77" t="s">
        <v>1629</v>
      </c>
      <c r="R681" s="77">
        <v>0</v>
      </c>
      <c r="S681" s="77">
        <v>0</v>
      </c>
      <c r="T681" s="77">
        <v>0</v>
      </c>
      <c r="U681" s="77">
        <v>0</v>
      </c>
      <c r="V681" s="77">
        <v>43</v>
      </c>
      <c r="W681" s="81" t="s">
        <v>3264</v>
      </c>
      <c r="X681" s="77"/>
      <c r="Y681" s="77"/>
      <c r="Z681" s="77"/>
      <c r="AA681" s="77" t="s">
        <v>4901</v>
      </c>
      <c r="AB681" s="77" t="s">
        <v>5794</v>
      </c>
      <c r="AC681" s="81" t="s">
        <v>5805</v>
      </c>
      <c r="AD681" s="77" t="s">
        <v>5850</v>
      </c>
      <c r="AE681" s="83" t="str">
        <f>HYPERLINK("https://twitter.com/tneaar/status/1660667907838181376")</f>
        <v>https://twitter.com/tneaar/status/1660667907838181376</v>
      </c>
      <c r="AF681" s="79">
        <v>45068.641863425924</v>
      </c>
      <c r="AG681" s="85">
        <v>45068</v>
      </c>
      <c r="AH681" s="81" t="s">
        <v>6500</v>
      </c>
      <c r="AI681" s="77" t="b">
        <v>0</v>
      </c>
      <c r="AJ681" s="77"/>
      <c r="AK681" s="77"/>
      <c r="AL681" s="77"/>
      <c r="AM681" s="77"/>
      <c r="AN681" s="77"/>
      <c r="AO681" s="77"/>
      <c r="AP681" s="77"/>
      <c r="AQ681" s="77" t="s">
        <v>8404</v>
      </c>
      <c r="AR681" s="77"/>
      <c r="AS681" s="77"/>
      <c r="AT681" s="77"/>
      <c r="AU681" s="77"/>
      <c r="AV681" s="83" t="str">
        <f>HYPERLINK("https://pbs.twimg.com/media/Fwvgp7CX0AA0HJk.jpg")</f>
        <v>https://pbs.twimg.com/media/Fwvgp7CX0AA0HJk.jpg</v>
      </c>
      <c r="AW681" s="81" t="s">
        <v>9951</v>
      </c>
      <c r="AX681" s="81" t="s">
        <v>9951</v>
      </c>
      <c r="AY681" s="77"/>
      <c r="AZ681" s="81" t="s">
        <v>11359</v>
      </c>
      <c r="BA681" s="81" t="s">
        <v>11359</v>
      </c>
      <c r="BB681" s="81" t="s">
        <v>11359</v>
      </c>
      <c r="BC681" s="81" t="s">
        <v>9951</v>
      </c>
      <c r="BD681" s="77">
        <v>493423213</v>
      </c>
      <c r="BE681" s="77"/>
      <c r="BF681" s="77"/>
      <c r="BG681" s="77"/>
      <c r="BH681" s="77"/>
      <c r="BI681" s="77"/>
    </row>
    <row r="682" spans="1:61" x14ac:dyDescent="0.25">
      <c r="A682" s="62" t="s">
        <v>428</v>
      </c>
      <c r="B682" s="62" t="s">
        <v>428</v>
      </c>
      <c r="C682" s="63"/>
      <c r="D682" s="64"/>
      <c r="E682" s="65"/>
      <c r="F682" s="66"/>
      <c r="G682" s="63"/>
      <c r="H682" s="67"/>
      <c r="I682" s="68"/>
      <c r="J682" s="68"/>
      <c r="K682" s="32"/>
      <c r="L682" s="75">
        <v>682</v>
      </c>
      <c r="M682" s="75"/>
      <c r="N682" s="70"/>
      <c r="O682" s="77" t="s">
        <v>179</v>
      </c>
      <c r="P682" s="79">
        <v>45068.639537037037</v>
      </c>
      <c r="Q682" s="77" t="s">
        <v>1630</v>
      </c>
      <c r="R682" s="77">
        <v>0</v>
      </c>
      <c r="S682" s="77">
        <v>0</v>
      </c>
      <c r="T682" s="77">
        <v>0</v>
      </c>
      <c r="U682" s="77">
        <v>0</v>
      </c>
      <c r="V682" s="77">
        <v>44</v>
      </c>
      <c r="W682" s="81" t="s">
        <v>3249</v>
      </c>
      <c r="X682" s="77"/>
      <c r="Y682" s="77"/>
      <c r="Z682" s="77"/>
      <c r="AA682" s="77" t="s">
        <v>4902</v>
      </c>
      <c r="AB682" s="77" t="s">
        <v>5794</v>
      </c>
      <c r="AC682" s="81" t="s">
        <v>5805</v>
      </c>
      <c r="AD682" s="77" t="s">
        <v>5850</v>
      </c>
      <c r="AE682" s="83" t="str">
        <f>HYPERLINK("https://twitter.com/tneaar/status/1660667064074248195")</f>
        <v>https://twitter.com/tneaar/status/1660667064074248195</v>
      </c>
      <c r="AF682" s="79">
        <v>45068.639537037037</v>
      </c>
      <c r="AG682" s="85">
        <v>45068</v>
      </c>
      <c r="AH682" s="81" t="s">
        <v>6501</v>
      </c>
      <c r="AI682" s="77" t="b">
        <v>0</v>
      </c>
      <c r="AJ682" s="77"/>
      <c r="AK682" s="77"/>
      <c r="AL682" s="77"/>
      <c r="AM682" s="77"/>
      <c r="AN682" s="77"/>
      <c r="AO682" s="77"/>
      <c r="AP682" s="77"/>
      <c r="AQ682" s="77" t="s">
        <v>8405</v>
      </c>
      <c r="AR682" s="77"/>
      <c r="AS682" s="77"/>
      <c r="AT682" s="77"/>
      <c r="AU682" s="77"/>
      <c r="AV682" s="83" t="str">
        <f>HYPERLINK("https://pbs.twimg.com/media/Fwvf4mTXgAEyEP7.jpg")</f>
        <v>https://pbs.twimg.com/media/Fwvf4mTXgAEyEP7.jpg</v>
      </c>
      <c r="AW682" s="81" t="s">
        <v>9952</v>
      </c>
      <c r="AX682" s="81" t="s">
        <v>9952</v>
      </c>
      <c r="AY682" s="77"/>
      <c r="AZ682" s="81" t="s">
        <v>11359</v>
      </c>
      <c r="BA682" s="81" t="s">
        <v>11359</v>
      </c>
      <c r="BB682" s="81" t="s">
        <v>11359</v>
      </c>
      <c r="BC682" s="81" t="s">
        <v>9952</v>
      </c>
      <c r="BD682" s="77">
        <v>493423213</v>
      </c>
      <c r="BE682" s="77"/>
      <c r="BF682" s="77"/>
      <c r="BG682" s="77"/>
      <c r="BH682" s="77"/>
      <c r="BI682" s="77"/>
    </row>
    <row r="683" spans="1:61" x14ac:dyDescent="0.25">
      <c r="A683" s="62" t="s">
        <v>428</v>
      </c>
      <c r="B683" s="62" t="s">
        <v>428</v>
      </c>
      <c r="C683" s="63"/>
      <c r="D683" s="64"/>
      <c r="E683" s="65"/>
      <c r="F683" s="66"/>
      <c r="G683" s="63"/>
      <c r="H683" s="67"/>
      <c r="I683" s="68"/>
      <c r="J683" s="68"/>
      <c r="K683" s="32"/>
      <c r="L683" s="75">
        <v>683</v>
      </c>
      <c r="M683" s="75"/>
      <c r="N683" s="70"/>
      <c r="O683" s="77" t="s">
        <v>179</v>
      </c>
      <c r="P683" s="79">
        <v>45019.02789351852</v>
      </c>
      <c r="Q683" s="77" t="s">
        <v>1631</v>
      </c>
      <c r="R683" s="77">
        <v>0</v>
      </c>
      <c r="S683" s="77">
        <v>0</v>
      </c>
      <c r="T683" s="77">
        <v>0</v>
      </c>
      <c r="U683" s="77">
        <v>0</v>
      </c>
      <c r="V683" s="77">
        <v>61</v>
      </c>
      <c r="W683" s="81" t="s">
        <v>3272</v>
      </c>
      <c r="X683" s="77"/>
      <c r="Y683" s="77"/>
      <c r="Z683" s="77"/>
      <c r="AA683" s="77" t="s">
        <v>4903</v>
      </c>
      <c r="AB683" s="77" t="s">
        <v>5794</v>
      </c>
      <c r="AC683" s="81" t="s">
        <v>5805</v>
      </c>
      <c r="AD683" s="77" t="s">
        <v>5850</v>
      </c>
      <c r="AE683" s="83" t="str">
        <f>HYPERLINK("https://twitter.com/tneaar/status/1642688406848167936")</f>
        <v>https://twitter.com/tneaar/status/1642688406848167936</v>
      </c>
      <c r="AF683" s="79">
        <v>45019.02789351852</v>
      </c>
      <c r="AG683" s="85">
        <v>45019</v>
      </c>
      <c r="AH683" s="81" t="s">
        <v>6502</v>
      </c>
      <c r="AI683" s="77" t="b">
        <v>0</v>
      </c>
      <c r="AJ683" s="77"/>
      <c r="AK683" s="77"/>
      <c r="AL683" s="77"/>
      <c r="AM683" s="77"/>
      <c r="AN683" s="77"/>
      <c r="AO683" s="77"/>
      <c r="AP683" s="77"/>
      <c r="AQ683" s="77" t="s">
        <v>8406</v>
      </c>
      <c r="AR683" s="77"/>
      <c r="AS683" s="77"/>
      <c r="AT683" s="77"/>
      <c r="AU683" s="77"/>
      <c r="AV683" s="83" t="str">
        <f>HYPERLINK("https://pbs.twimg.com/media/FswAZSFXsAA9mGt.jpg")</f>
        <v>https://pbs.twimg.com/media/FswAZSFXsAA9mGt.jpg</v>
      </c>
      <c r="AW683" s="81" t="s">
        <v>9953</v>
      </c>
      <c r="AX683" s="81" t="s">
        <v>9953</v>
      </c>
      <c r="AY683" s="77"/>
      <c r="AZ683" s="81" t="s">
        <v>11359</v>
      </c>
      <c r="BA683" s="81" t="s">
        <v>11359</v>
      </c>
      <c r="BB683" s="81" t="s">
        <v>11359</v>
      </c>
      <c r="BC683" s="81" t="s">
        <v>9953</v>
      </c>
      <c r="BD683" s="77">
        <v>493423213</v>
      </c>
      <c r="BE683" s="77"/>
      <c r="BF683" s="77"/>
      <c r="BG683" s="77"/>
      <c r="BH683" s="77"/>
      <c r="BI683" s="77"/>
    </row>
    <row r="684" spans="1:61" x14ac:dyDescent="0.25">
      <c r="A684" s="62" t="s">
        <v>428</v>
      </c>
      <c r="B684" s="62" t="s">
        <v>428</v>
      </c>
      <c r="C684" s="63"/>
      <c r="D684" s="64"/>
      <c r="E684" s="65"/>
      <c r="F684" s="66"/>
      <c r="G684" s="63"/>
      <c r="H684" s="67"/>
      <c r="I684" s="68"/>
      <c r="J684" s="68"/>
      <c r="K684" s="32"/>
      <c r="L684" s="75">
        <v>684</v>
      </c>
      <c r="M684" s="75"/>
      <c r="N684" s="70"/>
      <c r="O684" s="77" t="s">
        <v>179</v>
      </c>
      <c r="P684" s="79">
        <v>45019.02412037037</v>
      </c>
      <c r="Q684" s="77" t="s">
        <v>1632</v>
      </c>
      <c r="R684" s="77">
        <v>1</v>
      </c>
      <c r="S684" s="77">
        <v>0</v>
      </c>
      <c r="T684" s="77">
        <v>0</v>
      </c>
      <c r="U684" s="77">
        <v>0</v>
      </c>
      <c r="V684" s="77">
        <v>74</v>
      </c>
      <c r="W684" s="81" t="s">
        <v>3316</v>
      </c>
      <c r="X684" s="77" t="s">
        <v>4160</v>
      </c>
      <c r="Y684" s="77" t="s">
        <v>4269</v>
      </c>
      <c r="Z684" s="77"/>
      <c r="AA684" s="77" t="s">
        <v>4904</v>
      </c>
      <c r="AB684" s="77" t="s">
        <v>5794</v>
      </c>
      <c r="AC684" s="81" t="s">
        <v>5805</v>
      </c>
      <c r="AD684" s="77" t="s">
        <v>5850</v>
      </c>
      <c r="AE684" s="83" t="str">
        <f>HYPERLINK("https://twitter.com/tneaar/status/1642687038200717312")</f>
        <v>https://twitter.com/tneaar/status/1642687038200717312</v>
      </c>
      <c r="AF684" s="79">
        <v>45019.02412037037</v>
      </c>
      <c r="AG684" s="85">
        <v>45019</v>
      </c>
      <c r="AH684" s="81" t="s">
        <v>6503</v>
      </c>
      <c r="AI684" s="77" t="b">
        <v>0</v>
      </c>
      <c r="AJ684" s="77"/>
      <c r="AK684" s="77"/>
      <c r="AL684" s="77"/>
      <c r="AM684" s="77"/>
      <c r="AN684" s="77"/>
      <c r="AO684" s="77"/>
      <c r="AP684" s="77"/>
      <c r="AQ684" s="77" t="s">
        <v>8407</v>
      </c>
      <c r="AR684" s="77"/>
      <c r="AS684" s="77"/>
      <c r="AT684" s="77"/>
      <c r="AU684" s="77"/>
      <c r="AV684" s="83" t="str">
        <f>HYPERLINK("https://pbs.twimg.com/media/Fsv_JpQXgAAucx2.jpg")</f>
        <v>https://pbs.twimg.com/media/Fsv_JpQXgAAucx2.jpg</v>
      </c>
      <c r="AW684" s="81" t="s">
        <v>9954</v>
      </c>
      <c r="AX684" s="81" t="s">
        <v>9954</v>
      </c>
      <c r="AY684" s="77"/>
      <c r="AZ684" s="81" t="s">
        <v>11359</v>
      </c>
      <c r="BA684" s="81" t="s">
        <v>11359</v>
      </c>
      <c r="BB684" s="81" t="s">
        <v>11359</v>
      </c>
      <c r="BC684" s="81" t="s">
        <v>9954</v>
      </c>
      <c r="BD684" s="77">
        <v>493423213</v>
      </c>
      <c r="BE684" s="77"/>
      <c r="BF684" s="77"/>
      <c r="BG684" s="77"/>
      <c r="BH684" s="77"/>
      <c r="BI684" s="77"/>
    </row>
    <row r="685" spans="1:61" x14ac:dyDescent="0.25">
      <c r="A685" s="62" t="s">
        <v>428</v>
      </c>
      <c r="B685" s="62" t="s">
        <v>428</v>
      </c>
      <c r="C685" s="63"/>
      <c r="D685" s="64"/>
      <c r="E685" s="65"/>
      <c r="F685" s="66"/>
      <c r="G685" s="63"/>
      <c r="H685" s="67"/>
      <c r="I685" s="68"/>
      <c r="J685" s="68"/>
      <c r="K685" s="32"/>
      <c r="L685" s="75">
        <v>685</v>
      </c>
      <c r="M685" s="75"/>
      <c r="N685" s="70"/>
      <c r="O685" s="77" t="s">
        <v>179</v>
      </c>
      <c r="P685" s="79">
        <v>45019.020798611113</v>
      </c>
      <c r="Q685" s="77" t="s">
        <v>1633</v>
      </c>
      <c r="R685" s="77">
        <v>0</v>
      </c>
      <c r="S685" s="77">
        <v>0</v>
      </c>
      <c r="T685" s="77">
        <v>0</v>
      </c>
      <c r="U685" s="77">
        <v>0</v>
      </c>
      <c r="V685" s="77">
        <v>38</v>
      </c>
      <c r="W685" s="81" t="s">
        <v>3275</v>
      </c>
      <c r="X685" s="77"/>
      <c r="Y685" s="77"/>
      <c r="Z685" s="77"/>
      <c r="AA685" s="77" t="s">
        <v>4905</v>
      </c>
      <c r="AB685" s="77" t="s">
        <v>5794</v>
      </c>
      <c r="AC685" s="81" t="s">
        <v>5805</v>
      </c>
      <c r="AD685" s="77" t="s">
        <v>5850</v>
      </c>
      <c r="AE685" s="83" t="str">
        <f>HYPERLINK("https://twitter.com/tneaar/status/1642685834083155968")</f>
        <v>https://twitter.com/tneaar/status/1642685834083155968</v>
      </c>
      <c r="AF685" s="79">
        <v>45019.020798611113</v>
      </c>
      <c r="AG685" s="85">
        <v>45019</v>
      </c>
      <c r="AH685" s="81" t="s">
        <v>6504</v>
      </c>
      <c r="AI685" s="77" t="b">
        <v>0</v>
      </c>
      <c r="AJ685" s="77"/>
      <c r="AK685" s="77"/>
      <c r="AL685" s="77"/>
      <c r="AM685" s="77"/>
      <c r="AN685" s="77"/>
      <c r="AO685" s="77"/>
      <c r="AP685" s="77"/>
      <c r="AQ685" s="77" t="s">
        <v>8408</v>
      </c>
      <c r="AR685" s="77"/>
      <c r="AS685" s="77"/>
      <c r="AT685" s="77"/>
      <c r="AU685" s="77"/>
      <c r="AV685" s="83" t="str">
        <f>HYPERLINK("https://pbs.twimg.com/media/Fsv-DpBXsAE4KCP.jpg")</f>
        <v>https://pbs.twimg.com/media/Fsv-DpBXsAE4KCP.jpg</v>
      </c>
      <c r="AW685" s="81" t="s">
        <v>9955</v>
      </c>
      <c r="AX685" s="81" t="s">
        <v>9955</v>
      </c>
      <c r="AY685" s="77"/>
      <c r="AZ685" s="81" t="s">
        <v>11359</v>
      </c>
      <c r="BA685" s="81" t="s">
        <v>11359</v>
      </c>
      <c r="BB685" s="81" t="s">
        <v>11359</v>
      </c>
      <c r="BC685" s="81" t="s">
        <v>9955</v>
      </c>
      <c r="BD685" s="77">
        <v>493423213</v>
      </c>
      <c r="BE685" s="77"/>
      <c r="BF685" s="77"/>
      <c r="BG685" s="77"/>
      <c r="BH685" s="77"/>
      <c r="BI685" s="77"/>
    </row>
    <row r="686" spans="1:61" x14ac:dyDescent="0.25">
      <c r="A686" s="62" t="s">
        <v>428</v>
      </c>
      <c r="B686" s="62" t="s">
        <v>428</v>
      </c>
      <c r="C686" s="63"/>
      <c r="D686" s="64"/>
      <c r="E686" s="65"/>
      <c r="F686" s="66"/>
      <c r="G686" s="63"/>
      <c r="H686" s="67"/>
      <c r="I686" s="68"/>
      <c r="J686" s="68"/>
      <c r="K686" s="32"/>
      <c r="L686" s="75">
        <v>686</v>
      </c>
      <c r="M686" s="75"/>
      <c r="N686" s="70"/>
      <c r="O686" s="77" t="s">
        <v>179</v>
      </c>
      <c r="P686" s="79">
        <v>45019.018831018519</v>
      </c>
      <c r="Q686" s="77" t="s">
        <v>1634</v>
      </c>
      <c r="R686" s="77">
        <v>0</v>
      </c>
      <c r="S686" s="77">
        <v>0</v>
      </c>
      <c r="T686" s="77">
        <v>0</v>
      </c>
      <c r="U686" s="77">
        <v>0</v>
      </c>
      <c r="V686" s="77">
        <v>69</v>
      </c>
      <c r="W686" s="81" t="s">
        <v>3252</v>
      </c>
      <c r="X686" s="83" t="str">
        <f>HYPERLINK("https://bit.ly/SumateSMP")</f>
        <v>https://bit.ly/SumateSMP</v>
      </c>
      <c r="Y686" s="77" t="s">
        <v>4213</v>
      </c>
      <c r="Z686" s="77"/>
      <c r="AA686" s="77" t="s">
        <v>4906</v>
      </c>
      <c r="AB686" s="77" t="s">
        <v>5794</v>
      </c>
      <c r="AC686" s="81" t="s">
        <v>5805</v>
      </c>
      <c r="AD686" s="77" t="s">
        <v>5850</v>
      </c>
      <c r="AE686" s="83" t="str">
        <f>HYPERLINK("https://twitter.com/tneaar/status/1642685121575747586")</f>
        <v>https://twitter.com/tneaar/status/1642685121575747586</v>
      </c>
      <c r="AF686" s="79">
        <v>45019.018831018519</v>
      </c>
      <c r="AG686" s="85">
        <v>45019</v>
      </c>
      <c r="AH686" s="81" t="s">
        <v>6505</v>
      </c>
      <c r="AI686" s="77" t="b">
        <v>0</v>
      </c>
      <c r="AJ686" s="77"/>
      <c r="AK686" s="77"/>
      <c r="AL686" s="77"/>
      <c r="AM686" s="77"/>
      <c r="AN686" s="77"/>
      <c r="AO686" s="77"/>
      <c r="AP686" s="77"/>
      <c r="AQ686" s="77" t="s">
        <v>8409</v>
      </c>
      <c r="AR686" s="77"/>
      <c r="AS686" s="77"/>
      <c r="AT686" s="77"/>
      <c r="AU686" s="77"/>
      <c r="AV686" s="83" t="str">
        <f>HYPERLINK("https://pbs.twimg.com/media/Fsv9aKFWwAMFxp6.jpg")</f>
        <v>https://pbs.twimg.com/media/Fsv9aKFWwAMFxp6.jpg</v>
      </c>
      <c r="AW686" s="81" t="s">
        <v>9956</v>
      </c>
      <c r="AX686" s="81" t="s">
        <v>9956</v>
      </c>
      <c r="AY686" s="77"/>
      <c r="AZ686" s="81" t="s">
        <v>11359</v>
      </c>
      <c r="BA686" s="81" t="s">
        <v>11359</v>
      </c>
      <c r="BB686" s="81" t="s">
        <v>11359</v>
      </c>
      <c r="BC686" s="81" t="s">
        <v>9956</v>
      </c>
      <c r="BD686" s="77">
        <v>493423213</v>
      </c>
      <c r="BE686" s="77"/>
      <c r="BF686" s="77"/>
      <c r="BG686" s="77"/>
      <c r="BH686" s="77"/>
      <c r="BI686" s="77"/>
    </row>
    <row r="687" spans="1:61" x14ac:dyDescent="0.25">
      <c r="A687" s="62" t="s">
        <v>428</v>
      </c>
      <c r="B687" s="62" t="s">
        <v>428</v>
      </c>
      <c r="C687" s="63"/>
      <c r="D687" s="64"/>
      <c r="E687" s="65"/>
      <c r="F687" s="66"/>
      <c r="G687" s="63"/>
      <c r="H687" s="67"/>
      <c r="I687" s="68"/>
      <c r="J687" s="68"/>
      <c r="K687" s="32"/>
      <c r="L687" s="75">
        <v>687</v>
      </c>
      <c r="M687" s="75"/>
      <c r="N687" s="70"/>
      <c r="O687" s="77" t="s">
        <v>179</v>
      </c>
      <c r="P687" s="79">
        <v>45019.01284722222</v>
      </c>
      <c r="Q687" s="77" t="s">
        <v>1635</v>
      </c>
      <c r="R687" s="77">
        <v>0</v>
      </c>
      <c r="S687" s="77">
        <v>0</v>
      </c>
      <c r="T687" s="77">
        <v>0</v>
      </c>
      <c r="U687" s="77">
        <v>0</v>
      </c>
      <c r="V687" s="77">
        <v>42</v>
      </c>
      <c r="W687" s="81" t="s">
        <v>3251</v>
      </c>
      <c r="X687" s="77"/>
      <c r="Y687" s="77"/>
      <c r="Z687" s="77"/>
      <c r="AA687" s="77" t="s">
        <v>4907</v>
      </c>
      <c r="AB687" s="77" t="s">
        <v>5794</v>
      </c>
      <c r="AC687" s="81" t="s">
        <v>5805</v>
      </c>
      <c r="AD687" s="77" t="s">
        <v>5850</v>
      </c>
      <c r="AE687" s="83" t="str">
        <f>HYPERLINK("https://twitter.com/tneaar/status/1642682954387275780")</f>
        <v>https://twitter.com/tneaar/status/1642682954387275780</v>
      </c>
      <c r="AF687" s="79">
        <v>45019.01284722222</v>
      </c>
      <c r="AG687" s="85">
        <v>45019</v>
      </c>
      <c r="AH687" s="81" t="s">
        <v>6506</v>
      </c>
      <c r="AI687" s="77" t="b">
        <v>0</v>
      </c>
      <c r="AJ687" s="77"/>
      <c r="AK687" s="77"/>
      <c r="AL687" s="77"/>
      <c r="AM687" s="77"/>
      <c r="AN687" s="77"/>
      <c r="AO687" s="77"/>
      <c r="AP687" s="77"/>
      <c r="AQ687" s="77" t="s">
        <v>8410</v>
      </c>
      <c r="AR687" s="77"/>
      <c r="AS687" s="77"/>
      <c r="AT687" s="77"/>
      <c r="AU687" s="77"/>
      <c r="AV687" s="83" t="str">
        <f>HYPERLINK("https://pbs.twimg.com/media/Fsv7cDyXoAAWebX.jpg")</f>
        <v>https://pbs.twimg.com/media/Fsv7cDyXoAAWebX.jpg</v>
      </c>
      <c r="AW687" s="81" t="s">
        <v>9957</v>
      </c>
      <c r="AX687" s="81" t="s">
        <v>9957</v>
      </c>
      <c r="AY687" s="77"/>
      <c r="AZ687" s="81" t="s">
        <v>11359</v>
      </c>
      <c r="BA687" s="81" t="s">
        <v>11359</v>
      </c>
      <c r="BB687" s="81" t="s">
        <v>11359</v>
      </c>
      <c r="BC687" s="81" t="s">
        <v>9957</v>
      </c>
      <c r="BD687" s="77">
        <v>493423213</v>
      </c>
      <c r="BE687" s="77"/>
      <c r="BF687" s="77"/>
      <c r="BG687" s="77"/>
      <c r="BH687" s="77"/>
      <c r="BI687" s="77"/>
    </row>
    <row r="688" spans="1:61" x14ac:dyDescent="0.25">
      <c r="A688" s="62" t="s">
        <v>428</v>
      </c>
      <c r="B688" s="62" t="s">
        <v>428</v>
      </c>
      <c r="C688" s="63"/>
      <c r="D688" s="64"/>
      <c r="E688" s="65"/>
      <c r="F688" s="66"/>
      <c r="G688" s="63"/>
      <c r="H688" s="67"/>
      <c r="I688" s="68"/>
      <c r="J688" s="68"/>
      <c r="K688" s="32"/>
      <c r="L688" s="75">
        <v>688</v>
      </c>
      <c r="M688" s="75"/>
      <c r="N688" s="70"/>
      <c r="O688" s="77" t="s">
        <v>179</v>
      </c>
      <c r="P688" s="79">
        <v>45019.012418981481</v>
      </c>
      <c r="Q688" s="77" t="s">
        <v>1636</v>
      </c>
      <c r="R688" s="77">
        <v>1</v>
      </c>
      <c r="S688" s="77">
        <v>0</v>
      </c>
      <c r="T688" s="77">
        <v>0</v>
      </c>
      <c r="U688" s="77">
        <v>0</v>
      </c>
      <c r="V688" s="77">
        <v>60</v>
      </c>
      <c r="W688" s="81" t="s">
        <v>3276</v>
      </c>
      <c r="X688" s="83" t="str">
        <f>HYPERLINK("https://wa.link/c93i3r")</f>
        <v>https://wa.link/c93i3r</v>
      </c>
      <c r="Y688" s="77" t="s">
        <v>4266</v>
      </c>
      <c r="Z688" s="77"/>
      <c r="AA688" s="77" t="s">
        <v>4908</v>
      </c>
      <c r="AB688" s="77" t="s">
        <v>5794</v>
      </c>
      <c r="AC688" s="81" t="s">
        <v>5805</v>
      </c>
      <c r="AD688" s="77" t="s">
        <v>5850</v>
      </c>
      <c r="AE688" s="83" t="str">
        <f>HYPERLINK("https://twitter.com/tneaar/status/1642682797335740420")</f>
        <v>https://twitter.com/tneaar/status/1642682797335740420</v>
      </c>
      <c r="AF688" s="79">
        <v>45019.012418981481</v>
      </c>
      <c r="AG688" s="85">
        <v>45019</v>
      </c>
      <c r="AH688" s="81" t="s">
        <v>6507</v>
      </c>
      <c r="AI688" s="77" t="b">
        <v>0</v>
      </c>
      <c r="AJ688" s="77"/>
      <c r="AK688" s="77"/>
      <c r="AL688" s="77"/>
      <c r="AM688" s="77"/>
      <c r="AN688" s="77"/>
      <c r="AO688" s="77"/>
      <c r="AP688" s="77"/>
      <c r="AQ688" s="77" t="s">
        <v>8411</v>
      </c>
      <c r="AR688" s="77"/>
      <c r="AS688" s="77"/>
      <c r="AT688" s="77"/>
      <c r="AU688" s="77"/>
      <c r="AV688" s="83" t="str">
        <f>HYPERLINK("https://pbs.twimg.com/media/Fsv7S5ZX0AAM2fL.jpg")</f>
        <v>https://pbs.twimg.com/media/Fsv7S5ZX0AAM2fL.jpg</v>
      </c>
      <c r="AW688" s="81" t="s">
        <v>9958</v>
      </c>
      <c r="AX688" s="81" t="s">
        <v>9958</v>
      </c>
      <c r="AY688" s="77"/>
      <c r="AZ688" s="81" t="s">
        <v>11359</v>
      </c>
      <c r="BA688" s="81" t="s">
        <v>11359</v>
      </c>
      <c r="BB688" s="81" t="s">
        <v>11359</v>
      </c>
      <c r="BC688" s="81" t="s">
        <v>9958</v>
      </c>
      <c r="BD688" s="77">
        <v>493423213</v>
      </c>
      <c r="BE688" s="77"/>
      <c r="BF688" s="77"/>
      <c r="BG688" s="77"/>
      <c r="BH688" s="77"/>
      <c r="BI688" s="77"/>
    </row>
    <row r="689" spans="1:61" x14ac:dyDescent="0.25">
      <c r="A689" s="62" t="s">
        <v>428</v>
      </c>
      <c r="B689" s="62" t="s">
        <v>428</v>
      </c>
      <c r="C689" s="63"/>
      <c r="D689" s="64"/>
      <c r="E689" s="65"/>
      <c r="F689" s="66"/>
      <c r="G689" s="63"/>
      <c r="H689" s="67"/>
      <c r="I689" s="68"/>
      <c r="J689" s="68"/>
      <c r="K689" s="32"/>
      <c r="L689" s="75">
        <v>689</v>
      </c>
      <c r="M689" s="75"/>
      <c r="N689" s="70"/>
      <c r="O689" s="77" t="s">
        <v>179</v>
      </c>
      <c r="P689" s="79">
        <v>45018.997777777775</v>
      </c>
      <c r="Q689" s="77" t="s">
        <v>1637</v>
      </c>
      <c r="R689" s="77">
        <v>0</v>
      </c>
      <c r="S689" s="77">
        <v>0</v>
      </c>
      <c r="T689" s="77">
        <v>0</v>
      </c>
      <c r="U689" s="77">
        <v>0</v>
      </c>
      <c r="V689" s="77">
        <v>45</v>
      </c>
      <c r="W689" s="81" t="s">
        <v>3270</v>
      </c>
      <c r="X689" s="77"/>
      <c r="Y689" s="77"/>
      <c r="Z689" s="77"/>
      <c r="AA689" s="77" t="s">
        <v>4909</v>
      </c>
      <c r="AB689" s="77" t="s">
        <v>5794</v>
      </c>
      <c r="AC689" s="81" t="s">
        <v>5805</v>
      </c>
      <c r="AD689" s="77" t="s">
        <v>5850</v>
      </c>
      <c r="AE689" s="83" t="str">
        <f>HYPERLINK("https://twitter.com/tneaar/status/1642677492434477056")</f>
        <v>https://twitter.com/tneaar/status/1642677492434477056</v>
      </c>
      <c r="AF689" s="79">
        <v>45018.997777777775</v>
      </c>
      <c r="AG689" s="85">
        <v>45018</v>
      </c>
      <c r="AH689" s="81" t="s">
        <v>6508</v>
      </c>
      <c r="AI689" s="77" t="b">
        <v>0</v>
      </c>
      <c r="AJ689" s="77"/>
      <c r="AK689" s="77"/>
      <c r="AL689" s="77"/>
      <c r="AM689" s="77"/>
      <c r="AN689" s="77"/>
      <c r="AO689" s="77"/>
      <c r="AP689" s="77"/>
      <c r="AQ689" s="77" t="s">
        <v>8412</v>
      </c>
      <c r="AR689" s="77"/>
      <c r="AS689" s="77"/>
      <c r="AT689" s="77"/>
      <c r="AU689" s="77"/>
      <c r="AV689" s="83" t="str">
        <f>HYPERLINK("https://pbs.twimg.com/media/Fsv2eE4WAAEhnjJ.jpg")</f>
        <v>https://pbs.twimg.com/media/Fsv2eE4WAAEhnjJ.jpg</v>
      </c>
      <c r="AW689" s="81" t="s">
        <v>9959</v>
      </c>
      <c r="AX689" s="81" t="s">
        <v>9959</v>
      </c>
      <c r="AY689" s="77"/>
      <c r="AZ689" s="81" t="s">
        <v>11359</v>
      </c>
      <c r="BA689" s="81" t="s">
        <v>11359</v>
      </c>
      <c r="BB689" s="81" t="s">
        <v>11359</v>
      </c>
      <c r="BC689" s="81" t="s">
        <v>9959</v>
      </c>
      <c r="BD689" s="77">
        <v>493423213</v>
      </c>
      <c r="BE689" s="77"/>
      <c r="BF689" s="77"/>
      <c r="BG689" s="77"/>
      <c r="BH689" s="77"/>
      <c r="BI689" s="77"/>
    </row>
    <row r="690" spans="1:61" x14ac:dyDescent="0.25">
      <c r="A690" s="62" t="s">
        <v>428</v>
      </c>
      <c r="B690" s="62" t="s">
        <v>428</v>
      </c>
      <c r="C690" s="63"/>
      <c r="D690" s="64"/>
      <c r="E690" s="65"/>
      <c r="F690" s="66"/>
      <c r="G690" s="63"/>
      <c r="H690" s="67"/>
      <c r="I690" s="68"/>
      <c r="J690" s="68"/>
      <c r="K690" s="32"/>
      <c r="L690" s="75">
        <v>690</v>
      </c>
      <c r="M690" s="75"/>
      <c r="N690" s="70"/>
      <c r="O690" s="77" t="s">
        <v>179</v>
      </c>
      <c r="P690" s="79">
        <v>45016.641851851855</v>
      </c>
      <c r="Q690" s="77" t="s">
        <v>1638</v>
      </c>
      <c r="R690" s="77">
        <v>0</v>
      </c>
      <c r="S690" s="77">
        <v>0</v>
      </c>
      <c r="T690" s="77">
        <v>0</v>
      </c>
      <c r="U690" s="77">
        <v>0</v>
      </c>
      <c r="V690" s="77">
        <v>67</v>
      </c>
      <c r="W690" s="81" t="s">
        <v>3317</v>
      </c>
      <c r="X690" s="77" t="s">
        <v>4179</v>
      </c>
      <c r="Y690" s="77" t="s">
        <v>4267</v>
      </c>
      <c r="Z690" s="77"/>
      <c r="AA690" s="77" t="s">
        <v>4910</v>
      </c>
      <c r="AB690" s="77" t="s">
        <v>5794</v>
      </c>
      <c r="AC690" s="81" t="s">
        <v>5805</v>
      </c>
      <c r="AD690" s="77" t="s">
        <v>5850</v>
      </c>
      <c r="AE690" s="83" t="str">
        <f>HYPERLINK("https://twitter.com/tneaar/status/1641823734930587650")</f>
        <v>https://twitter.com/tneaar/status/1641823734930587650</v>
      </c>
      <c r="AF690" s="79">
        <v>45016.641851851855</v>
      </c>
      <c r="AG690" s="85">
        <v>45016</v>
      </c>
      <c r="AH690" s="81" t="s">
        <v>6509</v>
      </c>
      <c r="AI690" s="77" t="b">
        <v>0</v>
      </c>
      <c r="AJ690" s="77"/>
      <c r="AK690" s="77"/>
      <c r="AL690" s="77"/>
      <c r="AM690" s="77"/>
      <c r="AN690" s="77"/>
      <c r="AO690" s="77"/>
      <c r="AP690" s="77"/>
      <c r="AQ690" s="77" t="s">
        <v>8413</v>
      </c>
      <c r="AR690" s="77"/>
      <c r="AS690" s="77"/>
      <c r="AT690" s="77"/>
      <c r="AU690" s="77"/>
      <c r="AV690" s="83" t="str">
        <f>HYPERLINK("https://pbs.twimg.com/media/Fsjt-YoWIAAUHep.png")</f>
        <v>https://pbs.twimg.com/media/Fsjt-YoWIAAUHep.png</v>
      </c>
      <c r="AW690" s="81" t="s">
        <v>9960</v>
      </c>
      <c r="AX690" s="81" t="s">
        <v>9960</v>
      </c>
      <c r="AY690" s="77"/>
      <c r="AZ690" s="81" t="s">
        <v>11359</v>
      </c>
      <c r="BA690" s="81" t="s">
        <v>11359</v>
      </c>
      <c r="BB690" s="81" t="s">
        <v>11359</v>
      </c>
      <c r="BC690" s="81" t="s">
        <v>9960</v>
      </c>
      <c r="BD690" s="77">
        <v>493423213</v>
      </c>
      <c r="BE690" s="77"/>
      <c r="BF690" s="77"/>
      <c r="BG690" s="77"/>
      <c r="BH690" s="77"/>
      <c r="BI690" s="77"/>
    </row>
    <row r="691" spans="1:61" x14ac:dyDescent="0.25">
      <c r="A691" s="62" t="s">
        <v>428</v>
      </c>
      <c r="B691" s="62" t="s">
        <v>428</v>
      </c>
      <c r="C691" s="63"/>
      <c r="D691" s="64"/>
      <c r="E691" s="65"/>
      <c r="F691" s="66"/>
      <c r="G691" s="63"/>
      <c r="H691" s="67"/>
      <c r="I691" s="68"/>
      <c r="J691" s="68"/>
      <c r="K691" s="32"/>
      <c r="L691" s="75">
        <v>691</v>
      </c>
      <c r="M691" s="75"/>
      <c r="N691" s="70"/>
      <c r="O691" s="77" t="s">
        <v>179</v>
      </c>
      <c r="P691" s="79">
        <v>45014.536817129629</v>
      </c>
      <c r="Q691" s="77" t="s">
        <v>1639</v>
      </c>
      <c r="R691" s="77">
        <v>0</v>
      </c>
      <c r="S691" s="77">
        <v>0</v>
      </c>
      <c r="T691" s="77">
        <v>0</v>
      </c>
      <c r="U691" s="77">
        <v>0</v>
      </c>
      <c r="V691" s="77">
        <v>80</v>
      </c>
      <c r="W691" s="81" t="s">
        <v>3270</v>
      </c>
      <c r="X691" s="77"/>
      <c r="Y691" s="77"/>
      <c r="Z691" s="77"/>
      <c r="AA691" s="77" t="s">
        <v>4911</v>
      </c>
      <c r="AB691" s="77" t="s">
        <v>5794</v>
      </c>
      <c r="AC691" s="81" t="s">
        <v>5805</v>
      </c>
      <c r="AD691" s="77" t="s">
        <v>5850</v>
      </c>
      <c r="AE691" s="83" t="str">
        <f>HYPERLINK("https://twitter.com/tneaar/status/1641060895240364034")</f>
        <v>https://twitter.com/tneaar/status/1641060895240364034</v>
      </c>
      <c r="AF691" s="79">
        <v>45014.536817129629</v>
      </c>
      <c r="AG691" s="85">
        <v>45014</v>
      </c>
      <c r="AH691" s="81" t="s">
        <v>6510</v>
      </c>
      <c r="AI691" s="77" t="b">
        <v>0</v>
      </c>
      <c r="AJ691" s="77"/>
      <c r="AK691" s="77"/>
      <c r="AL691" s="77"/>
      <c r="AM691" s="77"/>
      <c r="AN691" s="77"/>
      <c r="AO691" s="77"/>
      <c r="AP691" s="77"/>
      <c r="AQ691" s="77" t="s">
        <v>8414</v>
      </c>
      <c r="AR691" s="77"/>
      <c r="AS691" s="77"/>
      <c r="AT691" s="77"/>
      <c r="AU691" s="77"/>
      <c r="AV691" s="83" t="str">
        <f>HYPERLINK("https://pbs.twimg.com/media/FsY4LgKWcAE9zjo.jpg")</f>
        <v>https://pbs.twimg.com/media/FsY4LgKWcAE9zjo.jpg</v>
      </c>
      <c r="AW691" s="81" t="s">
        <v>9961</v>
      </c>
      <c r="AX691" s="81" t="s">
        <v>9961</v>
      </c>
      <c r="AY691" s="77"/>
      <c r="AZ691" s="81" t="s">
        <v>11359</v>
      </c>
      <c r="BA691" s="81" t="s">
        <v>11359</v>
      </c>
      <c r="BB691" s="81" t="s">
        <v>11359</v>
      </c>
      <c r="BC691" s="81" t="s">
        <v>9961</v>
      </c>
      <c r="BD691" s="77">
        <v>493423213</v>
      </c>
      <c r="BE691" s="77"/>
      <c r="BF691" s="77"/>
      <c r="BG691" s="77"/>
      <c r="BH691" s="77"/>
      <c r="BI691" s="77"/>
    </row>
    <row r="692" spans="1:61" x14ac:dyDescent="0.25">
      <c r="A692" s="62" t="s">
        <v>428</v>
      </c>
      <c r="B692" s="62" t="s">
        <v>428</v>
      </c>
      <c r="C692" s="63"/>
      <c r="D692" s="64"/>
      <c r="E692" s="65"/>
      <c r="F692" s="66"/>
      <c r="G692" s="63"/>
      <c r="H692" s="67"/>
      <c r="I692" s="68"/>
      <c r="J692" s="68"/>
      <c r="K692" s="32"/>
      <c r="L692" s="75">
        <v>692</v>
      </c>
      <c r="M692" s="75"/>
      <c r="N692" s="70"/>
      <c r="O692" s="77" t="s">
        <v>179</v>
      </c>
      <c r="P692" s="79">
        <v>45014.028136574074</v>
      </c>
      <c r="Q692" s="77" t="s">
        <v>1640</v>
      </c>
      <c r="R692" s="77">
        <v>0</v>
      </c>
      <c r="S692" s="77">
        <v>0</v>
      </c>
      <c r="T692" s="77">
        <v>0</v>
      </c>
      <c r="U692" s="77">
        <v>0</v>
      </c>
      <c r="V692" s="77">
        <v>43</v>
      </c>
      <c r="W692" s="81" t="s">
        <v>3250</v>
      </c>
      <c r="X692" s="83" t="str">
        <f>HYPERLINK("https://wa.link/c93i3r")</f>
        <v>https://wa.link/c93i3r</v>
      </c>
      <c r="Y692" s="77" t="s">
        <v>4266</v>
      </c>
      <c r="Z692" s="77"/>
      <c r="AA692" s="77" t="s">
        <v>4912</v>
      </c>
      <c r="AB692" s="77" t="s">
        <v>5794</v>
      </c>
      <c r="AC692" s="81" t="s">
        <v>5805</v>
      </c>
      <c r="AD692" s="77" t="s">
        <v>5850</v>
      </c>
      <c r="AE692" s="83" t="str">
        <f>HYPERLINK("https://twitter.com/tneaar/status/1640876555495788544")</f>
        <v>https://twitter.com/tneaar/status/1640876555495788544</v>
      </c>
      <c r="AF692" s="79">
        <v>45014.028136574074</v>
      </c>
      <c r="AG692" s="85">
        <v>45014</v>
      </c>
      <c r="AH692" s="81" t="s">
        <v>6511</v>
      </c>
      <c r="AI692" s="77" t="b">
        <v>0</v>
      </c>
      <c r="AJ692" s="77"/>
      <c r="AK692" s="77"/>
      <c r="AL692" s="77"/>
      <c r="AM692" s="77"/>
      <c r="AN692" s="77"/>
      <c r="AO692" s="77"/>
      <c r="AP692" s="77"/>
      <c r="AQ692" s="77" t="s">
        <v>8415</v>
      </c>
      <c r="AR692" s="77"/>
      <c r="AS692" s="77"/>
      <c r="AT692" s="77"/>
      <c r="AU692" s="77"/>
      <c r="AV692" s="83" t="str">
        <f>HYPERLINK("https://pbs.twimg.com/media/FsWQgzpXwAEVUa5.jpg")</f>
        <v>https://pbs.twimg.com/media/FsWQgzpXwAEVUa5.jpg</v>
      </c>
      <c r="AW692" s="81" t="s">
        <v>9962</v>
      </c>
      <c r="AX692" s="81" t="s">
        <v>9962</v>
      </c>
      <c r="AY692" s="77"/>
      <c r="AZ692" s="81" t="s">
        <v>11359</v>
      </c>
      <c r="BA692" s="81" t="s">
        <v>11359</v>
      </c>
      <c r="BB692" s="81" t="s">
        <v>11359</v>
      </c>
      <c r="BC692" s="81" t="s">
        <v>9962</v>
      </c>
      <c r="BD692" s="77">
        <v>493423213</v>
      </c>
      <c r="BE692" s="77"/>
      <c r="BF692" s="77"/>
      <c r="BG692" s="77"/>
      <c r="BH692" s="77"/>
      <c r="BI692" s="77"/>
    </row>
    <row r="693" spans="1:61" x14ac:dyDescent="0.25">
      <c r="A693" s="62" t="s">
        <v>428</v>
      </c>
      <c r="B693" s="62" t="s">
        <v>428</v>
      </c>
      <c r="C693" s="63"/>
      <c r="D693" s="64"/>
      <c r="E693" s="65"/>
      <c r="F693" s="66"/>
      <c r="G693" s="63"/>
      <c r="H693" s="67"/>
      <c r="I693" s="68"/>
      <c r="J693" s="68"/>
      <c r="K693" s="32"/>
      <c r="L693" s="75">
        <v>693</v>
      </c>
      <c r="M693" s="75"/>
      <c r="N693" s="70"/>
      <c r="O693" s="77" t="s">
        <v>179</v>
      </c>
      <c r="P693" s="79">
        <v>45014.027372685188</v>
      </c>
      <c r="Q693" s="77" t="s">
        <v>1641</v>
      </c>
      <c r="R693" s="77">
        <v>0</v>
      </c>
      <c r="S693" s="77">
        <v>0</v>
      </c>
      <c r="T693" s="77">
        <v>0</v>
      </c>
      <c r="U693" s="77">
        <v>0</v>
      </c>
      <c r="V693" s="77">
        <v>43</v>
      </c>
      <c r="W693" s="81" t="s">
        <v>3251</v>
      </c>
      <c r="X693" s="77"/>
      <c r="Y693" s="77"/>
      <c r="Z693" s="77"/>
      <c r="AA693" s="77" t="s">
        <v>4913</v>
      </c>
      <c r="AB693" s="77" t="s">
        <v>5794</v>
      </c>
      <c r="AC693" s="81" t="s">
        <v>5805</v>
      </c>
      <c r="AD693" s="77" t="s">
        <v>5850</v>
      </c>
      <c r="AE693" s="83" t="str">
        <f>HYPERLINK("https://twitter.com/tneaar/status/1640876277736394752")</f>
        <v>https://twitter.com/tneaar/status/1640876277736394752</v>
      </c>
      <c r="AF693" s="79">
        <v>45014.027372685188</v>
      </c>
      <c r="AG693" s="85">
        <v>45014</v>
      </c>
      <c r="AH693" s="81" t="s">
        <v>6512</v>
      </c>
      <c r="AI693" s="77" t="b">
        <v>0</v>
      </c>
      <c r="AJ693" s="77"/>
      <c r="AK693" s="77"/>
      <c r="AL693" s="77"/>
      <c r="AM693" s="77"/>
      <c r="AN693" s="77"/>
      <c r="AO693" s="77"/>
      <c r="AP693" s="77"/>
      <c r="AQ693" s="77" t="s">
        <v>8416</v>
      </c>
      <c r="AR693" s="77"/>
      <c r="AS693" s="77"/>
      <c r="AT693" s="77"/>
      <c r="AU693" s="77"/>
      <c r="AV693" s="83" t="str">
        <f>HYPERLINK("https://pbs.twimg.com/media/FsWQROwXwAEet6e.jpg")</f>
        <v>https://pbs.twimg.com/media/FsWQROwXwAEet6e.jpg</v>
      </c>
      <c r="AW693" s="81" t="s">
        <v>9963</v>
      </c>
      <c r="AX693" s="81" t="s">
        <v>9963</v>
      </c>
      <c r="AY693" s="77"/>
      <c r="AZ693" s="81" t="s">
        <v>11359</v>
      </c>
      <c r="BA693" s="81" t="s">
        <v>11359</v>
      </c>
      <c r="BB693" s="81" t="s">
        <v>11359</v>
      </c>
      <c r="BC693" s="81" t="s">
        <v>9963</v>
      </c>
      <c r="BD693" s="77">
        <v>493423213</v>
      </c>
      <c r="BE693" s="77"/>
      <c r="BF693" s="77"/>
      <c r="BG693" s="77"/>
      <c r="BH693" s="77"/>
      <c r="BI693" s="77"/>
    </row>
    <row r="694" spans="1:61" x14ac:dyDescent="0.25">
      <c r="A694" s="62" t="s">
        <v>428</v>
      </c>
      <c r="B694" s="62" t="s">
        <v>428</v>
      </c>
      <c r="C694" s="63"/>
      <c r="D694" s="64"/>
      <c r="E694" s="65"/>
      <c r="F694" s="66"/>
      <c r="G694" s="63"/>
      <c r="H694" s="67"/>
      <c r="I694" s="68"/>
      <c r="J694" s="68"/>
      <c r="K694" s="32"/>
      <c r="L694" s="75">
        <v>694</v>
      </c>
      <c r="M694" s="75"/>
      <c r="N694" s="70"/>
      <c r="O694" s="77" t="s">
        <v>179</v>
      </c>
      <c r="P694" s="79">
        <v>45014.020497685182</v>
      </c>
      <c r="Q694" s="77" t="s">
        <v>1642</v>
      </c>
      <c r="R694" s="77">
        <v>0</v>
      </c>
      <c r="S694" s="77">
        <v>0</v>
      </c>
      <c r="T694" s="77">
        <v>0</v>
      </c>
      <c r="U694" s="77">
        <v>0</v>
      </c>
      <c r="V694" s="77">
        <v>48</v>
      </c>
      <c r="W694" s="81" t="s">
        <v>3252</v>
      </c>
      <c r="X694" s="83" t="str">
        <f>HYPERLINK("https://bit.ly/SumateSMP")</f>
        <v>https://bit.ly/SumateSMP</v>
      </c>
      <c r="Y694" s="77" t="s">
        <v>4213</v>
      </c>
      <c r="Z694" s="77"/>
      <c r="AA694" s="77" t="s">
        <v>4914</v>
      </c>
      <c r="AB694" s="77" t="s">
        <v>5794</v>
      </c>
      <c r="AC694" s="81" t="s">
        <v>5805</v>
      </c>
      <c r="AD694" s="77" t="s">
        <v>5850</v>
      </c>
      <c r="AE694" s="83" t="str">
        <f>HYPERLINK("https://twitter.com/tneaar/status/1640873788647538694")</f>
        <v>https://twitter.com/tneaar/status/1640873788647538694</v>
      </c>
      <c r="AF694" s="79">
        <v>45014.020497685182</v>
      </c>
      <c r="AG694" s="85">
        <v>45014</v>
      </c>
      <c r="AH694" s="81" t="s">
        <v>6513</v>
      </c>
      <c r="AI694" s="77" t="b">
        <v>0</v>
      </c>
      <c r="AJ694" s="77"/>
      <c r="AK694" s="77"/>
      <c r="AL694" s="77"/>
      <c r="AM694" s="77"/>
      <c r="AN694" s="77"/>
      <c r="AO694" s="77"/>
      <c r="AP694" s="77"/>
      <c r="AQ694" s="77" t="s">
        <v>8417</v>
      </c>
      <c r="AR694" s="77"/>
      <c r="AS694" s="77"/>
      <c r="AT694" s="77"/>
      <c r="AU694" s="77"/>
      <c r="AV694" s="83" t="str">
        <f>HYPERLINK("https://pbs.twimg.com/media/FsWOAfNX0AsP8fC.jpg")</f>
        <v>https://pbs.twimg.com/media/FsWOAfNX0AsP8fC.jpg</v>
      </c>
      <c r="AW694" s="81" t="s">
        <v>9964</v>
      </c>
      <c r="AX694" s="81" t="s">
        <v>9964</v>
      </c>
      <c r="AY694" s="77"/>
      <c r="AZ694" s="81" t="s">
        <v>11359</v>
      </c>
      <c r="BA694" s="81" t="s">
        <v>11359</v>
      </c>
      <c r="BB694" s="81" t="s">
        <v>11359</v>
      </c>
      <c r="BC694" s="81" t="s">
        <v>9964</v>
      </c>
      <c r="BD694" s="77">
        <v>493423213</v>
      </c>
      <c r="BE694" s="77"/>
      <c r="BF694" s="77"/>
      <c r="BG694" s="77"/>
      <c r="BH694" s="77"/>
      <c r="BI694" s="77"/>
    </row>
    <row r="695" spans="1:61" x14ac:dyDescent="0.25">
      <c r="A695" s="62" t="s">
        <v>428</v>
      </c>
      <c r="B695" s="62" t="s">
        <v>428</v>
      </c>
      <c r="C695" s="63"/>
      <c r="D695" s="64"/>
      <c r="E695" s="65"/>
      <c r="F695" s="66"/>
      <c r="G695" s="63"/>
      <c r="H695" s="67"/>
      <c r="I695" s="68"/>
      <c r="J695" s="68"/>
      <c r="K695" s="32"/>
      <c r="L695" s="75">
        <v>695</v>
      </c>
      <c r="M695" s="75"/>
      <c r="N695" s="70"/>
      <c r="O695" s="77" t="s">
        <v>179</v>
      </c>
      <c r="P695" s="79">
        <v>45014.015092592592</v>
      </c>
      <c r="Q695" s="77" t="s">
        <v>1643</v>
      </c>
      <c r="R695" s="77">
        <v>0</v>
      </c>
      <c r="S695" s="77">
        <v>0</v>
      </c>
      <c r="T695" s="77">
        <v>0</v>
      </c>
      <c r="U695" s="77">
        <v>0</v>
      </c>
      <c r="V695" s="77">
        <v>38</v>
      </c>
      <c r="W695" s="81" t="s">
        <v>3275</v>
      </c>
      <c r="X695" s="77"/>
      <c r="Y695" s="77"/>
      <c r="Z695" s="77"/>
      <c r="AA695" s="77" t="s">
        <v>4915</v>
      </c>
      <c r="AB695" s="77" t="s">
        <v>5794</v>
      </c>
      <c r="AC695" s="81" t="s">
        <v>5805</v>
      </c>
      <c r="AD695" s="77" t="s">
        <v>5850</v>
      </c>
      <c r="AE695" s="83" t="str">
        <f>HYPERLINK("https://twitter.com/tneaar/status/1640871829316198401")</f>
        <v>https://twitter.com/tneaar/status/1640871829316198401</v>
      </c>
      <c r="AF695" s="79">
        <v>45014.015092592592</v>
      </c>
      <c r="AG695" s="85">
        <v>45014</v>
      </c>
      <c r="AH695" s="81" t="s">
        <v>6514</v>
      </c>
      <c r="AI695" s="77" t="b">
        <v>0</v>
      </c>
      <c r="AJ695" s="77"/>
      <c r="AK695" s="77"/>
      <c r="AL695" s="77"/>
      <c r="AM695" s="77"/>
      <c r="AN695" s="77"/>
      <c r="AO695" s="77"/>
      <c r="AP695" s="77"/>
      <c r="AQ695" s="77" t="s">
        <v>8418</v>
      </c>
      <c r="AR695" s="77"/>
      <c r="AS695" s="77"/>
      <c r="AT695" s="77"/>
      <c r="AU695" s="77"/>
      <c r="AV695" s="83" t="str">
        <f>HYPERLINK("https://pbs.twimg.com/media/FsWMMLnWYAQ6wie.jpg")</f>
        <v>https://pbs.twimg.com/media/FsWMMLnWYAQ6wie.jpg</v>
      </c>
      <c r="AW695" s="81" t="s">
        <v>9965</v>
      </c>
      <c r="AX695" s="81" t="s">
        <v>9965</v>
      </c>
      <c r="AY695" s="77"/>
      <c r="AZ695" s="81" t="s">
        <v>11359</v>
      </c>
      <c r="BA695" s="81" t="s">
        <v>11359</v>
      </c>
      <c r="BB695" s="81" t="s">
        <v>11359</v>
      </c>
      <c r="BC695" s="81" t="s">
        <v>9965</v>
      </c>
      <c r="BD695" s="77">
        <v>493423213</v>
      </c>
      <c r="BE695" s="77"/>
      <c r="BF695" s="77"/>
      <c r="BG695" s="77"/>
      <c r="BH695" s="77"/>
      <c r="BI695" s="77"/>
    </row>
    <row r="696" spans="1:61" x14ac:dyDescent="0.25">
      <c r="A696" s="62" t="s">
        <v>428</v>
      </c>
      <c r="B696" s="62" t="s">
        <v>428</v>
      </c>
      <c r="C696" s="63"/>
      <c r="D696" s="64"/>
      <c r="E696" s="65"/>
      <c r="F696" s="66"/>
      <c r="G696" s="63"/>
      <c r="H696" s="67"/>
      <c r="I696" s="68"/>
      <c r="J696" s="68"/>
      <c r="K696" s="32"/>
      <c r="L696" s="75">
        <v>696</v>
      </c>
      <c r="M696" s="75"/>
      <c r="N696" s="70"/>
      <c r="O696" s="77" t="s">
        <v>179</v>
      </c>
      <c r="P696" s="79">
        <v>45014.005925925929</v>
      </c>
      <c r="Q696" s="77" t="s">
        <v>1644</v>
      </c>
      <c r="R696" s="77">
        <v>0</v>
      </c>
      <c r="S696" s="77">
        <v>0</v>
      </c>
      <c r="T696" s="77">
        <v>0</v>
      </c>
      <c r="U696" s="77">
        <v>0</v>
      </c>
      <c r="V696" s="77">
        <v>25</v>
      </c>
      <c r="W696" s="81" t="s">
        <v>3318</v>
      </c>
      <c r="X696" s="77"/>
      <c r="Y696" s="77"/>
      <c r="Z696" s="77"/>
      <c r="AA696" s="77" t="s">
        <v>4916</v>
      </c>
      <c r="AB696" s="77" t="s">
        <v>5794</v>
      </c>
      <c r="AC696" s="81" t="s">
        <v>5805</v>
      </c>
      <c r="AD696" s="77" t="s">
        <v>5850</v>
      </c>
      <c r="AE696" s="83" t="str">
        <f>HYPERLINK("https://twitter.com/tneaar/status/1640868506676744192")</f>
        <v>https://twitter.com/tneaar/status/1640868506676744192</v>
      </c>
      <c r="AF696" s="79">
        <v>45014.005925925929</v>
      </c>
      <c r="AG696" s="85">
        <v>45014</v>
      </c>
      <c r="AH696" s="81" t="s">
        <v>6515</v>
      </c>
      <c r="AI696" s="77" t="b">
        <v>0</v>
      </c>
      <c r="AJ696" s="77"/>
      <c r="AK696" s="77"/>
      <c r="AL696" s="77"/>
      <c r="AM696" s="77"/>
      <c r="AN696" s="77"/>
      <c r="AO696" s="77"/>
      <c r="AP696" s="77"/>
      <c r="AQ696" s="77" t="s">
        <v>8419</v>
      </c>
      <c r="AR696" s="77"/>
      <c r="AS696" s="77"/>
      <c r="AT696" s="77"/>
      <c r="AU696" s="77"/>
      <c r="AV696" s="83" t="str">
        <f>HYPERLINK("https://pbs.twimg.com/media/FsWJMUBWYAUk3Mv.jpg")</f>
        <v>https://pbs.twimg.com/media/FsWJMUBWYAUk3Mv.jpg</v>
      </c>
      <c r="AW696" s="81" t="s">
        <v>9966</v>
      </c>
      <c r="AX696" s="81" t="s">
        <v>9966</v>
      </c>
      <c r="AY696" s="77"/>
      <c r="AZ696" s="81" t="s">
        <v>11359</v>
      </c>
      <c r="BA696" s="81" t="s">
        <v>11359</v>
      </c>
      <c r="BB696" s="81" t="s">
        <v>11359</v>
      </c>
      <c r="BC696" s="81" t="s">
        <v>9966</v>
      </c>
      <c r="BD696" s="77">
        <v>493423213</v>
      </c>
      <c r="BE696" s="77"/>
      <c r="BF696" s="77"/>
      <c r="BG696" s="77"/>
      <c r="BH696" s="77"/>
      <c r="BI696" s="77"/>
    </row>
    <row r="697" spans="1:61" x14ac:dyDescent="0.25">
      <c r="A697" s="62" t="s">
        <v>428</v>
      </c>
      <c r="B697" s="62" t="s">
        <v>428</v>
      </c>
      <c r="C697" s="63"/>
      <c r="D697" s="64"/>
      <c r="E697" s="65"/>
      <c r="F697" s="66"/>
      <c r="G697" s="63"/>
      <c r="H697" s="67"/>
      <c r="I697" s="68"/>
      <c r="J697" s="68"/>
      <c r="K697" s="32"/>
      <c r="L697" s="75">
        <v>697</v>
      </c>
      <c r="M697" s="75"/>
      <c r="N697" s="70"/>
      <c r="O697" s="77" t="s">
        <v>179</v>
      </c>
      <c r="P697" s="79">
        <v>45013.994502314818</v>
      </c>
      <c r="Q697" s="77" t="s">
        <v>1645</v>
      </c>
      <c r="R697" s="77">
        <v>0</v>
      </c>
      <c r="S697" s="77">
        <v>0</v>
      </c>
      <c r="T697" s="77">
        <v>0</v>
      </c>
      <c r="U697" s="77">
        <v>0</v>
      </c>
      <c r="V697" s="77">
        <v>32</v>
      </c>
      <c r="W697" s="81" t="s">
        <v>3319</v>
      </c>
      <c r="X697" s="77" t="s">
        <v>4160</v>
      </c>
      <c r="Y697" s="77" t="s">
        <v>4269</v>
      </c>
      <c r="Z697" s="77"/>
      <c r="AA697" s="77" t="s">
        <v>4917</v>
      </c>
      <c r="AB697" s="77" t="s">
        <v>5794</v>
      </c>
      <c r="AC697" s="81" t="s">
        <v>5805</v>
      </c>
      <c r="AD697" s="77" t="s">
        <v>5850</v>
      </c>
      <c r="AE697" s="83" t="str">
        <f>HYPERLINK("https://twitter.com/tneaar/status/1640864368408625153")</f>
        <v>https://twitter.com/tneaar/status/1640864368408625153</v>
      </c>
      <c r="AF697" s="79">
        <v>45013.994502314818</v>
      </c>
      <c r="AG697" s="85">
        <v>45013</v>
      </c>
      <c r="AH697" s="81" t="s">
        <v>6516</v>
      </c>
      <c r="AI697" s="77" t="b">
        <v>0</v>
      </c>
      <c r="AJ697" s="77"/>
      <c r="AK697" s="77"/>
      <c r="AL697" s="77"/>
      <c r="AM697" s="77"/>
      <c r="AN697" s="77"/>
      <c r="AO697" s="77"/>
      <c r="AP697" s="77"/>
      <c r="AQ697" s="77" t="s">
        <v>8420</v>
      </c>
      <c r="AR697" s="77"/>
      <c r="AS697" s="77"/>
      <c r="AT697" s="77"/>
      <c r="AU697" s="77"/>
      <c r="AV697" s="83" t="str">
        <f>HYPERLINK("https://pbs.twimg.com/media/FsWFXscXsAU5k2V.jpg")</f>
        <v>https://pbs.twimg.com/media/FsWFXscXsAU5k2V.jpg</v>
      </c>
      <c r="AW697" s="81" t="s">
        <v>9967</v>
      </c>
      <c r="AX697" s="81" t="s">
        <v>9967</v>
      </c>
      <c r="AY697" s="77"/>
      <c r="AZ697" s="81" t="s">
        <v>11359</v>
      </c>
      <c r="BA697" s="81" t="s">
        <v>11359</v>
      </c>
      <c r="BB697" s="81" t="s">
        <v>11359</v>
      </c>
      <c r="BC697" s="81" t="s">
        <v>9967</v>
      </c>
      <c r="BD697" s="77">
        <v>493423213</v>
      </c>
      <c r="BE697" s="77"/>
      <c r="BF697" s="77"/>
      <c r="BG697" s="77"/>
      <c r="BH697" s="77"/>
      <c r="BI697" s="77"/>
    </row>
    <row r="698" spans="1:61" x14ac:dyDescent="0.25">
      <c r="A698" s="62" t="s">
        <v>428</v>
      </c>
      <c r="B698" s="62" t="s">
        <v>428</v>
      </c>
      <c r="C698" s="63"/>
      <c r="D698" s="64"/>
      <c r="E698" s="65"/>
      <c r="F698" s="66"/>
      <c r="G698" s="63"/>
      <c r="H698" s="67"/>
      <c r="I698" s="68"/>
      <c r="J698" s="68"/>
      <c r="K698" s="32"/>
      <c r="L698" s="75">
        <v>698</v>
      </c>
      <c r="M698" s="75"/>
      <c r="N698" s="70"/>
      <c r="O698" s="77" t="s">
        <v>179</v>
      </c>
      <c r="P698" s="79">
        <v>45013.992083333331</v>
      </c>
      <c r="Q698" s="77" t="s">
        <v>1646</v>
      </c>
      <c r="R698" s="77">
        <v>1</v>
      </c>
      <c r="S698" s="77">
        <v>0</v>
      </c>
      <c r="T698" s="77">
        <v>0</v>
      </c>
      <c r="U698" s="77">
        <v>0</v>
      </c>
      <c r="V698" s="77">
        <v>39</v>
      </c>
      <c r="W698" s="81" t="s">
        <v>3272</v>
      </c>
      <c r="X698" s="77"/>
      <c r="Y698" s="77"/>
      <c r="Z698" s="77"/>
      <c r="AA698" s="77" t="s">
        <v>4918</v>
      </c>
      <c r="AB698" s="77" t="s">
        <v>5794</v>
      </c>
      <c r="AC698" s="81" t="s">
        <v>5805</v>
      </c>
      <c r="AD698" s="77" t="s">
        <v>5850</v>
      </c>
      <c r="AE698" s="83" t="str">
        <f>HYPERLINK("https://twitter.com/tneaar/status/1640863489416744961")</f>
        <v>https://twitter.com/tneaar/status/1640863489416744961</v>
      </c>
      <c r="AF698" s="79">
        <v>45013.992083333331</v>
      </c>
      <c r="AG698" s="85">
        <v>45013</v>
      </c>
      <c r="AH698" s="81" t="s">
        <v>6517</v>
      </c>
      <c r="AI698" s="77" t="b">
        <v>0</v>
      </c>
      <c r="AJ698" s="77"/>
      <c r="AK698" s="77"/>
      <c r="AL698" s="77"/>
      <c r="AM698" s="77"/>
      <c r="AN698" s="77"/>
      <c r="AO698" s="77"/>
      <c r="AP698" s="77"/>
      <c r="AQ698" s="77" t="s">
        <v>8421</v>
      </c>
      <c r="AR698" s="77"/>
      <c r="AS698" s="77"/>
      <c r="AT698" s="77"/>
      <c r="AU698" s="77"/>
      <c r="AV698" s="83" t="str">
        <f>HYPERLINK("https://pbs.twimg.com/media/FsWEpITWcAEKpaL.jpg")</f>
        <v>https://pbs.twimg.com/media/FsWEpITWcAEKpaL.jpg</v>
      </c>
      <c r="AW698" s="81" t="s">
        <v>9968</v>
      </c>
      <c r="AX698" s="81" t="s">
        <v>9968</v>
      </c>
      <c r="AY698" s="77"/>
      <c r="AZ698" s="81" t="s">
        <v>11359</v>
      </c>
      <c r="BA698" s="81" t="s">
        <v>11359</v>
      </c>
      <c r="BB698" s="81" t="s">
        <v>11359</v>
      </c>
      <c r="BC698" s="81" t="s">
        <v>9968</v>
      </c>
      <c r="BD698" s="77">
        <v>493423213</v>
      </c>
      <c r="BE698" s="77"/>
      <c r="BF698" s="77"/>
      <c r="BG698" s="77"/>
      <c r="BH698" s="77"/>
      <c r="BI698" s="77"/>
    </row>
    <row r="699" spans="1:61" x14ac:dyDescent="0.25">
      <c r="A699" s="62" t="s">
        <v>428</v>
      </c>
      <c r="B699" s="62" t="s">
        <v>428</v>
      </c>
      <c r="C699" s="63"/>
      <c r="D699" s="64"/>
      <c r="E699" s="65"/>
      <c r="F699" s="66"/>
      <c r="G699" s="63"/>
      <c r="H699" s="67"/>
      <c r="I699" s="68"/>
      <c r="J699" s="68"/>
      <c r="K699" s="32"/>
      <c r="L699" s="75">
        <v>699</v>
      </c>
      <c r="M699" s="75"/>
      <c r="N699" s="70"/>
      <c r="O699" s="77" t="s">
        <v>179</v>
      </c>
      <c r="P699" s="79">
        <v>45013.097430555557</v>
      </c>
      <c r="Q699" s="77" t="s">
        <v>1647</v>
      </c>
      <c r="R699" s="77">
        <v>0</v>
      </c>
      <c r="S699" s="77">
        <v>0</v>
      </c>
      <c r="T699" s="77">
        <v>0</v>
      </c>
      <c r="U699" s="77">
        <v>0</v>
      </c>
      <c r="V699" s="77">
        <v>81</v>
      </c>
      <c r="W699" s="81" t="s">
        <v>3248</v>
      </c>
      <c r="X699" s="77"/>
      <c r="Y699" s="77"/>
      <c r="Z699" s="77"/>
      <c r="AA699" s="77" t="s">
        <v>4919</v>
      </c>
      <c r="AB699" s="77" t="s">
        <v>5794</v>
      </c>
      <c r="AC699" s="81" t="s">
        <v>5805</v>
      </c>
      <c r="AD699" s="77" t="s">
        <v>5850</v>
      </c>
      <c r="AE699" s="83" t="str">
        <f>HYPERLINK("https://twitter.com/tneaar/status/1640539280152862720")</f>
        <v>https://twitter.com/tneaar/status/1640539280152862720</v>
      </c>
      <c r="AF699" s="79">
        <v>45013.097430555557</v>
      </c>
      <c r="AG699" s="85">
        <v>45013</v>
      </c>
      <c r="AH699" s="81" t="s">
        <v>6518</v>
      </c>
      <c r="AI699" s="77" t="b">
        <v>0</v>
      </c>
      <c r="AJ699" s="77"/>
      <c r="AK699" s="77"/>
      <c r="AL699" s="77"/>
      <c r="AM699" s="77"/>
      <c r="AN699" s="77"/>
      <c r="AO699" s="77"/>
      <c r="AP699" s="77"/>
      <c r="AQ699" s="77" t="s">
        <v>8422</v>
      </c>
      <c r="AR699" s="77"/>
      <c r="AS699" s="77"/>
      <c r="AT699" s="77"/>
      <c r="AU699" s="77"/>
      <c r="AV699" s="83" t="str">
        <f>HYPERLINK("https://pbs.twimg.com/media/FsRdxiEWIAAqhPQ.jpg")</f>
        <v>https://pbs.twimg.com/media/FsRdxiEWIAAqhPQ.jpg</v>
      </c>
      <c r="AW699" s="81" t="s">
        <v>9969</v>
      </c>
      <c r="AX699" s="81" t="s">
        <v>9969</v>
      </c>
      <c r="AY699" s="77"/>
      <c r="AZ699" s="81" t="s">
        <v>11359</v>
      </c>
      <c r="BA699" s="81" t="s">
        <v>11359</v>
      </c>
      <c r="BB699" s="81" t="s">
        <v>11359</v>
      </c>
      <c r="BC699" s="81" t="s">
        <v>9969</v>
      </c>
      <c r="BD699" s="77">
        <v>493423213</v>
      </c>
      <c r="BE699" s="77"/>
      <c r="BF699" s="77"/>
      <c r="BG699" s="77"/>
      <c r="BH699" s="77"/>
      <c r="BI699" s="77"/>
    </row>
    <row r="700" spans="1:61" x14ac:dyDescent="0.25">
      <c r="A700" s="62" t="s">
        <v>428</v>
      </c>
      <c r="B700" s="62" t="s">
        <v>428</v>
      </c>
      <c r="C700" s="63"/>
      <c r="D700" s="64"/>
      <c r="E700" s="65"/>
      <c r="F700" s="66"/>
      <c r="G700" s="63"/>
      <c r="H700" s="67"/>
      <c r="I700" s="68"/>
      <c r="J700" s="68"/>
      <c r="K700" s="32"/>
      <c r="L700" s="75">
        <v>700</v>
      </c>
      <c r="M700" s="75"/>
      <c r="N700" s="70"/>
      <c r="O700" s="77" t="s">
        <v>179</v>
      </c>
      <c r="P700" s="79">
        <v>44955.83321759259</v>
      </c>
      <c r="Q700" s="77" t="s">
        <v>1648</v>
      </c>
      <c r="R700" s="77">
        <v>0</v>
      </c>
      <c r="S700" s="77">
        <v>0</v>
      </c>
      <c r="T700" s="77">
        <v>0</v>
      </c>
      <c r="U700" s="77">
        <v>0</v>
      </c>
      <c r="V700" s="77">
        <v>48</v>
      </c>
      <c r="W700" s="81" t="s">
        <v>3260</v>
      </c>
      <c r="X700" s="77"/>
      <c r="Y700" s="77"/>
      <c r="Z700" s="77"/>
      <c r="AA700" s="77" t="s">
        <v>4920</v>
      </c>
      <c r="AB700" s="77" t="s">
        <v>5794</v>
      </c>
      <c r="AC700" s="81" t="s">
        <v>5805</v>
      </c>
      <c r="AD700" s="77" t="s">
        <v>5850</v>
      </c>
      <c r="AE700" s="83" t="str">
        <f>HYPERLINK("https://twitter.com/tneaar/status/1619787423491448834")</f>
        <v>https://twitter.com/tneaar/status/1619787423491448834</v>
      </c>
      <c r="AF700" s="79">
        <v>44955.83321759259</v>
      </c>
      <c r="AG700" s="85">
        <v>44955</v>
      </c>
      <c r="AH700" s="81" t="s">
        <v>6519</v>
      </c>
      <c r="AI700" s="77" t="b">
        <v>0</v>
      </c>
      <c r="AJ700" s="77"/>
      <c r="AK700" s="77"/>
      <c r="AL700" s="77"/>
      <c r="AM700" s="77"/>
      <c r="AN700" s="77"/>
      <c r="AO700" s="77"/>
      <c r="AP700" s="77"/>
      <c r="AQ700" s="77" t="s">
        <v>8423</v>
      </c>
      <c r="AR700" s="77"/>
      <c r="AS700" s="77"/>
      <c r="AT700" s="77"/>
      <c r="AU700" s="77"/>
      <c r="AV700" s="83" t="str">
        <f>HYPERLINK("https://pbs.twimg.com/media/FnqkEbPXwAUrRLL.jpg")</f>
        <v>https://pbs.twimg.com/media/FnqkEbPXwAUrRLL.jpg</v>
      </c>
      <c r="AW700" s="81" t="s">
        <v>9970</v>
      </c>
      <c r="AX700" s="81" t="s">
        <v>9970</v>
      </c>
      <c r="AY700" s="77"/>
      <c r="AZ700" s="81" t="s">
        <v>11359</v>
      </c>
      <c r="BA700" s="81" t="s">
        <v>11359</v>
      </c>
      <c r="BB700" s="81" t="s">
        <v>11359</v>
      </c>
      <c r="BC700" s="81" t="s">
        <v>9970</v>
      </c>
      <c r="BD700" s="77">
        <v>493423213</v>
      </c>
      <c r="BE700" s="77"/>
      <c r="BF700" s="77"/>
      <c r="BG700" s="77"/>
      <c r="BH700" s="77"/>
      <c r="BI700" s="77"/>
    </row>
    <row r="701" spans="1:61" x14ac:dyDescent="0.25">
      <c r="A701" s="62" t="s">
        <v>428</v>
      </c>
      <c r="B701" s="62" t="s">
        <v>428</v>
      </c>
      <c r="C701" s="63"/>
      <c r="D701" s="64"/>
      <c r="E701" s="65"/>
      <c r="F701" s="66"/>
      <c r="G701" s="63"/>
      <c r="H701" s="67"/>
      <c r="I701" s="68"/>
      <c r="J701" s="68"/>
      <c r="K701" s="32"/>
      <c r="L701" s="75">
        <v>701</v>
      </c>
      <c r="M701" s="75"/>
      <c r="N701" s="70"/>
      <c r="O701" s="77" t="s">
        <v>179</v>
      </c>
      <c r="P701" s="79">
        <v>44955.819212962961</v>
      </c>
      <c r="Q701" s="77" t="s">
        <v>1649</v>
      </c>
      <c r="R701" s="77">
        <v>0</v>
      </c>
      <c r="S701" s="77">
        <v>0</v>
      </c>
      <c r="T701" s="77">
        <v>0</v>
      </c>
      <c r="U701" s="77">
        <v>0</v>
      </c>
      <c r="V701" s="77">
        <v>111</v>
      </c>
      <c r="W701" s="81" t="s">
        <v>3258</v>
      </c>
      <c r="X701" s="77"/>
      <c r="Y701" s="77"/>
      <c r="Z701" s="77"/>
      <c r="AA701" s="77" t="s">
        <v>4921</v>
      </c>
      <c r="AB701" s="77" t="s">
        <v>5794</v>
      </c>
      <c r="AC701" s="81" t="s">
        <v>5805</v>
      </c>
      <c r="AD701" s="77" t="s">
        <v>5850</v>
      </c>
      <c r="AE701" s="83" t="str">
        <f>HYPERLINK("https://twitter.com/tneaar/status/1619782348794650624")</f>
        <v>https://twitter.com/tneaar/status/1619782348794650624</v>
      </c>
      <c r="AF701" s="79">
        <v>44955.819212962961</v>
      </c>
      <c r="AG701" s="85">
        <v>44955</v>
      </c>
      <c r="AH701" s="81" t="s">
        <v>6520</v>
      </c>
      <c r="AI701" s="77" t="b">
        <v>0</v>
      </c>
      <c r="AJ701" s="77"/>
      <c r="AK701" s="77"/>
      <c r="AL701" s="77"/>
      <c r="AM701" s="77"/>
      <c r="AN701" s="77"/>
      <c r="AO701" s="77"/>
      <c r="AP701" s="77"/>
      <c r="AQ701" s="77" t="s">
        <v>8424</v>
      </c>
      <c r="AR701" s="77"/>
      <c r="AS701" s="77"/>
      <c r="AT701" s="77"/>
      <c r="AU701" s="77"/>
      <c r="AV701" s="83" t="str">
        <f>HYPERLINK("https://pbs.twimg.com/media/Fnqfc3WXwAs_v7r.jpg")</f>
        <v>https://pbs.twimg.com/media/Fnqfc3WXwAs_v7r.jpg</v>
      </c>
      <c r="AW701" s="81" t="s">
        <v>9971</v>
      </c>
      <c r="AX701" s="81" t="s">
        <v>9971</v>
      </c>
      <c r="AY701" s="77"/>
      <c r="AZ701" s="81" t="s">
        <v>11359</v>
      </c>
      <c r="BA701" s="81" t="s">
        <v>11359</v>
      </c>
      <c r="BB701" s="81" t="s">
        <v>11359</v>
      </c>
      <c r="BC701" s="81" t="s">
        <v>9971</v>
      </c>
      <c r="BD701" s="77">
        <v>493423213</v>
      </c>
      <c r="BE701" s="77"/>
      <c r="BF701" s="77"/>
      <c r="BG701" s="77"/>
      <c r="BH701" s="77"/>
      <c r="BI701" s="77"/>
    </row>
    <row r="702" spans="1:61" x14ac:dyDescent="0.25">
      <c r="A702" s="62" t="s">
        <v>428</v>
      </c>
      <c r="B702" s="62" t="s">
        <v>428</v>
      </c>
      <c r="C702" s="63"/>
      <c r="D702" s="64"/>
      <c r="E702" s="65"/>
      <c r="F702" s="66"/>
      <c r="G702" s="63"/>
      <c r="H702" s="67"/>
      <c r="I702" s="68"/>
      <c r="J702" s="68"/>
      <c r="K702" s="32"/>
      <c r="L702" s="75">
        <v>702</v>
      </c>
      <c r="M702" s="75"/>
      <c r="N702" s="70"/>
      <c r="O702" s="77" t="s">
        <v>179</v>
      </c>
      <c r="P702" s="79">
        <v>44955.817939814813</v>
      </c>
      <c r="Q702" s="77" t="s">
        <v>1650</v>
      </c>
      <c r="R702" s="77">
        <v>0</v>
      </c>
      <c r="S702" s="77">
        <v>0</v>
      </c>
      <c r="T702" s="77">
        <v>0</v>
      </c>
      <c r="U702" s="77">
        <v>0</v>
      </c>
      <c r="V702" s="77">
        <v>48</v>
      </c>
      <c r="W702" s="81" t="s">
        <v>3257</v>
      </c>
      <c r="X702" s="77"/>
      <c r="Y702" s="77"/>
      <c r="Z702" s="77"/>
      <c r="AA702" s="77" t="s">
        <v>4922</v>
      </c>
      <c r="AB702" s="77" t="s">
        <v>5794</v>
      </c>
      <c r="AC702" s="81" t="s">
        <v>5805</v>
      </c>
      <c r="AD702" s="77" t="s">
        <v>5850</v>
      </c>
      <c r="AE702" s="83" t="str">
        <f>HYPERLINK("https://twitter.com/tneaar/status/1619781887379255296")</f>
        <v>https://twitter.com/tneaar/status/1619781887379255296</v>
      </c>
      <c r="AF702" s="79">
        <v>44955.817939814813</v>
      </c>
      <c r="AG702" s="85">
        <v>44955</v>
      </c>
      <c r="AH702" s="81" t="s">
        <v>6521</v>
      </c>
      <c r="AI702" s="77" t="b">
        <v>0</v>
      </c>
      <c r="AJ702" s="77"/>
      <c r="AK702" s="77"/>
      <c r="AL702" s="77"/>
      <c r="AM702" s="77"/>
      <c r="AN702" s="77"/>
      <c r="AO702" s="77"/>
      <c r="AP702" s="77"/>
      <c r="AQ702" s="77" t="s">
        <v>8425</v>
      </c>
      <c r="AR702" s="77"/>
      <c r="AS702" s="77"/>
      <c r="AT702" s="77"/>
      <c r="AU702" s="77"/>
      <c r="AV702" s="83" t="str">
        <f>HYPERLINK("https://pbs.twimg.com/media/FnqfCKcWYAE6QKf.jpg")</f>
        <v>https://pbs.twimg.com/media/FnqfCKcWYAE6QKf.jpg</v>
      </c>
      <c r="AW702" s="81" t="s">
        <v>9972</v>
      </c>
      <c r="AX702" s="81" t="s">
        <v>9972</v>
      </c>
      <c r="AY702" s="77"/>
      <c r="AZ702" s="81" t="s">
        <v>11359</v>
      </c>
      <c r="BA702" s="81" t="s">
        <v>11359</v>
      </c>
      <c r="BB702" s="81" t="s">
        <v>11359</v>
      </c>
      <c r="BC702" s="81" t="s">
        <v>9972</v>
      </c>
      <c r="BD702" s="77">
        <v>493423213</v>
      </c>
      <c r="BE702" s="77"/>
      <c r="BF702" s="77"/>
      <c r="BG702" s="77"/>
      <c r="BH702" s="77"/>
      <c r="BI702" s="77"/>
    </row>
    <row r="703" spans="1:61" x14ac:dyDescent="0.25">
      <c r="A703" s="62" t="s">
        <v>428</v>
      </c>
      <c r="B703" s="62" t="s">
        <v>428</v>
      </c>
      <c r="C703" s="63"/>
      <c r="D703" s="64"/>
      <c r="E703" s="65"/>
      <c r="F703" s="66"/>
      <c r="G703" s="63"/>
      <c r="H703" s="67"/>
      <c r="I703" s="68"/>
      <c r="J703" s="68"/>
      <c r="K703" s="32"/>
      <c r="L703" s="75">
        <v>703</v>
      </c>
      <c r="M703" s="75"/>
      <c r="N703" s="70"/>
      <c r="O703" s="77" t="s">
        <v>179</v>
      </c>
      <c r="P703" s="79">
        <v>44950.911678240744</v>
      </c>
      <c r="Q703" s="77" t="s">
        <v>1651</v>
      </c>
      <c r="R703" s="77">
        <v>0</v>
      </c>
      <c r="S703" s="77">
        <v>0</v>
      </c>
      <c r="T703" s="77">
        <v>0</v>
      </c>
      <c r="U703" s="77">
        <v>0</v>
      </c>
      <c r="V703" s="77">
        <v>95</v>
      </c>
      <c r="W703" s="81" t="s">
        <v>3260</v>
      </c>
      <c r="X703" s="77"/>
      <c r="Y703" s="77"/>
      <c r="Z703" s="77"/>
      <c r="AA703" s="77" t="s">
        <v>4923</v>
      </c>
      <c r="AB703" s="77" t="s">
        <v>5794</v>
      </c>
      <c r="AC703" s="81" t="s">
        <v>5805</v>
      </c>
      <c r="AD703" s="77" t="s">
        <v>5850</v>
      </c>
      <c r="AE703" s="83" t="str">
        <f>HYPERLINK("https://twitter.com/tneaar/status/1618003917165723654")</f>
        <v>https://twitter.com/tneaar/status/1618003917165723654</v>
      </c>
      <c r="AF703" s="79">
        <v>44950.911678240744</v>
      </c>
      <c r="AG703" s="85">
        <v>44950</v>
      </c>
      <c r="AH703" s="81" t="s">
        <v>6522</v>
      </c>
      <c r="AI703" s="77" t="b">
        <v>0</v>
      </c>
      <c r="AJ703" s="77"/>
      <c r="AK703" s="77"/>
      <c r="AL703" s="77"/>
      <c r="AM703" s="77"/>
      <c r="AN703" s="77"/>
      <c r="AO703" s="77"/>
      <c r="AP703" s="77"/>
      <c r="AQ703" s="77" t="s">
        <v>8426</v>
      </c>
      <c r="AR703" s="77"/>
      <c r="AS703" s="77"/>
      <c r="AT703" s="77"/>
      <c r="AU703" s="77"/>
      <c r="AV703" s="83" t="str">
        <f>HYPERLINK("https://pbs.twimg.com/media/FnRN-QsX0Ak8m4-.jpg")</f>
        <v>https://pbs.twimg.com/media/FnRN-QsX0Ak8m4-.jpg</v>
      </c>
      <c r="AW703" s="81" t="s">
        <v>9973</v>
      </c>
      <c r="AX703" s="81" t="s">
        <v>9973</v>
      </c>
      <c r="AY703" s="77"/>
      <c r="AZ703" s="81" t="s">
        <v>11359</v>
      </c>
      <c r="BA703" s="81" t="s">
        <v>11359</v>
      </c>
      <c r="BB703" s="81" t="s">
        <v>11359</v>
      </c>
      <c r="BC703" s="81" t="s">
        <v>9973</v>
      </c>
      <c r="BD703" s="77">
        <v>493423213</v>
      </c>
      <c r="BE703" s="77"/>
      <c r="BF703" s="77"/>
      <c r="BG703" s="77"/>
      <c r="BH703" s="77"/>
      <c r="BI703" s="77"/>
    </row>
    <row r="704" spans="1:61" x14ac:dyDescent="0.25">
      <c r="A704" s="62" t="s">
        <v>428</v>
      </c>
      <c r="B704" s="62" t="s">
        <v>428</v>
      </c>
      <c r="C704" s="63"/>
      <c r="D704" s="64"/>
      <c r="E704" s="65"/>
      <c r="F704" s="66"/>
      <c r="G704" s="63"/>
      <c r="H704" s="67"/>
      <c r="I704" s="68"/>
      <c r="J704" s="68"/>
      <c r="K704" s="32"/>
      <c r="L704" s="75">
        <v>704</v>
      </c>
      <c r="M704" s="75"/>
      <c r="N704" s="70"/>
      <c r="O704" s="77" t="s">
        <v>179</v>
      </c>
      <c r="P704" s="79">
        <v>45196.652673611112</v>
      </c>
      <c r="Q704" s="77" t="s">
        <v>1652</v>
      </c>
      <c r="R704" s="77">
        <v>1</v>
      </c>
      <c r="S704" s="77">
        <v>0</v>
      </c>
      <c r="T704" s="77">
        <v>0</v>
      </c>
      <c r="U704" s="77">
        <v>0</v>
      </c>
      <c r="V704" s="77">
        <v>92</v>
      </c>
      <c r="W704" s="81" t="s">
        <v>3320</v>
      </c>
      <c r="X704" s="77" t="s">
        <v>4180</v>
      </c>
      <c r="Y704" s="77" t="s">
        <v>4267</v>
      </c>
      <c r="Z704" s="77"/>
      <c r="AA704" s="77" t="s">
        <v>4924</v>
      </c>
      <c r="AB704" s="77" t="s">
        <v>5794</v>
      </c>
      <c r="AC704" s="81" t="s">
        <v>5805</v>
      </c>
      <c r="AD704" s="77" t="s">
        <v>5850</v>
      </c>
      <c r="AE704" s="83" t="str">
        <f>HYPERLINK("https://twitter.com/tneaar/status/1707057470621745295")</f>
        <v>https://twitter.com/tneaar/status/1707057470621745295</v>
      </c>
      <c r="AF704" s="79">
        <v>45196.652673611112</v>
      </c>
      <c r="AG704" s="85">
        <v>45196</v>
      </c>
      <c r="AH704" s="81" t="s">
        <v>6523</v>
      </c>
      <c r="AI704" s="77" t="b">
        <v>0</v>
      </c>
      <c r="AJ704" s="77"/>
      <c r="AK704" s="77"/>
      <c r="AL704" s="77"/>
      <c r="AM704" s="77"/>
      <c r="AN704" s="77"/>
      <c r="AO704" s="77"/>
      <c r="AP704" s="77"/>
      <c r="AQ704" s="77" t="s">
        <v>8427</v>
      </c>
      <c r="AR704" s="77"/>
      <c r="AS704" s="77"/>
      <c r="AT704" s="77"/>
      <c r="AU704" s="77"/>
      <c r="AV704" s="83" t="str">
        <f>HYPERLINK("https://pbs.twimg.com/media/F7CvtiuXoAA4_vL.png")</f>
        <v>https://pbs.twimg.com/media/F7CvtiuXoAA4_vL.png</v>
      </c>
      <c r="AW704" s="81" t="s">
        <v>9974</v>
      </c>
      <c r="AX704" s="81" t="s">
        <v>9974</v>
      </c>
      <c r="AY704" s="77"/>
      <c r="AZ704" s="81" t="s">
        <v>11359</v>
      </c>
      <c r="BA704" s="81" t="s">
        <v>11359</v>
      </c>
      <c r="BB704" s="81" t="s">
        <v>11359</v>
      </c>
      <c r="BC704" s="81" t="s">
        <v>9974</v>
      </c>
      <c r="BD704" s="77">
        <v>493423213</v>
      </c>
      <c r="BE704" s="77"/>
      <c r="BF704" s="77"/>
      <c r="BG704" s="77"/>
      <c r="BH704" s="77"/>
      <c r="BI704" s="77"/>
    </row>
    <row r="705" spans="1:61" x14ac:dyDescent="0.25">
      <c r="A705" s="62" t="s">
        <v>428</v>
      </c>
      <c r="B705" s="62" t="s">
        <v>428</v>
      </c>
      <c r="C705" s="63"/>
      <c r="D705" s="64"/>
      <c r="E705" s="65"/>
      <c r="F705" s="66"/>
      <c r="G705" s="63"/>
      <c r="H705" s="67"/>
      <c r="I705" s="68"/>
      <c r="J705" s="68"/>
      <c r="K705" s="32"/>
      <c r="L705" s="75">
        <v>705</v>
      </c>
      <c r="M705" s="75"/>
      <c r="N705" s="70"/>
      <c r="O705" s="77" t="s">
        <v>179</v>
      </c>
      <c r="P705" s="79">
        <v>45130.971944444442</v>
      </c>
      <c r="Q705" s="77" t="s">
        <v>1653</v>
      </c>
      <c r="R705" s="77">
        <v>0</v>
      </c>
      <c r="S705" s="77">
        <v>0</v>
      </c>
      <c r="T705" s="77">
        <v>0</v>
      </c>
      <c r="U705" s="77">
        <v>0</v>
      </c>
      <c r="V705" s="77">
        <v>64</v>
      </c>
      <c r="W705" s="81" t="s">
        <v>3295</v>
      </c>
      <c r="X705" s="77"/>
      <c r="Y705" s="77"/>
      <c r="Z705" s="77"/>
      <c r="AA705" s="77" t="s">
        <v>4925</v>
      </c>
      <c r="AB705" s="77" t="s">
        <v>5794</v>
      </c>
      <c r="AC705" s="81" t="s">
        <v>5805</v>
      </c>
      <c r="AD705" s="77" t="s">
        <v>5850</v>
      </c>
      <c r="AE705" s="83" t="str">
        <f>HYPERLINK("https://twitter.com/tneaar/status/1683255572399894528")</f>
        <v>https://twitter.com/tneaar/status/1683255572399894528</v>
      </c>
      <c r="AF705" s="79">
        <v>45130.971944444442</v>
      </c>
      <c r="AG705" s="85">
        <v>45130</v>
      </c>
      <c r="AH705" s="81" t="s">
        <v>6524</v>
      </c>
      <c r="AI705" s="77" t="b">
        <v>0</v>
      </c>
      <c r="AJ705" s="77"/>
      <c r="AK705" s="77"/>
      <c r="AL705" s="77"/>
      <c r="AM705" s="77"/>
      <c r="AN705" s="77"/>
      <c r="AO705" s="77"/>
      <c r="AP705" s="77"/>
      <c r="AQ705" s="77" t="s">
        <v>8428</v>
      </c>
      <c r="AR705" s="77"/>
      <c r="AS705" s="77"/>
      <c r="AT705" s="77"/>
      <c r="AU705" s="77"/>
      <c r="AV705" s="83" t="str">
        <f>HYPERLINK("https://pbs.twimg.com/media/F1wgBGPWYAI6n-_.jpg")</f>
        <v>https://pbs.twimg.com/media/F1wgBGPWYAI6n-_.jpg</v>
      </c>
      <c r="AW705" s="81" t="s">
        <v>9975</v>
      </c>
      <c r="AX705" s="81" t="s">
        <v>9975</v>
      </c>
      <c r="AY705" s="77"/>
      <c r="AZ705" s="81" t="s">
        <v>11359</v>
      </c>
      <c r="BA705" s="81" t="s">
        <v>11359</v>
      </c>
      <c r="BB705" s="81" t="s">
        <v>11359</v>
      </c>
      <c r="BC705" s="81" t="s">
        <v>9975</v>
      </c>
      <c r="BD705" s="77">
        <v>493423213</v>
      </c>
      <c r="BE705" s="77"/>
      <c r="BF705" s="77"/>
      <c r="BG705" s="77"/>
      <c r="BH705" s="77"/>
      <c r="BI705" s="77"/>
    </row>
    <row r="706" spans="1:61" x14ac:dyDescent="0.25">
      <c r="A706" s="62" t="s">
        <v>428</v>
      </c>
      <c r="B706" s="62" t="s">
        <v>428</v>
      </c>
      <c r="C706" s="63"/>
      <c r="D706" s="64"/>
      <c r="E706" s="65"/>
      <c r="F706" s="66"/>
      <c r="G706" s="63"/>
      <c r="H706" s="67"/>
      <c r="I706" s="68"/>
      <c r="J706" s="68"/>
      <c r="K706" s="32"/>
      <c r="L706" s="75">
        <v>706</v>
      </c>
      <c r="M706" s="75"/>
      <c r="N706" s="70"/>
      <c r="O706" s="77" t="s">
        <v>179</v>
      </c>
      <c r="P706" s="79">
        <v>45126.038761574076</v>
      </c>
      <c r="Q706" s="77" t="s">
        <v>1654</v>
      </c>
      <c r="R706" s="77">
        <v>0</v>
      </c>
      <c r="S706" s="77">
        <v>0</v>
      </c>
      <c r="T706" s="77">
        <v>0</v>
      </c>
      <c r="U706" s="77">
        <v>0</v>
      </c>
      <c r="V706" s="77">
        <v>83</v>
      </c>
      <c r="W706" s="81" t="s">
        <v>3321</v>
      </c>
      <c r="X706" s="77"/>
      <c r="Y706" s="77"/>
      <c r="Z706" s="77"/>
      <c r="AA706" s="77" t="s">
        <v>4926</v>
      </c>
      <c r="AB706" s="77" t="s">
        <v>5794</v>
      </c>
      <c r="AC706" s="81" t="s">
        <v>5805</v>
      </c>
      <c r="AD706" s="77" t="s">
        <v>5850</v>
      </c>
      <c r="AE706" s="83" t="str">
        <f>HYPERLINK("https://twitter.com/tneaar/status/1681467847170576384")</f>
        <v>https://twitter.com/tneaar/status/1681467847170576384</v>
      </c>
      <c r="AF706" s="79">
        <v>45126.038761574076</v>
      </c>
      <c r="AG706" s="85">
        <v>45126</v>
      </c>
      <c r="AH706" s="81" t="s">
        <v>6525</v>
      </c>
      <c r="AI706" s="77" t="b">
        <v>0</v>
      </c>
      <c r="AJ706" s="77"/>
      <c r="AK706" s="77"/>
      <c r="AL706" s="77"/>
      <c r="AM706" s="77"/>
      <c r="AN706" s="77"/>
      <c r="AO706" s="77"/>
      <c r="AP706" s="77"/>
      <c r="AQ706" s="77" t="s">
        <v>8429</v>
      </c>
      <c r="AR706" s="77"/>
      <c r="AS706" s="77"/>
      <c r="AT706" s="77"/>
      <c r="AU706" s="77"/>
      <c r="AV706" s="83" t="str">
        <f>HYPERLINK("https://pbs.twimg.com/media/F1XGF5GWIAAqYIb.jpg")</f>
        <v>https://pbs.twimg.com/media/F1XGF5GWIAAqYIb.jpg</v>
      </c>
      <c r="AW706" s="81" t="s">
        <v>9976</v>
      </c>
      <c r="AX706" s="81" t="s">
        <v>9976</v>
      </c>
      <c r="AY706" s="77"/>
      <c r="AZ706" s="81" t="s">
        <v>11359</v>
      </c>
      <c r="BA706" s="81" t="s">
        <v>11359</v>
      </c>
      <c r="BB706" s="81" t="s">
        <v>11359</v>
      </c>
      <c r="BC706" s="81" t="s">
        <v>9976</v>
      </c>
      <c r="BD706" s="77">
        <v>493423213</v>
      </c>
      <c r="BE706" s="77"/>
      <c r="BF706" s="77"/>
      <c r="BG706" s="77"/>
      <c r="BH706" s="77"/>
      <c r="BI706" s="77"/>
    </row>
    <row r="707" spans="1:61" x14ac:dyDescent="0.25">
      <c r="A707" s="62" t="s">
        <v>428</v>
      </c>
      <c r="B707" s="62" t="s">
        <v>428</v>
      </c>
      <c r="C707" s="63"/>
      <c r="D707" s="64"/>
      <c r="E707" s="65"/>
      <c r="F707" s="66"/>
      <c r="G707" s="63"/>
      <c r="H707" s="67"/>
      <c r="I707" s="68"/>
      <c r="J707" s="68"/>
      <c r="K707" s="32"/>
      <c r="L707" s="75">
        <v>707</v>
      </c>
      <c r="M707" s="75"/>
      <c r="N707" s="70"/>
      <c r="O707" s="77" t="s">
        <v>179</v>
      </c>
      <c r="P707" s="79">
        <v>45125.965381944443</v>
      </c>
      <c r="Q707" s="77" t="s">
        <v>1655</v>
      </c>
      <c r="R707" s="77">
        <v>1</v>
      </c>
      <c r="S707" s="77">
        <v>0</v>
      </c>
      <c r="T707" s="77">
        <v>0</v>
      </c>
      <c r="U707" s="77">
        <v>0</v>
      </c>
      <c r="V707" s="77">
        <v>95</v>
      </c>
      <c r="W707" s="81" t="s">
        <v>3322</v>
      </c>
      <c r="X707" s="83" t="str">
        <f>HYPERLINK("http://www.previsoradelparana.com")</f>
        <v>http://www.previsoradelparana.com</v>
      </c>
      <c r="Y707" s="77" t="s">
        <v>4270</v>
      </c>
      <c r="Z707" s="77"/>
      <c r="AA707" s="77" t="s">
        <v>4927</v>
      </c>
      <c r="AB707" s="77" t="s">
        <v>5794</v>
      </c>
      <c r="AC707" s="81" t="s">
        <v>5805</v>
      </c>
      <c r="AD707" s="77" t="s">
        <v>5850</v>
      </c>
      <c r="AE707" s="83" t="str">
        <f>HYPERLINK("https://twitter.com/tneaar/status/1681441254952042515")</f>
        <v>https://twitter.com/tneaar/status/1681441254952042515</v>
      </c>
      <c r="AF707" s="79">
        <v>45125.965381944443</v>
      </c>
      <c r="AG707" s="85">
        <v>45125</v>
      </c>
      <c r="AH707" s="81" t="s">
        <v>6526</v>
      </c>
      <c r="AI707" s="77" t="b">
        <v>0</v>
      </c>
      <c r="AJ707" s="77"/>
      <c r="AK707" s="77"/>
      <c r="AL707" s="77"/>
      <c r="AM707" s="77"/>
      <c r="AN707" s="77"/>
      <c r="AO707" s="77"/>
      <c r="AP707" s="77"/>
      <c r="AQ707" s="77" t="s">
        <v>8430</v>
      </c>
      <c r="AR707" s="77"/>
      <c r="AS707" s="77"/>
      <c r="AT707" s="77"/>
      <c r="AU707" s="77"/>
      <c r="AV707" s="83" t="str">
        <f>HYPERLINK("https://pbs.twimg.com/media/F1Wt5zQWIAAlPyq.jpg")</f>
        <v>https://pbs.twimg.com/media/F1Wt5zQWIAAlPyq.jpg</v>
      </c>
      <c r="AW707" s="81" t="s">
        <v>9977</v>
      </c>
      <c r="AX707" s="81" t="s">
        <v>9977</v>
      </c>
      <c r="AY707" s="77"/>
      <c r="AZ707" s="81" t="s">
        <v>11359</v>
      </c>
      <c r="BA707" s="81" t="s">
        <v>11359</v>
      </c>
      <c r="BB707" s="81" t="s">
        <v>11359</v>
      </c>
      <c r="BC707" s="81" t="s">
        <v>9977</v>
      </c>
      <c r="BD707" s="77">
        <v>493423213</v>
      </c>
      <c r="BE707" s="77"/>
      <c r="BF707" s="77"/>
      <c r="BG707" s="77"/>
      <c r="BH707" s="77"/>
      <c r="BI707" s="77"/>
    </row>
    <row r="708" spans="1:61" x14ac:dyDescent="0.25">
      <c r="A708" s="62" t="s">
        <v>428</v>
      </c>
      <c r="B708" s="62" t="s">
        <v>428</v>
      </c>
      <c r="C708" s="63"/>
      <c r="D708" s="64"/>
      <c r="E708" s="65"/>
      <c r="F708" s="66"/>
      <c r="G708" s="63"/>
      <c r="H708" s="67"/>
      <c r="I708" s="68"/>
      <c r="J708" s="68"/>
      <c r="K708" s="32"/>
      <c r="L708" s="75">
        <v>708</v>
      </c>
      <c r="M708" s="75"/>
      <c r="N708" s="70"/>
      <c r="O708" s="77" t="s">
        <v>179</v>
      </c>
      <c r="P708" s="79">
        <v>45123.919490740744</v>
      </c>
      <c r="Q708" s="77" t="s">
        <v>1656</v>
      </c>
      <c r="R708" s="77">
        <v>0</v>
      </c>
      <c r="S708" s="77">
        <v>0</v>
      </c>
      <c r="T708" s="77">
        <v>0</v>
      </c>
      <c r="U708" s="77">
        <v>0</v>
      </c>
      <c r="V708" s="77">
        <v>74</v>
      </c>
      <c r="W708" s="81" t="s">
        <v>3294</v>
      </c>
      <c r="X708" s="77"/>
      <c r="Y708" s="77"/>
      <c r="Z708" s="77"/>
      <c r="AA708" s="77" t="s">
        <v>4928</v>
      </c>
      <c r="AB708" s="77" t="s">
        <v>5794</v>
      </c>
      <c r="AC708" s="81" t="s">
        <v>5805</v>
      </c>
      <c r="AD708" s="77" t="s">
        <v>5850</v>
      </c>
      <c r="AE708" s="83" t="str">
        <f>HYPERLINK("https://twitter.com/tneaar/status/1680699849610592259")</f>
        <v>https://twitter.com/tneaar/status/1680699849610592259</v>
      </c>
      <c r="AF708" s="79">
        <v>45123.919490740744</v>
      </c>
      <c r="AG708" s="85">
        <v>45123</v>
      </c>
      <c r="AH708" s="81" t="s">
        <v>6527</v>
      </c>
      <c r="AI708" s="77" t="b">
        <v>0</v>
      </c>
      <c r="AJ708" s="77"/>
      <c r="AK708" s="77"/>
      <c r="AL708" s="77"/>
      <c r="AM708" s="77"/>
      <c r="AN708" s="77"/>
      <c r="AO708" s="77"/>
      <c r="AP708" s="77"/>
      <c r="AQ708" s="77" t="s">
        <v>8431</v>
      </c>
      <c r="AR708" s="77"/>
      <c r="AS708" s="77"/>
      <c r="AT708" s="77"/>
      <c r="AU708" s="77"/>
      <c r="AV708" s="83" t="str">
        <f>HYPERLINK("https://pbs.twimg.com/media/F1MLmWXXsAc_Z0J.jpg")</f>
        <v>https://pbs.twimg.com/media/F1MLmWXXsAc_Z0J.jpg</v>
      </c>
      <c r="AW708" s="81" t="s">
        <v>9978</v>
      </c>
      <c r="AX708" s="81" t="s">
        <v>9978</v>
      </c>
      <c r="AY708" s="77"/>
      <c r="AZ708" s="81" t="s">
        <v>11359</v>
      </c>
      <c r="BA708" s="81" t="s">
        <v>11359</v>
      </c>
      <c r="BB708" s="81" t="s">
        <v>11359</v>
      </c>
      <c r="BC708" s="81" t="s">
        <v>9978</v>
      </c>
      <c r="BD708" s="77">
        <v>493423213</v>
      </c>
      <c r="BE708" s="77"/>
      <c r="BF708" s="77"/>
      <c r="BG708" s="77"/>
      <c r="BH708" s="77"/>
      <c r="BI708" s="77"/>
    </row>
    <row r="709" spans="1:61" x14ac:dyDescent="0.25">
      <c r="A709" s="62" t="s">
        <v>428</v>
      </c>
      <c r="B709" s="62" t="s">
        <v>428</v>
      </c>
      <c r="C709" s="63"/>
      <c r="D709" s="64"/>
      <c r="E709" s="65"/>
      <c r="F709" s="66"/>
      <c r="G709" s="63"/>
      <c r="H709" s="67"/>
      <c r="I709" s="68"/>
      <c r="J709" s="68"/>
      <c r="K709" s="32"/>
      <c r="L709" s="75">
        <v>709</v>
      </c>
      <c r="M709" s="75"/>
      <c r="N709" s="70"/>
      <c r="O709" s="77" t="s">
        <v>179</v>
      </c>
      <c r="P709" s="79">
        <v>45123.911782407406</v>
      </c>
      <c r="Q709" s="77" t="s">
        <v>1657</v>
      </c>
      <c r="R709" s="77">
        <v>0</v>
      </c>
      <c r="S709" s="77">
        <v>0</v>
      </c>
      <c r="T709" s="77">
        <v>0</v>
      </c>
      <c r="U709" s="77">
        <v>0</v>
      </c>
      <c r="V709" s="77">
        <v>61</v>
      </c>
      <c r="W709" s="81" t="s">
        <v>3295</v>
      </c>
      <c r="X709" s="77"/>
      <c r="Y709" s="77"/>
      <c r="Z709" s="77"/>
      <c r="AA709" s="77" t="s">
        <v>4929</v>
      </c>
      <c r="AB709" s="77" t="s">
        <v>5794</v>
      </c>
      <c r="AC709" s="81" t="s">
        <v>5805</v>
      </c>
      <c r="AD709" s="77" t="s">
        <v>5850</v>
      </c>
      <c r="AE709" s="83" t="str">
        <f>HYPERLINK("https://twitter.com/tneaar/status/1680697056795533315")</f>
        <v>https://twitter.com/tneaar/status/1680697056795533315</v>
      </c>
      <c r="AF709" s="79">
        <v>45123.911782407406</v>
      </c>
      <c r="AG709" s="85">
        <v>45123</v>
      </c>
      <c r="AH709" s="81" t="s">
        <v>6528</v>
      </c>
      <c r="AI709" s="77" t="b">
        <v>0</v>
      </c>
      <c r="AJ709" s="77"/>
      <c r="AK709" s="77"/>
      <c r="AL709" s="77"/>
      <c r="AM709" s="77"/>
      <c r="AN709" s="77"/>
      <c r="AO709" s="77"/>
      <c r="AP709" s="77"/>
      <c r="AQ709" s="77" t="s">
        <v>8432</v>
      </c>
      <c r="AR709" s="77"/>
      <c r="AS709" s="77"/>
      <c r="AT709" s="77"/>
      <c r="AU709" s="77"/>
      <c r="AV709" s="83" t="str">
        <f>HYPERLINK("https://pbs.twimg.com/media/F1MJD9uXoAQKHB8.jpg")</f>
        <v>https://pbs.twimg.com/media/F1MJD9uXoAQKHB8.jpg</v>
      </c>
      <c r="AW709" s="81" t="s">
        <v>9979</v>
      </c>
      <c r="AX709" s="81" t="s">
        <v>9979</v>
      </c>
      <c r="AY709" s="77"/>
      <c r="AZ709" s="81" t="s">
        <v>11359</v>
      </c>
      <c r="BA709" s="81" t="s">
        <v>11359</v>
      </c>
      <c r="BB709" s="81" t="s">
        <v>11359</v>
      </c>
      <c r="BC709" s="81" t="s">
        <v>9979</v>
      </c>
      <c r="BD709" s="77">
        <v>493423213</v>
      </c>
      <c r="BE709" s="77"/>
      <c r="BF709" s="77"/>
      <c r="BG709" s="77"/>
      <c r="BH709" s="77"/>
      <c r="BI709" s="77"/>
    </row>
    <row r="710" spans="1:61" x14ac:dyDescent="0.25">
      <c r="A710" s="62" t="s">
        <v>428</v>
      </c>
      <c r="B710" s="62" t="s">
        <v>428</v>
      </c>
      <c r="C710" s="63"/>
      <c r="D710" s="64"/>
      <c r="E710" s="65"/>
      <c r="F710" s="66"/>
      <c r="G710" s="63"/>
      <c r="H710" s="67"/>
      <c r="I710" s="68"/>
      <c r="J710" s="68"/>
      <c r="K710" s="32"/>
      <c r="L710" s="75">
        <v>710</v>
      </c>
      <c r="M710" s="75"/>
      <c r="N710" s="70"/>
      <c r="O710" s="77" t="s">
        <v>179</v>
      </c>
      <c r="P710" s="79">
        <v>45123.899675925924</v>
      </c>
      <c r="Q710" s="77" t="s">
        <v>1658</v>
      </c>
      <c r="R710" s="77">
        <v>1</v>
      </c>
      <c r="S710" s="77">
        <v>0</v>
      </c>
      <c r="T710" s="77">
        <v>0</v>
      </c>
      <c r="U710" s="77">
        <v>0</v>
      </c>
      <c r="V710" s="77">
        <v>130</v>
      </c>
      <c r="W710" s="81" t="s">
        <v>3248</v>
      </c>
      <c r="X710" s="77"/>
      <c r="Y710" s="77"/>
      <c r="Z710" s="77"/>
      <c r="AA710" s="77" t="s">
        <v>4930</v>
      </c>
      <c r="AB710" s="77" t="s">
        <v>5794</v>
      </c>
      <c r="AC710" s="81" t="s">
        <v>5805</v>
      </c>
      <c r="AD710" s="77" t="s">
        <v>5850</v>
      </c>
      <c r="AE710" s="83" t="str">
        <f>HYPERLINK("https://twitter.com/tneaar/status/1680692670044184576")</f>
        <v>https://twitter.com/tneaar/status/1680692670044184576</v>
      </c>
      <c r="AF710" s="79">
        <v>45123.899675925924</v>
      </c>
      <c r="AG710" s="85">
        <v>45123</v>
      </c>
      <c r="AH710" s="81" t="s">
        <v>6529</v>
      </c>
      <c r="AI710" s="77" t="b">
        <v>0</v>
      </c>
      <c r="AJ710" s="77"/>
      <c r="AK710" s="77"/>
      <c r="AL710" s="77"/>
      <c r="AM710" s="77"/>
      <c r="AN710" s="77"/>
      <c r="AO710" s="77"/>
      <c r="AP710" s="77"/>
      <c r="AQ710" s="77" t="s">
        <v>8433</v>
      </c>
      <c r="AR710" s="77"/>
      <c r="AS710" s="77"/>
      <c r="AT710" s="77"/>
      <c r="AU710" s="77"/>
      <c r="AV710" s="83" t="str">
        <f>HYPERLINK("https://pbs.twimg.com/media/F1MFEmSXgAAccsF.jpg")</f>
        <v>https://pbs.twimg.com/media/F1MFEmSXgAAccsF.jpg</v>
      </c>
      <c r="AW710" s="81" t="s">
        <v>9980</v>
      </c>
      <c r="AX710" s="81" t="s">
        <v>9980</v>
      </c>
      <c r="AY710" s="77"/>
      <c r="AZ710" s="81" t="s">
        <v>11359</v>
      </c>
      <c r="BA710" s="81" t="s">
        <v>11359</v>
      </c>
      <c r="BB710" s="81" t="s">
        <v>11359</v>
      </c>
      <c r="BC710" s="81" t="s">
        <v>9980</v>
      </c>
      <c r="BD710" s="77">
        <v>493423213</v>
      </c>
      <c r="BE710" s="77"/>
      <c r="BF710" s="77"/>
      <c r="BG710" s="77"/>
      <c r="BH710" s="77"/>
      <c r="BI710" s="77"/>
    </row>
    <row r="711" spans="1:61" x14ac:dyDescent="0.25">
      <c r="A711" s="62" t="s">
        <v>428</v>
      </c>
      <c r="B711" s="62" t="s">
        <v>428</v>
      </c>
      <c r="C711" s="63"/>
      <c r="D711" s="64"/>
      <c r="E711" s="65"/>
      <c r="F711" s="66"/>
      <c r="G711" s="63"/>
      <c r="H711" s="67"/>
      <c r="I711" s="68"/>
      <c r="J711" s="68"/>
      <c r="K711" s="32"/>
      <c r="L711" s="75">
        <v>711</v>
      </c>
      <c r="M711" s="75"/>
      <c r="N711" s="70"/>
      <c r="O711" s="77" t="s">
        <v>179</v>
      </c>
      <c r="P711" s="79">
        <v>45114.631643518522</v>
      </c>
      <c r="Q711" s="77" t="s">
        <v>1659</v>
      </c>
      <c r="R711" s="77">
        <v>0</v>
      </c>
      <c r="S711" s="77">
        <v>0</v>
      </c>
      <c r="T711" s="77">
        <v>0</v>
      </c>
      <c r="U711" s="77">
        <v>0</v>
      </c>
      <c r="V711" s="77">
        <v>103</v>
      </c>
      <c r="W711" s="81" t="s">
        <v>3294</v>
      </c>
      <c r="X711" s="77"/>
      <c r="Y711" s="77"/>
      <c r="Z711" s="77"/>
      <c r="AA711" s="77" t="s">
        <v>4931</v>
      </c>
      <c r="AB711" s="77" t="s">
        <v>5794</v>
      </c>
      <c r="AC711" s="81" t="s">
        <v>5805</v>
      </c>
      <c r="AD711" s="77" t="s">
        <v>5850</v>
      </c>
      <c r="AE711" s="83" t="str">
        <f>HYPERLINK("https://twitter.com/tneaar/status/1677334046597173248")</f>
        <v>https://twitter.com/tneaar/status/1677334046597173248</v>
      </c>
      <c r="AF711" s="79">
        <v>45114.631643518522</v>
      </c>
      <c r="AG711" s="85">
        <v>45114</v>
      </c>
      <c r="AH711" s="81" t="s">
        <v>6530</v>
      </c>
      <c r="AI711" s="77" t="b">
        <v>0</v>
      </c>
      <c r="AJ711" s="77"/>
      <c r="AK711" s="77"/>
      <c r="AL711" s="77"/>
      <c r="AM711" s="77"/>
      <c r="AN711" s="77"/>
      <c r="AO711" s="77"/>
      <c r="AP711" s="77"/>
      <c r="AQ711" s="77" t="s">
        <v>8434</v>
      </c>
      <c r="AR711" s="77"/>
      <c r="AS711" s="77"/>
      <c r="AT711" s="77"/>
      <c r="AU711" s="77"/>
      <c r="AV711" s="83" t="str">
        <f>HYPERLINK("https://pbs.twimg.com/media/F0cWa36WcAAmJXQ.jpg")</f>
        <v>https://pbs.twimg.com/media/F0cWa36WcAAmJXQ.jpg</v>
      </c>
      <c r="AW711" s="81" t="s">
        <v>9981</v>
      </c>
      <c r="AX711" s="81" t="s">
        <v>9981</v>
      </c>
      <c r="AY711" s="77"/>
      <c r="AZ711" s="81" t="s">
        <v>11359</v>
      </c>
      <c r="BA711" s="81" t="s">
        <v>11359</v>
      </c>
      <c r="BB711" s="81" t="s">
        <v>11359</v>
      </c>
      <c r="BC711" s="81" t="s">
        <v>9981</v>
      </c>
      <c r="BD711" s="77">
        <v>493423213</v>
      </c>
      <c r="BE711" s="77"/>
      <c r="BF711" s="77"/>
      <c r="BG711" s="77"/>
      <c r="BH711" s="77"/>
      <c r="BI711" s="77"/>
    </row>
    <row r="712" spans="1:61" x14ac:dyDescent="0.25">
      <c r="A712" s="62" t="s">
        <v>428</v>
      </c>
      <c r="B712" s="62" t="s">
        <v>428</v>
      </c>
      <c r="C712" s="63"/>
      <c r="D712" s="64"/>
      <c r="E712" s="65"/>
      <c r="F712" s="66"/>
      <c r="G712" s="63"/>
      <c r="H712" s="67"/>
      <c r="I712" s="68"/>
      <c r="J712" s="68"/>
      <c r="K712" s="32"/>
      <c r="L712" s="75">
        <v>712</v>
      </c>
      <c r="M712" s="75"/>
      <c r="N712" s="70"/>
      <c r="O712" s="77" t="s">
        <v>179</v>
      </c>
      <c r="P712" s="79">
        <v>45103.910810185182</v>
      </c>
      <c r="Q712" s="77" t="s">
        <v>1660</v>
      </c>
      <c r="R712" s="77">
        <v>1</v>
      </c>
      <c r="S712" s="77">
        <v>0</v>
      </c>
      <c r="T712" s="77">
        <v>0</v>
      </c>
      <c r="U712" s="77">
        <v>0</v>
      </c>
      <c r="V712" s="77">
        <v>120</v>
      </c>
      <c r="W712" s="81" t="s">
        <v>3248</v>
      </c>
      <c r="X712" s="77"/>
      <c r="Y712" s="77"/>
      <c r="Z712" s="77"/>
      <c r="AA712" s="77" t="s">
        <v>4932</v>
      </c>
      <c r="AB712" s="77" t="s">
        <v>5794</v>
      </c>
      <c r="AC712" s="81" t="s">
        <v>5805</v>
      </c>
      <c r="AD712" s="77" t="s">
        <v>5850</v>
      </c>
      <c r="AE712" s="83" t="str">
        <f>HYPERLINK("https://twitter.com/tneaar/status/1673448944183943170")</f>
        <v>https://twitter.com/tneaar/status/1673448944183943170</v>
      </c>
      <c r="AF712" s="79">
        <v>45103.910810185182</v>
      </c>
      <c r="AG712" s="85">
        <v>45103</v>
      </c>
      <c r="AH712" s="81" t="s">
        <v>6531</v>
      </c>
      <c r="AI712" s="77" t="b">
        <v>0</v>
      </c>
      <c r="AJ712" s="77"/>
      <c r="AK712" s="77"/>
      <c r="AL712" s="77"/>
      <c r="AM712" s="77"/>
      <c r="AN712" s="77"/>
      <c r="AO712" s="77"/>
      <c r="AP712" s="77"/>
      <c r="AQ712" s="77" t="s">
        <v>8435</v>
      </c>
      <c r="AR712" s="77"/>
      <c r="AS712" s="77"/>
      <c r="AT712" s="77"/>
      <c r="AU712" s="77"/>
      <c r="AV712" s="83" t="str">
        <f>HYPERLINK("https://pbs.twimg.com/media/FzlI7-fWYAoiHN1.jpg")</f>
        <v>https://pbs.twimg.com/media/FzlI7-fWYAoiHN1.jpg</v>
      </c>
      <c r="AW712" s="81" t="s">
        <v>9982</v>
      </c>
      <c r="AX712" s="81" t="s">
        <v>9982</v>
      </c>
      <c r="AY712" s="77"/>
      <c r="AZ712" s="81" t="s">
        <v>11359</v>
      </c>
      <c r="BA712" s="81" t="s">
        <v>11359</v>
      </c>
      <c r="BB712" s="81" t="s">
        <v>11359</v>
      </c>
      <c r="BC712" s="81" t="s">
        <v>9982</v>
      </c>
      <c r="BD712" s="77">
        <v>493423213</v>
      </c>
      <c r="BE712" s="77"/>
      <c r="BF712" s="77"/>
      <c r="BG712" s="77"/>
      <c r="BH712" s="77"/>
      <c r="BI712" s="77"/>
    </row>
    <row r="713" spans="1:61" x14ac:dyDescent="0.25">
      <c r="A713" s="62" t="s">
        <v>428</v>
      </c>
      <c r="B713" s="62" t="s">
        <v>428</v>
      </c>
      <c r="C713" s="63"/>
      <c r="D713" s="64"/>
      <c r="E713" s="65"/>
      <c r="F713" s="66"/>
      <c r="G713" s="63"/>
      <c r="H713" s="67"/>
      <c r="I713" s="68"/>
      <c r="J713" s="68"/>
      <c r="K713" s="32"/>
      <c r="L713" s="75">
        <v>713</v>
      </c>
      <c r="M713" s="75"/>
      <c r="N713" s="70"/>
      <c r="O713" s="77" t="s">
        <v>179</v>
      </c>
      <c r="P713" s="79">
        <v>45062.872129629628</v>
      </c>
      <c r="Q713" s="77" t="s">
        <v>1661</v>
      </c>
      <c r="R713" s="77">
        <v>0</v>
      </c>
      <c r="S713" s="77">
        <v>0</v>
      </c>
      <c r="T713" s="77">
        <v>0</v>
      </c>
      <c r="U713" s="77">
        <v>0</v>
      </c>
      <c r="V713" s="77">
        <v>80</v>
      </c>
      <c r="W713" s="81" t="s">
        <v>3323</v>
      </c>
      <c r="X713" s="77" t="s">
        <v>4181</v>
      </c>
      <c r="Y713" s="77" t="s">
        <v>4268</v>
      </c>
      <c r="Z713" s="77"/>
      <c r="AA713" s="77" t="s">
        <v>4933</v>
      </c>
      <c r="AB713" s="77" t="s">
        <v>5794</v>
      </c>
      <c r="AC713" s="81" t="s">
        <v>5805</v>
      </c>
      <c r="AD713" s="77" t="s">
        <v>5850</v>
      </c>
      <c r="AE713" s="83" t="str">
        <f>HYPERLINK("https://twitter.com/tneaar/status/1658577025731264512")</f>
        <v>https://twitter.com/tneaar/status/1658577025731264512</v>
      </c>
      <c r="AF713" s="79">
        <v>45062.872129629628</v>
      </c>
      <c r="AG713" s="85">
        <v>45062</v>
      </c>
      <c r="AH713" s="81" t="s">
        <v>6532</v>
      </c>
      <c r="AI713" s="77" t="b">
        <v>0</v>
      </c>
      <c r="AJ713" s="77"/>
      <c r="AK713" s="77"/>
      <c r="AL713" s="77"/>
      <c r="AM713" s="77"/>
      <c r="AN713" s="77"/>
      <c r="AO713" s="77"/>
      <c r="AP713" s="77"/>
      <c r="AQ713" s="77" t="s">
        <v>8436</v>
      </c>
      <c r="AR713" s="77"/>
      <c r="AS713" s="77"/>
      <c r="AT713" s="77"/>
      <c r="AU713" s="77"/>
      <c r="AV713" s="83" t="str">
        <f>HYPERLINK("https://pbs.twimg.com/media/FwRzAarXwAE0ZlM.png")</f>
        <v>https://pbs.twimg.com/media/FwRzAarXwAE0ZlM.png</v>
      </c>
      <c r="AW713" s="81" t="s">
        <v>9983</v>
      </c>
      <c r="AX713" s="81" t="s">
        <v>9983</v>
      </c>
      <c r="AY713" s="77"/>
      <c r="AZ713" s="81" t="s">
        <v>11359</v>
      </c>
      <c r="BA713" s="81" t="s">
        <v>11359</v>
      </c>
      <c r="BB713" s="81" t="s">
        <v>11359</v>
      </c>
      <c r="BC713" s="81" t="s">
        <v>9983</v>
      </c>
      <c r="BD713" s="77">
        <v>493423213</v>
      </c>
      <c r="BE713" s="77"/>
      <c r="BF713" s="77"/>
      <c r="BG713" s="77"/>
      <c r="BH713" s="77"/>
      <c r="BI713" s="77"/>
    </row>
    <row r="714" spans="1:61" x14ac:dyDescent="0.25">
      <c r="A714" s="62" t="s">
        <v>428</v>
      </c>
      <c r="B714" s="62" t="s">
        <v>428</v>
      </c>
      <c r="C714" s="63"/>
      <c r="D714" s="64"/>
      <c r="E714" s="65"/>
      <c r="F714" s="66"/>
      <c r="G714" s="63"/>
      <c r="H714" s="67"/>
      <c r="I714" s="68"/>
      <c r="J714" s="68"/>
      <c r="K714" s="32"/>
      <c r="L714" s="75">
        <v>714</v>
      </c>
      <c r="M714" s="75"/>
      <c r="N714" s="70"/>
      <c r="O714" s="77" t="s">
        <v>179</v>
      </c>
      <c r="P714" s="79">
        <v>45060.838888888888</v>
      </c>
      <c r="Q714" s="77" t="s">
        <v>1662</v>
      </c>
      <c r="R714" s="77">
        <v>0</v>
      </c>
      <c r="S714" s="77">
        <v>1</v>
      </c>
      <c r="T714" s="77">
        <v>0</v>
      </c>
      <c r="U714" s="77">
        <v>0</v>
      </c>
      <c r="V714" s="77">
        <v>68</v>
      </c>
      <c r="W714" s="81" t="s">
        <v>3264</v>
      </c>
      <c r="X714" s="77"/>
      <c r="Y714" s="77"/>
      <c r="Z714" s="77"/>
      <c r="AA714" s="77" t="s">
        <v>4934</v>
      </c>
      <c r="AB714" s="77" t="s">
        <v>5794</v>
      </c>
      <c r="AC714" s="81" t="s">
        <v>5805</v>
      </c>
      <c r="AD714" s="77" t="s">
        <v>5850</v>
      </c>
      <c r="AE714" s="83" t="str">
        <f>HYPERLINK("https://twitter.com/tneaar/status/1657840202889457667")</f>
        <v>https://twitter.com/tneaar/status/1657840202889457667</v>
      </c>
      <c r="AF714" s="79">
        <v>45060.838888888888</v>
      </c>
      <c r="AG714" s="85">
        <v>45060</v>
      </c>
      <c r="AH714" s="81" t="s">
        <v>6533</v>
      </c>
      <c r="AI714" s="77" t="b">
        <v>0</v>
      </c>
      <c r="AJ714" s="77"/>
      <c r="AK714" s="77"/>
      <c r="AL714" s="77"/>
      <c r="AM714" s="77"/>
      <c r="AN714" s="77"/>
      <c r="AO714" s="77"/>
      <c r="AP714" s="77"/>
      <c r="AQ714" s="77" t="s">
        <v>8437</v>
      </c>
      <c r="AR714" s="77"/>
      <c r="AS714" s="77"/>
      <c r="AT714" s="77"/>
      <c r="AU714" s="77"/>
      <c r="AV714" s="83" t="str">
        <f>HYPERLINK("https://pbs.twimg.com/media/FwHU3rXWwAAuGwD.jpg")</f>
        <v>https://pbs.twimg.com/media/FwHU3rXWwAAuGwD.jpg</v>
      </c>
      <c r="AW714" s="81" t="s">
        <v>9984</v>
      </c>
      <c r="AX714" s="81" t="s">
        <v>9984</v>
      </c>
      <c r="AY714" s="77"/>
      <c r="AZ714" s="81" t="s">
        <v>11359</v>
      </c>
      <c r="BA714" s="81" t="s">
        <v>11359</v>
      </c>
      <c r="BB714" s="81" t="s">
        <v>11359</v>
      </c>
      <c r="BC714" s="81" t="s">
        <v>9984</v>
      </c>
      <c r="BD714" s="77">
        <v>493423213</v>
      </c>
      <c r="BE714" s="77"/>
      <c r="BF714" s="77"/>
      <c r="BG714" s="77"/>
      <c r="BH714" s="77"/>
      <c r="BI714" s="77"/>
    </row>
    <row r="715" spans="1:61" x14ac:dyDescent="0.25">
      <c r="A715" s="62" t="s">
        <v>428</v>
      </c>
      <c r="B715" s="62" t="s">
        <v>428</v>
      </c>
      <c r="C715" s="63"/>
      <c r="D715" s="64"/>
      <c r="E715" s="65"/>
      <c r="F715" s="66"/>
      <c r="G715" s="63"/>
      <c r="H715" s="67"/>
      <c r="I715" s="68"/>
      <c r="J715" s="68"/>
      <c r="K715" s="32"/>
      <c r="L715" s="75">
        <v>715</v>
      </c>
      <c r="M715" s="75"/>
      <c r="N715" s="70"/>
      <c r="O715" s="77" t="s">
        <v>179</v>
      </c>
      <c r="P715" s="79">
        <v>45060.83697916667</v>
      </c>
      <c r="Q715" s="77" t="s">
        <v>1663</v>
      </c>
      <c r="R715" s="77">
        <v>0</v>
      </c>
      <c r="S715" s="77">
        <v>0</v>
      </c>
      <c r="T715" s="77">
        <v>0</v>
      </c>
      <c r="U715" s="77">
        <v>0</v>
      </c>
      <c r="V715" s="77">
        <v>60</v>
      </c>
      <c r="W715" s="81" t="s">
        <v>3249</v>
      </c>
      <c r="X715" s="77"/>
      <c r="Y715" s="77"/>
      <c r="Z715" s="77"/>
      <c r="AA715" s="77" t="s">
        <v>4935</v>
      </c>
      <c r="AB715" s="77" t="s">
        <v>5794</v>
      </c>
      <c r="AC715" s="81" t="s">
        <v>5805</v>
      </c>
      <c r="AD715" s="77" t="s">
        <v>5850</v>
      </c>
      <c r="AE715" s="83" t="str">
        <f>HYPERLINK("https://twitter.com/tneaar/status/1657839512821612546")</f>
        <v>https://twitter.com/tneaar/status/1657839512821612546</v>
      </c>
      <c r="AF715" s="79">
        <v>45060.83697916667</v>
      </c>
      <c r="AG715" s="85">
        <v>45060</v>
      </c>
      <c r="AH715" s="81" t="s">
        <v>6534</v>
      </c>
      <c r="AI715" s="77" t="b">
        <v>0</v>
      </c>
      <c r="AJ715" s="77"/>
      <c r="AK715" s="77"/>
      <c r="AL715" s="77"/>
      <c r="AM715" s="77"/>
      <c r="AN715" s="77"/>
      <c r="AO715" s="77"/>
      <c r="AP715" s="77"/>
      <c r="AQ715" s="77" t="s">
        <v>8438</v>
      </c>
      <c r="AR715" s="77"/>
      <c r="AS715" s="77"/>
      <c r="AT715" s="77"/>
      <c r="AU715" s="77"/>
      <c r="AV715" s="83" t="str">
        <f>HYPERLINK("https://pbs.twimg.com/media/FwHUPiTXoAIvNOE.jpg")</f>
        <v>https://pbs.twimg.com/media/FwHUPiTXoAIvNOE.jpg</v>
      </c>
      <c r="AW715" s="81" t="s">
        <v>9985</v>
      </c>
      <c r="AX715" s="81" t="s">
        <v>9985</v>
      </c>
      <c r="AY715" s="77"/>
      <c r="AZ715" s="81" t="s">
        <v>11359</v>
      </c>
      <c r="BA715" s="81" t="s">
        <v>11359</v>
      </c>
      <c r="BB715" s="81" t="s">
        <v>11359</v>
      </c>
      <c r="BC715" s="81" t="s">
        <v>9985</v>
      </c>
      <c r="BD715" s="77">
        <v>493423213</v>
      </c>
      <c r="BE715" s="77"/>
      <c r="BF715" s="77"/>
      <c r="BG715" s="77"/>
      <c r="BH715" s="77"/>
      <c r="BI715" s="77"/>
    </row>
    <row r="716" spans="1:61" x14ac:dyDescent="0.25">
      <c r="A716" s="62" t="s">
        <v>428</v>
      </c>
      <c r="B716" s="62" t="s">
        <v>428</v>
      </c>
      <c r="C716" s="63"/>
      <c r="D716" s="64"/>
      <c r="E716" s="65"/>
      <c r="F716" s="66"/>
      <c r="G716" s="63"/>
      <c r="H716" s="67"/>
      <c r="I716" s="68"/>
      <c r="J716" s="68"/>
      <c r="K716" s="32"/>
      <c r="L716" s="75">
        <v>716</v>
      </c>
      <c r="M716" s="75"/>
      <c r="N716" s="70"/>
      <c r="O716" s="77" t="s">
        <v>179</v>
      </c>
      <c r="P716" s="79">
        <v>45060.835821759261</v>
      </c>
      <c r="Q716" s="77" t="s">
        <v>1664</v>
      </c>
      <c r="R716" s="77">
        <v>0</v>
      </c>
      <c r="S716" s="77">
        <v>0</v>
      </c>
      <c r="T716" s="77">
        <v>0</v>
      </c>
      <c r="U716" s="77">
        <v>0</v>
      </c>
      <c r="V716" s="77">
        <v>82</v>
      </c>
      <c r="W716" s="81" t="s">
        <v>3297</v>
      </c>
      <c r="X716" s="77"/>
      <c r="Y716" s="77"/>
      <c r="Z716" s="77"/>
      <c r="AA716" s="77" t="s">
        <v>4936</v>
      </c>
      <c r="AB716" s="77" t="s">
        <v>5794</v>
      </c>
      <c r="AC716" s="81" t="s">
        <v>5805</v>
      </c>
      <c r="AD716" s="77" t="s">
        <v>5850</v>
      </c>
      <c r="AE716" s="83" t="str">
        <f>HYPERLINK("https://twitter.com/tneaar/status/1657839092418134021")</f>
        <v>https://twitter.com/tneaar/status/1657839092418134021</v>
      </c>
      <c r="AF716" s="79">
        <v>45060.835821759261</v>
      </c>
      <c r="AG716" s="85">
        <v>45060</v>
      </c>
      <c r="AH716" s="81" t="s">
        <v>6535</v>
      </c>
      <c r="AI716" s="77" t="b">
        <v>0</v>
      </c>
      <c r="AJ716" s="77"/>
      <c r="AK716" s="77"/>
      <c r="AL716" s="77"/>
      <c r="AM716" s="77"/>
      <c r="AN716" s="77"/>
      <c r="AO716" s="77"/>
      <c r="AP716" s="77"/>
      <c r="AQ716" s="77" t="s">
        <v>8439</v>
      </c>
      <c r="AR716" s="77"/>
      <c r="AS716" s="77"/>
      <c r="AT716" s="77"/>
      <c r="AU716" s="77"/>
      <c r="AV716" s="83" t="str">
        <f>HYPERLINK("https://pbs.twimg.com/media/FwHT2fPWYAAXs6A.jpg")</f>
        <v>https://pbs.twimg.com/media/FwHT2fPWYAAXs6A.jpg</v>
      </c>
      <c r="AW716" s="81" t="s">
        <v>9986</v>
      </c>
      <c r="AX716" s="81" t="s">
        <v>9986</v>
      </c>
      <c r="AY716" s="77"/>
      <c r="AZ716" s="81" t="s">
        <v>11359</v>
      </c>
      <c r="BA716" s="81" t="s">
        <v>11359</v>
      </c>
      <c r="BB716" s="81" t="s">
        <v>11359</v>
      </c>
      <c r="BC716" s="81" t="s">
        <v>9986</v>
      </c>
      <c r="BD716" s="77">
        <v>493423213</v>
      </c>
      <c r="BE716" s="77"/>
      <c r="BF716" s="77"/>
      <c r="BG716" s="77"/>
      <c r="BH716" s="77"/>
      <c r="BI716" s="77"/>
    </row>
    <row r="717" spans="1:61" x14ac:dyDescent="0.25">
      <c r="A717" s="62" t="s">
        <v>428</v>
      </c>
      <c r="B717" s="62" t="s">
        <v>428</v>
      </c>
      <c r="C717" s="63"/>
      <c r="D717" s="64"/>
      <c r="E717" s="65"/>
      <c r="F717" s="66"/>
      <c r="G717" s="63"/>
      <c r="H717" s="67"/>
      <c r="I717" s="68"/>
      <c r="J717" s="68"/>
      <c r="K717" s="32"/>
      <c r="L717" s="75">
        <v>717</v>
      </c>
      <c r="M717" s="75"/>
      <c r="N717" s="70"/>
      <c r="O717" s="77" t="s">
        <v>179</v>
      </c>
      <c r="P717" s="79">
        <v>45060.835231481484</v>
      </c>
      <c r="Q717" s="77" t="s">
        <v>1665</v>
      </c>
      <c r="R717" s="77">
        <v>0</v>
      </c>
      <c r="S717" s="77">
        <v>0</v>
      </c>
      <c r="T717" s="77">
        <v>0</v>
      </c>
      <c r="U717" s="77">
        <v>0</v>
      </c>
      <c r="V717" s="77">
        <v>61</v>
      </c>
      <c r="W717" s="81" t="s">
        <v>3254</v>
      </c>
      <c r="X717" s="77"/>
      <c r="Y717" s="77"/>
      <c r="Z717" s="77"/>
      <c r="AA717" s="77" t="s">
        <v>4937</v>
      </c>
      <c r="AB717" s="77" t="s">
        <v>5794</v>
      </c>
      <c r="AC717" s="81" t="s">
        <v>5805</v>
      </c>
      <c r="AD717" s="77" t="s">
        <v>5850</v>
      </c>
      <c r="AE717" s="83" t="str">
        <f>HYPERLINK("https://twitter.com/tneaar/status/1657838877615243271")</f>
        <v>https://twitter.com/tneaar/status/1657838877615243271</v>
      </c>
      <c r="AF717" s="79">
        <v>45060.835231481484</v>
      </c>
      <c r="AG717" s="85">
        <v>45060</v>
      </c>
      <c r="AH717" s="81" t="s">
        <v>6536</v>
      </c>
      <c r="AI717" s="77" t="b">
        <v>0</v>
      </c>
      <c r="AJ717" s="77"/>
      <c r="AK717" s="77"/>
      <c r="AL717" s="77"/>
      <c r="AM717" s="77"/>
      <c r="AN717" s="77"/>
      <c r="AO717" s="77"/>
      <c r="AP717" s="77"/>
      <c r="AQ717" s="77" t="s">
        <v>8440</v>
      </c>
      <c r="AR717" s="77"/>
      <c r="AS717" s="77"/>
      <c r="AT717" s="77"/>
      <c r="AU717" s="77"/>
      <c r="AV717" s="83" t="str">
        <f>HYPERLINK("https://pbs.twimg.com/media/FwHTqx4XgAAa_Xz.jpg")</f>
        <v>https://pbs.twimg.com/media/FwHTqx4XgAAa_Xz.jpg</v>
      </c>
      <c r="AW717" s="81" t="s">
        <v>9987</v>
      </c>
      <c r="AX717" s="81" t="s">
        <v>9987</v>
      </c>
      <c r="AY717" s="77"/>
      <c r="AZ717" s="81" t="s">
        <v>11359</v>
      </c>
      <c r="BA717" s="81" t="s">
        <v>11359</v>
      </c>
      <c r="BB717" s="81" t="s">
        <v>11359</v>
      </c>
      <c r="BC717" s="81" t="s">
        <v>9987</v>
      </c>
      <c r="BD717" s="77">
        <v>493423213</v>
      </c>
      <c r="BE717" s="77"/>
      <c r="BF717" s="77"/>
      <c r="BG717" s="77"/>
      <c r="BH717" s="77"/>
      <c r="BI717" s="77"/>
    </row>
    <row r="718" spans="1:61" x14ac:dyDescent="0.25">
      <c r="A718" s="62" t="s">
        <v>428</v>
      </c>
      <c r="B718" s="62" t="s">
        <v>428</v>
      </c>
      <c r="C718" s="63"/>
      <c r="D718" s="64"/>
      <c r="E718" s="65"/>
      <c r="F718" s="66"/>
      <c r="G718" s="63"/>
      <c r="H718" s="67"/>
      <c r="I718" s="68"/>
      <c r="J718" s="68"/>
      <c r="K718" s="32"/>
      <c r="L718" s="75">
        <v>718</v>
      </c>
      <c r="M718" s="75"/>
      <c r="N718" s="70"/>
      <c r="O718" s="77" t="s">
        <v>179</v>
      </c>
      <c r="P718" s="79">
        <v>45060.81354166667</v>
      </c>
      <c r="Q718" s="77" t="s">
        <v>1666</v>
      </c>
      <c r="R718" s="77">
        <v>0</v>
      </c>
      <c r="S718" s="77">
        <v>0</v>
      </c>
      <c r="T718" s="77">
        <v>0</v>
      </c>
      <c r="U718" s="77">
        <v>0</v>
      </c>
      <c r="V718" s="77">
        <v>93</v>
      </c>
      <c r="W718" s="81" t="s">
        <v>3268</v>
      </c>
      <c r="X718" s="83" t="str">
        <f>HYPERLINK("http://bit.ly/MA-vendedor-repartidor")</f>
        <v>http://bit.ly/MA-vendedor-repartidor</v>
      </c>
      <c r="Y718" s="77" t="s">
        <v>4213</v>
      </c>
      <c r="Z718" s="77"/>
      <c r="AA718" s="77" t="s">
        <v>4938</v>
      </c>
      <c r="AB718" s="77" t="s">
        <v>5794</v>
      </c>
      <c r="AC718" s="81" t="s">
        <v>5805</v>
      </c>
      <c r="AD718" s="77" t="s">
        <v>5850</v>
      </c>
      <c r="AE718" s="83" t="str">
        <f>HYPERLINK("https://twitter.com/tneaar/status/1657831020622757888")</f>
        <v>https://twitter.com/tneaar/status/1657831020622757888</v>
      </c>
      <c r="AF718" s="79">
        <v>45060.81354166667</v>
      </c>
      <c r="AG718" s="85">
        <v>45060</v>
      </c>
      <c r="AH718" s="81" t="s">
        <v>6537</v>
      </c>
      <c r="AI718" s="77" t="b">
        <v>0</v>
      </c>
      <c r="AJ718" s="77"/>
      <c r="AK718" s="77"/>
      <c r="AL718" s="77"/>
      <c r="AM718" s="77"/>
      <c r="AN718" s="77"/>
      <c r="AO718" s="77"/>
      <c r="AP718" s="77"/>
      <c r="AQ718" s="77" t="s">
        <v>8441</v>
      </c>
      <c r="AR718" s="77"/>
      <c r="AS718" s="77"/>
      <c r="AT718" s="77"/>
      <c r="AU718" s="77"/>
      <c r="AV718" s="83" t="str">
        <f>HYPERLINK("https://pbs.twimg.com/media/FwHMhOiWwAEZo7J.jpg")</f>
        <v>https://pbs.twimg.com/media/FwHMhOiWwAEZo7J.jpg</v>
      </c>
      <c r="AW718" s="81" t="s">
        <v>9988</v>
      </c>
      <c r="AX718" s="81" t="s">
        <v>9988</v>
      </c>
      <c r="AY718" s="77"/>
      <c r="AZ718" s="81" t="s">
        <v>11359</v>
      </c>
      <c r="BA718" s="81" t="s">
        <v>11359</v>
      </c>
      <c r="BB718" s="81" t="s">
        <v>11359</v>
      </c>
      <c r="BC718" s="81" t="s">
        <v>9988</v>
      </c>
      <c r="BD718" s="77">
        <v>493423213</v>
      </c>
      <c r="BE718" s="77"/>
      <c r="BF718" s="77"/>
      <c r="BG718" s="77"/>
      <c r="BH718" s="77"/>
      <c r="BI718" s="77"/>
    </row>
    <row r="719" spans="1:61" x14ac:dyDescent="0.25">
      <c r="A719" s="62" t="s">
        <v>428</v>
      </c>
      <c r="B719" s="62" t="s">
        <v>428</v>
      </c>
      <c r="C719" s="63"/>
      <c r="D719" s="64"/>
      <c r="E719" s="65"/>
      <c r="F719" s="66"/>
      <c r="G719" s="63"/>
      <c r="H719" s="67"/>
      <c r="I719" s="68"/>
      <c r="J719" s="68"/>
      <c r="K719" s="32"/>
      <c r="L719" s="75">
        <v>719</v>
      </c>
      <c r="M719" s="75"/>
      <c r="N719" s="70"/>
      <c r="O719" s="77" t="s">
        <v>179</v>
      </c>
      <c r="P719" s="79">
        <v>45060.809212962966</v>
      </c>
      <c r="Q719" s="77" t="s">
        <v>1667</v>
      </c>
      <c r="R719" s="77">
        <v>0</v>
      </c>
      <c r="S719" s="77">
        <v>0</v>
      </c>
      <c r="T719" s="77">
        <v>0</v>
      </c>
      <c r="U719" s="77">
        <v>0</v>
      </c>
      <c r="V719" s="77">
        <v>55</v>
      </c>
      <c r="W719" s="81" t="s">
        <v>3269</v>
      </c>
      <c r="X719" s="77"/>
      <c r="Y719" s="77"/>
      <c r="Z719" s="77"/>
      <c r="AA719" s="77" t="s">
        <v>4939</v>
      </c>
      <c r="AB719" s="77" t="s">
        <v>5794</v>
      </c>
      <c r="AC719" s="81" t="s">
        <v>5805</v>
      </c>
      <c r="AD719" s="77" t="s">
        <v>5850</v>
      </c>
      <c r="AE719" s="83" t="str">
        <f>HYPERLINK("https://twitter.com/tneaar/status/1657829448169951233")</f>
        <v>https://twitter.com/tneaar/status/1657829448169951233</v>
      </c>
      <c r="AF719" s="79">
        <v>45060.809212962966</v>
      </c>
      <c r="AG719" s="85">
        <v>45060</v>
      </c>
      <c r="AH719" s="81" t="s">
        <v>6538</v>
      </c>
      <c r="AI719" s="77" t="b">
        <v>0</v>
      </c>
      <c r="AJ719" s="77"/>
      <c r="AK719" s="77"/>
      <c r="AL719" s="77"/>
      <c r="AM719" s="77"/>
      <c r="AN719" s="77"/>
      <c r="AO719" s="77"/>
      <c r="AP719" s="77"/>
      <c r="AQ719" s="77" t="s">
        <v>8442</v>
      </c>
      <c r="AR719" s="77"/>
      <c r="AS719" s="77"/>
      <c r="AT719" s="77"/>
      <c r="AU719" s="77"/>
      <c r="AV719" s="83" t="str">
        <f>HYPERLINK("https://pbs.twimg.com/media/FwHLFzZXwAEui0D.jpg")</f>
        <v>https://pbs.twimg.com/media/FwHLFzZXwAEui0D.jpg</v>
      </c>
      <c r="AW719" s="81" t="s">
        <v>9989</v>
      </c>
      <c r="AX719" s="81" t="s">
        <v>9989</v>
      </c>
      <c r="AY719" s="77"/>
      <c r="AZ719" s="81" t="s">
        <v>11359</v>
      </c>
      <c r="BA719" s="81" t="s">
        <v>11359</v>
      </c>
      <c r="BB719" s="81" t="s">
        <v>11359</v>
      </c>
      <c r="BC719" s="81" t="s">
        <v>9989</v>
      </c>
      <c r="BD719" s="77">
        <v>493423213</v>
      </c>
      <c r="BE719" s="77"/>
      <c r="BF719" s="77"/>
      <c r="BG719" s="77"/>
      <c r="BH719" s="77"/>
      <c r="BI719" s="77"/>
    </row>
    <row r="720" spans="1:61" x14ac:dyDescent="0.25">
      <c r="A720" s="62" t="s">
        <v>428</v>
      </c>
      <c r="B720" s="62" t="s">
        <v>428</v>
      </c>
      <c r="C720" s="63"/>
      <c r="D720" s="64"/>
      <c r="E720" s="65"/>
      <c r="F720" s="66"/>
      <c r="G720" s="63"/>
      <c r="H720" s="67"/>
      <c r="I720" s="68"/>
      <c r="J720" s="68"/>
      <c r="K720" s="32"/>
      <c r="L720" s="75">
        <v>720</v>
      </c>
      <c r="M720" s="75"/>
      <c r="N720" s="70"/>
      <c r="O720" s="77" t="s">
        <v>179</v>
      </c>
      <c r="P720" s="79">
        <v>45029.953703703701</v>
      </c>
      <c r="Q720" s="77" t="s">
        <v>1668</v>
      </c>
      <c r="R720" s="77">
        <v>0</v>
      </c>
      <c r="S720" s="77">
        <v>0</v>
      </c>
      <c r="T720" s="77">
        <v>0</v>
      </c>
      <c r="U720" s="77">
        <v>0</v>
      </c>
      <c r="V720" s="77">
        <v>102</v>
      </c>
      <c r="W720" s="81" t="s">
        <v>3269</v>
      </c>
      <c r="X720" s="77"/>
      <c r="Y720" s="77"/>
      <c r="Z720" s="77"/>
      <c r="AA720" s="77" t="s">
        <v>4940</v>
      </c>
      <c r="AB720" s="77" t="s">
        <v>5794</v>
      </c>
      <c r="AC720" s="81" t="s">
        <v>5805</v>
      </c>
      <c r="AD720" s="77" t="s">
        <v>5850</v>
      </c>
      <c r="AE720" s="83" t="str">
        <f>HYPERLINK("https://twitter.com/tneaar/status/1646647789680488449")</f>
        <v>https://twitter.com/tneaar/status/1646647789680488449</v>
      </c>
      <c r="AF720" s="79">
        <v>45029.953703703701</v>
      </c>
      <c r="AG720" s="85">
        <v>45029</v>
      </c>
      <c r="AH720" s="81" t="s">
        <v>6539</v>
      </c>
      <c r="AI720" s="77" t="b">
        <v>0</v>
      </c>
      <c r="AJ720" s="77"/>
      <c r="AK720" s="77"/>
      <c r="AL720" s="77"/>
      <c r="AM720" s="77"/>
      <c r="AN720" s="77"/>
      <c r="AO720" s="77"/>
      <c r="AP720" s="77"/>
      <c r="AQ720" s="77" t="s">
        <v>8443</v>
      </c>
      <c r="AR720" s="77"/>
      <c r="AS720" s="77"/>
      <c r="AT720" s="77"/>
      <c r="AU720" s="77"/>
      <c r="AV720" s="83" t="str">
        <f>HYPERLINK("https://pbs.twimg.com/media/FtoRbvjWIAINuqC.jpg")</f>
        <v>https://pbs.twimg.com/media/FtoRbvjWIAINuqC.jpg</v>
      </c>
      <c r="AW720" s="81" t="s">
        <v>9990</v>
      </c>
      <c r="AX720" s="81" t="s">
        <v>9990</v>
      </c>
      <c r="AY720" s="77"/>
      <c r="AZ720" s="81" t="s">
        <v>11359</v>
      </c>
      <c r="BA720" s="81" t="s">
        <v>11359</v>
      </c>
      <c r="BB720" s="81" t="s">
        <v>11359</v>
      </c>
      <c r="BC720" s="81" t="s">
        <v>9990</v>
      </c>
      <c r="BD720" s="77">
        <v>493423213</v>
      </c>
      <c r="BE720" s="77"/>
      <c r="BF720" s="77"/>
      <c r="BG720" s="77"/>
      <c r="BH720" s="77"/>
      <c r="BI720" s="77"/>
    </row>
    <row r="721" spans="1:61" x14ac:dyDescent="0.25">
      <c r="A721" s="62" t="s">
        <v>428</v>
      </c>
      <c r="B721" s="62" t="s">
        <v>428</v>
      </c>
      <c r="C721" s="63"/>
      <c r="D721" s="64"/>
      <c r="E721" s="65"/>
      <c r="F721" s="66"/>
      <c r="G721" s="63"/>
      <c r="H721" s="67"/>
      <c r="I721" s="68"/>
      <c r="J721" s="68"/>
      <c r="K721" s="32"/>
      <c r="L721" s="75">
        <v>721</v>
      </c>
      <c r="M721" s="75"/>
      <c r="N721" s="70"/>
      <c r="O721" s="77" t="s">
        <v>179</v>
      </c>
      <c r="P721" s="79">
        <v>44984.024942129632</v>
      </c>
      <c r="Q721" s="77" t="s">
        <v>1669</v>
      </c>
      <c r="R721" s="77">
        <v>0</v>
      </c>
      <c r="S721" s="77">
        <v>0</v>
      </c>
      <c r="T721" s="77">
        <v>0</v>
      </c>
      <c r="U721" s="77">
        <v>0</v>
      </c>
      <c r="V721" s="77">
        <v>65</v>
      </c>
      <c r="W721" s="81" t="s">
        <v>3282</v>
      </c>
      <c r="X721" s="77"/>
      <c r="Y721" s="77"/>
      <c r="Z721" s="77"/>
      <c r="AA721" s="77" t="s">
        <v>4941</v>
      </c>
      <c r="AB721" s="77" t="s">
        <v>5794</v>
      </c>
      <c r="AC721" s="81" t="s">
        <v>5805</v>
      </c>
      <c r="AD721" s="77" t="s">
        <v>5850</v>
      </c>
      <c r="AE721" s="83" t="str">
        <f>HYPERLINK("https://twitter.com/tneaar/status/1630003763241951237")</f>
        <v>https://twitter.com/tneaar/status/1630003763241951237</v>
      </c>
      <c r="AF721" s="79">
        <v>44984.024942129632</v>
      </c>
      <c r="AG721" s="85">
        <v>44984</v>
      </c>
      <c r="AH721" s="81" t="s">
        <v>6540</v>
      </c>
      <c r="AI721" s="77" t="b">
        <v>0</v>
      </c>
      <c r="AJ721" s="77"/>
      <c r="AK721" s="77"/>
      <c r="AL721" s="77"/>
      <c r="AM721" s="77"/>
      <c r="AN721" s="77"/>
      <c r="AO721" s="77"/>
      <c r="AP721" s="77"/>
      <c r="AQ721" s="77" t="s">
        <v>8444</v>
      </c>
      <c r="AR721" s="77"/>
      <c r="AS721" s="77"/>
      <c r="AT721" s="77"/>
      <c r="AU721" s="77"/>
      <c r="AV721" s="83" t="str">
        <f>HYPERLINK("https://pbs.twimg.com/media/Fp7vx7EWwAIdwoP.jpg")</f>
        <v>https://pbs.twimg.com/media/Fp7vx7EWwAIdwoP.jpg</v>
      </c>
      <c r="AW721" s="81" t="s">
        <v>9991</v>
      </c>
      <c r="AX721" s="81" t="s">
        <v>9991</v>
      </c>
      <c r="AY721" s="77"/>
      <c r="AZ721" s="81" t="s">
        <v>11359</v>
      </c>
      <c r="BA721" s="81" t="s">
        <v>11359</v>
      </c>
      <c r="BB721" s="81" t="s">
        <v>11359</v>
      </c>
      <c r="BC721" s="81" t="s">
        <v>9991</v>
      </c>
      <c r="BD721" s="77">
        <v>493423213</v>
      </c>
      <c r="BE721" s="77"/>
      <c r="BF721" s="77"/>
      <c r="BG721" s="77"/>
      <c r="BH721" s="77"/>
      <c r="BI721" s="77"/>
    </row>
    <row r="722" spans="1:61" x14ac:dyDescent="0.25">
      <c r="A722" s="62" t="s">
        <v>428</v>
      </c>
      <c r="B722" s="62" t="s">
        <v>428</v>
      </c>
      <c r="C722" s="63"/>
      <c r="D722" s="64"/>
      <c r="E722" s="65"/>
      <c r="F722" s="66"/>
      <c r="G722" s="63"/>
      <c r="H722" s="67"/>
      <c r="I722" s="68"/>
      <c r="J722" s="68"/>
      <c r="K722" s="32"/>
      <c r="L722" s="75">
        <v>722</v>
      </c>
      <c r="M722" s="75"/>
      <c r="N722" s="70"/>
      <c r="O722" s="77" t="s">
        <v>179</v>
      </c>
      <c r="P722" s="79">
        <v>44984.014074074075</v>
      </c>
      <c r="Q722" s="77" t="s">
        <v>1670</v>
      </c>
      <c r="R722" s="77">
        <v>0</v>
      </c>
      <c r="S722" s="77">
        <v>0</v>
      </c>
      <c r="T722" s="77">
        <v>0</v>
      </c>
      <c r="U722" s="77">
        <v>0</v>
      </c>
      <c r="V722" s="77">
        <v>83</v>
      </c>
      <c r="W722" s="81" t="s">
        <v>3254</v>
      </c>
      <c r="X722" s="77"/>
      <c r="Y722" s="77"/>
      <c r="Z722" s="77"/>
      <c r="AA722" s="77" t="s">
        <v>4942</v>
      </c>
      <c r="AB722" s="77" t="s">
        <v>5794</v>
      </c>
      <c r="AC722" s="81" t="s">
        <v>5805</v>
      </c>
      <c r="AD722" s="77" t="s">
        <v>5850</v>
      </c>
      <c r="AE722" s="83" t="str">
        <f>HYPERLINK("https://twitter.com/tneaar/status/1629999824513777666")</f>
        <v>https://twitter.com/tneaar/status/1629999824513777666</v>
      </c>
      <c r="AF722" s="79">
        <v>44984.014074074075</v>
      </c>
      <c r="AG722" s="85">
        <v>44984</v>
      </c>
      <c r="AH722" s="81" t="s">
        <v>6541</v>
      </c>
      <c r="AI722" s="77" t="b">
        <v>0</v>
      </c>
      <c r="AJ722" s="77"/>
      <c r="AK722" s="77"/>
      <c r="AL722" s="77"/>
      <c r="AM722" s="77"/>
      <c r="AN722" s="77"/>
      <c r="AO722" s="77"/>
      <c r="AP722" s="77"/>
      <c r="AQ722" s="77" t="s">
        <v>8445</v>
      </c>
      <c r="AR722" s="77"/>
      <c r="AS722" s="77"/>
      <c r="AT722" s="77"/>
      <c r="AU722" s="77"/>
      <c r="AV722" s="83" t="str">
        <f>HYPERLINK("https://pbs.twimg.com/media/Fp7sMuzWcAAim9c.jpg")</f>
        <v>https://pbs.twimg.com/media/Fp7sMuzWcAAim9c.jpg</v>
      </c>
      <c r="AW722" s="81" t="s">
        <v>9992</v>
      </c>
      <c r="AX722" s="81" t="s">
        <v>9992</v>
      </c>
      <c r="AY722" s="77"/>
      <c r="AZ722" s="81" t="s">
        <v>11359</v>
      </c>
      <c r="BA722" s="81" t="s">
        <v>11359</v>
      </c>
      <c r="BB722" s="81" t="s">
        <v>11359</v>
      </c>
      <c r="BC722" s="81" t="s">
        <v>9992</v>
      </c>
      <c r="BD722" s="77">
        <v>493423213</v>
      </c>
      <c r="BE722" s="77"/>
      <c r="BF722" s="77"/>
      <c r="BG722" s="77"/>
      <c r="BH722" s="77"/>
      <c r="BI722" s="77"/>
    </row>
    <row r="723" spans="1:61" x14ac:dyDescent="0.25">
      <c r="A723" s="62" t="s">
        <v>428</v>
      </c>
      <c r="B723" s="62" t="s">
        <v>428</v>
      </c>
      <c r="C723" s="63"/>
      <c r="D723" s="64"/>
      <c r="E723" s="65"/>
      <c r="F723" s="66"/>
      <c r="G723" s="63"/>
      <c r="H723" s="67"/>
      <c r="I723" s="68"/>
      <c r="J723" s="68"/>
      <c r="K723" s="32"/>
      <c r="L723" s="75">
        <v>723</v>
      </c>
      <c r="M723" s="75"/>
      <c r="N723" s="70"/>
      <c r="O723" s="77" t="s">
        <v>179</v>
      </c>
      <c r="P723" s="79">
        <v>44983.982789351852</v>
      </c>
      <c r="Q723" s="77" t="s">
        <v>1671</v>
      </c>
      <c r="R723" s="77">
        <v>0</v>
      </c>
      <c r="S723" s="77">
        <v>0</v>
      </c>
      <c r="T723" s="77">
        <v>0</v>
      </c>
      <c r="U723" s="77">
        <v>0</v>
      </c>
      <c r="V723" s="77">
        <v>58</v>
      </c>
      <c r="W723" s="81" t="s">
        <v>3283</v>
      </c>
      <c r="X723" s="77"/>
      <c r="Y723" s="77"/>
      <c r="Z723" s="77"/>
      <c r="AA723" s="77" t="s">
        <v>4943</v>
      </c>
      <c r="AB723" s="77" t="s">
        <v>5794</v>
      </c>
      <c r="AC723" s="81" t="s">
        <v>5805</v>
      </c>
      <c r="AD723" s="77" t="s">
        <v>5850</v>
      </c>
      <c r="AE723" s="83" t="str">
        <f>HYPERLINK("https://twitter.com/tneaar/status/1629988485712027649")</f>
        <v>https://twitter.com/tneaar/status/1629988485712027649</v>
      </c>
      <c r="AF723" s="79">
        <v>44983.982789351852</v>
      </c>
      <c r="AG723" s="85">
        <v>44983</v>
      </c>
      <c r="AH723" s="81" t="s">
        <v>6542</v>
      </c>
      <c r="AI723" s="77" t="b">
        <v>0</v>
      </c>
      <c r="AJ723" s="77"/>
      <c r="AK723" s="77"/>
      <c r="AL723" s="77"/>
      <c r="AM723" s="77"/>
      <c r="AN723" s="77"/>
      <c r="AO723" s="77"/>
      <c r="AP723" s="77"/>
      <c r="AQ723" s="77" t="s">
        <v>8446</v>
      </c>
      <c r="AR723" s="77"/>
      <c r="AS723" s="77"/>
      <c r="AT723" s="77"/>
      <c r="AU723" s="77"/>
      <c r="AV723" s="83" t="str">
        <f>HYPERLINK("https://pbs.twimg.com/media/Fp7h4tCWwAErADF.jpg")</f>
        <v>https://pbs.twimg.com/media/Fp7h4tCWwAErADF.jpg</v>
      </c>
      <c r="AW723" s="81" t="s">
        <v>9993</v>
      </c>
      <c r="AX723" s="81" t="s">
        <v>9993</v>
      </c>
      <c r="AY723" s="77"/>
      <c r="AZ723" s="81" t="s">
        <v>11359</v>
      </c>
      <c r="BA723" s="81" t="s">
        <v>11359</v>
      </c>
      <c r="BB723" s="81" t="s">
        <v>11359</v>
      </c>
      <c r="BC723" s="81" t="s">
        <v>9993</v>
      </c>
      <c r="BD723" s="77">
        <v>493423213</v>
      </c>
      <c r="BE723" s="77"/>
      <c r="BF723" s="77"/>
      <c r="BG723" s="77"/>
      <c r="BH723" s="77"/>
      <c r="BI723" s="77"/>
    </row>
    <row r="724" spans="1:61" x14ac:dyDescent="0.25">
      <c r="A724" s="62" t="s">
        <v>428</v>
      </c>
      <c r="B724" s="62" t="s">
        <v>428</v>
      </c>
      <c r="C724" s="63"/>
      <c r="D724" s="64"/>
      <c r="E724" s="65"/>
      <c r="F724" s="66"/>
      <c r="G724" s="63"/>
      <c r="H724" s="67"/>
      <c r="I724" s="68"/>
      <c r="J724" s="68"/>
      <c r="K724" s="32"/>
      <c r="L724" s="75">
        <v>724</v>
      </c>
      <c r="M724" s="75"/>
      <c r="N724" s="70"/>
      <c r="O724" s="77" t="s">
        <v>179</v>
      </c>
      <c r="P724" s="79">
        <v>44983.980266203704</v>
      </c>
      <c r="Q724" s="77" t="s">
        <v>1672</v>
      </c>
      <c r="R724" s="77">
        <v>0</v>
      </c>
      <c r="S724" s="77">
        <v>0</v>
      </c>
      <c r="T724" s="77">
        <v>0</v>
      </c>
      <c r="U724" s="77">
        <v>0</v>
      </c>
      <c r="V724" s="77">
        <v>60</v>
      </c>
      <c r="W724" s="81" t="s">
        <v>3260</v>
      </c>
      <c r="X724" s="77"/>
      <c r="Y724" s="77"/>
      <c r="Z724" s="77"/>
      <c r="AA724" s="77" t="s">
        <v>4944</v>
      </c>
      <c r="AB724" s="77" t="s">
        <v>5794</v>
      </c>
      <c r="AC724" s="81" t="s">
        <v>5805</v>
      </c>
      <c r="AD724" s="77" t="s">
        <v>5850</v>
      </c>
      <c r="AE724" s="83" t="str">
        <f>HYPERLINK("https://twitter.com/tneaar/status/1629987572440080393")</f>
        <v>https://twitter.com/tneaar/status/1629987572440080393</v>
      </c>
      <c r="AF724" s="79">
        <v>44983.980266203704</v>
      </c>
      <c r="AG724" s="85">
        <v>44983</v>
      </c>
      <c r="AH724" s="81" t="s">
        <v>6543</v>
      </c>
      <c r="AI724" s="77" t="b">
        <v>0</v>
      </c>
      <c r="AJ724" s="77"/>
      <c r="AK724" s="77"/>
      <c r="AL724" s="77"/>
      <c r="AM724" s="77"/>
      <c r="AN724" s="77"/>
      <c r="AO724" s="77"/>
      <c r="AP724" s="77"/>
      <c r="AQ724" s="77" t="s">
        <v>8447</v>
      </c>
      <c r="AR724" s="77"/>
      <c r="AS724" s="77"/>
      <c r="AT724" s="77"/>
      <c r="AU724" s="77"/>
      <c r="AV724" s="83" t="str">
        <f>HYPERLINK("https://pbs.twimg.com/media/Fp7hDZVWIAAn9ol.jpg")</f>
        <v>https://pbs.twimg.com/media/Fp7hDZVWIAAn9ol.jpg</v>
      </c>
      <c r="AW724" s="81" t="s">
        <v>9994</v>
      </c>
      <c r="AX724" s="81" t="s">
        <v>9994</v>
      </c>
      <c r="AY724" s="77"/>
      <c r="AZ724" s="81" t="s">
        <v>11359</v>
      </c>
      <c r="BA724" s="81" t="s">
        <v>11359</v>
      </c>
      <c r="BB724" s="81" t="s">
        <v>11359</v>
      </c>
      <c r="BC724" s="81" t="s">
        <v>9994</v>
      </c>
      <c r="BD724" s="77">
        <v>493423213</v>
      </c>
      <c r="BE724" s="77"/>
      <c r="BF724" s="77"/>
      <c r="BG724" s="77"/>
      <c r="BH724" s="77"/>
      <c r="BI724" s="77"/>
    </row>
    <row r="725" spans="1:61" x14ac:dyDescent="0.25">
      <c r="A725" s="62" t="s">
        <v>428</v>
      </c>
      <c r="B725" s="62" t="s">
        <v>428</v>
      </c>
      <c r="C725" s="63"/>
      <c r="D725" s="64"/>
      <c r="E725" s="65"/>
      <c r="F725" s="66"/>
      <c r="G725" s="63"/>
      <c r="H725" s="67"/>
      <c r="I725" s="68"/>
      <c r="J725" s="68"/>
      <c r="K725" s="32"/>
      <c r="L725" s="75">
        <v>725</v>
      </c>
      <c r="M725" s="75"/>
      <c r="N725" s="70"/>
      <c r="O725" s="77" t="s">
        <v>179</v>
      </c>
      <c r="P725" s="79">
        <v>44982.916354166664</v>
      </c>
      <c r="Q725" s="77" t="s">
        <v>1673</v>
      </c>
      <c r="R725" s="77">
        <v>0</v>
      </c>
      <c r="S725" s="77">
        <v>0</v>
      </c>
      <c r="T725" s="77">
        <v>0</v>
      </c>
      <c r="U725" s="77">
        <v>0</v>
      </c>
      <c r="V725" s="77">
        <v>59</v>
      </c>
      <c r="W725" s="81" t="s">
        <v>3267</v>
      </c>
      <c r="X725" s="77" t="s">
        <v>4182</v>
      </c>
      <c r="Y725" s="77" t="s">
        <v>4268</v>
      </c>
      <c r="Z725" s="77"/>
      <c r="AA725" s="77" t="s">
        <v>4945</v>
      </c>
      <c r="AB725" s="77" t="s">
        <v>5794</v>
      </c>
      <c r="AC725" s="81" t="s">
        <v>5805</v>
      </c>
      <c r="AD725" s="77" t="s">
        <v>5850</v>
      </c>
      <c r="AE725" s="83" t="str">
        <f>HYPERLINK("https://twitter.com/tneaar/status/1629602023053176832")</f>
        <v>https://twitter.com/tneaar/status/1629602023053176832</v>
      </c>
      <c r="AF725" s="79">
        <v>44982.916354166664</v>
      </c>
      <c r="AG725" s="85">
        <v>44982</v>
      </c>
      <c r="AH725" s="81" t="s">
        <v>6544</v>
      </c>
      <c r="AI725" s="77" t="b">
        <v>0</v>
      </c>
      <c r="AJ725" s="77"/>
      <c r="AK725" s="77"/>
      <c r="AL725" s="77"/>
      <c r="AM725" s="77"/>
      <c r="AN725" s="77"/>
      <c r="AO725" s="77"/>
      <c r="AP725" s="77"/>
      <c r="AQ725" s="77" t="s">
        <v>8448</v>
      </c>
      <c r="AR725" s="77"/>
      <c r="AS725" s="77"/>
      <c r="AT725" s="77"/>
      <c r="AU725" s="77"/>
      <c r="AV725" s="83" t="str">
        <f>HYPERLINK("https://pbs.twimg.com/media/Fp2CZm2XgAARZxp.jpg")</f>
        <v>https://pbs.twimg.com/media/Fp2CZm2XgAARZxp.jpg</v>
      </c>
      <c r="AW725" s="81" t="s">
        <v>9995</v>
      </c>
      <c r="AX725" s="81" t="s">
        <v>9995</v>
      </c>
      <c r="AY725" s="77"/>
      <c r="AZ725" s="81" t="s">
        <v>11359</v>
      </c>
      <c r="BA725" s="81" t="s">
        <v>11359</v>
      </c>
      <c r="BB725" s="81" t="s">
        <v>11359</v>
      </c>
      <c r="BC725" s="81" t="s">
        <v>9995</v>
      </c>
      <c r="BD725" s="77">
        <v>493423213</v>
      </c>
      <c r="BE725" s="77"/>
      <c r="BF725" s="77"/>
      <c r="BG725" s="77"/>
      <c r="BH725" s="77"/>
      <c r="BI725" s="77"/>
    </row>
    <row r="726" spans="1:61" x14ac:dyDescent="0.25">
      <c r="A726" s="62" t="s">
        <v>428</v>
      </c>
      <c r="B726" s="62" t="s">
        <v>428</v>
      </c>
      <c r="C726" s="63"/>
      <c r="D726" s="64"/>
      <c r="E726" s="65"/>
      <c r="F726" s="66"/>
      <c r="G726" s="63"/>
      <c r="H726" s="67"/>
      <c r="I726" s="68"/>
      <c r="J726" s="68"/>
      <c r="K726" s="32"/>
      <c r="L726" s="75">
        <v>726</v>
      </c>
      <c r="M726" s="75"/>
      <c r="N726" s="70"/>
      <c r="O726" s="77" t="s">
        <v>179</v>
      </c>
      <c r="P726" s="79">
        <v>44982.853541666664</v>
      </c>
      <c r="Q726" s="77" t="s">
        <v>1674</v>
      </c>
      <c r="R726" s="77">
        <v>0</v>
      </c>
      <c r="S726" s="77">
        <v>0</v>
      </c>
      <c r="T726" s="77">
        <v>0</v>
      </c>
      <c r="U726" s="77">
        <v>0</v>
      </c>
      <c r="V726" s="77">
        <v>47</v>
      </c>
      <c r="W726" s="81" t="s">
        <v>3324</v>
      </c>
      <c r="X726" s="77" t="s">
        <v>4183</v>
      </c>
      <c r="Y726" s="77" t="s">
        <v>4268</v>
      </c>
      <c r="Z726" s="77"/>
      <c r="AA726" s="77" t="s">
        <v>4946</v>
      </c>
      <c r="AB726" s="77" t="s">
        <v>5794</v>
      </c>
      <c r="AC726" s="81" t="s">
        <v>5805</v>
      </c>
      <c r="AD726" s="77" t="s">
        <v>5850</v>
      </c>
      <c r="AE726" s="83" t="str">
        <f>HYPERLINK("https://twitter.com/tneaar/status/1629579260913491973")</f>
        <v>https://twitter.com/tneaar/status/1629579260913491973</v>
      </c>
      <c r="AF726" s="79">
        <v>44982.853541666664</v>
      </c>
      <c r="AG726" s="85">
        <v>44982</v>
      </c>
      <c r="AH726" s="81" t="s">
        <v>6545</v>
      </c>
      <c r="AI726" s="77" t="b">
        <v>0</v>
      </c>
      <c r="AJ726" s="77"/>
      <c r="AK726" s="77"/>
      <c r="AL726" s="77"/>
      <c r="AM726" s="77"/>
      <c r="AN726" s="77"/>
      <c r="AO726" s="77"/>
      <c r="AP726" s="77"/>
      <c r="AQ726" s="77" t="s">
        <v>8449</v>
      </c>
      <c r="AR726" s="77"/>
      <c r="AS726" s="77"/>
      <c r="AT726" s="77"/>
      <c r="AU726" s="77"/>
      <c r="AV726" s="83" t="str">
        <f>HYPERLINK("https://pbs.twimg.com/media/Fp1trO_WwAES6oP.jpg")</f>
        <v>https://pbs.twimg.com/media/Fp1trO_WwAES6oP.jpg</v>
      </c>
      <c r="AW726" s="81" t="s">
        <v>9996</v>
      </c>
      <c r="AX726" s="81" t="s">
        <v>9996</v>
      </c>
      <c r="AY726" s="77"/>
      <c r="AZ726" s="81" t="s">
        <v>11359</v>
      </c>
      <c r="BA726" s="81" t="s">
        <v>11359</v>
      </c>
      <c r="BB726" s="81" t="s">
        <v>11359</v>
      </c>
      <c r="BC726" s="81" t="s">
        <v>9996</v>
      </c>
      <c r="BD726" s="77">
        <v>493423213</v>
      </c>
      <c r="BE726" s="77"/>
      <c r="BF726" s="77"/>
      <c r="BG726" s="77"/>
      <c r="BH726" s="77"/>
      <c r="BI726" s="77"/>
    </row>
    <row r="727" spans="1:61" x14ac:dyDescent="0.25">
      <c r="A727" s="62" t="s">
        <v>428</v>
      </c>
      <c r="B727" s="62" t="s">
        <v>428</v>
      </c>
      <c r="C727" s="63"/>
      <c r="D727" s="64"/>
      <c r="E727" s="65"/>
      <c r="F727" s="66"/>
      <c r="G727" s="63"/>
      <c r="H727" s="67"/>
      <c r="I727" s="68"/>
      <c r="J727" s="68"/>
      <c r="K727" s="32"/>
      <c r="L727" s="75">
        <v>727</v>
      </c>
      <c r="M727" s="75"/>
      <c r="N727" s="70"/>
      <c r="O727" s="77" t="s">
        <v>179</v>
      </c>
      <c r="P727" s="79">
        <v>44964.555046296293</v>
      </c>
      <c r="Q727" s="77" t="s">
        <v>1675</v>
      </c>
      <c r="R727" s="77">
        <v>0</v>
      </c>
      <c r="S727" s="77">
        <v>0</v>
      </c>
      <c r="T727" s="77">
        <v>0</v>
      </c>
      <c r="U727" s="77">
        <v>0</v>
      </c>
      <c r="V727" s="77">
        <v>69</v>
      </c>
      <c r="W727" s="81" t="s">
        <v>3325</v>
      </c>
      <c r="X727" s="77" t="s">
        <v>4184</v>
      </c>
      <c r="Y727" s="77" t="s">
        <v>4267</v>
      </c>
      <c r="Z727" s="77"/>
      <c r="AA727" s="77" t="s">
        <v>4947</v>
      </c>
      <c r="AB727" s="77" t="s">
        <v>5794</v>
      </c>
      <c r="AC727" s="81" t="s">
        <v>5805</v>
      </c>
      <c r="AD727" s="77" t="s">
        <v>5850</v>
      </c>
      <c r="AE727" s="83" t="str">
        <f>HYPERLINK("https://twitter.com/tneaar/status/1622948108723183616")</f>
        <v>https://twitter.com/tneaar/status/1622948108723183616</v>
      </c>
      <c r="AF727" s="79">
        <v>44964.555046296293</v>
      </c>
      <c r="AG727" s="85">
        <v>44964</v>
      </c>
      <c r="AH727" s="81" t="s">
        <v>6546</v>
      </c>
      <c r="AI727" s="77" t="b">
        <v>0</v>
      </c>
      <c r="AJ727" s="77"/>
      <c r="AK727" s="77"/>
      <c r="AL727" s="77"/>
      <c r="AM727" s="77"/>
      <c r="AN727" s="77"/>
      <c r="AO727" s="77"/>
      <c r="AP727" s="77"/>
      <c r="AQ727" s="77" t="s">
        <v>8450</v>
      </c>
      <c r="AR727" s="77"/>
      <c r="AS727" s="77"/>
      <c r="AT727" s="77"/>
      <c r="AU727" s="77"/>
      <c r="AV727" s="83" t="str">
        <f>HYPERLINK("https://pbs.twimg.com/media/FoXer1xXsAAgMIK.jpg")</f>
        <v>https://pbs.twimg.com/media/FoXer1xXsAAgMIK.jpg</v>
      </c>
      <c r="AW727" s="81" t="s">
        <v>9997</v>
      </c>
      <c r="AX727" s="81" t="s">
        <v>9997</v>
      </c>
      <c r="AY727" s="77"/>
      <c r="AZ727" s="81" t="s">
        <v>11359</v>
      </c>
      <c r="BA727" s="81" t="s">
        <v>11359</v>
      </c>
      <c r="BB727" s="81" t="s">
        <v>11359</v>
      </c>
      <c r="BC727" s="81" t="s">
        <v>9997</v>
      </c>
      <c r="BD727" s="77">
        <v>493423213</v>
      </c>
      <c r="BE727" s="77"/>
      <c r="BF727" s="77"/>
      <c r="BG727" s="77"/>
      <c r="BH727" s="77"/>
      <c r="BI727" s="77"/>
    </row>
    <row r="728" spans="1:61" x14ac:dyDescent="0.25">
      <c r="A728" s="62" t="s">
        <v>428</v>
      </c>
      <c r="B728" s="62" t="s">
        <v>428</v>
      </c>
      <c r="C728" s="63"/>
      <c r="D728" s="64"/>
      <c r="E728" s="65"/>
      <c r="F728" s="66"/>
      <c r="G728" s="63"/>
      <c r="H728" s="67"/>
      <c r="I728" s="68"/>
      <c r="J728" s="68"/>
      <c r="K728" s="32"/>
      <c r="L728" s="75">
        <v>728</v>
      </c>
      <c r="M728" s="75"/>
      <c r="N728" s="70"/>
      <c r="O728" s="77" t="s">
        <v>179</v>
      </c>
      <c r="P728" s="79">
        <v>44963.59951388889</v>
      </c>
      <c r="Q728" s="77" t="s">
        <v>1676</v>
      </c>
      <c r="R728" s="77">
        <v>0</v>
      </c>
      <c r="S728" s="77">
        <v>0</v>
      </c>
      <c r="T728" s="77">
        <v>0</v>
      </c>
      <c r="U728" s="77">
        <v>0</v>
      </c>
      <c r="V728" s="77">
        <v>87</v>
      </c>
      <c r="W728" s="81" t="s">
        <v>3257</v>
      </c>
      <c r="X728" s="77"/>
      <c r="Y728" s="77"/>
      <c r="Z728" s="77"/>
      <c r="AA728" s="77" t="s">
        <v>4948</v>
      </c>
      <c r="AB728" s="77" t="s">
        <v>5794</v>
      </c>
      <c r="AC728" s="81" t="s">
        <v>5805</v>
      </c>
      <c r="AD728" s="77" t="s">
        <v>5850</v>
      </c>
      <c r="AE728" s="83" t="str">
        <f>HYPERLINK("https://twitter.com/tneaar/status/1622601835067412482")</f>
        <v>https://twitter.com/tneaar/status/1622601835067412482</v>
      </c>
      <c r="AF728" s="79">
        <v>44963.59951388889</v>
      </c>
      <c r="AG728" s="85">
        <v>44963</v>
      </c>
      <c r="AH728" s="81" t="s">
        <v>6547</v>
      </c>
      <c r="AI728" s="77" t="b">
        <v>0</v>
      </c>
      <c r="AJ728" s="77"/>
      <c r="AK728" s="77"/>
      <c r="AL728" s="77"/>
      <c r="AM728" s="77"/>
      <c r="AN728" s="77"/>
      <c r="AO728" s="77"/>
      <c r="AP728" s="77"/>
      <c r="AQ728" s="77" t="s">
        <v>8451</v>
      </c>
      <c r="AR728" s="77"/>
      <c r="AS728" s="77"/>
      <c r="AT728" s="77"/>
      <c r="AU728" s="77"/>
      <c r="AV728" s="83" t="str">
        <f>HYPERLINK("https://pbs.twimg.com/media/FoSjxIfWcAIKr-Q.jpg")</f>
        <v>https://pbs.twimg.com/media/FoSjxIfWcAIKr-Q.jpg</v>
      </c>
      <c r="AW728" s="81" t="s">
        <v>9998</v>
      </c>
      <c r="AX728" s="81" t="s">
        <v>9998</v>
      </c>
      <c r="AY728" s="77"/>
      <c r="AZ728" s="81" t="s">
        <v>11359</v>
      </c>
      <c r="BA728" s="81" t="s">
        <v>11359</v>
      </c>
      <c r="BB728" s="81" t="s">
        <v>11359</v>
      </c>
      <c r="BC728" s="81" t="s">
        <v>9998</v>
      </c>
      <c r="BD728" s="77">
        <v>493423213</v>
      </c>
      <c r="BE728" s="77"/>
      <c r="BF728" s="77"/>
      <c r="BG728" s="77"/>
      <c r="BH728" s="77"/>
      <c r="BI728" s="77"/>
    </row>
    <row r="729" spans="1:61" x14ac:dyDescent="0.25">
      <c r="A729" s="62" t="s">
        <v>428</v>
      </c>
      <c r="B729" s="62" t="s">
        <v>428</v>
      </c>
      <c r="C729" s="63"/>
      <c r="D729" s="64"/>
      <c r="E729" s="65"/>
      <c r="F729" s="66"/>
      <c r="G729" s="63"/>
      <c r="H729" s="67"/>
      <c r="I729" s="68"/>
      <c r="J729" s="68"/>
      <c r="K729" s="32"/>
      <c r="L729" s="75">
        <v>729</v>
      </c>
      <c r="M729" s="75"/>
      <c r="N729" s="70"/>
      <c r="O729" s="77" t="s">
        <v>179</v>
      </c>
      <c r="P729" s="79">
        <v>44963.597256944442</v>
      </c>
      <c r="Q729" s="77" t="s">
        <v>1677</v>
      </c>
      <c r="R729" s="77">
        <v>0</v>
      </c>
      <c r="S729" s="77">
        <v>0</v>
      </c>
      <c r="T729" s="77">
        <v>0</v>
      </c>
      <c r="U729" s="77">
        <v>0</v>
      </c>
      <c r="V729" s="77">
        <v>75</v>
      </c>
      <c r="W729" s="81" t="s">
        <v>3258</v>
      </c>
      <c r="X729" s="77"/>
      <c r="Y729" s="77"/>
      <c r="Z729" s="77"/>
      <c r="AA729" s="77" t="s">
        <v>4949</v>
      </c>
      <c r="AB729" s="77" t="s">
        <v>5794</v>
      </c>
      <c r="AC729" s="81" t="s">
        <v>5805</v>
      </c>
      <c r="AD729" s="77" t="s">
        <v>5850</v>
      </c>
      <c r="AE729" s="83" t="str">
        <f>HYPERLINK("https://twitter.com/tneaar/status/1622601016494415874")</f>
        <v>https://twitter.com/tneaar/status/1622601016494415874</v>
      </c>
      <c r="AF729" s="79">
        <v>44963.597256944442</v>
      </c>
      <c r="AG729" s="85">
        <v>44963</v>
      </c>
      <c r="AH729" s="81" t="s">
        <v>6548</v>
      </c>
      <c r="AI729" s="77" t="b">
        <v>0</v>
      </c>
      <c r="AJ729" s="77"/>
      <c r="AK729" s="77"/>
      <c r="AL729" s="77"/>
      <c r="AM729" s="77"/>
      <c r="AN729" s="77"/>
      <c r="AO729" s="77"/>
      <c r="AP729" s="77"/>
      <c r="AQ729" s="77" t="s">
        <v>8452</v>
      </c>
      <c r="AR729" s="77"/>
      <c r="AS729" s="77"/>
      <c r="AT729" s="77"/>
      <c r="AU729" s="77"/>
      <c r="AV729" s="83" t="str">
        <f>HYPERLINK("https://pbs.twimg.com/media/FoSjBM1WcAIzqiR.jpg")</f>
        <v>https://pbs.twimg.com/media/FoSjBM1WcAIzqiR.jpg</v>
      </c>
      <c r="AW729" s="81" t="s">
        <v>9999</v>
      </c>
      <c r="AX729" s="81" t="s">
        <v>9999</v>
      </c>
      <c r="AY729" s="77"/>
      <c r="AZ729" s="81" t="s">
        <v>11359</v>
      </c>
      <c r="BA729" s="81" t="s">
        <v>11359</v>
      </c>
      <c r="BB729" s="81" t="s">
        <v>11359</v>
      </c>
      <c r="BC729" s="81" t="s">
        <v>9999</v>
      </c>
      <c r="BD729" s="77">
        <v>493423213</v>
      </c>
      <c r="BE729" s="77"/>
      <c r="BF729" s="77"/>
      <c r="BG729" s="77"/>
      <c r="BH729" s="77"/>
      <c r="BI729" s="77"/>
    </row>
    <row r="730" spans="1:61" x14ac:dyDescent="0.25">
      <c r="A730" s="62" t="s">
        <v>428</v>
      </c>
      <c r="B730" s="62" t="s">
        <v>428</v>
      </c>
      <c r="C730" s="63"/>
      <c r="D730" s="64"/>
      <c r="E730" s="65"/>
      <c r="F730" s="66"/>
      <c r="G730" s="63"/>
      <c r="H730" s="67"/>
      <c r="I730" s="68"/>
      <c r="J730" s="68"/>
      <c r="K730" s="32"/>
      <c r="L730" s="75">
        <v>730</v>
      </c>
      <c r="M730" s="75"/>
      <c r="N730" s="70"/>
      <c r="O730" s="77" t="s">
        <v>179</v>
      </c>
      <c r="P730" s="79">
        <v>44963.074930555558</v>
      </c>
      <c r="Q730" s="77" t="s">
        <v>1678</v>
      </c>
      <c r="R730" s="77">
        <v>0</v>
      </c>
      <c r="S730" s="77">
        <v>0</v>
      </c>
      <c r="T730" s="77">
        <v>0</v>
      </c>
      <c r="U730" s="77">
        <v>0</v>
      </c>
      <c r="V730" s="77">
        <v>95</v>
      </c>
      <c r="W730" s="81" t="s">
        <v>3260</v>
      </c>
      <c r="X730" s="77"/>
      <c r="Y730" s="77"/>
      <c r="Z730" s="77"/>
      <c r="AA730" s="77" t="s">
        <v>4950</v>
      </c>
      <c r="AB730" s="77" t="s">
        <v>5794</v>
      </c>
      <c r="AC730" s="81" t="s">
        <v>5805</v>
      </c>
      <c r="AD730" s="77" t="s">
        <v>5850</v>
      </c>
      <c r="AE730" s="83" t="str">
        <f>HYPERLINK("https://twitter.com/tneaar/status/1622411732533608448")</f>
        <v>https://twitter.com/tneaar/status/1622411732533608448</v>
      </c>
      <c r="AF730" s="79">
        <v>44963.074930555558</v>
      </c>
      <c r="AG730" s="85">
        <v>44963</v>
      </c>
      <c r="AH730" s="81" t="s">
        <v>6549</v>
      </c>
      <c r="AI730" s="77" t="b">
        <v>0</v>
      </c>
      <c r="AJ730" s="77"/>
      <c r="AK730" s="77"/>
      <c r="AL730" s="77"/>
      <c r="AM730" s="77"/>
      <c r="AN730" s="77"/>
      <c r="AO730" s="77"/>
      <c r="AP730" s="77"/>
      <c r="AQ730" s="77" t="s">
        <v>8453</v>
      </c>
      <c r="AR730" s="77"/>
      <c r="AS730" s="77"/>
      <c r="AT730" s="77"/>
      <c r="AU730" s="77"/>
      <c r="AV730" s="83" t="str">
        <f>HYPERLINK("https://pbs.twimg.com/media/FoP23shWQAMWA27.jpg")</f>
        <v>https://pbs.twimg.com/media/FoP23shWQAMWA27.jpg</v>
      </c>
      <c r="AW730" s="81" t="s">
        <v>10000</v>
      </c>
      <c r="AX730" s="81" t="s">
        <v>10000</v>
      </c>
      <c r="AY730" s="77"/>
      <c r="AZ730" s="81" t="s">
        <v>11359</v>
      </c>
      <c r="BA730" s="81" t="s">
        <v>11359</v>
      </c>
      <c r="BB730" s="81" t="s">
        <v>11359</v>
      </c>
      <c r="BC730" s="81" t="s">
        <v>10000</v>
      </c>
      <c r="BD730" s="77">
        <v>493423213</v>
      </c>
      <c r="BE730" s="77"/>
      <c r="BF730" s="77"/>
      <c r="BG730" s="77"/>
      <c r="BH730" s="77"/>
      <c r="BI730" s="77"/>
    </row>
    <row r="731" spans="1:61" x14ac:dyDescent="0.25">
      <c r="A731" s="62" t="s">
        <v>428</v>
      </c>
      <c r="B731" s="62" t="s">
        <v>428</v>
      </c>
      <c r="C731" s="63"/>
      <c r="D731" s="64"/>
      <c r="E731" s="65"/>
      <c r="F731" s="66"/>
      <c r="G731" s="63"/>
      <c r="H731" s="67"/>
      <c r="I731" s="68"/>
      <c r="J731" s="68"/>
      <c r="K731" s="32"/>
      <c r="L731" s="75">
        <v>731</v>
      </c>
      <c r="M731" s="75"/>
      <c r="N731" s="70"/>
      <c r="O731" s="77" t="s">
        <v>179</v>
      </c>
      <c r="P731" s="79">
        <v>44963.058321759258</v>
      </c>
      <c r="Q731" s="77" t="s">
        <v>1679</v>
      </c>
      <c r="R731" s="77">
        <v>0</v>
      </c>
      <c r="S731" s="77">
        <v>0</v>
      </c>
      <c r="T731" s="77">
        <v>0</v>
      </c>
      <c r="U731" s="77">
        <v>0</v>
      </c>
      <c r="V731" s="77">
        <v>59</v>
      </c>
      <c r="W731" s="81" t="s">
        <v>3283</v>
      </c>
      <c r="X731" s="77"/>
      <c r="Y731" s="77"/>
      <c r="Z731" s="77"/>
      <c r="AA731" s="77" t="s">
        <v>4951</v>
      </c>
      <c r="AB731" s="77" t="s">
        <v>5794</v>
      </c>
      <c r="AC731" s="81" t="s">
        <v>5805</v>
      </c>
      <c r="AD731" s="77" t="s">
        <v>5850</v>
      </c>
      <c r="AE731" s="83" t="str">
        <f>HYPERLINK("https://twitter.com/tneaar/status/1622405711685685248")</f>
        <v>https://twitter.com/tneaar/status/1622405711685685248</v>
      </c>
      <c r="AF731" s="79">
        <v>44963.058321759258</v>
      </c>
      <c r="AG731" s="85">
        <v>44963</v>
      </c>
      <c r="AH731" s="81" t="s">
        <v>6550</v>
      </c>
      <c r="AI731" s="77" t="b">
        <v>0</v>
      </c>
      <c r="AJ731" s="77"/>
      <c r="AK731" s="77"/>
      <c r="AL731" s="77"/>
      <c r="AM731" s="77"/>
      <c r="AN731" s="77"/>
      <c r="AO731" s="77"/>
      <c r="AP731" s="77"/>
      <c r="AQ731" s="77" t="s">
        <v>8454</v>
      </c>
      <c r="AR731" s="77"/>
      <c r="AS731" s="77"/>
      <c r="AT731" s="77"/>
      <c r="AU731" s="77"/>
      <c r="AV731" s="83" t="str">
        <f>HYPERLINK("https://pbs.twimg.com/media/FoPxZN1WQAIkFe2.jpg")</f>
        <v>https://pbs.twimg.com/media/FoPxZN1WQAIkFe2.jpg</v>
      </c>
      <c r="AW731" s="81" t="s">
        <v>10001</v>
      </c>
      <c r="AX731" s="81" t="s">
        <v>10001</v>
      </c>
      <c r="AY731" s="77"/>
      <c r="AZ731" s="81" t="s">
        <v>11359</v>
      </c>
      <c r="BA731" s="81" t="s">
        <v>11359</v>
      </c>
      <c r="BB731" s="81" t="s">
        <v>11359</v>
      </c>
      <c r="BC731" s="81" t="s">
        <v>10001</v>
      </c>
      <c r="BD731" s="77">
        <v>493423213</v>
      </c>
      <c r="BE731" s="77"/>
      <c r="BF731" s="77"/>
      <c r="BG731" s="77"/>
      <c r="BH731" s="77"/>
      <c r="BI731" s="77"/>
    </row>
    <row r="732" spans="1:61" x14ac:dyDescent="0.25">
      <c r="A732" s="62" t="s">
        <v>428</v>
      </c>
      <c r="B732" s="62" t="s">
        <v>428</v>
      </c>
      <c r="C732" s="63"/>
      <c r="D732" s="64"/>
      <c r="E732" s="65"/>
      <c r="F732" s="66"/>
      <c r="G732" s="63"/>
      <c r="H732" s="67"/>
      <c r="I732" s="68"/>
      <c r="J732" s="68"/>
      <c r="K732" s="32"/>
      <c r="L732" s="75">
        <v>732</v>
      </c>
      <c r="M732" s="75"/>
      <c r="N732" s="70"/>
      <c r="O732" s="77" t="s">
        <v>179</v>
      </c>
      <c r="P732" s="79">
        <v>44959.984837962962</v>
      </c>
      <c r="Q732" s="77" t="s">
        <v>1680</v>
      </c>
      <c r="R732" s="77">
        <v>0</v>
      </c>
      <c r="S732" s="77">
        <v>0</v>
      </c>
      <c r="T732" s="77">
        <v>0</v>
      </c>
      <c r="U732" s="77">
        <v>0</v>
      </c>
      <c r="V732" s="77">
        <v>94</v>
      </c>
      <c r="W732" s="81" t="s">
        <v>3326</v>
      </c>
      <c r="X732" s="77" t="s">
        <v>4185</v>
      </c>
      <c r="Y732" s="77" t="s">
        <v>4268</v>
      </c>
      <c r="Z732" s="77"/>
      <c r="AA732" s="77" t="s">
        <v>4952</v>
      </c>
      <c r="AB732" s="77" t="s">
        <v>5794</v>
      </c>
      <c r="AC732" s="81" t="s">
        <v>5805</v>
      </c>
      <c r="AD732" s="77" t="s">
        <v>5850</v>
      </c>
      <c r="AE732" s="83" t="str">
        <f>HYPERLINK("https://twitter.com/tneaar/status/1621291918624694278")</f>
        <v>https://twitter.com/tneaar/status/1621291918624694278</v>
      </c>
      <c r="AF732" s="79">
        <v>44959.984837962962</v>
      </c>
      <c r="AG732" s="85">
        <v>44959</v>
      </c>
      <c r="AH732" s="81" t="s">
        <v>6551</v>
      </c>
      <c r="AI732" s="77" t="b">
        <v>0</v>
      </c>
      <c r="AJ732" s="77"/>
      <c r="AK732" s="77"/>
      <c r="AL732" s="77"/>
      <c r="AM732" s="77"/>
      <c r="AN732" s="77"/>
      <c r="AO732" s="77"/>
      <c r="AP732" s="77"/>
      <c r="AQ732" s="77" t="s">
        <v>8455</v>
      </c>
      <c r="AR732" s="77"/>
      <c r="AS732" s="77"/>
      <c r="AT732" s="77"/>
      <c r="AU732" s="77"/>
      <c r="AV732" s="83" t="str">
        <f>HYPERLINK("https://pbs.twimg.com/media/Fn_8Z0VXgAAfDKD.png")</f>
        <v>https://pbs.twimg.com/media/Fn_8Z0VXgAAfDKD.png</v>
      </c>
      <c r="AW732" s="81" t="s">
        <v>10002</v>
      </c>
      <c r="AX732" s="81" t="s">
        <v>10002</v>
      </c>
      <c r="AY732" s="77"/>
      <c r="AZ732" s="81" t="s">
        <v>11359</v>
      </c>
      <c r="BA732" s="81" t="s">
        <v>11359</v>
      </c>
      <c r="BB732" s="81" t="s">
        <v>11359</v>
      </c>
      <c r="BC732" s="81" t="s">
        <v>10002</v>
      </c>
      <c r="BD732" s="77">
        <v>493423213</v>
      </c>
      <c r="BE732" s="77"/>
      <c r="BF732" s="77"/>
      <c r="BG732" s="77"/>
      <c r="BH732" s="77"/>
      <c r="BI732" s="77"/>
    </row>
    <row r="733" spans="1:61" x14ac:dyDescent="0.25">
      <c r="A733" s="62" t="s">
        <v>428</v>
      </c>
      <c r="B733" s="62" t="s">
        <v>428</v>
      </c>
      <c r="C733" s="63"/>
      <c r="D733" s="64"/>
      <c r="E733" s="65"/>
      <c r="F733" s="66"/>
      <c r="G733" s="63"/>
      <c r="H733" s="67"/>
      <c r="I733" s="68"/>
      <c r="J733" s="68"/>
      <c r="K733" s="32"/>
      <c r="L733" s="75">
        <v>733</v>
      </c>
      <c r="M733" s="75"/>
      <c r="N733" s="70"/>
      <c r="O733" s="77" t="s">
        <v>179</v>
      </c>
      <c r="P733" s="79">
        <v>44957.679780092592</v>
      </c>
      <c r="Q733" s="77" t="s">
        <v>1681</v>
      </c>
      <c r="R733" s="77">
        <v>0</v>
      </c>
      <c r="S733" s="77">
        <v>0</v>
      </c>
      <c r="T733" s="77">
        <v>0</v>
      </c>
      <c r="U733" s="77">
        <v>0</v>
      </c>
      <c r="V733" s="77">
        <v>86</v>
      </c>
      <c r="W733" s="81" t="s">
        <v>3283</v>
      </c>
      <c r="X733" s="77"/>
      <c r="Y733" s="77"/>
      <c r="Z733" s="77"/>
      <c r="AA733" s="77" t="s">
        <v>4953</v>
      </c>
      <c r="AB733" s="77" t="s">
        <v>5794</v>
      </c>
      <c r="AC733" s="81" t="s">
        <v>5805</v>
      </c>
      <c r="AD733" s="77" t="s">
        <v>5850</v>
      </c>
      <c r="AE733" s="83" t="str">
        <f>HYPERLINK("https://twitter.com/tneaar/status/1620456596173381632")</f>
        <v>https://twitter.com/tneaar/status/1620456596173381632</v>
      </c>
      <c r="AF733" s="79">
        <v>44957.679780092592</v>
      </c>
      <c r="AG733" s="85">
        <v>44957</v>
      </c>
      <c r="AH733" s="81" t="s">
        <v>6552</v>
      </c>
      <c r="AI733" s="77" t="b">
        <v>0</v>
      </c>
      <c r="AJ733" s="77"/>
      <c r="AK733" s="77"/>
      <c r="AL733" s="77"/>
      <c r="AM733" s="77"/>
      <c r="AN733" s="77"/>
      <c r="AO733" s="77"/>
      <c r="AP733" s="77"/>
      <c r="AQ733" s="77" t="s">
        <v>8456</v>
      </c>
      <c r="AR733" s="77"/>
      <c r="AS733" s="77"/>
      <c r="AT733" s="77"/>
      <c r="AU733" s="77"/>
      <c r="AV733" s="83" t="str">
        <f>HYPERLINK("https://pbs.twimg.com/media/Fn0ErcNWAAMCOqz.jpg")</f>
        <v>https://pbs.twimg.com/media/Fn0ErcNWAAMCOqz.jpg</v>
      </c>
      <c r="AW733" s="81" t="s">
        <v>10003</v>
      </c>
      <c r="AX733" s="81" t="s">
        <v>10003</v>
      </c>
      <c r="AY733" s="77"/>
      <c r="AZ733" s="81" t="s">
        <v>11359</v>
      </c>
      <c r="BA733" s="81" t="s">
        <v>11359</v>
      </c>
      <c r="BB733" s="81" t="s">
        <v>11359</v>
      </c>
      <c r="BC733" s="81" t="s">
        <v>10003</v>
      </c>
      <c r="BD733" s="77">
        <v>493423213</v>
      </c>
      <c r="BE733" s="77"/>
      <c r="BF733" s="77"/>
      <c r="BG733" s="77"/>
      <c r="BH733" s="77"/>
      <c r="BI733" s="77"/>
    </row>
    <row r="734" spans="1:61" x14ac:dyDescent="0.25">
      <c r="A734" s="62" t="s">
        <v>429</v>
      </c>
      <c r="B734" s="62" t="s">
        <v>428</v>
      </c>
      <c r="C734" s="63"/>
      <c r="D734" s="64"/>
      <c r="E734" s="65"/>
      <c r="F734" s="66"/>
      <c r="G734" s="63"/>
      <c r="H734" s="67"/>
      <c r="I734" s="68"/>
      <c r="J734" s="68"/>
      <c r="K734" s="32"/>
      <c r="L734" s="75">
        <v>734</v>
      </c>
      <c r="M734" s="75"/>
      <c r="N734" s="70"/>
      <c r="O734" s="77" t="s">
        <v>968</v>
      </c>
      <c r="P734" s="79">
        <v>45188.056006944447</v>
      </c>
      <c r="Q734" s="77" t="s">
        <v>1682</v>
      </c>
      <c r="R734" s="77">
        <v>1</v>
      </c>
      <c r="S734" s="77">
        <v>0</v>
      </c>
      <c r="T734" s="77">
        <v>0</v>
      </c>
      <c r="U734" s="77">
        <v>0</v>
      </c>
      <c r="V734" s="77"/>
      <c r="W734" s="81" t="s">
        <v>3327</v>
      </c>
      <c r="X734" s="77"/>
      <c r="Y734" s="77"/>
      <c r="Z734" s="77" t="s">
        <v>428</v>
      </c>
      <c r="AA734" s="77"/>
      <c r="AB734" s="77"/>
      <c r="AC734" s="81" t="s">
        <v>5801</v>
      </c>
      <c r="AD734" s="77" t="s">
        <v>5850</v>
      </c>
      <c r="AE734" s="83" t="str">
        <f>HYPERLINK("https://twitter.com/ingdascenzo/status/1703942145780949470")</f>
        <v>https://twitter.com/ingdascenzo/status/1703942145780949470</v>
      </c>
      <c r="AF734" s="79">
        <v>45188.056006944447</v>
      </c>
      <c r="AG734" s="85">
        <v>45188</v>
      </c>
      <c r="AH734" s="81" t="s">
        <v>6553</v>
      </c>
      <c r="AI734" s="77"/>
      <c r="AJ734" s="77"/>
      <c r="AK734" s="77"/>
      <c r="AL734" s="77"/>
      <c r="AM734" s="77"/>
      <c r="AN734" s="77"/>
      <c r="AO734" s="77"/>
      <c r="AP734" s="77"/>
      <c r="AQ734" s="77"/>
      <c r="AR734" s="77"/>
      <c r="AS734" s="77"/>
      <c r="AT734" s="77"/>
      <c r="AU734" s="77"/>
      <c r="AV734" s="83" t="str">
        <f>HYPERLINK("https://pbs.twimg.com/profile_images/1295490369791111169/mXmsT-zG_normal.jpg")</f>
        <v>https://pbs.twimg.com/profile_images/1295490369791111169/mXmsT-zG_normal.jpg</v>
      </c>
      <c r="AW734" s="81" t="s">
        <v>10004</v>
      </c>
      <c r="AX734" s="81" t="s">
        <v>10004</v>
      </c>
      <c r="AY734" s="77"/>
      <c r="AZ734" s="81" t="s">
        <v>11359</v>
      </c>
      <c r="BA734" s="81" t="s">
        <v>11359</v>
      </c>
      <c r="BB734" s="81" t="s">
        <v>9794</v>
      </c>
      <c r="BC734" s="81" t="s">
        <v>9794</v>
      </c>
      <c r="BD734" s="77">
        <v>147349512</v>
      </c>
      <c r="BE734" s="77"/>
      <c r="BF734" s="77"/>
      <c r="BG734" s="77"/>
      <c r="BH734" s="77"/>
      <c r="BI734" s="77"/>
    </row>
    <row r="735" spans="1:61" x14ac:dyDescent="0.25">
      <c r="A735" s="62" t="s">
        <v>429</v>
      </c>
      <c r="B735" s="62" t="s">
        <v>428</v>
      </c>
      <c r="C735" s="63"/>
      <c r="D735" s="64"/>
      <c r="E735" s="65"/>
      <c r="F735" s="66"/>
      <c r="G735" s="63"/>
      <c r="H735" s="67"/>
      <c r="I735" s="68"/>
      <c r="J735" s="68"/>
      <c r="K735" s="32"/>
      <c r="L735" s="75">
        <v>735</v>
      </c>
      <c r="M735" s="75"/>
      <c r="N735" s="70"/>
      <c r="O735" s="77" t="s">
        <v>968</v>
      </c>
      <c r="P735" s="79">
        <v>45196.658622685187</v>
      </c>
      <c r="Q735" s="77" t="s">
        <v>1683</v>
      </c>
      <c r="R735" s="77">
        <v>1</v>
      </c>
      <c r="S735" s="77">
        <v>0</v>
      </c>
      <c r="T735" s="77">
        <v>0</v>
      </c>
      <c r="U735" s="77">
        <v>0</v>
      </c>
      <c r="V735" s="77"/>
      <c r="W735" s="81" t="s">
        <v>3306</v>
      </c>
      <c r="X735" s="83" t="str">
        <f>HYPERLINK("https://tnea.ar")</f>
        <v>https://tnea.ar</v>
      </c>
      <c r="Y735" s="77" t="s">
        <v>4272</v>
      </c>
      <c r="Z735" s="77" t="s">
        <v>428</v>
      </c>
      <c r="AA735" s="77"/>
      <c r="AB735" s="77"/>
      <c r="AC735" s="81" t="s">
        <v>5801</v>
      </c>
      <c r="AD735" s="77" t="s">
        <v>5850</v>
      </c>
      <c r="AE735" s="83" t="str">
        <f>HYPERLINK("https://twitter.com/ingdascenzo/status/1707059629430120744")</f>
        <v>https://twitter.com/ingdascenzo/status/1707059629430120744</v>
      </c>
      <c r="AF735" s="79">
        <v>45196.658622685187</v>
      </c>
      <c r="AG735" s="85">
        <v>45196</v>
      </c>
      <c r="AH735" s="81" t="s">
        <v>6554</v>
      </c>
      <c r="AI735" s="77" t="b">
        <v>0</v>
      </c>
      <c r="AJ735" s="77"/>
      <c r="AK735" s="77"/>
      <c r="AL735" s="77"/>
      <c r="AM735" s="77"/>
      <c r="AN735" s="77"/>
      <c r="AO735" s="77"/>
      <c r="AP735" s="77"/>
      <c r="AQ735" s="77"/>
      <c r="AR735" s="77"/>
      <c r="AS735" s="77"/>
      <c r="AT735" s="77"/>
      <c r="AU735" s="77"/>
      <c r="AV735" s="83" t="str">
        <f>HYPERLINK("https://pbs.twimg.com/profile_images/1295490369791111169/mXmsT-zG_normal.jpg")</f>
        <v>https://pbs.twimg.com/profile_images/1295490369791111169/mXmsT-zG_normal.jpg</v>
      </c>
      <c r="AW735" s="81" t="s">
        <v>10005</v>
      </c>
      <c r="AX735" s="81" t="s">
        <v>10005</v>
      </c>
      <c r="AY735" s="77"/>
      <c r="AZ735" s="81" t="s">
        <v>11359</v>
      </c>
      <c r="BA735" s="81" t="s">
        <v>11359</v>
      </c>
      <c r="BB735" s="81" t="s">
        <v>9974</v>
      </c>
      <c r="BC735" s="81" t="s">
        <v>9974</v>
      </c>
      <c r="BD735" s="77">
        <v>147349512</v>
      </c>
      <c r="BE735" s="77"/>
      <c r="BF735" s="77"/>
      <c r="BG735" s="77"/>
      <c r="BH735" s="77"/>
      <c r="BI735" s="77"/>
    </row>
    <row r="736" spans="1:61" x14ac:dyDescent="0.25">
      <c r="A736" s="62" t="s">
        <v>430</v>
      </c>
      <c r="B736" s="62" t="s">
        <v>430</v>
      </c>
      <c r="C736" s="63"/>
      <c r="D736" s="64"/>
      <c r="E736" s="65"/>
      <c r="F736" s="66"/>
      <c r="G736" s="63"/>
      <c r="H736" s="67"/>
      <c r="I736" s="68"/>
      <c r="J736" s="68"/>
      <c r="K736" s="32"/>
      <c r="L736" s="75">
        <v>736</v>
      </c>
      <c r="M736" s="75"/>
      <c r="N736" s="70"/>
      <c r="O736" s="77" t="s">
        <v>179</v>
      </c>
      <c r="P736" s="79">
        <v>45100.703043981484</v>
      </c>
      <c r="Q736" s="77" t="s">
        <v>1684</v>
      </c>
      <c r="R736" s="77">
        <v>1</v>
      </c>
      <c r="S736" s="77">
        <v>0</v>
      </c>
      <c r="T736" s="77">
        <v>0</v>
      </c>
      <c r="U736" s="77">
        <v>0</v>
      </c>
      <c r="V736" s="77">
        <v>28</v>
      </c>
      <c r="W736" s="81" t="s">
        <v>3328</v>
      </c>
      <c r="X736" s="83" t="str">
        <f>HYPERLINK("https://rj.olx.com.br/.../maquina-de-estampar-r35s")</f>
        <v>https://rj.olx.com.br/.../maquina-de-estampar-r35s</v>
      </c>
      <c r="Y736" s="77" t="s">
        <v>4223</v>
      </c>
      <c r="Z736" s="77"/>
      <c r="AA736" s="77" t="s">
        <v>4954</v>
      </c>
      <c r="AB736" s="77" t="s">
        <v>5798</v>
      </c>
      <c r="AC736" s="81" t="s">
        <v>5805</v>
      </c>
      <c r="AD736" s="77" t="s">
        <v>5850</v>
      </c>
      <c r="AE736" s="83" t="str">
        <f>HYPERLINK("https://twitter.com/6printdesign/status/1672286488183095311")</f>
        <v>https://twitter.com/6printdesign/status/1672286488183095311</v>
      </c>
      <c r="AF736" s="79">
        <v>45100.703043981484</v>
      </c>
      <c r="AG736" s="85">
        <v>45100</v>
      </c>
      <c r="AH736" s="81" t="s">
        <v>6555</v>
      </c>
      <c r="AI736" s="77" t="b">
        <v>0</v>
      </c>
      <c r="AJ736" s="77"/>
      <c r="AK736" s="77"/>
      <c r="AL736" s="77"/>
      <c r="AM736" s="77"/>
      <c r="AN736" s="77"/>
      <c r="AO736" s="77"/>
      <c r="AP736" s="77"/>
      <c r="AQ736" s="77" t="s">
        <v>8457</v>
      </c>
      <c r="AR736" s="77"/>
      <c r="AS736" s="77"/>
      <c r="AT736" s="77"/>
      <c r="AU736" s="77"/>
      <c r="AV736" s="83" t="str">
        <f>HYPERLINK("https://pbs.twimg.com/media/FzUnkWGXoAEkHMn.png")</f>
        <v>https://pbs.twimg.com/media/FzUnkWGXoAEkHMn.png</v>
      </c>
      <c r="AW736" s="81" t="s">
        <v>10006</v>
      </c>
      <c r="AX736" s="81" t="s">
        <v>10006</v>
      </c>
      <c r="AY736" s="77"/>
      <c r="AZ736" s="81" t="s">
        <v>11359</v>
      </c>
      <c r="BA736" s="81" t="s">
        <v>11359</v>
      </c>
      <c r="BB736" s="81" t="s">
        <v>11359</v>
      </c>
      <c r="BC736" s="81" t="s">
        <v>10006</v>
      </c>
      <c r="BD736" s="81" t="s">
        <v>11505</v>
      </c>
      <c r="BE736" s="77"/>
      <c r="BF736" s="77"/>
      <c r="BG736" s="77"/>
      <c r="BH736" s="77"/>
      <c r="BI736" s="77"/>
    </row>
    <row r="737" spans="1:61" x14ac:dyDescent="0.25">
      <c r="A737" s="62" t="s">
        <v>431</v>
      </c>
      <c r="B737" s="62" t="s">
        <v>905</v>
      </c>
      <c r="C737" s="63"/>
      <c r="D737" s="64"/>
      <c r="E737" s="65"/>
      <c r="F737" s="66"/>
      <c r="G737" s="63"/>
      <c r="H737" s="67"/>
      <c r="I737" s="68"/>
      <c r="J737" s="68"/>
      <c r="K737" s="32"/>
      <c r="L737" s="75">
        <v>737</v>
      </c>
      <c r="M737" s="75"/>
      <c r="N737" s="70"/>
      <c r="O737" s="77" t="s">
        <v>967</v>
      </c>
      <c r="P737" s="79">
        <v>44964.547303240739</v>
      </c>
      <c r="Q737" s="77" t="s">
        <v>1685</v>
      </c>
      <c r="R737" s="77">
        <v>0</v>
      </c>
      <c r="S737" s="77">
        <v>1</v>
      </c>
      <c r="T737" s="77">
        <v>0</v>
      </c>
      <c r="U737" s="77">
        <v>0</v>
      </c>
      <c r="V737" s="77">
        <v>82</v>
      </c>
      <c r="W737" s="81" t="s">
        <v>3329</v>
      </c>
      <c r="X737" s="77"/>
      <c r="Y737" s="77"/>
      <c r="Z737" s="77" t="s">
        <v>4369</v>
      </c>
      <c r="AA737" s="77" t="s">
        <v>4955</v>
      </c>
      <c r="AB737" s="77" t="s">
        <v>5794</v>
      </c>
      <c r="AC737" s="81" t="s">
        <v>5805</v>
      </c>
      <c r="AD737" s="77" t="s">
        <v>5850</v>
      </c>
      <c r="AE737" s="83" t="str">
        <f>HYPERLINK("https://twitter.com/tierrasdemedina/status/1622945303954423808")</f>
        <v>https://twitter.com/tierrasdemedina/status/1622945303954423808</v>
      </c>
      <c r="AF737" s="79">
        <v>44964.547303240739</v>
      </c>
      <c r="AG737" s="85">
        <v>44964</v>
      </c>
      <c r="AH737" s="81" t="s">
        <v>6556</v>
      </c>
      <c r="AI737" s="77" t="b">
        <v>0</v>
      </c>
      <c r="AJ737" s="77" t="s">
        <v>7740</v>
      </c>
      <c r="AK737" s="77" t="s">
        <v>7768</v>
      </c>
      <c r="AL737" s="77" t="s">
        <v>7777</v>
      </c>
      <c r="AM737" s="77" t="s">
        <v>7794</v>
      </c>
      <c r="AN737" s="77" t="s">
        <v>7830</v>
      </c>
      <c r="AO737" s="77" t="s">
        <v>7866</v>
      </c>
      <c r="AP737" s="77" t="s">
        <v>7889</v>
      </c>
      <c r="AQ737" s="77" t="s">
        <v>8458</v>
      </c>
      <c r="AR737" s="77"/>
      <c r="AS737" s="77"/>
      <c r="AT737" s="77"/>
      <c r="AU737" s="77"/>
      <c r="AV737" s="83" t="str">
        <f>HYPERLINK("https://pbs.twimg.com/media/FoXcFoZXgAQ7IjU.jpg")</f>
        <v>https://pbs.twimg.com/media/FoXcFoZXgAQ7IjU.jpg</v>
      </c>
      <c r="AW737" s="81" t="s">
        <v>10007</v>
      </c>
      <c r="AX737" s="81" t="s">
        <v>10007</v>
      </c>
      <c r="AY737" s="77"/>
      <c r="AZ737" s="81" t="s">
        <v>11359</v>
      </c>
      <c r="BA737" s="81" t="s">
        <v>11359</v>
      </c>
      <c r="BB737" s="81" t="s">
        <v>11359</v>
      </c>
      <c r="BC737" s="81" t="s">
        <v>10007</v>
      </c>
      <c r="BD737" s="81" t="s">
        <v>11506</v>
      </c>
      <c r="BE737" s="77"/>
      <c r="BF737" s="77"/>
      <c r="BG737" s="77"/>
      <c r="BH737" s="77"/>
      <c r="BI737" s="77"/>
    </row>
    <row r="738" spans="1:61" x14ac:dyDescent="0.25">
      <c r="A738" s="62" t="s">
        <v>431</v>
      </c>
      <c r="B738" s="62" t="s">
        <v>906</v>
      </c>
      <c r="C738" s="63"/>
      <c r="D738" s="64"/>
      <c r="E738" s="65"/>
      <c r="F738" s="66"/>
      <c r="G738" s="63"/>
      <c r="H738" s="67"/>
      <c r="I738" s="68"/>
      <c r="J738" s="68"/>
      <c r="K738" s="32"/>
      <c r="L738" s="75">
        <v>738</v>
      </c>
      <c r="M738" s="75"/>
      <c r="N738" s="70"/>
      <c r="O738" s="77" t="s">
        <v>967</v>
      </c>
      <c r="P738" s="79">
        <v>44964.547303240739</v>
      </c>
      <c r="Q738" s="77" t="s">
        <v>1685</v>
      </c>
      <c r="R738" s="77">
        <v>0</v>
      </c>
      <c r="S738" s="77">
        <v>1</v>
      </c>
      <c r="T738" s="77">
        <v>0</v>
      </c>
      <c r="U738" s="77">
        <v>0</v>
      </c>
      <c r="V738" s="77">
        <v>82</v>
      </c>
      <c r="W738" s="81" t="s">
        <v>3329</v>
      </c>
      <c r="X738" s="77"/>
      <c r="Y738" s="77"/>
      <c r="Z738" s="77" t="s">
        <v>4369</v>
      </c>
      <c r="AA738" s="77" t="s">
        <v>4955</v>
      </c>
      <c r="AB738" s="77" t="s">
        <v>5794</v>
      </c>
      <c r="AC738" s="81" t="s">
        <v>5805</v>
      </c>
      <c r="AD738" s="77" t="s">
        <v>5850</v>
      </c>
      <c r="AE738" s="83" t="str">
        <f>HYPERLINK("https://twitter.com/tierrasdemedina/status/1622945303954423808")</f>
        <v>https://twitter.com/tierrasdemedina/status/1622945303954423808</v>
      </c>
      <c r="AF738" s="79">
        <v>44964.547303240739</v>
      </c>
      <c r="AG738" s="85">
        <v>44964</v>
      </c>
      <c r="AH738" s="81" t="s">
        <v>6556</v>
      </c>
      <c r="AI738" s="77" t="b">
        <v>0</v>
      </c>
      <c r="AJ738" s="77" t="s">
        <v>7740</v>
      </c>
      <c r="AK738" s="77" t="s">
        <v>7768</v>
      </c>
      <c r="AL738" s="77" t="s">
        <v>7777</v>
      </c>
      <c r="AM738" s="77" t="s">
        <v>7794</v>
      </c>
      <c r="AN738" s="77" t="s">
        <v>7830</v>
      </c>
      <c r="AO738" s="77" t="s">
        <v>7866</v>
      </c>
      <c r="AP738" s="77" t="s">
        <v>7889</v>
      </c>
      <c r="AQ738" s="77" t="s">
        <v>8458</v>
      </c>
      <c r="AR738" s="77"/>
      <c r="AS738" s="77"/>
      <c r="AT738" s="77"/>
      <c r="AU738" s="77"/>
      <c r="AV738" s="83" t="str">
        <f>HYPERLINK("https://pbs.twimg.com/media/FoXcFoZXgAQ7IjU.jpg")</f>
        <v>https://pbs.twimg.com/media/FoXcFoZXgAQ7IjU.jpg</v>
      </c>
      <c r="AW738" s="81" t="s">
        <v>10007</v>
      </c>
      <c r="AX738" s="81" t="s">
        <v>10007</v>
      </c>
      <c r="AY738" s="77"/>
      <c r="AZ738" s="81" t="s">
        <v>11359</v>
      </c>
      <c r="BA738" s="81" t="s">
        <v>11359</v>
      </c>
      <c r="BB738" s="81" t="s">
        <v>11359</v>
      </c>
      <c r="BC738" s="81" t="s">
        <v>10007</v>
      </c>
      <c r="BD738" s="81" t="s">
        <v>11506</v>
      </c>
      <c r="BE738" s="77"/>
      <c r="BF738" s="77"/>
      <c r="BG738" s="77"/>
      <c r="BH738" s="77"/>
      <c r="BI738" s="77"/>
    </row>
    <row r="739" spans="1:61" x14ac:dyDescent="0.25">
      <c r="A739" s="62" t="s">
        <v>431</v>
      </c>
      <c r="B739" s="62" t="s">
        <v>907</v>
      </c>
      <c r="C739" s="63"/>
      <c r="D739" s="64"/>
      <c r="E739" s="65"/>
      <c r="F739" s="66"/>
      <c r="G739" s="63"/>
      <c r="H739" s="67"/>
      <c r="I739" s="68"/>
      <c r="J739" s="68"/>
      <c r="K739" s="32"/>
      <c r="L739" s="75">
        <v>739</v>
      </c>
      <c r="M739" s="75"/>
      <c r="N739" s="70"/>
      <c r="O739" s="77" t="s">
        <v>967</v>
      </c>
      <c r="P739" s="79">
        <v>44964.547303240739</v>
      </c>
      <c r="Q739" s="77" t="s">
        <v>1685</v>
      </c>
      <c r="R739" s="77">
        <v>0</v>
      </c>
      <c r="S739" s="77">
        <v>1</v>
      </c>
      <c r="T739" s="77">
        <v>0</v>
      </c>
      <c r="U739" s="77">
        <v>0</v>
      </c>
      <c r="V739" s="77">
        <v>82</v>
      </c>
      <c r="W739" s="81" t="s">
        <v>3329</v>
      </c>
      <c r="X739" s="77"/>
      <c r="Y739" s="77"/>
      <c r="Z739" s="77" t="s">
        <v>4369</v>
      </c>
      <c r="AA739" s="77" t="s">
        <v>4955</v>
      </c>
      <c r="AB739" s="77" t="s">
        <v>5794</v>
      </c>
      <c r="AC739" s="81" t="s">
        <v>5805</v>
      </c>
      <c r="AD739" s="77" t="s">
        <v>5850</v>
      </c>
      <c r="AE739" s="83" t="str">
        <f>HYPERLINK("https://twitter.com/tierrasdemedina/status/1622945303954423808")</f>
        <v>https://twitter.com/tierrasdemedina/status/1622945303954423808</v>
      </c>
      <c r="AF739" s="79">
        <v>44964.547303240739</v>
      </c>
      <c r="AG739" s="85">
        <v>44964</v>
      </c>
      <c r="AH739" s="81" t="s">
        <v>6556</v>
      </c>
      <c r="AI739" s="77" t="b">
        <v>0</v>
      </c>
      <c r="AJ739" s="77" t="s">
        <v>7740</v>
      </c>
      <c r="AK739" s="77" t="s">
        <v>7768</v>
      </c>
      <c r="AL739" s="77" t="s">
        <v>7777</v>
      </c>
      <c r="AM739" s="77" t="s">
        <v>7794</v>
      </c>
      <c r="AN739" s="77" t="s">
        <v>7830</v>
      </c>
      <c r="AO739" s="77" t="s">
        <v>7866</v>
      </c>
      <c r="AP739" s="77" t="s">
        <v>7889</v>
      </c>
      <c r="AQ739" s="77" t="s">
        <v>8458</v>
      </c>
      <c r="AR739" s="77"/>
      <c r="AS739" s="77"/>
      <c r="AT739" s="77"/>
      <c r="AU739" s="77"/>
      <c r="AV739" s="83" t="str">
        <f>HYPERLINK("https://pbs.twimg.com/media/FoXcFoZXgAQ7IjU.jpg")</f>
        <v>https://pbs.twimg.com/media/FoXcFoZXgAQ7IjU.jpg</v>
      </c>
      <c r="AW739" s="81" t="s">
        <v>10007</v>
      </c>
      <c r="AX739" s="81" t="s">
        <v>10007</v>
      </c>
      <c r="AY739" s="77"/>
      <c r="AZ739" s="81" t="s">
        <v>11359</v>
      </c>
      <c r="BA739" s="81" t="s">
        <v>11359</v>
      </c>
      <c r="BB739" s="81" t="s">
        <v>11359</v>
      </c>
      <c r="BC739" s="81" t="s">
        <v>10007</v>
      </c>
      <c r="BD739" s="81" t="s">
        <v>11506</v>
      </c>
      <c r="BE739" s="77"/>
      <c r="BF739" s="77"/>
      <c r="BG739" s="77"/>
      <c r="BH739" s="77"/>
      <c r="BI739" s="77"/>
    </row>
    <row r="740" spans="1:61" x14ac:dyDescent="0.25">
      <c r="A740" s="62" t="s">
        <v>432</v>
      </c>
      <c r="B740" s="62" t="s">
        <v>432</v>
      </c>
      <c r="C740" s="63"/>
      <c r="D740" s="64"/>
      <c r="E740" s="65"/>
      <c r="F740" s="66"/>
      <c r="G740" s="63"/>
      <c r="H740" s="67"/>
      <c r="I740" s="68"/>
      <c r="J740" s="68"/>
      <c r="K740" s="32"/>
      <c r="L740" s="75">
        <v>740</v>
      </c>
      <c r="M740" s="75"/>
      <c r="N740" s="70"/>
      <c r="O740" s="77" t="s">
        <v>179</v>
      </c>
      <c r="P740" s="79">
        <v>45014.614722222221</v>
      </c>
      <c r="Q740" s="77" t="s">
        <v>1686</v>
      </c>
      <c r="R740" s="77">
        <v>0</v>
      </c>
      <c r="S740" s="77">
        <v>0</v>
      </c>
      <c r="T740" s="77">
        <v>0</v>
      </c>
      <c r="U740" s="77">
        <v>0</v>
      </c>
      <c r="V740" s="77">
        <v>47</v>
      </c>
      <c r="W740" s="81" t="s">
        <v>3330</v>
      </c>
      <c r="X740" s="83" t="str">
        <f>HYPERLINK("https://lnkd.in/dikz7np2")</f>
        <v>https://lnkd.in/dikz7np2</v>
      </c>
      <c r="Y740" s="77" t="s">
        <v>4221</v>
      </c>
      <c r="Z740" s="77"/>
      <c r="AA740" s="77" t="s">
        <v>4956</v>
      </c>
      <c r="AB740" s="77" t="s">
        <v>5794</v>
      </c>
      <c r="AC740" s="81" t="s">
        <v>5805</v>
      </c>
      <c r="AD740" s="77" t="s">
        <v>5850</v>
      </c>
      <c r="AE740" s="83" t="str">
        <f>HYPERLINK("https://twitter.com/dandresamado/status/1641089125859065859")</f>
        <v>https://twitter.com/dandresamado/status/1641089125859065859</v>
      </c>
      <c r="AF740" s="79">
        <v>45014.614722222221</v>
      </c>
      <c r="AG740" s="85">
        <v>45014</v>
      </c>
      <c r="AH740" s="81" t="s">
        <v>6557</v>
      </c>
      <c r="AI740" s="77" t="b">
        <v>0</v>
      </c>
      <c r="AJ740" s="77"/>
      <c r="AK740" s="77"/>
      <c r="AL740" s="77"/>
      <c r="AM740" s="77"/>
      <c r="AN740" s="77"/>
      <c r="AO740" s="77"/>
      <c r="AP740" s="77"/>
      <c r="AQ740" s="77" t="s">
        <v>8459</v>
      </c>
      <c r="AR740" s="77"/>
      <c r="AS740" s="77"/>
      <c r="AT740" s="77"/>
      <c r="AU740" s="77"/>
      <c r="AV740" s="83" t="str">
        <f>HYPERLINK("https://pbs.twimg.com/media/FsZR1uRWYAMreWY.jpg")</f>
        <v>https://pbs.twimg.com/media/FsZR1uRWYAMreWY.jpg</v>
      </c>
      <c r="AW740" s="81" t="s">
        <v>10008</v>
      </c>
      <c r="AX740" s="81" t="s">
        <v>10008</v>
      </c>
      <c r="AY740" s="77"/>
      <c r="AZ740" s="81" t="s">
        <v>11359</v>
      </c>
      <c r="BA740" s="81" t="s">
        <v>11359</v>
      </c>
      <c r="BB740" s="81" t="s">
        <v>11359</v>
      </c>
      <c r="BC740" s="81" t="s">
        <v>10008</v>
      </c>
      <c r="BD740" s="81" t="s">
        <v>11507</v>
      </c>
      <c r="BE740" s="77"/>
      <c r="BF740" s="77"/>
      <c r="BG740" s="77"/>
      <c r="BH740" s="77"/>
      <c r="BI740" s="77"/>
    </row>
    <row r="741" spans="1:61" x14ac:dyDescent="0.25">
      <c r="A741" s="62" t="s">
        <v>432</v>
      </c>
      <c r="B741" s="62" t="s">
        <v>432</v>
      </c>
      <c r="C741" s="63"/>
      <c r="D741" s="64"/>
      <c r="E741" s="65"/>
      <c r="F741" s="66"/>
      <c r="G741" s="63"/>
      <c r="H741" s="67"/>
      <c r="I741" s="68"/>
      <c r="J741" s="68"/>
      <c r="K741" s="32"/>
      <c r="L741" s="75">
        <v>741</v>
      </c>
      <c r="M741" s="75"/>
      <c r="N741" s="70"/>
      <c r="O741" s="77" t="s">
        <v>179</v>
      </c>
      <c r="P741" s="79">
        <v>45008.885057870371</v>
      </c>
      <c r="Q741" s="77" t="s">
        <v>1687</v>
      </c>
      <c r="R741" s="77">
        <v>0</v>
      </c>
      <c r="S741" s="77">
        <v>0</v>
      </c>
      <c r="T741" s="77">
        <v>0</v>
      </c>
      <c r="U741" s="77">
        <v>0</v>
      </c>
      <c r="V741" s="77">
        <v>65</v>
      </c>
      <c r="W741" s="81" t="s">
        <v>3330</v>
      </c>
      <c r="X741" s="83" t="str">
        <f>HYPERLINK("https://lnkd.in/dikz7np2")</f>
        <v>https://lnkd.in/dikz7np2</v>
      </c>
      <c r="Y741" s="77" t="s">
        <v>4221</v>
      </c>
      <c r="Z741" s="77"/>
      <c r="AA741" s="77" t="s">
        <v>4957</v>
      </c>
      <c r="AB741" s="77" t="s">
        <v>5794</v>
      </c>
      <c r="AC741" s="81" t="s">
        <v>5805</v>
      </c>
      <c r="AD741" s="77" t="s">
        <v>5850</v>
      </c>
      <c r="AE741" s="83" t="str">
        <f>HYPERLINK("https://twitter.com/dandresamado/status/1639012764688568322")</f>
        <v>https://twitter.com/dandresamado/status/1639012764688568322</v>
      </c>
      <c r="AF741" s="79">
        <v>45008.885057870371</v>
      </c>
      <c r="AG741" s="85">
        <v>45008</v>
      </c>
      <c r="AH741" s="81" t="s">
        <v>6558</v>
      </c>
      <c r="AI741" s="77" t="b">
        <v>0</v>
      </c>
      <c r="AJ741" s="77"/>
      <c r="AK741" s="77"/>
      <c r="AL741" s="77"/>
      <c r="AM741" s="77"/>
      <c r="AN741" s="77"/>
      <c r="AO741" s="77"/>
      <c r="AP741" s="77"/>
      <c r="AQ741" s="77" t="s">
        <v>8460</v>
      </c>
      <c r="AR741" s="77"/>
      <c r="AS741" s="77"/>
      <c r="AT741" s="77"/>
      <c r="AU741" s="77"/>
      <c r="AV741" s="83" t="str">
        <f>HYPERLINK("https://pbs.twimg.com/media/Fr7xXAaXwAA3lEZ.jpg")</f>
        <v>https://pbs.twimg.com/media/Fr7xXAaXwAA3lEZ.jpg</v>
      </c>
      <c r="AW741" s="81" t="s">
        <v>10009</v>
      </c>
      <c r="AX741" s="81" t="s">
        <v>10009</v>
      </c>
      <c r="AY741" s="77"/>
      <c r="AZ741" s="81" t="s">
        <v>11359</v>
      </c>
      <c r="BA741" s="81" t="s">
        <v>11359</v>
      </c>
      <c r="BB741" s="81" t="s">
        <v>11359</v>
      </c>
      <c r="BC741" s="81" t="s">
        <v>10009</v>
      </c>
      <c r="BD741" s="81" t="s">
        <v>11507</v>
      </c>
      <c r="BE741" s="77"/>
      <c r="BF741" s="77"/>
      <c r="BG741" s="77"/>
      <c r="BH741" s="77"/>
      <c r="BI741" s="77"/>
    </row>
    <row r="742" spans="1:61" x14ac:dyDescent="0.25">
      <c r="A742" s="62" t="s">
        <v>432</v>
      </c>
      <c r="B742" s="62" t="s">
        <v>432</v>
      </c>
      <c r="C742" s="63"/>
      <c r="D742" s="64"/>
      <c r="E742" s="65"/>
      <c r="F742" s="66"/>
      <c r="G742" s="63"/>
      <c r="H742" s="67"/>
      <c r="I742" s="68"/>
      <c r="J742" s="68"/>
      <c r="K742" s="32"/>
      <c r="L742" s="75">
        <v>742</v>
      </c>
      <c r="M742" s="75"/>
      <c r="N742" s="70"/>
      <c r="O742" s="77" t="s">
        <v>179</v>
      </c>
      <c r="P742" s="79">
        <v>45027.565150462964</v>
      </c>
      <c r="Q742" s="77" t="s">
        <v>1688</v>
      </c>
      <c r="R742" s="77">
        <v>0</v>
      </c>
      <c r="S742" s="77">
        <v>0</v>
      </c>
      <c r="T742" s="77">
        <v>0</v>
      </c>
      <c r="U742" s="77">
        <v>0</v>
      </c>
      <c r="V742" s="77">
        <v>49</v>
      </c>
      <c r="W742" s="81" t="s">
        <v>3331</v>
      </c>
      <c r="X742" s="83" t="str">
        <f>HYPERLINK("https://lnkd.in/dikz7np2")</f>
        <v>https://lnkd.in/dikz7np2</v>
      </c>
      <c r="Y742" s="77" t="s">
        <v>4221</v>
      </c>
      <c r="Z742" s="77"/>
      <c r="AA742" s="77" t="s">
        <v>4958</v>
      </c>
      <c r="AB742" s="77" t="s">
        <v>5794</v>
      </c>
      <c r="AC742" s="81" t="s">
        <v>5805</v>
      </c>
      <c r="AD742" s="77" t="s">
        <v>5850</v>
      </c>
      <c r="AE742" s="83" t="str">
        <f>HYPERLINK("https://twitter.com/dandresamado/status/1645782205539700739")</f>
        <v>https://twitter.com/dandresamado/status/1645782205539700739</v>
      </c>
      <c r="AF742" s="79">
        <v>45027.565150462964</v>
      </c>
      <c r="AG742" s="85">
        <v>45027</v>
      </c>
      <c r="AH742" s="81" t="s">
        <v>6559</v>
      </c>
      <c r="AI742" s="77" t="b">
        <v>0</v>
      </c>
      <c r="AJ742" s="77"/>
      <c r="AK742" s="77"/>
      <c r="AL742" s="77"/>
      <c r="AM742" s="77"/>
      <c r="AN742" s="77"/>
      <c r="AO742" s="77"/>
      <c r="AP742" s="77"/>
      <c r="AQ742" s="77" t="s">
        <v>8461</v>
      </c>
      <c r="AR742" s="77"/>
      <c r="AS742" s="77"/>
      <c r="AT742" s="77"/>
      <c r="AU742" s="77"/>
      <c r="AV742" s="83" t="str">
        <f>HYPERLINK("https://pbs.twimg.com/media/Ftb-KsGagAAl7Nq.jpg")</f>
        <v>https://pbs.twimg.com/media/Ftb-KsGagAAl7Nq.jpg</v>
      </c>
      <c r="AW742" s="81" t="s">
        <v>10010</v>
      </c>
      <c r="AX742" s="81" t="s">
        <v>10010</v>
      </c>
      <c r="AY742" s="77"/>
      <c r="AZ742" s="81" t="s">
        <v>11359</v>
      </c>
      <c r="BA742" s="81" t="s">
        <v>11359</v>
      </c>
      <c r="BB742" s="81" t="s">
        <v>11359</v>
      </c>
      <c r="BC742" s="81" t="s">
        <v>10010</v>
      </c>
      <c r="BD742" s="81" t="s">
        <v>11507</v>
      </c>
      <c r="BE742" s="77"/>
      <c r="BF742" s="77"/>
      <c r="BG742" s="77"/>
      <c r="BH742" s="77"/>
      <c r="BI742" s="77"/>
    </row>
    <row r="743" spans="1:61" x14ac:dyDescent="0.25">
      <c r="A743" s="62" t="s">
        <v>432</v>
      </c>
      <c r="B743" s="62" t="s">
        <v>432</v>
      </c>
      <c r="C743" s="63"/>
      <c r="D743" s="64"/>
      <c r="E743" s="65"/>
      <c r="F743" s="66"/>
      <c r="G743" s="63"/>
      <c r="H743" s="67"/>
      <c r="I743" s="68"/>
      <c r="J743" s="68"/>
      <c r="K743" s="32"/>
      <c r="L743" s="75">
        <v>743</v>
      </c>
      <c r="M743" s="75"/>
      <c r="N743" s="70"/>
      <c r="O743" s="77" t="s">
        <v>179</v>
      </c>
      <c r="P743" s="79">
        <v>45003.561400462961</v>
      </c>
      <c r="Q743" s="77" t="s">
        <v>1689</v>
      </c>
      <c r="R743" s="77">
        <v>1</v>
      </c>
      <c r="S743" s="77">
        <v>0</v>
      </c>
      <c r="T743" s="77">
        <v>0</v>
      </c>
      <c r="U743" s="77">
        <v>0</v>
      </c>
      <c r="V743" s="77">
        <v>39</v>
      </c>
      <c r="W743" s="81" t="s">
        <v>3330</v>
      </c>
      <c r="X743" s="83" t="str">
        <f>HYPERLINK("https://lnkd.in/dikz7np2")</f>
        <v>https://lnkd.in/dikz7np2</v>
      </c>
      <c r="Y743" s="77" t="s">
        <v>4221</v>
      </c>
      <c r="Z743" s="77"/>
      <c r="AA743" s="77" t="s">
        <v>4959</v>
      </c>
      <c r="AB743" s="77" t="s">
        <v>5794</v>
      </c>
      <c r="AC743" s="81" t="s">
        <v>5805</v>
      </c>
      <c r="AD743" s="77" t="s">
        <v>5850</v>
      </c>
      <c r="AE743" s="83" t="str">
        <f>HYPERLINK("https://twitter.com/dandresamado/status/1637083537600905218")</f>
        <v>https://twitter.com/dandresamado/status/1637083537600905218</v>
      </c>
      <c r="AF743" s="79">
        <v>45003.561400462961</v>
      </c>
      <c r="AG743" s="85">
        <v>45003</v>
      </c>
      <c r="AH743" s="81" t="s">
        <v>6560</v>
      </c>
      <c r="AI743" s="77" t="b">
        <v>0</v>
      </c>
      <c r="AJ743" s="77"/>
      <c r="AK743" s="77"/>
      <c r="AL743" s="77"/>
      <c r="AM743" s="77"/>
      <c r="AN743" s="77"/>
      <c r="AO743" s="77"/>
      <c r="AP743" s="77"/>
      <c r="AQ743" s="77" t="s">
        <v>8462</v>
      </c>
      <c r="AR743" s="77"/>
      <c r="AS743" s="77"/>
      <c r="AT743" s="77"/>
      <c r="AU743" s="77"/>
      <c r="AV743" s="83" t="str">
        <f>HYPERLINK("https://pbs.twimg.com/media/FrgWxX4XsAIHhqc.jpg")</f>
        <v>https://pbs.twimg.com/media/FrgWxX4XsAIHhqc.jpg</v>
      </c>
      <c r="AW743" s="81" t="s">
        <v>10011</v>
      </c>
      <c r="AX743" s="81" t="s">
        <v>10011</v>
      </c>
      <c r="AY743" s="77"/>
      <c r="AZ743" s="81" t="s">
        <v>11359</v>
      </c>
      <c r="BA743" s="81" t="s">
        <v>11359</v>
      </c>
      <c r="BB743" s="81" t="s">
        <v>11359</v>
      </c>
      <c r="BC743" s="81" t="s">
        <v>10011</v>
      </c>
      <c r="BD743" s="81" t="s">
        <v>11507</v>
      </c>
      <c r="BE743" s="77"/>
      <c r="BF743" s="77"/>
      <c r="BG743" s="77"/>
      <c r="BH743" s="77"/>
      <c r="BI743" s="77"/>
    </row>
    <row r="744" spans="1:61" x14ac:dyDescent="0.25">
      <c r="A744" s="62" t="s">
        <v>433</v>
      </c>
      <c r="B744" s="62" t="s">
        <v>908</v>
      </c>
      <c r="C744" s="63"/>
      <c r="D744" s="64"/>
      <c r="E744" s="65"/>
      <c r="F744" s="66"/>
      <c r="G744" s="63"/>
      <c r="H744" s="67"/>
      <c r="I744" s="68"/>
      <c r="J744" s="68"/>
      <c r="K744" s="32"/>
      <c r="L744" s="75">
        <v>744</v>
      </c>
      <c r="M744" s="75"/>
      <c r="N744" s="70"/>
      <c r="O744" s="77" t="s">
        <v>967</v>
      </c>
      <c r="P744" s="79">
        <v>44959.290694444448</v>
      </c>
      <c r="Q744" s="77" t="s">
        <v>1690</v>
      </c>
      <c r="R744" s="77">
        <v>2</v>
      </c>
      <c r="S744" s="77">
        <v>2</v>
      </c>
      <c r="T744" s="77">
        <v>0</v>
      </c>
      <c r="U744" s="77">
        <v>0</v>
      </c>
      <c r="V744" s="77">
        <v>514</v>
      </c>
      <c r="W744" s="81" t="s">
        <v>3332</v>
      </c>
      <c r="X744" s="83" t="str">
        <f>HYPERLINK("http://amzn.to/3HMz1Td")</f>
        <v>http://amzn.to/3HMz1Td</v>
      </c>
      <c r="Y744" s="77" t="s">
        <v>4273</v>
      </c>
      <c r="Z744" s="77" t="s">
        <v>908</v>
      </c>
      <c r="AA744" s="77"/>
      <c r="AB744" s="77"/>
      <c r="AC744" s="81" t="s">
        <v>5803</v>
      </c>
      <c r="AD744" s="77" t="s">
        <v>5850</v>
      </c>
      <c r="AE744" s="83" t="str">
        <f>HYPERLINK("https://twitter.com/librosflash/status/1621040369306828800")</f>
        <v>https://twitter.com/librosflash/status/1621040369306828800</v>
      </c>
      <c r="AF744" s="79">
        <v>44959.290694444448</v>
      </c>
      <c r="AG744" s="85">
        <v>44959</v>
      </c>
      <c r="AH744" s="81" t="s">
        <v>6561</v>
      </c>
      <c r="AI744" s="77" t="b">
        <v>0</v>
      </c>
      <c r="AJ744" s="77"/>
      <c r="AK744" s="77"/>
      <c r="AL744" s="77"/>
      <c r="AM744" s="77"/>
      <c r="AN744" s="77"/>
      <c r="AO744" s="77"/>
      <c r="AP744" s="77"/>
      <c r="AQ744" s="77"/>
      <c r="AR744" s="77"/>
      <c r="AS744" s="77"/>
      <c r="AT744" s="77"/>
      <c r="AU744" s="77"/>
      <c r="AV744" s="83" t="str">
        <f>HYPERLINK("https://pbs.twimg.com/profile_images/1582961470500921344/xyquP2lX_normal.jpg")</f>
        <v>https://pbs.twimg.com/profile_images/1582961470500921344/xyquP2lX_normal.jpg</v>
      </c>
      <c r="AW744" s="81" t="s">
        <v>10012</v>
      </c>
      <c r="AX744" s="81" t="s">
        <v>10012</v>
      </c>
      <c r="AY744" s="77"/>
      <c r="AZ744" s="81" t="s">
        <v>11359</v>
      </c>
      <c r="BA744" s="81" t="s">
        <v>11359</v>
      </c>
      <c r="BB744" s="81" t="s">
        <v>11359</v>
      </c>
      <c r="BC744" s="81" t="s">
        <v>10012</v>
      </c>
      <c r="BD744" s="81" t="s">
        <v>11508</v>
      </c>
      <c r="BE744" s="77"/>
      <c r="BF744" s="77"/>
      <c r="BG744" s="77"/>
      <c r="BH744" s="77"/>
      <c r="BI744" s="77"/>
    </row>
    <row r="745" spans="1:61" x14ac:dyDescent="0.25">
      <c r="A745" s="62" t="s">
        <v>433</v>
      </c>
      <c r="B745" s="62" t="s">
        <v>908</v>
      </c>
      <c r="C745" s="63"/>
      <c r="D745" s="64"/>
      <c r="E745" s="65"/>
      <c r="F745" s="66"/>
      <c r="G745" s="63"/>
      <c r="H745" s="67"/>
      <c r="I745" s="68"/>
      <c r="J745" s="68"/>
      <c r="K745" s="32"/>
      <c r="L745" s="75">
        <v>745</v>
      </c>
      <c r="M745" s="75"/>
      <c r="N745" s="70"/>
      <c r="O745" s="77" t="s">
        <v>967</v>
      </c>
      <c r="P745" s="79">
        <v>45149.270636574074</v>
      </c>
      <c r="Q745" s="77" t="s">
        <v>1691</v>
      </c>
      <c r="R745" s="77">
        <v>2</v>
      </c>
      <c r="S745" s="77">
        <v>1</v>
      </c>
      <c r="T745" s="77">
        <v>0</v>
      </c>
      <c r="U745" s="77">
        <v>0</v>
      </c>
      <c r="V745" s="77">
        <v>562</v>
      </c>
      <c r="W745" s="81" t="s">
        <v>3333</v>
      </c>
      <c r="X745" s="83" t="str">
        <f>HYPERLINK("http://amzn.to/3HMz1Td")</f>
        <v>http://amzn.to/3HMz1Td</v>
      </c>
      <c r="Y745" s="77" t="s">
        <v>4273</v>
      </c>
      <c r="Z745" s="77" t="s">
        <v>908</v>
      </c>
      <c r="AA745" s="77"/>
      <c r="AB745" s="77"/>
      <c r="AC745" s="81" t="s">
        <v>5803</v>
      </c>
      <c r="AD745" s="77" t="s">
        <v>5850</v>
      </c>
      <c r="AE745" s="83" t="str">
        <f>HYPERLINK("https://twitter.com/librosflash/status/1689886795876413440")</f>
        <v>https://twitter.com/librosflash/status/1689886795876413440</v>
      </c>
      <c r="AF745" s="79">
        <v>45149.270636574074</v>
      </c>
      <c r="AG745" s="85">
        <v>45149</v>
      </c>
      <c r="AH745" s="81" t="s">
        <v>6562</v>
      </c>
      <c r="AI745" s="77" t="b">
        <v>0</v>
      </c>
      <c r="AJ745" s="77"/>
      <c r="AK745" s="77"/>
      <c r="AL745" s="77"/>
      <c r="AM745" s="77"/>
      <c r="AN745" s="77"/>
      <c r="AO745" s="77"/>
      <c r="AP745" s="77"/>
      <c r="AQ745" s="77"/>
      <c r="AR745" s="77"/>
      <c r="AS745" s="77"/>
      <c r="AT745" s="77"/>
      <c r="AU745" s="77"/>
      <c r="AV745" s="83" t="str">
        <f>HYPERLINK("https://pbs.twimg.com/profile_images/1582961470500921344/xyquP2lX_normal.jpg")</f>
        <v>https://pbs.twimg.com/profile_images/1582961470500921344/xyquP2lX_normal.jpg</v>
      </c>
      <c r="AW745" s="81" t="s">
        <v>10013</v>
      </c>
      <c r="AX745" s="81" t="s">
        <v>10013</v>
      </c>
      <c r="AY745" s="77"/>
      <c r="AZ745" s="81" t="s">
        <v>11359</v>
      </c>
      <c r="BA745" s="81" t="s">
        <v>11359</v>
      </c>
      <c r="BB745" s="81" t="s">
        <v>11359</v>
      </c>
      <c r="BC745" s="81" t="s">
        <v>10013</v>
      </c>
      <c r="BD745" s="81" t="s">
        <v>11508</v>
      </c>
      <c r="BE745" s="77"/>
      <c r="BF745" s="77"/>
      <c r="BG745" s="77"/>
      <c r="BH745" s="77"/>
      <c r="BI745" s="77"/>
    </row>
    <row r="746" spans="1:61" x14ac:dyDescent="0.25">
      <c r="A746" s="62" t="s">
        <v>434</v>
      </c>
      <c r="B746" s="62" t="s">
        <v>434</v>
      </c>
      <c r="C746" s="63"/>
      <c r="D746" s="64"/>
      <c r="E746" s="65"/>
      <c r="F746" s="66"/>
      <c r="G746" s="63"/>
      <c r="H746" s="67"/>
      <c r="I746" s="68"/>
      <c r="J746" s="68"/>
      <c r="K746" s="32"/>
      <c r="L746" s="75">
        <v>746</v>
      </c>
      <c r="M746" s="75"/>
      <c r="N746" s="70"/>
      <c r="O746" s="77" t="s">
        <v>179</v>
      </c>
      <c r="P746" s="79">
        <v>44974.495555555557</v>
      </c>
      <c r="Q746" s="77" t="s">
        <v>1692</v>
      </c>
      <c r="R746" s="77">
        <v>0</v>
      </c>
      <c r="S746" s="77">
        <v>0</v>
      </c>
      <c r="T746" s="77">
        <v>0</v>
      </c>
      <c r="U746" s="77">
        <v>0</v>
      </c>
      <c r="V746" s="77">
        <v>257</v>
      </c>
      <c r="W746" s="81" t="s">
        <v>3334</v>
      </c>
      <c r="X746" s="77"/>
      <c r="Y746" s="77"/>
      <c r="Z746" s="77"/>
      <c r="AA746" s="77" t="s">
        <v>4960</v>
      </c>
      <c r="AB746" s="77" t="s">
        <v>5795</v>
      </c>
      <c r="AC746" s="81" t="s">
        <v>5828</v>
      </c>
      <c r="AD746" s="77" t="s">
        <v>5850</v>
      </c>
      <c r="AE746" s="83" t="str">
        <f>HYPERLINK("https://twitter.com/empleosrealesyt/status/1626550425892667397")</f>
        <v>https://twitter.com/empleosrealesyt/status/1626550425892667397</v>
      </c>
      <c r="AF746" s="79">
        <v>44974.495555555557</v>
      </c>
      <c r="AG746" s="85">
        <v>44974</v>
      </c>
      <c r="AH746" s="81" t="s">
        <v>6563</v>
      </c>
      <c r="AI746" s="77" t="b">
        <v>0</v>
      </c>
      <c r="AJ746" s="77"/>
      <c r="AK746" s="77"/>
      <c r="AL746" s="77"/>
      <c r="AM746" s="77"/>
      <c r="AN746" s="77"/>
      <c r="AO746" s="77"/>
      <c r="AP746" s="77"/>
      <c r="AQ746" s="77" t="s">
        <v>8463</v>
      </c>
      <c r="AR746" s="77">
        <v>13086</v>
      </c>
      <c r="AS746" s="77"/>
      <c r="AT746" s="77"/>
      <c r="AU746" s="77"/>
      <c r="AV746" s="83" t="str">
        <f>HYPERLINK("https://pbs.twimg.com/ext_tw_video_thumb/1626550410252001282/pu/img/rkejmMl-1mam2H7F.jpg")</f>
        <v>https://pbs.twimg.com/ext_tw_video_thumb/1626550410252001282/pu/img/rkejmMl-1mam2H7F.jpg</v>
      </c>
      <c r="AW746" s="81" t="s">
        <v>10014</v>
      </c>
      <c r="AX746" s="81" t="s">
        <v>10014</v>
      </c>
      <c r="AY746" s="77"/>
      <c r="AZ746" s="81" t="s">
        <v>11359</v>
      </c>
      <c r="BA746" s="81" t="s">
        <v>11359</v>
      </c>
      <c r="BB746" s="81" t="s">
        <v>11359</v>
      </c>
      <c r="BC746" s="81" t="s">
        <v>10014</v>
      </c>
      <c r="BD746" s="81" t="s">
        <v>11509</v>
      </c>
      <c r="BE746" s="77"/>
      <c r="BF746" s="77"/>
      <c r="BG746" s="77"/>
      <c r="BH746" s="77"/>
      <c r="BI746" s="77"/>
    </row>
    <row r="747" spans="1:61" x14ac:dyDescent="0.25">
      <c r="A747" s="62" t="s">
        <v>435</v>
      </c>
      <c r="B747" s="62" t="s">
        <v>435</v>
      </c>
      <c r="C747" s="63"/>
      <c r="D747" s="64"/>
      <c r="E747" s="65"/>
      <c r="F747" s="66"/>
      <c r="G747" s="63"/>
      <c r="H747" s="67"/>
      <c r="I747" s="68"/>
      <c r="J747" s="68"/>
      <c r="K747" s="32"/>
      <c r="L747" s="75">
        <v>747</v>
      </c>
      <c r="M747" s="75"/>
      <c r="N747" s="70"/>
      <c r="O747" s="77" t="s">
        <v>179</v>
      </c>
      <c r="P747" s="79">
        <v>45013.876273148147</v>
      </c>
      <c r="Q747" s="77" t="s">
        <v>1693</v>
      </c>
      <c r="R747" s="77">
        <v>0</v>
      </c>
      <c r="S747" s="77">
        <v>0</v>
      </c>
      <c r="T747" s="77">
        <v>0</v>
      </c>
      <c r="U747" s="77">
        <v>0</v>
      </c>
      <c r="V747" s="77">
        <v>35</v>
      </c>
      <c r="W747" s="81" t="s">
        <v>3335</v>
      </c>
      <c r="X747" s="83" t="str">
        <f>HYPERLINK("https://shope.ee/2feZzIYvnF")</f>
        <v>https://shope.ee/2feZzIYvnF</v>
      </c>
      <c r="Y747" s="77" t="s">
        <v>4274</v>
      </c>
      <c r="Z747" s="77"/>
      <c r="AA747" s="77" t="s">
        <v>4961</v>
      </c>
      <c r="AB747" s="77" t="s">
        <v>5795</v>
      </c>
      <c r="AC747" s="81" t="s">
        <v>5801</v>
      </c>
      <c r="AD747" s="77" t="s">
        <v>5851</v>
      </c>
      <c r="AE747" s="83" t="str">
        <f>HYPERLINK("https://twitter.com/josy85547308/status/1640821522687225857")</f>
        <v>https://twitter.com/josy85547308/status/1640821522687225857</v>
      </c>
      <c r="AF747" s="79">
        <v>45013.876273148147</v>
      </c>
      <c r="AG747" s="85">
        <v>45013</v>
      </c>
      <c r="AH747" s="81" t="s">
        <v>6564</v>
      </c>
      <c r="AI747" s="77" t="b">
        <v>0</v>
      </c>
      <c r="AJ747" s="77"/>
      <c r="AK747" s="77"/>
      <c r="AL747" s="77"/>
      <c r="AM747" s="77"/>
      <c r="AN747" s="77"/>
      <c r="AO747" s="77"/>
      <c r="AP747" s="77"/>
      <c r="AQ747" s="77" t="s">
        <v>8464</v>
      </c>
      <c r="AR747" s="77">
        <v>16856</v>
      </c>
      <c r="AS747" s="77"/>
      <c r="AT747" s="77"/>
      <c r="AU747" s="77"/>
      <c r="AV747" s="83" t="str">
        <f>HYPERLINK("https://pbs.twimg.com/ext_tw_video_thumb/1640821488294019073/pu/img/h8hL2PMPjeApZVPJ.jpg")</f>
        <v>https://pbs.twimg.com/ext_tw_video_thumb/1640821488294019073/pu/img/h8hL2PMPjeApZVPJ.jpg</v>
      </c>
      <c r="AW747" s="81" t="s">
        <v>10015</v>
      </c>
      <c r="AX747" s="81" t="s">
        <v>10015</v>
      </c>
      <c r="AY747" s="77"/>
      <c r="AZ747" s="81" t="s">
        <v>11359</v>
      </c>
      <c r="BA747" s="81" t="s">
        <v>11359</v>
      </c>
      <c r="BB747" s="81" t="s">
        <v>11359</v>
      </c>
      <c r="BC747" s="81" t="s">
        <v>10015</v>
      </c>
      <c r="BD747" s="81" t="s">
        <v>11510</v>
      </c>
      <c r="BE747" s="77"/>
      <c r="BF747" s="77"/>
      <c r="BG747" s="77"/>
      <c r="BH747" s="77"/>
      <c r="BI747" s="77"/>
    </row>
    <row r="748" spans="1:61" x14ac:dyDescent="0.25">
      <c r="A748" s="62" t="s">
        <v>436</v>
      </c>
      <c r="B748" s="62" t="s">
        <v>436</v>
      </c>
      <c r="C748" s="63"/>
      <c r="D748" s="64"/>
      <c r="E748" s="65"/>
      <c r="F748" s="66"/>
      <c r="G748" s="63"/>
      <c r="H748" s="67"/>
      <c r="I748" s="68"/>
      <c r="J748" s="68"/>
      <c r="K748" s="32"/>
      <c r="L748" s="75">
        <v>748</v>
      </c>
      <c r="M748" s="75"/>
      <c r="N748" s="70"/>
      <c r="O748" s="77" t="s">
        <v>179</v>
      </c>
      <c r="P748" s="79">
        <v>45044.704861111109</v>
      </c>
      <c r="Q748" s="77" t="s">
        <v>1694</v>
      </c>
      <c r="R748" s="77">
        <v>0</v>
      </c>
      <c r="S748" s="77">
        <v>0</v>
      </c>
      <c r="T748" s="77">
        <v>0</v>
      </c>
      <c r="U748" s="77">
        <v>0</v>
      </c>
      <c r="V748" s="77">
        <v>77</v>
      </c>
      <c r="W748" s="81" t="s">
        <v>3336</v>
      </c>
      <c r="X748" s="83" t="str">
        <f>HYPERLINK("http://LegalMente.etsy.com")</f>
        <v>http://LegalMente.etsy.com</v>
      </c>
      <c r="Y748" s="77" t="s">
        <v>4275</v>
      </c>
      <c r="Z748" s="77"/>
      <c r="AA748" s="77" t="s">
        <v>4962</v>
      </c>
      <c r="AB748" s="77" t="s">
        <v>5795</v>
      </c>
      <c r="AC748" s="81" t="s">
        <v>5805</v>
      </c>
      <c r="AD748" s="77" t="s">
        <v>5850</v>
      </c>
      <c r="AE748" s="83" t="str">
        <f>HYPERLINK("https://twitter.com/legalmenterrss/status/1651993426408222740")</f>
        <v>https://twitter.com/legalmenterrss/status/1651993426408222740</v>
      </c>
      <c r="AF748" s="79">
        <v>45044.704861111109</v>
      </c>
      <c r="AG748" s="85">
        <v>45044</v>
      </c>
      <c r="AH748" s="81" t="s">
        <v>6565</v>
      </c>
      <c r="AI748" s="77" t="b">
        <v>0</v>
      </c>
      <c r="AJ748" s="77"/>
      <c r="AK748" s="77"/>
      <c r="AL748" s="77"/>
      <c r="AM748" s="77"/>
      <c r="AN748" s="77"/>
      <c r="AO748" s="77"/>
      <c r="AP748" s="77"/>
      <c r="AQ748" s="77" t="s">
        <v>8465</v>
      </c>
      <c r="AR748" s="77">
        <v>55200</v>
      </c>
      <c r="AS748" s="77"/>
      <c r="AT748" s="77"/>
      <c r="AU748" s="77"/>
      <c r="AV748" s="83" t="str">
        <f>HYPERLINK("https://pbs.twimg.com/ext_tw_video_thumb/1651993237807038466/pu/img/1M3R6Gx7myFO3tlz.jpg")</f>
        <v>https://pbs.twimg.com/ext_tw_video_thumb/1651993237807038466/pu/img/1M3R6Gx7myFO3tlz.jpg</v>
      </c>
      <c r="AW748" s="81" t="s">
        <v>10016</v>
      </c>
      <c r="AX748" s="81" t="s">
        <v>10016</v>
      </c>
      <c r="AY748" s="77"/>
      <c r="AZ748" s="81" t="s">
        <v>11359</v>
      </c>
      <c r="BA748" s="81" t="s">
        <v>11359</v>
      </c>
      <c r="BB748" s="81" t="s">
        <v>11359</v>
      </c>
      <c r="BC748" s="81" t="s">
        <v>10016</v>
      </c>
      <c r="BD748" s="81" t="s">
        <v>11511</v>
      </c>
      <c r="BE748" s="77"/>
      <c r="BF748" s="77"/>
      <c r="BG748" s="77"/>
      <c r="BH748" s="77"/>
      <c r="BI748" s="77"/>
    </row>
    <row r="749" spans="1:61" x14ac:dyDescent="0.25">
      <c r="A749" s="62" t="s">
        <v>436</v>
      </c>
      <c r="B749" s="62" t="s">
        <v>436</v>
      </c>
      <c r="C749" s="63"/>
      <c r="D749" s="64"/>
      <c r="E749" s="65"/>
      <c r="F749" s="66"/>
      <c r="G749" s="63"/>
      <c r="H749" s="67"/>
      <c r="I749" s="68"/>
      <c r="J749" s="68"/>
      <c r="K749" s="32"/>
      <c r="L749" s="75">
        <v>749</v>
      </c>
      <c r="M749" s="75"/>
      <c r="N749" s="70"/>
      <c r="O749" s="77" t="s">
        <v>179</v>
      </c>
      <c r="P749" s="79">
        <v>45131.679016203707</v>
      </c>
      <c r="Q749" s="77" t="s">
        <v>1695</v>
      </c>
      <c r="R749" s="77">
        <v>0</v>
      </c>
      <c r="S749" s="77">
        <v>0</v>
      </c>
      <c r="T749" s="77">
        <v>0</v>
      </c>
      <c r="U749" s="77">
        <v>0</v>
      </c>
      <c r="V749" s="77">
        <v>70</v>
      </c>
      <c r="W749" s="81" t="s">
        <v>3337</v>
      </c>
      <c r="X749" s="77"/>
      <c r="Y749" s="77"/>
      <c r="Z749" s="77"/>
      <c r="AA749" s="77" t="s">
        <v>4963</v>
      </c>
      <c r="AB749" s="77" t="s">
        <v>5795</v>
      </c>
      <c r="AC749" s="81" t="s">
        <v>5805</v>
      </c>
      <c r="AD749" s="77" t="s">
        <v>5850</v>
      </c>
      <c r="AE749" s="83" t="str">
        <f>HYPERLINK("https://twitter.com/legalmenterrss/status/1683511808034840579")</f>
        <v>https://twitter.com/legalmenterrss/status/1683511808034840579</v>
      </c>
      <c r="AF749" s="79">
        <v>45131.679016203707</v>
      </c>
      <c r="AG749" s="85">
        <v>45131</v>
      </c>
      <c r="AH749" s="81" t="s">
        <v>6566</v>
      </c>
      <c r="AI749" s="77" t="b">
        <v>0</v>
      </c>
      <c r="AJ749" s="77"/>
      <c r="AK749" s="77"/>
      <c r="AL749" s="77"/>
      <c r="AM749" s="77"/>
      <c r="AN749" s="77"/>
      <c r="AO749" s="77"/>
      <c r="AP749" s="77"/>
      <c r="AQ749" s="77" t="s">
        <v>8466</v>
      </c>
      <c r="AR749" s="77">
        <v>72851</v>
      </c>
      <c r="AS749" s="77"/>
      <c r="AT749" s="77"/>
      <c r="AU749" s="77"/>
      <c r="AV749" s="83" t="str">
        <f>HYPERLINK("https://pbs.twimg.com/ext_tw_video_thumb/1683510146377326593/pu/img/nSBaHMzeZ1IwDjgB.jpg")</f>
        <v>https://pbs.twimg.com/ext_tw_video_thumb/1683510146377326593/pu/img/nSBaHMzeZ1IwDjgB.jpg</v>
      </c>
      <c r="AW749" s="81" t="s">
        <v>10017</v>
      </c>
      <c r="AX749" s="81" t="s">
        <v>10017</v>
      </c>
      <c r="AY749" s="77"/>
      <c r="AZ749" s="81" t="s">
        <v>11359</v>
      </c>
      <c r="BA749" s="81" t="s">
        <v>11359</v>
      </c>
      <c r="BB749" s="81" t="s">
        <v>11359</v>
      </c>
      <c r="BC749" s="81" t="s">
        <v>10017</v>
      </c>
      <c r="BD749" s="81" t="s">
        <v>11511</v>
      </c>
      <c r="BE749" s="77"/>
      <c r="BF749" s="77"/>
      <c r="BG749" s="77"/>
      <c r="BH749" s="77"/>
      <c r="BI749" s="77"/>
    </row>
    <row r="750" spans="1:61" x14ac:dyDescent="0.25">
      <c r="A750" s="62" t="s">
        <v>436</v>
      </c>
      <c r="B750" s="62" t="s">
        <v>436</v>
      </c>
      <c r="C750" s="63"/>
      <c r="D750" s="64"/>
      <c r="E750" s="65"/>
      <c r="F750" s="66"/>
      <c r="G750" s="63"/>
      <c r="H750" s="67"/>
      <c r="I750" s="68"/>
      <c r="J750" s="68"/>
      <c r="K750" s="32"/>
      <c r="L750" s="75">
        <v>750</v>
      </c>
      <c r="M750" s="75"/>
      <c r="N750" s="70"/>
      <c r="O750" s="77" t="s">
        <v>179</v>
      </c>
      <c r="P750" s="79">
        <v>45124.662199074075</v>
      </c>
      <c r="Q750" s="77" t="s">
        <v>1696</v>
      </c>
      <c r="R750" s="77">
        <v>0</v>
      </c>
      <c r="S750" s="77">
        <v>0</v>
      </c>
      <c r="T750" s="77">
        <v>0</v>
      </c>
      <c r="U750" s="77">
        <v>0</v>
      </c>
      <c r="V750" s="77">
        <v>36</v>
      </c>
      <c r="W750" s="81" t="s">
        <v>3338</v>
      </c>
      <c r="X750" s="77"/>
      <c r="Y750" s="77"/>
      <c r="Z750" s="77"/>
      <c r="AA750" s="77" t="s">
        <v>4964</v>
      </c>
      <c r="AB750" s="77" t="s">
        <v>5795</v>
      </c>
      <c r="AC750" s="81" t="s">
        <v>5805</v>
      </c>
      <c r="AD750" s="77" t="s">
        <v>5850</v>
      </c>
      <c r="AE750" s="83" t="str">
        <f>HYPERLINK("https://twitter.com/legalmenterrss/status/1680968998110756864")</f>
        <v>https://twitter.com/legalmenterrss/status/1680968998110756864</v>
      </c>
      <c r="AF750" s="79">
        <v>45124.662199074075</v>
      </c>
      <c r="AG750" s="85">
        <v>45124</v>
      </c>
      <c r="AH750" s="81" t="s">
        <v>6567</v>
      </c>
      <c r="AI750" s="77" t="b">
        <v>0</v>
      </c>
      <c r="AJ750" s="77"/>
      <c r="AK750" s="77"/>
      <c r="AL750" s="77"/>
      <c r="AM750" s="77"/>
      <c r="AN750" s="77"/>
      <c r="AO750" s="77"/>
      <c r="AP750" s="77"/>
      <c r="AQ750" s="77" t="s">
        <v>8467</v>
      </c>
      <c r="AR750" s="77">
        <v>59908</v>
      </c>
      <c r="AS750" s="77"/>
      <c r="AT750" s="77"/>
      <c r="AU750" s="77"/>
      <c r="AV750" s="83" t="str">
        <f>HYPERLINK("https://pbs.twimg.com/ext_tw_video_thumb/1680967252923883520/pu/img/lo22073nX5jn2lOM.jpg")</f>
        <v>https://pbs.twimg.com/ext_tw_video_thumb/1680967252923883520/pu/img/lo22073nX5jn2lOM.jpg</v>
      </c>
      <c r="AW750" s="81" t="s">
        <v>10018</v>
      </c>
      <c r="AX750" s="81" t="s">
        <v>10018</v>
      </c>
      <c r="AY750" s="77"/>
      <c r="AZ750" s="81" t="s">
        <v>11359</v>
      </c>
      <c r="BA750" s="81" t="s">
        <v>11359</v>
      </c>
      <c r="BB750" s="81" t="s">
        <v>11359</v>
      </c>
      <c r="BC750" s="81" t="s">
        <v>10018</v>
      </c>
      <c r="BD750" s="81" t="s">
        <v>11511</v>
      </c>
      <c r="BE750" s="77"/>
      <c r="BF750" s="77"/>
      <c r="BG750" s="77"/>
      <c r="BH750" s="77"/>
      <c r="BI750" s="77"/>
    </row>
    <row r="751" spans="1:61" x14ac:dyDescent="0.25">
      <c r="A751" s="62" t="s">
        <v>436</v>
      </c>
      <c r="B751" s="62" t="s">
        <v>436</v>
      </c>
      <c r="C751" s="63"/>
      <c r="D751" s="64"/>
      <c r="E751" s="65"/>
      <c r="F751" s="66"/>
      <c r="G751" s="63"/>
      <c r="H751" s="67"/>
      <c r="I751" s="68"/>
      <c r="J751" s="68"/>
      <c r="K751" s="32"/>
      <c r="L751" s="75">
        <v>751</v>
      </c>
      <c r="M751" s="75"/>
      <c r="N751" s="70"/>
      <c r="O751" s="77" t="s">
        <v>179</v>
      </c>
      <c r="P751" s="79">
        <v>45120.786678240744</v>
      </c>
      <c r="Q751" s="77" t="s">
        <v>1697</v>
      </c>
      <c r="R751" s="77">
        <v>0</v>
      </c>
      <c r="S751" s="77">
        <v>0</v>
      </c>
      <c r="T751" s="77">
        <v>0</v>
      </c>
      <c r="U751" s="77">
        <v>0</v>
      </c>
      <c r="V751" s="77">
        <v>40</v>
      </c>
      <c r="W751" s="81" t="s">
        <v>3339</v>
      </c>
      <c r="X751" s="77"/>
      <c r="Y751" s="77"/>
      <c r="Z751" s="77"/>
      <c r="AA751" s="77" t="s">
        <v>4965</v>
      </c>
      <c r="AB751" s="77" t="s">
        <v>5795</v>
      </c>
      <c r="AC751" s="81" t="s">
        <v>5805</v>
      </c>
      <c r="AD751" s="77" t="s">
        <v>5853</v>
      </c>
      <c r="AE751" s="83" t="str">
        <f>HYPERLINK("https://twitter.com/legalmenterrss/status/1679564556463493121")</f>
        <v>https://twitter.com/legalmenterrss/status/1679564556463493121</v>
      </c>
      <c r="AF751" s="79">
        <v>45120.786678240744</v>
      </c>
      <c r="AG751" s="85">
        <v>45120</v>
      </c>
      <c r="AH751" s="81" t="s">
        <v>6568</v>
      </c>
      <c r="AI751" s="77" t="b">
        <v>0</v>
      </c>
      <c r="AJ751" s="77"/>
      <c r="AK751" s="77"/>
      <c r="AL751" s="77"/>
      <c r="AM751" s="77"/>
      <c r="AN751" s="77"/>
      <c r="AO751" s="77"/>
      <c r="AP751" s="77"/>
      <c r="AQ751" s="77" t="s">
        <v>8468</v>
      </c>
      <c r="AR751" s="77">
        <v>60023</v>
      </c>
      <c r="AS751" s="77"/>
      <c r="AT751" s="77"/>
      <c r="AU751" s="77"/>
      <c r="AV751" s="83" t="str">
        <f>HYPERLINK("https://pbs.twimg.com/ext_tw_video_thumb/1679563336063541250/pu/img/8Q5F3eg5D3-13ixn.jpg")</f>
        <v>https://pbs.twimg.com/ext_tw_video_thumb/1679563336063541250/pu/img/8Q5F3eg5D3-13ixn.jpg</v>
      </c>
      <c r="AW751" s="81" t="s">
        <v>10019</v>
      </c>
      <c r="AX751" s="81" t="s">
        <v>10019</v>
      </c>
      <c r="AY751" s="77"/>
      <c r="AZ751" s="81" t="s">
        <v>11359</v>
      </c>
      <c r="BA751" s="81" t="s">
        <v>11359</v>
      </c>
      <c r="BB751" s="81" t="s">
        <v>11359</v>
      </c>
      <c r="BC751" s="81" t="s">
        <v>10019</v>
      </c>
      <c r="BD751" s="81" t="s">
        <v>11511</v>
      </c>
      <c r="BE751" s="77"/>
      <c r="BF751" s="77"/>
      <c r="BG751" s="77"/>
      <c r="BH751" s="77"/>
      <c r="BI751" s="77"/>
    </row>
    <row r="752" spans="1:61" x14ac:dyDescent="0.25">
      <c r="A752" s="62" t="s">
        <v>436</v>
      </c>
      <c r="B752" s="62" t="s">
        <v>436</v>
      </c>
      <c r="C752" s="63"/>
      <c r="D752" s="64"/>
      <c r="E752" s="65"/>
      <c r="F752" s="66"/>
      <c r="G752" s="63"/>
      <c r="H752" s="67"/>
      <c r="I752" s="68"/>
      <c r="J752" s="68"/>
      <c r="K752" s="32"/>
      <c r="L752" s="75">
        <v>752</v>
      </c>
      <c r="M752" s="75"/>
      <c r="N752" s="70"/>
      <c r="O752" s="77" t="s">
        <v>179</v>
      </c>
      <c r="P752" s="79">
        <v>45181.668900462966</v>
      </c>
      <c r="Q752" s="77" t="s">
        <v>1698</v>
      </c>
      <c r="R752" s="77">
        <v>0</v>
      </c>
      <c r="S752" s="77">
        <v>0</v>
      </c>
      <c r="T752" s="77">
        <v>0</v>
      </c>
      <c r="U752" s="77">
        <v>0</v>
      </c>
      <c r="V752" s="77">
        <v>37</v>
      </c>
      <c r="W752" s="81" t="s">
        <v>3340</v>
      </c>
      <c r="X752" s="77"/>
      <c r="Y752" s="77"/>
      <c r="Z752" s="77"/>
      <c r="AA752" s="77" t="s">
        <v>4966</v>
      </c>
      <c r="AB752" s="77" t="s">
        <v>5795</v>
      </c>
      <c r="AC752" s="81" t="s">
        <v>5805</v>
      </c>
      <c r="AD752" s="77" t="s">
        <v>5850</v>
      </c>
      <c r="AE752" s="83" t="str">
        <f>HYPERLINK("https://twitter.com/legalmenterrss/status/1701627535170166932")</f>
        <v>https://twitter.com/legalmenterrss/status/1701627535170166932</v>
      </c>
      <c r="AF752" s="79">
        <v>45181.668900462966</v>
      </c>
      <c r="AG752" s="85">
        <v>45181</v>
      </c>
      <c r="AH752" s="81" t="s">
        <v>6569</v>
      </c>
      <c r="AI752" s="77" t="b">
        <v>0</v>
      </c>
      <c r="AJ752" s="77"/>
      <c r="AK752" s="77"/>
      <c r="AL752" s="77"/>
      <c r="AM752" s="77"/>
      <c r="AN752" s="77"/>
      <c r="AO752" s="77"/>
      <c r="AP752" s="77"/>
      <c r="AQ752" s="77" t="s">
        <v>8469</v>
      </c>
      <c r="AR752" s="77">
        <v>58134</v>
      </c>
      <c r="AS752" s="77"/>
      <c r="AT752" s="77"/>
      <c r="AU752" s="77"/>
      <c r="AV752" s="83" t="str">
        <f>HYPERLINK("https://pbs.twimg.com/ext_tw_video_thumb/1701626153323069440/pu/img/eSFrhTaQUEpyJqF1.jpg")</f>
        <v>https://pbs.twimg.com/ext_tw_video_thumb/1701626153323069440/pu/img/eSFrhTaQUEpyJqF1.jpg</v>
      </c>
      <c r="AW752" s="81" t="s">
        <v>10020</v>
      </c>
      <c r="AX752" s="81" t="s">
        <v>10020</v>
      </c>
      <c r="AY752" s="77"/>
      <c r="AZ752" s="81" t="s">
        <v>11359</v>
      </c>
      <c r="BA752" s="81" t="s">
        <v>11359</v>
      </c>
      <c r="BB752" s="81" t="s">
        <v>11359</v>
      </c>
      <c r="BC752" s="81" t="s">
        <v>10020</v>
      </c>
      <c r="BD752" s="81" t="s">
        <v>11511</v>
      </c>
      <c r="BE752" s="77"/>
      <c r="BF752" s="77"/>
      <c r="BG752" s="77"/>
      <c r="BH752" s="77"/>
      <c r="BI752" s="77"/>
    </row>
    <row r="753" spans="1:61" x14ac:dyDescent="0.25">
      <c r="A753" s="62" t="s">
        <v>436</v>
      </c>
      <c r="B753" s="62" t="s">
        <v>436</v>
      </c>
      <c r="C753" s="63"/>
      <c r="D753" s="64"/>
      <c r="E753" s="65"/>
      <c r="F753" s="66"/>
      <c r="G753" s="63"/>
      <c r="H753" s="67"/>
      <c r="I753" s="68"/>
      <c r="J753" s="68"/>
      <c r="K753" s="32"/>
      <c r="L753" s="75">
        <v>753</v>
      </c>
      <c r="M753" s="75"/>
      <c r="N753" s="70"/>
      <c r="O753" s="77" t="s">
        <v>179</v>
      </c>
      <c r="P753" s="79">
        <v>45036.712604166663</v>
      </c>
      <c r="Q753" s="77" t="s">
        <v>1699</v>
      </c>
      <c r="R753" s="77">
        <v>0</v>
      </c>
      <c r="S753" s="77">
        <v>0</v>
      </c>
      <c r="T753" s="77">
        <v>0</v>
      </c>
      <c r="U753" s="77">
        <v>0</v>
      </c>
      <c r="V753" s="77">
        <v>39</v>
      </c>
      <c r="W753" s="81" t="s">
        <v>3341</v>
      </c>
      <c r="X753" s="77"/>
      <c r="Y753" s="77"/>
      <c r="Z753" s="77"/>
      <c r="AA753" s="77" t="s">
        <v>4967</v>
      </c>
      <c r="AB753" s="77" t="s">
        <v>5795</v>
      </c>
      <c r="AC753" s="81" t="s">
        <v>5805</v>
      </c>
      <c r="AD753" s="77" t="s">
        <v>5850</v>
      </c>
      <c r="AE753" s="83" t="str">
        <f>HYPERLINK("https://twitter.com/legalmenterrss/status/1649097132266381313")</f>
        <v>https://twitter.com/legalmenterrss/status/1649097132266381313</v>
      </c>
      <c r="AF753" s="79">
        <v>45036.712604166663</v>
      </c>
      <c r="AG753" s="85">
        <v>45036</v>
      </c>
      <c r="AH753" s="81" t="s">
        <v>6570</v>
      </c>
      <c r="AI753" s="77" t="b">
        <v>0</v>
      </c>
      <c r="AJ753" s="77"/>
      <c r="AK753" s="77"/>
      <c r="AL753" s="77"/>
      <c r="AM753" s="77"/>
      <c r="AN753" s="77"/>
      <c r="AO753" s="77"/>
      <c r="AP753" s="77"/>
      <c r="AQ753" s="77" t="s">
        <v>8470</v>
      </c>
      <c r="AR753" s="77">
        <v>47860</v>
      </c>
      <c r="AS753" s="77"/>
      <c r="AT753" s="77"/>
      <c r="AU753" s="77"/>
      <c r="AV753" s="83" t="str">
        <f>HYPERLINK("https://pbs.twimg.com/ext_tw_video_thumb/1649095529979162624/pu/img/uyLEwc745NKNn_he.jpg")</f>
        <v>https://pbs.twimg.com/ext_tw_video_thumb/1649095529979162624/pu/img/uyLEwc745NKNn_he.jpg</v>
      </c>
      <c r="AW753" s="81" t="s">
        <v>10021</v>
      </c>
      <c r="AX753" s="81" t="s">
        <v>10021</v>
      </c>
      <c r="AY753" s="77"/>
      <c r="AZ753" s="81" t="s">
        <v>11359</v>
      </c>
      <c r="BA753" s="81" t="s">
        <v>11359</v>
      </c>
      <c r="BB753" s="81" t="s">
        <v>11359</v>
      </c>
      <c r="BC753" s="81" t="s">
        <v>10021</v>
      </c>
      <c r="BD753" s="81" t="s">
        <v>11511</v>
      </c>
      <c r="BE753" s="77"/>
      <c r="BF753" s="77"/>
      <c r="BG753" s="77"/>
      <c r="BH753" s="77"/>
      <c r="BI753" s="77"/>
    </row>
    <row r="754" spans="1:61" x14ac:dyDescent="0.25">
      <c r="A754" s="62" t="s">
        <v>436</v>
      </c>
      <c r="B754" s="62" t="s">
        <v>436</v>
      </c>
      <c r="C754" s="63"/>
      <c r="D754" s="64"/>
      <c r="E754" s="65"/>
      <c r="F754" s="66"/>
      <c r="G754" s="63"/>
      <c r="H754" s="67"/>
      <c r="I754" s="68"/>
      <c r="J754" s="68"/>
      <c r="K754" s="32"/>
      <c r="L754" s="75">
        <v>754</v>
      </c>
      <c r="M754" s="75"/>
      <c r="N754" s="70"/>
      <c r="O754" s="77" t="s">
        <v>179</v>
      </c>
      <c r="P754" s="79">
        <v>45188.695173611108</v>
      </c>
      <c r="Q754" s="77" t="s">
        <v>1700</v>
      </c>
      <c r="R754" s="77">
        <v>0</v>
      </c>
      <c r="S754" s="77">
        <v>0</v>
      </c>
      <c r="T754" s="77">
        <v>0</v>
      </c>
      <c r="U754" s="77">
        <v>0</v>
      </c>
      <c r="V754" s="77">
        <v>251</v>
      </c>
      <c r="W754" s="81" t="s">
        <v>3342</v>
      </c>
      <c r="X754" s="77"/>
      <c r="Y754" s="77"/>
      <c r="Z754" s="77"/>
      <c r="AA754" s="77" t="s">
        <v>4968</v>
      </c>
      <c r="AB754" s="77" t="s">
        <v>5795</v>
      </c>
      <c r="AC754" s="81" t="s">
        <v>5805</v>
      </c>
      <c r="AD754" s="77" t="s">
        <v>5850</v>
      </c>
      <c r="AE754" s="83" t="str">
        <f>HYPERLINK("https://twitter.com/legalmenterrss/status/1704173769588170940")</f>
        <v>https://twitter.com/legalmenterrss/status/1704173769588170940</v>
      </c>
      <c r="AF754" s="79">
        <v>45188.695173611108</v>
      </c>
      <c r="AG754" s="85">
        <v>45188</v>
      </c>
      <c r="AH754" s="81" t="s">
        <v>6571</v>
      </c>
      <c r="AI754" s="77" t="b">
        <v>0</v>
      </c>
      <c r="AJ754" s="77"/>
      <c r="AK754" s="77"/>
      <c r="AL754" s="77"/>
      <c r="AM754" s="77"/>
      <c r="AN754" s="77"/>
      <c r="AO754" s="77"/>
      <c r="AP754" s="77"/>
      <c r="AQ754" s="77" t="s">
        <v>8471</v>
      </c>
      <c r="AR754" s="77">
        <v>32926</v>
      </c>
      <c r="AS754" s="77"/>
      <c r="AT754" s="77"/>
      <c r="AU754" s="77"/>
      <c r="AV754" s="83" t="str">
        <f>HYPERLINK("https://pbs.twimg.com/ext_tw_video_thumb/1704172099005263872/pu/img/PUgKRUKGt2ltihof.jpg")</f>
        <v>https://pbs.twimg.com/ext_tw_video_thumb/1704172099005263872/pu/img/PUgKRUKGt2ltihof.jpg</v>
      </c>
      <c r="AW754" s="81" t="s">
        <v>10022</v>
      </c>
      <c r="AX754" s="81" t="s">
        <v>10022</v>
      </c>
      <c r="AY754" s="77"/>
      <c r="AZ754" s="81" t="s">
        <v>11359</v>
      </c>
      <c r="BA754" s="81" t="s">
        <v>11359</v>
      </c>
      <c r="BB754" s="81" t="s">
        <v>11359</v>
      </c>
      <c r="BC754" s="81" t="s">
        <v>10022</v>
      </c>
      <c r="BD754" s="81" t="s">
        <v>11511</v>
      </c>
      <c r="BE754" s="77"/>
      <c r="BF754" s="77"/>
      <c r="BG754" s="77"/>
      <c r="BH754" s="77"/>
      <c r="BI754" s="77"/>
    </row>
    <row r="755" spans="1:61" x14ac:dyDescent="0.25">
      <c r="A755" s="62" t="s">
        <v>437</v>
      </c>
      <c r="B755" s="62" t="s">
        <v>909</v>
      </c>
      <c r="C755" s="63"/>
      <c r="D755" s="64"/>
      <c r="E755" s="65"/>
      <c r="F755" s="66"/>
      <c r="G755" s="63"/>
      <c r="H755" s="67"/>
      <c r="I755" s="68"/>
      <c r="J755" s="68"/>
      <c r="K755" s="32"/>
      <c r="L755" s="75">
        <v>755</v>
      </c>
      <c r="M755" s="75"/>
      <c r="N755" s="70"/>
      <c r="O755" s="77" t="s">
        <v>967</v>
      </c>
      <c r="P755" s="79">
        <v>45130.933113425926</v>
      </c>
      <c r="Q755" s="77" t="s">
        <v>1701</v>
      </c>
      <c r="R755" s="77">
        <v>0</v>
      </c>
      <c r="S755" s="77">
        <v>0</v>
      </c>
      <c r="T755" s="77">
        <v>2</v>
      </c>
      <c r="U755" s="77">
        <v>0</v>
      </c>
      <c r="V755" s="77">
        <v>181</v>
      </c>
      <c r="W755" s="81" t="s">
        <v>3343</v>
      </c>
      <c r="X755" s="77"/>
      <c r="Y755" s="77"/>
      <c r="Z755" s="77" t="s">
        <v>4370</v>
      </c>
      <c r="AA755" s="77" t="s">
        <v>4969</v>
      </c>
      <c r="AB755" s="77" t="s">
        <v>5794</v>
      </c>
      <c r="AC755" s="81" t="s">
        <v>5801</v>
      </c>
      <c r="AD755" s="77" t="s">
        <v>5851</v>
      </c>
      <c r="AE755" s="83" t="str">
        <f>HYPERLINK("https://twitter.com/workshopdantas/status/1683241500468019200")</f>
        <v>https://twitter.com/workshopdantas/status/1683241500468019200</v>
      </c>
      <c r="AF755" s="79">
        <v>45130.933113425926</v>
      </c>
      <c r="AG755" s="85">
        <v>45130</v>
      </c>
      <c r="AH755" s="81" t="s">
        <v>6572</v>
      </c>
      <c r="AI755" s="77" t="b">
        <v>0</v>
      </c>
      <c r="AJ755" s="77"/>
      <c r="AK755" s="77"/>
      <c r="AL755" s="77"/>
      <c r="AM755" s="77"/>
      <c r="AN755" s="77"/>
      <c r="AO755" s="77"/>
      <c r="AP755" s="77"/>
      <c r="AQ755" s="77" t="s">
        <v>8472</v>
      </c>
      <c r="AR755" s="77"/>
      <c r="AS755" s="77"/>
      <c r="AT755" s="77"/>
      <c r="AU755" s="77"/>
      <c r="AV755" s="83" t="str">
        <f>HYPERLINK("https://pbs.twimg.com/media/F1wTODlXgAMFYga.jpg")</f>
        <v>https://pbs.twimg.com/media/F1wTODlXgAMFYga.jpg</v>
      </c>
      <c r="AW755" s="81" t="s">
        <v>10023</v>
      </c>
      <c r="AX755" s="81" t="s">
        <v>10023</v>
      </c>
      <c r="AY755" s="77"/>
      <c r="AZ755" s="81" t="s">
        <v>11359</v>
      </c>
      <c r="BA755" s="81" t="s">
        <v>11359</v>
      </c>
      <c r="BB755" s="81" t="s">
        <v>11359</v>
      </c>
      <c r="BC755" s="81" t="s">
        <v>10023</v>
      </c>
      <c r="BD755" s="81" t="s">
        <v>11512</v>
      </c>
      <c r="BE755" s="77"/>
      <c r="BF755" s="77"/>
      <c r="BG755" s="77"/>
      <c r="BH755" s="77"/>
      <c r="BI755" s="77"/>
    </row>
    <row r="756" spans="1:61" x14ac:dyDescent="0.25">
      <c r="A756" s="62" t="s">
        <v>437</v>
      </c>
      <c r="B756" s="62" t="s">
        <v>910</v>
      </c>
      <c r="C756" s="63"/>
      <c r="D756" s="64"/>
      <c r="E756" s="65"/>
      <c r="F756" s="66"/>
      <c r="G756" s="63"/>
      <c r="H756" s="67"/>
      <c r="I756" s="68"/>
      <c r="J756" s="68"/>
      <c r="K756" s="32"/>
      <c r="L756" s="75">
        <v>756</v>
      </c>
      <c r="M756" s="75"/>
      <c r="N756" s="70"/>
      <c r="O756" s="77" t="s">
        <v>967</v>
      </c>
      <c r="P756" s="79">
        <v>45135.456828703704</v>
      </c>
      <c r="Q756" s="77" t="s">
        <v>1702</v>
      </c>
      <c r="R756" s="77">
        <v>0</v>
      </c>
      <c r="S756" s="77">
        <v>0</v>
      </c>
      <c r="T756" s="77">
        <v>0</v>
      </c>
      <c r="U756" s="77">
        <v>0</v>
      </c>
      <c r="V756" s="77">
        <v>52</v>
      </c>
      <c r="W756" s="81" t="s">
        <v>3344</v>
      </c>
      <c r="X756" s="77"/>
      <c r="Y756" s="77"/>
      <c r="Z756" s="77" t="s">
        <v>4371</v>
      </c>
      <c r="AA756" s="77" t="s">
        <v>4970</v>
      </c>
      <c r="AB756" s="77" t="s">
        <v>5794</v>
      </c>
      <c r="AC756" s="81" t="s">
        <v>5801</v>
      </c>
      <c r="AD756" s="77" t="s">
        <v>5851</v>
      </c>
      <c r="AE756" s="83" t="str">
        <f>HYPERLINK("https://twitter.com/workshopdantas/status/1684880840432721920")</f>
        <v>https://twitter.com/workshopdantas/status/1684880840432721920</v>
      </c>
      <c r="AF756" s="79">
        <v>45135.456828703704</v>
      </c>
      <c r="AG756" s="85">
        <v>45135</v>
      </c>
      <c r="AH756" s="81" t="s">
        <v>6573</v>
      </c>
      <c r="AI756" s="77" t="b">
        <v>0</v>
      </c>
      <c r="AJ756" s="77"/>
      <c r="AK756" s="77"/>
      <c r="AL756" s="77"/>
      <c r="AM756" s="77"/>
      <c r="AN756" s="77"/>
      <c r="AO756" s="77"/>
      <c r="AP756" s="77"/>
      <c r="AQ756" s="77" t="s">
        <v>8473</v>
      </c>
      <c r="AR756" s="77"/>
      <c r="AS756" s="77"/>
      <c r="AT756" s="77"/>
      <c r="AU756" s="77"/>
      <c r="AV756" s="83" t="str">
        <f>HYPERLINK("https://pbs.twimg.com/media/F2HmMekbcAAuTpe.jpg")</f>
        <v>https://pbs.twimg.com/media/F2HmMekbcAAuTpe.jpg</v>
      </c>
      <c r="AW756" s="81" t="s">
        <v>10024</v>
      </c>
      <c r="AX756" s="81" t="s">
        <v>10024</v>
      </c>
      <c r="AY756" s="77"/>
      <c r="AZ756" s="81" t="s">
        <v>11359</v>
      </c>
      <c r="BA756" s="81" t="s">
        <v>11359</v>
      </c>
      <c r="BB756" s="81" t="s">
        <v>11359</v>
      </c>
      <c r="BC756" s="81" t="s">
        <v>10024</v>
      </c>
      <c r="BD756" s="81" t="s">
        <v>11512</v>
      </c>
      <c r="BE756" s="77"/>
      <c r="BF756" s="77"/>
      <c r="BG756" s="77"/>
      <c r="BH756" s="77"/>
      <c r="BI756" s="77"/>
    </row>
    <row r="757" spans="1:61" x14ac:dyDescent="0.25">
      <c r="A757" s="62" t="s">
        <v>437</v>
      </c>
      <c r="B757" s="62" t="s">
        <v>911</v>
      </c>
      <c r="C757" s="63"/>
      <c r="D757" s="64"/>
      <c r="E757" s="65"/>
      <c r="F757" s="66"/>
      <c r="G757" s="63"/>
      <c r="H757" s="67"/>
      <c r="I757" s="68"/>
      <c r="J757" s="68"/>
      <c r="K757" s="32"/>
      <c r="L757" s="75">
        <v>757</v>
      </c>
      <c r="M757" s="75"/>
      <c r="N757" s="70"/>
      <c r="O757" s="77" t="s">
        <v>967</v>
      </c>
      <c r="P757" s="79">
        <v>45098.578055555554</v>
      </c>
      <c r="Q757" s="77" t="s">
        <v>1703</v>
      </c>
      <c r="R757" s="77">
        <v>0</v>
      </c>
      <c r="S757" s="77">
        <v>0</v>
      </c>
      <c r="T757" s="77">
        <v>0</v>
      </c>
      <c r="U757" s="77">
        <v>0</v>
      </c>
      <c r="V757" s="77">
        <v>47</v>
      </c>
      <c r="W757" s="81" t="s">
        <v>3345</v>
      </c>
      <c r="X757" s="77"/>
      <c r="Y757" s="77"/>
      <c r="Z757" s="77" t="s">
        <v>4372</v>
      </c>
      <c r="AA757" s="77" t="s">
        <v>4971</v>
      </c>
      <c r="AB757" s="77" t="s">
        <v>5794</v>
      </c>
      <c r="AC757" s="81" t="s">
        <v>5801</v>
      </c>
      <c r="AD757" s="77" t="s">
        <v>5851</v>
      </c>
      <c r="AE757" s="83" t="str">
        <f>HYPERLINK("https://twitter.com/workshopdantas/status/1671516419391889408")</f>
        <v>https://twitter.com/workshopdantas/status/1671516419391889408</v>
      </c>
      <c r="AF757" s="79">
        <v>45098.578055555554</v>
      </c>
      <c r="AG757" s="85">
        <v>45098</v>
      </c>
      <c r="AH757" s="81" t="s">
        <v>6574</v>
      </c>
      <c r="AI757" s="77" t="b">
        <v>0</v>
      </c>
      <c r="AJ757" s="77"/>
      <c r="AK757" s="77"/>
      <c r="AL757" s="77"/>
      <c r="AM757" s="77"/>
      <c r="AN757" s="77"/>
      <c r="AO757" s="77"/>
      <c r="AP757" s="77"/>
      <c r="AQ757" s="77" t="s">
        <v>8474</v>
      </c>
      <c r="AR757" s="77"/>
      <c r="AS757" s="77"/>
      <c r="AT757" s="77"/>
      <c r="AU757" s="77"/>
      <c r="AV757" s="83" t="str">
        <f>HYPERLINK("https://pbs.twimg.com/media/FzJrUt3WwAMaeyJ.jpg")</f>
        <v>https://pbs.twimg.com/media/FzJrUt3WwAMaeyJ.jpg</v>
      </c>
      <c r="AW757" s="81" t="s">
        <v>10025</v>
      </c>
      <c r="AX757" s="81" t="s">
        <v>10025</v>
      </c>
      <c r="AY757" s="77"/>
      <c r="AZ757" s="81" t="s">
        <v>11359</v>
      </c>
      <c r="BA757" s="81" t="s">
        <v>11359</v>
      </c>
      <c r="BB757" s="81" t="s">
        <v>11359</v>
      </c>
      <c r="BC757" s="81" t="s">
        <v>10025</v>
      </c>
      <c r="BD757" s="81" t="s">
        <v>11512</v>
      </c>
      <c r="BE757" s="77"/>
      <c r="BF757" s="77"/>
      <c r="BG757" s="77"/>
      <c r="BH757" s="77"/>
      <c r="BI757" s="77"/>
    </row>
    <row r="758" spans="1:61" x14ac:dyDescent="0.25">
      <c r="A758" s="62" t="s">
        <v>437</v>
      </c>
      <c r="B758" s="62" t="s">
        <v>437</v>
      </c>
      <c r="C758" s="63"/>
      <c r="D758" s="64"/>
      <c r="E758" s="65"/>
      <c r="F758" s="66"/>
      <c r="G758" s="63"/>
      <c r="H758" s="67"/>
      <c r="I758" s="68"/>
      <c r="J758" s="68"/>
      <c r="K758" s="32"/>
      <c r="L758" s="75">
        <v>758</v>
      </c>
      <c r="M758" s="75"/>
      <c r="N758" s="70"/>
      <c r="O758" s="77" t="s">
        <v>967</v>
      </c>
      <c r="P758" s="79">
        <v>45130.992407407408</v>
      </c>
      <c r="Q758" s="77" t="s">
        <v>1704</v>
      </c>
      <c r="R758" s="77">
        <v>0</v>
      </c>
      <c r="S758" s="77">
        <v>0</v>
      </c>
      <c r="T758" s="77">
        <v>0</v>
      </c>
      <c r="U758" s="77">
        <v>0</v>
      </c>
      <c r="V758" s="77">
        <v>93</v>
      </c>
      <c r="W758" s="81" t="s">
        <v>3346</v>
      </c>
      <c r="X758" s="77"/>
      <c r="Y758" s="77"/>
      <c r="Z758" s="77" t="s">
        <v>437</v>
      </c>
      <c r="AA758" s="77" t="s">
        <v>4972</v>
      </c>
      <c r="AB758" s="77" t="s">
        <v>5794</v>
      </c>
      <c r="AC758" s="81" t="s">
        <v>5801</v>
      </c>
      <c r="AD758" s="77" t="s">
        <v>5851</v>
      </c>
      <c r="AE758" s="83" t="str">
        <f>HYPERLINK("https://twitter.com/workshopdantas/status/1683262989791526914")</f>
        <v>https://twitter.com/workshopdantas/status/1683262989791526914</v>
      </c>
      <c r="AF758" s="79">
        <v>45130.992407407408</v>
      </c>
      <c r="AG758" s="85">
        <v>45130</v>
      </c>
      <c r="AH758" s="81" t="s">
        <v>6575</v>
      </c>
      <c r="AI758" s="77" t="b">
        <v>0</v>
      </c>
      <c r="AJ758" s="77"/>
      <c r="AK758" s="77"/>
      <c r="AL758" s="77"/>
      <c r="AM758" s="77"/>
      <c r="AN758" s="77"/>
      <c r="AO758" s="77"/>
      <c r="AP758" s="77"/>
      <c r="AQ758" s="77" t="s">
        <v>8475</v>
      </c>
      <c r="AR758" s="77"/>
      <c r="AS758" s="77"/>
      <c r="AT758" s="77"/>
      <c r="AU758" s="77"/>
      <c r="AV758" s="83" t="str">
        <f>HYPERLINK("https://pbs.twimg.com/media/F1wmw3dWwAAjpDX.jpg")</f>
        <v>https://pbs.twimg.com/media/F1wmw3dWwAAjpDX.jpg</v>
      </c>
      <c r="AW758" s="81" t="s">
        <v>10026</v>
      </c>
      <c r="AX758" s="81" t="s">
        <v>10026</v>
      </c>
      <c r="AY758" s="77"/>
      <c r="AZ758" s="81" t="s">
        <v>11359</v>
      </c>
      <c r="BA758" s="81" t="s">
        <v>11359</v>
      </c>
      <c r="BB758" s="81" t="s">
        <v>11359</v>
      </c>
      <c r="BC758" s="81" t="s">
        <v>10026</v>
      </c>
      <c r="BD758" s="81" t="s">
        <v>11512</v>
      </c>
      <c r="BE758" s="77"/>
      <c r="BF758" s="77"/>
      <c r="BG758" s="77"/>
      <c r="BH758" s="77"/>
      <c r="BI758" s="77"/>
    </row>
    <row r="759" spans="1:61" x14ac:dyDescent="0.25">
      <c r="A759" s="62" t="s">
        <v>437</v>
      </c>
      <c r="B759" s="62" t="s">
        <v>437</v>
      </c>
      <c r="C759" s="63"/>
      <c r="D759" s="64"/>
      <c r="E759" s="65"/>
      <c r="F759" s="66"/>
      <c r="G759" s="63"/>
      <c r="H759" s="67"/>
      <c r="I759" s="68"/>
      <c r="J759" s="68"/>
      <c r="K759" s="32"/>
      <c r="L759" s="75">
        <v>759</v>
      </c>
      <c r="M759" s="75"/>
      <c r="N759" s="70"/>
      <c r="O759" s="77" t="s">
        <v>967</v>
      </c>
      <c r="P759" s="79">
        <v>45128.512986111113</v>
      </c>
      <c r="Q759" s="77" t="s">
        <v>1705</v>
      </c>
      <c r="R759" s="77">
        <v>0</v>
      </c>
      <c r="S759" s="77">
        <v>0</v>
      </c>
      <c r="T759" s="77">
        <v>0</v>
      </c>
      <c r="U759" s="77">
        <v>0</v>
      </c>
      <c r="V759" s="77">
        <v>42</v>
      </c>
      <c r="W759" s="81" t="s">
        <v>3347</v>
      </c>
      <c r="X759" s="77"/>
      <c r="Y759" s="77"/>
      <c r="Z759" s="77" t="s">
        <v>437</v>
      </c>
      <c r="AA759" s="77" t="s">
        <v>4973</v>
      </c>
      <c r="AB759" s="77" t="s">
        <v>5794</v>
      </c>
      <c r="AC759" s="81" t="s">
        <v>5801</v>
      </c>
      <c r="AD759" s="77" t="s">
        <v>5851</v>
      </c>
      <c r="AE759" s="83" t="str">
        <f>HYPERLINK("https://twitter.com/workshopdantas/status/1682364474139844612")</f>
        <v>https://twitter.com/workshopdantas/status/1682364474139844612</v>
      </c>
      <c r="AF759" s="79">
        <v>45128.512986111113</v>
      </c>
      <c r="AG759" s="85">
        <v>45128</v>
      </c>
      <c r="AH759" s="81" t="s">
        <v>6576</v>
      </c>
      <c r="AI759" s="77" t="b">
        <v>0</v>
      </c>
      <c r="AJ759" s="77"/>
      <c r="AK759" s="77"/>
      <c r="AL759" s="77"/>
      <c r="AM759" s="77"/>
      <c r="AN759" s="77"/>
      <c r="AO759" s="77"/>
      <c r="AP759" s="77"/>
      <c r="AQ759" s="77" t="s">
        <v>8476</v>
      </c>
      <c r="AR759" s="77"/>
      <c r="AS759" s="77"/>
      <c r="AT759" s="77"/>
      <c r="AU759" s="77"/>
      <c r="AV759" s="83" t="str">
        <f>HYPERLINK("https://pbs.twimg.com/media/F1j1kr7XgAAPksI.jpg")</f>
        <v>https://pbs.twimg.com/media/F1j1kr7XgAAPksI.jpg</v>
      </c>
      <c r="AW759" s="81" t="s">
        <v>10027</v>
      </c>
      <c r="AX759" s="81" t="s">
        <v>10027</v>
      </c>
      <c r="AY759" s="77"/>
      <c r="AZ759" s="81" t="s">
        <v>11359</v>
      </c>
      <c r="BA759" s="81" t="s">
        <v>11359</v>
      </c>
      <c r="BB759" s="81" t="s">
        <v>11359</v>
      </c>
      <c r="BC759" s="81" t="s">
        <v>10027</v>
      </c>
      <c r="BD759" s="81" t="s">
        <v>11512</v>
      </c>
      <c r="BE759" s="77"/>
      <c r="BF759" s="77"/>
      <c r="BG759" s="77"/>
      <c r="BH759" s="77"/>
      <c r="BI759" s="77"/>
    </row>
    <row r="760" spans="1:61" x14ac:dyDescent="0.25">
      <c r="A760" s="62" t="s">
        <v>437</v>
      </c>
      <c r="B760" s="62" t="s">
        <v>437</v>
      </c>
      <c r="C760" s="63"/>
      <c r="D760" s="64"/>
      <c r="E760" s="65"/>
      <c r="F760" s="66"/>
      <c r="G760" s="63"/>
      <c r="H760" s="67"/>
      <c r="I760" s="68"/>
      <c r="J760" s="68"/>
      <c r="K760" s="32"/>
      <c r="L760" s="75">
        <v>760</v>
      </c>
      <c r="M760" s="75"/>
      <c r="N760" s="70"/>
      <c r="O760" s="77" t="s">
        <v>967</v>
      </c>
      <c r="P760" s="79">
        <v>45127.475925925923</v>
      </c>
      <c r="Q760" s="77" t="s">
        <v>1706</v>
      </c>
      <c r="R760" s="77">
        <v>0</v>
      </c>
      <c r="S760" s="77">
        <v>1</v>
      </c>
      <c r="T760" s="77">
        <v>0</v>
      </c>
      <c r="U760" s="77">
        <v>0</v>
      </c>
      <c r="V760" s="77">
        <v>64</v>
      </c>
      <c r="W760" s="81" t="s">
        <v>3348</v>
      </c>
      <c r="X760" s="77"/>
      <c r="Y760" s="77"/>
      <c r="Z760" s="77" t="s">
        <v>437</v>
      </c>
      <c r="AA760" s="77" t="s">
        <v>4974</v>
      </c>
      <c r="AB760" s="77" t="s">
        <v>5794</v>
      </c>
      <c r="AC760" s="81" t="s">
        <v>5801</v>
      </c>
      <c r="AD760" s="77" t="s">
        <v>5851</v>
      </c>
      <c r="AE760" s="83" t="str">
        <f>HYPERLINK("https://twitter.com/workshopdantas/status/1681988659334004736")</f>
        <v>https://twitter.com/workshopdantas/status/1681988659334004736</v>
      </c>
      <c r="AF760" s="79">
        <v>45127.475925925923</v>
      </c>
      <c r="AG760" s="85">
        <v>45127</v>
      </c>
      <c r="AH760" s="81" t="s">
        <v>6577</v>
      </c>
      <c r="AI760" s="77" t="b">
        <v>0</v>
      </c>
      <c r="AJ760" s="77"/>
      <c r="AK760" s="77"/>
      <c r="AL760" s="77"/>
      <c r="AM760" s="77"/>
      <c r="AN760" s="77"/>
      <c r="AO760" s="77"/>
      <c r="AP760" s="77"/>
      <c r="AQ760" s="77" t="s">
        <v>8477</v>
      </c>
      <c r="AR760" s="77"/>
      <c r="AS760" s="77"/>
      <c r="AT760" s="77"/>
      <c r="AU760" s="77"/>
      <c r="AV760" s="83" t="str">
        <f>HYPERLINK("https://pbs.twimg.com/media/F1efxZDXoAErfdA.jpg")</f>
        <v>https://pbs.twimg.com/media/F1efxZDXoAErfdA.jpg</v>
      </c>
      <c r="AW760" s="81" t="s">
        <v>10028</v>
      </c>
      <c r="AX760" s="81" t="s">
        <v>10028</v>
      </c>
      <c r="AY760" s="77"/>
      <c r="AZ760" s="81" t="s">
        <v>11359</v>
      </c>
      <c r="BA760" s="81" t="s">
        <v>11359</v>
      </c>
      <c r="BB760" s="81" t="s">
        <v>11359</v>
      </c>
      <c r="BC760" s="81" t="s">
        <v>10028</v>
      </c>
      <c r="BD760" s="81" t="s">
        <v>11512</v>
      </c>
      <c r="BE760" s="77"/>
      <c r="BF760" s="77"/>
      <c r="BG760" s="77"/>
      <c r="BH760" s="77"/>
      <c r="BI760" s="77"/>
    </row>
    <row r="761" spans="1:61" x14ac:dyDescent="0.25">
      <c r="A761" s="62" t="s">
        <v>437</v>
      </c>
      <c r="B761" s="62" t="s">
        <v>437</v>
      </c>
      <c r="C761" s="63"/>
      <c r="D761" s="64"/>
      <c r="E761" s="65"/>
      <c r="F761" s="66"/>
      <c r="G761" s="63"/>
      <c r="H761" s="67"/>
      <c r="I761" s="68"/>
      <c r="J761" s="68"/>
      <c r="K761" s="32"/>
      <c r="L761" s="75">
        <v>761</v>
      </c>
      <c r="M761" s="75"/>
      <c r="N761" s="70"/>
      <c r="O761" s="77" t="s">
        <v>967</v>
      </c>
      <c r="P761" s="79">
        <v>45127.426018518519</v>
      </c>
      <c r="Q761" s="77" t="s">
        <v>1707</v>
      </c>
      <c r="R761" s="77">
        <v>0</v>
      </c>
      <c r="S761" s="77">
        <v>2</v>
      </c>
      <c r="T761" s="77">
        <v>1</v>
      </c>
      <c r="U761" s="77">
        <v>0</v>
      </c>
      <c r="V761" s="77">
        <v>76</v>
      </c>
      <c r="W761" s="81" t="s">
        <v>3349</v>
      </c>
      <c r="X761" s="77"/>
      <c r="Y761" s="77"/>
      <c r="Z761" s="77" t="s">
        <v>437</v>
      </c>
      <c r="AA761" s="77" t="s">
        <v>4975</v>
      </c>
      <c r="AB761" s="77" t="s">
        <v>5794</v>
      </c>
      <c r="AC761" s="81" t="s">
        <v>5801</v>
      </c>
      <c r="AD761" s="77" t="s">
        <v>5851</v>
      </c>
      <c r="AE761" s="83" t="str">
        <f>HYPERLINK("https://twitter.com/workshopdantas/status/1681970572429803520")</f>
        <v>https://twitter.com/workshopdantas/status/1681970572429803520</v>
      </c>
      <c r="AF761" s="79">
        <v>45127.426018518519</v>
      </c>
      <c r="AG761" s="85">
        <v>45127</v>
      </c>
      <c r="AH761" s="81" t="s">
        <v>6578</v>
      </c>
      <c r="AI761" s="77" t="b">
        <v>0</v>
      </c>
      <c r="AJ761" s="77"/>
      <c r="AK761" s="77"/>
      <c r="AL761" s="77"/>
      <c r="AM761" s="77"/>
      <c r="AN761" s="77"/>
      <c r="AO761" s="77"/>
      <c r="AP761" s="77"/>
      <c r="AQ761" s="77" t="s">
        <v>8478</v>
      </c>
      <c r="AR761" s="77"/>
      <c r="AS761" s="77"/>
      <c r="AT761" s="77"/>
      <c r="AU761" s="77"/>
      <c r="AV761" s="83" t="str">
        <f>HYPERLINK("https://pbs.twimg.com/media/F1ePUiIXgAANAOY.jpg")</f>
        <v>https://pbs.twimg.com/media/F1ePUiIXgAANAOY.jpg</v>
      </c>
      <c r="AW761" s="81" t="s">
        <v>10029</v>
      </c>
      <c r="AX761" s="81" t="s">
        <v>10029</v>
      </c>
      <c r="AY761" s="77"/>
      <c r="AZ761" s="81" t="s">
        <v>11359</v>
      </c>
      <c r="BA761" s="81" t="s">
        <v>11359</v>
      </c>
      <c r="BB761" s="81" t="s">
        <v>11359</v>
      </c>
      <c r="BC761" s="81" t="s">
        <v>10029</v>
      </c>
      <c r="BD761" s="81" t="s">
        <v>11512</v>
      </c>
      <c r="BE761" s="77"/>
      <c r="BF761" s="77"/>
      <c r="BG761" s="77"/>
      <c r="BH761" s="77"/>
      <c r="BI761" s="77"/>
    </row>
    <row r="762" spans="1:61" x14ac:dyDescent="0.25">
      <c r="A762" s="62" t="s">
        <v>437</v>
      </c>
      <c r="B762" s="62" t="s">
        <v>437</v>
      </c>
      <c r="C762" s="63"/>
      <c r="D762" s="64"/>
      <c r="E762" s="65"/>
      <c r="F762" s="66"/>
      <c r="G762" s="63"/>
      <c r="H762" s="67"/>
      <c r="I762" s="68"/>
      <c r="J762" s="68"/>
      <c r="K762" s="32"/>
      <c r="L762" s="75">
        <v>762</v>
      </c>
      <c r="M762" s="75"/>
      <c r="N762" s="70"/>
      <c r="O762" s="77" t="s">
        <v>967</v>
      </c>
      <c r="P762" s="79">
        <v>45126.485706018517</v>
      </c>
      <c r="Q762" s="77" t="s">
        <v>1708</v>
      </c>
      <c r="R762" s="77">
        <v>0</v>
      </c>
      <c r="S762" s="77">
        <v>1</v>
      </c>
      <c r="T762" s="77">
        <v>0</v>
      </c>
      <c r="U762" s="77">
        <v>0</v>
      </c>
      <c r="V762" s="77">
        <v>58</v>
      </c>
      <c r="W762" s="81" t="s">
        <v>3350</v>
      </c>
      <c r="X762" s="77"/>
      <c r="Y762" s="77"/>
      <c r="Z762" s="77" t="s">
        <v>437</v>
      </c>
      <c r="AA762" s="77" t="s">
        <v>4976</v>
      </c>
      <c r="AB762" s="77" t="s">
        <v>5794</v>
      </c>
      <c r="AC762" s="81" t="s">
        <v>5801</v>
      </c>
      <c r="AD762" s="77" t="s">
        <v>5851</v>
      </c>
      <c r="AE762" s="83" t="str">
        <f>HYPERLINK("https://twitter.com/workshopdantas/status/1681629814459883520")</f>
        <v>https://twitter.com/workshopdantas/status/1681629814459883520</v>
      </c>
      <c r="AF762" s="79">
        <v>45126.485706018517</v>
      </c>
      <c r="AG762" s="85">
        <v>45126</v>
      </c>
      <c r="AH762" s="81" t="s">
        <v>6579</v>
      </c>
      <c r="AI762" s="77" t="b">
        <v>0</v>
      </c>
      <c r="AJ762" s="77"/>
      <c r="AK762" s="77"/>
      <c r="AL762" s="77"/>
      <c r="AM762" s="77"/>
      <c r="AN762" s="77"/>
      <c r="AO762" s="77"/>
      <c r="AP762" s="77"/>
      <c r="AQ762" s="77" t="s">
        <v>8479</v>
      </c>
      <c r="AR762" s="77"/>
      <c r="AS762" s="77"/>
      <c r="AT762" s="77"/>
      <c r="AU762" s="77"/>
      <c r="AV762" s="83" t="str">
        <f>HYPERLINK("https://pbs.twimg.com/media/F1ZZZ27WAAA_Nxe.jpg")</f>
        <v>https://pbs.twimg.com/media/F1ZZZ27WAAA_Nxe.jpg</v>
      </c>
      <c r="AW762" s="81" t="s">
        <v>10030</v>
      </c>
      <c r="AX762" s="81" t="s">
        <v>10030</v>
      </c>
      <c r="AY762" s="77"/>
      <c r="AZ762" s="81" t="s">
        <v>11359</v>
      </c>
      <c r="BA762" s="81" t="s">
        <v>11359</v>
      </c>
      <c r="BB762" s="81" t="s">
        <v>11359</v>
      </c>
      <c r="BC762" s="81" t="s">
        <v>10030</v>
      </c>
      <c r="BD762" s="81" t="s">
        <v>11512</v>
      </c>
      <c r="BE762" s="77"/>
      <c r="BF762" s="77"/>
      <c r="BG762" s="77"/>
      <c r="BH762" s="77"/>
      <c r="BI762" s="77"/>
    </row>
    <row r="763" spans="1:61" x14ac:dyDescent="0.25">
      <c r="A763" s="62" t="s">
        <v>437</v>
      </c>
      <c r="B763" s="62" t="s">
        <v>437</v>
      </c>
      <c r="C763" s="63"/>
      <c r="D763" s="64"/>
      <c r="E763" s="65"/>
      <c r="F763" s="66"/>
      <c r="G763" s="63"/>
      <c r="H763" s="67"/>
      <c r="I763" s="68"/>
      <c r="J763" s="68"/>
      <c r="K763" s="32"/>
      <c r="L763" s="75">
        <v>763</v>
      </c>
      <c r="M763" s="75"/>
      <c r="N763" s="70"/>
      <c r="O763" s="77" t="s">
        <v>967</v>
      </c>
      <c r="P763" s="79">
        <v>45123.434953703705</v>
      </c>
      <c r="Q763" s="77" t="s">
        <v>1709</v>
      </c>
      <c r="R763" s="77">
        <v>0</v>
      </c>
      <c r="S763" s="77">
        <v>0</v>
      </c>
      <c r="T763" s="77">
        <v>0</v>
      </c>
      <c r="U763" s="77">
        <v>0</v>
      </c>
      <c r="V763" s="77">
        <v>78</v>
      </c>
      <c r="W763" s="81" t="s">
        <v>3351</v>
      </c>
      <c r="X763" s="77"/>
      <c r="Y763" s="77"/>
      <c r="Z763" s="77" t="s">
        <v>437</v>
      </c>
      <c r="AA763" s="77" t="s">
        <v>4977</v>
      </c>
      <c r="AB763" s="77" t="s">
        <v>5794</v>
      </c>
      <c r="AC763" s="81" t="s">
        <v>5801</v>
      </c>
      <c r="AD763" s="77" t="s">
        <v>5851</v>
      </c>
      <c r="AE763" s="83" t="str">
        <f>HYPERLINK("https://twitter.com/workshopdantas/status/1680524257506336768")</f>
        <v>https://twitter.com/workshopdantas/status/1680524257506336768</v>
      </c>
      <c r="AF763" s="79">
        <v>45123.434953703705</v>
      </c>
      <c r="AG763" s="85">
        <v>45123</v>
      </c>
      <c r="AH763" s="81" t="s">
        <v>6580</v>
      </c>
      <c r="AI763" s="77" t="b">
        <v>0</v>
      </c>
      <c r="AJ763" s="77"/>
      <c r="AK763" s="77"/>
      <c r="AL763" s="77"/>
      <c r="AM763" s="77"/>
      <c r="AN763" s="77"/>
      <c r="AO763" s="77"/>
      <c r="AP763" s="77"/>
      <c r="AQ763" s="77" t="s">
        <v>8480</v>
      </c>
      <c r="AR763" s="77"/>
      <c r="AS763" s="77"/>
      <c r="AT763" s="77"/>
      <c r="AU763" s="77"/>
      <c r="AV763" s="83" t="str">
        <f>HYPERLINK("https://pbs.twimg.com/media/F1Jr5-1XsAESfrn.jpg")</f>
        <v>https://pbs.twimg.com/media/F1Jr5-1XsAESfrn.jpg</v>
      </c>
      <c r="AW763" s="81" t="s">
        <v>10031</v>
      </c>
      <c r="AX763" s="81" t="s">
        <v>10031</v>
      </c>
      <c r="AY763" s="77"/>
      <c r="AZ763" s="81" t="s">
        <v>11359</v>
      </c>
      <c r="BA763" s="81" t="s">
        <v>11359</v>
      </c>
      <c r="BB763" s="81" t="s">
        <v>11359</v>
      </c>
      <c r="BC763" s="81" t="s">
        <v>10031</v>
      </c>
      <c r="BD763" s="81" t="s">
        <v>11512</v>
      </c>
      <c r="BE763" s="77"/>
      <c r="BF763" s="77"/>
      <c r="BG763" s="77"/>
      <c r="BH763" s="77"/>
      <c r="BI763" s="77"/>
    </row>
    <row r="764" spans="1:61" x14ac:dyDescent="0.25">
      <c r="A764" s="62" t="s">
        <v>437</v>
      </c>
      <c r="B764" s="62" t="s">
        <v>437</v>
      </c>
      <c r="C764" s="63"/>
      <c r="D764" s="64"/>
      <c r="E764" s="65"/>
      <c r="F764" s="66"/>
      <c r="G764" s="63"/>
      <c r="H764" s="67"/>
      <c r="I764" s="68"/>
      <c r="J764" s="68"/>
      <c r="K764" s="32"/>
      <c r="L764" s="75">
        <v>764</v>
      </c>
      <c r="M764" s="75"/>
      <c r="N764" s="70"/>
      <c r="O764" s="77" t="s">
        <v>967</v>
      </c>
      <c r="P764" s="79">
        <v>45122.379606481481</v>
      </c>
      <c r="Q764" s="77" t="s">
        <v>1710</v>
      </c>
      <c r="R764" s="77">
        <v>0</v>
      </c>
      <c r="S764" s="77">
        <v>0</v>
      </c>
      <c r="T764" s="77">
        <v>0</v>
      </c>
      <c r="U764" s="77">
        <v>0</v>
      </c>
      <c r="V764" s="77">
        <v>180</v>
      </c>
      <c r="W764" s="81" t="s">
        <v>3352</v>
      </c>
      <c r="X764" s="77"/>
      <c r="Y764" s="77"/>
      <c r="Z764" s="77" t="s">
        <v>437</v>
      </c>
      <c r="AA764" s="77" t="s">
        <v>4978</v>
      </c>
      <c r="AB764" s="77" t="s">
        <v>5794</v>
      </c>
      <c r="AC764" s="81" t="s">
        <v>5801</v>
      </c>
      <c r="AD764" s="77" t="s">
        <v>5851</v>
      </c>
      <c r="AE764" s="83" t="str">
        <f>HYPERLINK("https://twitter.com/workshopdantas/status/1680141813133213697")</f>
        <v>https://twitter.com/workshopdantas/status/1680141813133213697</v>
      </c>
      <c r="AF764" s="79">
        <v>45122.379606481481</v>
      </c>
      <c r="AG764" s="85">
        <v>45122</v>
      </c>
      <c r="AH764" s="81" t="s">
        <v>6581</v>
      </c>
      <c r="AI764" s="77" t="b">
        <v>0</v>
      </c>
      <c r="AJ764" s="77"/>
      <c r="AK764" s="77"/>
      <c r="AL764" s="77"/>
      <c r="AM764" s="77"/>
      <c r="AN764" s="77"/>
      <c r="AO764" s="77"/>
      <c r="AP764" s="77"/>
      <c r="AQ764" s="77" t="s">
        <v>8481</v>
      </c>
      <c r="AR764" s="77"/>
      <c r="AS764" s="77"/>
      <c r="AT764" s="77"/>
      <c r="AU764" s="77"/>
      <c r="AV764" s="83" t="str">
        <f>HYPERLINK("https://pbs.twimg.com/media/F1EQExvX0AAVqQo.jpg")</f>
        <v>https://pbs.twimg.com/media/F1EQExvX0AAVqQo.jpg</v>
      </c>
      <c r="AW764" s="81" t="s">
        <v>10032</v>
      </c>
      <c r="AX764" s="81" t="s">
        <v>10032</v>
      </c>
      <c r="AY764" s="77"/>
      <c r="AZ764" s="81" t="s">
        <v>11359</v>
      </c>
      <c r="BA764" s="81" t="s">
        <v>11359</v>
      </c>
      <c r="BB764" s="81" t="s">
        <v>11359</v>
      </c>
      <c r="BC764" s="81" t="s">
        <v>10032</v>
      </c>
      <c r="BD764" s="81" t="s">
        <v>11512</v>
      </c>
      <c r="BE764" s="77"/>
      <c r="BF764" s="77"/>
      <c r="BG764" s="77"/>
      <c r="BH764" s="77"/>
      <c r="BI764" s="77"/>
    </row>
    <row r="765" spans="1:61" x14ac:dyDescent="0.25">
      <c r="A765" s="62" t="s">
        <v>437</v>
      </c>
      <c r="B765" s="62" t="s">
        <v>437</v>
      </c>
      <c r="C765" s="63"/>
      <c r="D765" s="64"/>
      <c r="E765" s="65"/>
      <c r="F765" s="66"/>
      <c r="G765" s="63"/>
      <c r="H765" s="67"/>
      <c r="I765" s="68"/>
      <c r="J765" s="68"/>
      <c r="K765" s="32"/>
      <c r="L765" s="75">
        <v>765</v>
      </c>
      <c r="M765" s="75"/>
      <c r="N765" s="70"/>
      <c r="O765" s="77" t="s">
        <v>967</v>
      </c>
      <c r="P765" s="79">
        <v>45121.408101851855</v>
      </c>
      <c r="Q765" s="77" t="s">
        <v>1711</v>
      </c>
      <c r="R765" s="77">
        <v>1</v>
      </c>
      <c r="S765" s="77">
        <v>3</v>
      </c>
      <c r="T765" s="77">
        <v>1</v>
      </c>
      <c r="U765" s="77">
        <v>1</v>
      </c>
      <c r="V765" s="77">
        <v>289</v>
      </c>
      <c r="W765" s="81" t="s">
        <v>3353</v>
      </c>
      <c r="X765" s="77"/>
      <c r="Y765" s="77"/>
      <c r="Z765" s="77" t="s">
        <v>437</v>
      </c>
      <c r="AA765" s="77" t="s">
        <v>4979</v>
      </c>
      <c r="AB765" s="77" t="s">
        <v>5794</v>
      </c>
      <c r="AC765" s="81" t="s">
        <v>5801</v>
      </c>
      <c r="AD765" s="77" t="s">
        <v>5851</v>
      </c>
      <c r="AE765" s="83" t="str">
        <f>HYPERLINK("https://twitter.com/workshopdantas/status/1679789753762193410")</f>
        <v>https://twitter.com/workshopdantas/status/1679789753762193410</v>
      </c>
      <c r="AF765" s="79">
        <v>45121.408101851855</v>
      </c>
      <c r="AG765" s="85">
        <v>45121</v>
      </c>
      <c r="AH765" s="81" t="s">
        <v>6582</v>
      </c>
      <c r="AI765" s="77" t="b">
        <v>0</v>
      </c>
      <c r="AJ765" s="77"/>
      <c r="AK765" s="77"/>
      <c r="AL765" s="77"/>
      <c r="AM765" s="77"/>
      <c r="AN765" s="77"/>
      <c r="AO765" s="77"/>
      <c r="AP765" s="77"/>
      <c r="AQ765" s="77" t="s">
        <v>8482</v>
      </c>
      <c r="AR765" s="77"/>
      <c r="AS765" s="77"/>
      <c r="AT765" s="77"/>
      <c r="AU765" s="77"/>
      <c r="AV765" s="83" t="str">
        <f>HYPERLINK("https://pbs.twimg.com/media/F0_P4OVXsAQbkoE.jpg")</f>
        <v>https://pbs.twimg.com/media/F0_P4OVXsAQbkoE.jpg</v>
      </c>
      <c r="AW765" s="81" t="s">
        <v>10033</v>
      </c>
      <c r="AX765" s="81" t="s">
        <v>10033</v>
      </c>
      <c r="AY765" s="77"/>
      <c r="AZ765" s="81" t="s">
        <v>11359</v>
      </c>
      <c r="BA765" s="81" t="s">
        <v>11359</v>
      </c>
      <c r="BB765" s="81" t="s">
        <v>11359</v>
      </c>
      <c r="BC765" s="81" t="s">
        <v>10033</v>
      </c>
      <c r="BD765" s="81" t="s">
        <v>11512</v>
      </c>
      <c r="BE765" s="77"/>
      <c r="BF765" s="77"/>
      <c r="BG765" s="77"/>
      <c r="BH765" s="77"/>
      <c r="BI765" s="77"/>
    </row>
    <row r="766" spans="1:61" x14ac:dyDescent="0.25">
      <c r="A766" s="62" t="s">
        <v>437</v>
      </c>
      <c r="B766" s="62" t="s">
        <v>437</v>
      </c>
      <c r="C766" s="63"/>
      <c r="D766" s="64"/>
      <c r="E766" s="65"/>
      <c r="F766" s="66"/>
      <c r="G766" s="63"/>
      <c r="H766" s="67"/>
      <c r="I766" s="68"/>
      <c r="J766" s="68"/>
      <c r="K766" s="32"/>
      <c r="L766" s="75">
        <v>766</v>
      </c>
      <c r="M766" s="75"/>
      <c r="N766" s="70"/>
      <c r="O766" s="77" t="s">
        <v>967</v>
      </c>
      <c r="P766" s="79">
        <v>45114.673032407409</v>
      </c>
      <c r="Q766" s="77" t="s">
        <v>1712</v>
      </c>
      <c r="R766" s="77">
        <v>0</v>
      </c>
      <c r="S766" s="77">
        <v>2</v>
      </c>
      <c r="T766" s="77">
        <v>0</v>
      </c>
      <c r="U766" s="77">
        <v>0</v>
      </c>
      <c r="V766" s="77">
        <v>46</v>
      </c>
      <c r="W766" s="81" t="s">
        <v>3354</v>
      </c>
      <c r="X766" s="77"/>
      <c r="Y766" s="77"/>
      <c r="Z766" s="77" t="s">
        <v>437</v>
      </c>
      <c r="AA766" s="77" t="s">
        <v>4980</v>
      </c>
      <c r="AB766" s="77" t="s">
        <v>5794</v>
      </c>
      <c r="AC766" s="81" t="s">
        <v>5801</v>
      </c>
      <c r="AD766" s="77" t="s">
        <v>5851</v>
      </c>
      <c r="AE766" s="83" t="str">
        <f>HYPERLINK("https://twitter.com/workshopdantas/status/1677349043318472705")</f>
        <v>https://twitter.com/workshopdantas/status/1677349043318472705</v>
      </c>
      <c r="AF766" s="79">
        <v>45114.673032407409</v>
      </c>
      <c r="AG766" s="85">
        <v>45114</v>
      </c>
      <c r="AH766" s="81" t="s">
        <v>6583</v>
      </c>
      <c r="AI766" s="77" t="b">
        <v>0</v>
      </c>
      <c r="AJ766" s="77"/>
      <c r="AK766" s="77"/>
      <c r="AL766" s="77"/>
      <c r="AM766" s="77"/>
      <c r="AN766" s="77"/>
      <c r="AO766" s="77"/>
      <c r="AP766" s="77"/>
      <c r="AQ766" s="77" t="s">
        <v>8483</v>
      </c>
      <c r="AR766" s="77"/>
      <c r="AS766" s="77"/>
      <c r="AT766" s="77"/>
      <c r="AU766" s="77"/>
      <c r="AV766" s="83" t="str">
        <f>HYPERLINK("https://pbs.twimg.com/media/F0ckDzjWYAIpJEN.jpg")</f>
        <v>https://pbs.twimg.com/media/F0ckDzjWYAIpJEN.jpg</v>
      </c>
      <c r="AW766" s="81" t="s">
        <v>10034</v>
      </c>
      <c r="AX766" s="81" t="s">
        <v>10034</v>
      </c>
      <c r="AY766" s="77"/>
      <c r="AZ766" s="81" t="s">
        <v>11359</v>
      </c>
      <c r="BA766" s="81" t="s">
        <v>11359</v>
      </c>
      <c r="BB766" s="81" t="s">
        <v>11359</v>
      </c>
      <c r="BC766" s="81" t="s">
        <v>10034</v>
      </c>
      <c r="BD766" s="81" t="s">
        <v>11512</v>
      </c>
      <c r="BE766" s="77"/>
      <c r="BF766" s="77"/>
      <c r="BG766" s="77"/>
      <c r="BH766" s="77"/>
      <c r="BI766" s="77"/>
    </row>
    <row r="767" spans="1:61" x14ac:dyDescent="0.25">
      <c r="A767" s="62" t="s">
        <v>437</v>
      </c>
      <c r="B767" s="62" t="s">
        <v>437</v>
      </c>
      <c r="C767" s="63"/>
      <c r="D767" s="64"/>
      <c r="E767" s="65"/>
      <c r="F767" s="66"/>
      <c r="G767" s="63"/>
      <c r="H767" s="67"/>
      <c r="I767" s="68"/>
      <c r="J767" s="68"/>
      <c r="K767" s="32"/>
      <c r="L767" s="75">
        <v>767</v>
      </c>
      <c r="M767" s="75"/>
      <c r="N767" s="70"/>
      <c r="O767" s="77" t="s">
        <v>967</v>
      </c>
      <c r="P767" s="79">
        <v>45113.495937500003</v>
      </c>
      <c r="Q767" s="77" t="s">
        <v>1713</v>
      </c>
      <c r="R767" s="77">
        <v>0</v>
      </c>
      <c r="S767" s="77">
        <v>0</v>
      </c>
      <c r="T767" s="77">
        <v>0</v>
      </c>
      <c r="U767" s="77">
        <v>0</v>
      </c>
      <c r="V767" s="77">
        <v>53</v>
      </c>
      <c r="W767" s="81" t="s">
        <v>3355</v>
      </c>
      <c r="X767" s="77"/>
      <c r="Y767" s="77"/>
      <c r="Z767" s="77" t="s">
        <v>437</v>
      </c>
      <c r="AA767" s="77" t="s">
        <v>4981</v>
      </c>
      <c r="AB767" s="77" t="s">
        <v>5794</v>
      </c>
      <c r="AC767" s="81" t="s">
        <v>5801</v>
      </c>
      <c r="AD767" s="77" t="s">
        <v>5851</v>
      </c>
      <c r="AE767" s="83" t="str">
        <f>HYPERLINK("https://twitter.com/workshopdantas/status/1676922480592666626")</f>
        <v>https://twitter.com/workshopdantas/status/1676922480592666626</v>
      </c>
      <c r="AF767" s="79">
        <v>45113.495937500003</v>
      </c>
      <c r="AG767" s="85">
        <v>45113</v>
      </c>
      <c r="AH767" s="81" t="s">
        <v>6584</v>
      </c>
      <c r="AI767" s="77" t="b">
        <v>0</v>
      </c>
      <c r="AJ767" s="77"/>
      <c r="AK767" s="77"/>
      <c r="AL767" s="77"/>
      <c r="AM767" s="77"/>
      <c r="AN767" s="77"/>
      <c r="AO767" s="77"/>
      <c r="AP767" s="77"/>
      <c r="AQ767" s="77" t="s">
        <v>8484</v>
      </c>
      <c r="AR767" s="77"/>
      <c r="AS767" s="77"/>
      <c r="AT767" s="77"/>
      <c r="AU767" s="77"/>
      <c r="AV767" s="83" t="str">
        <f>HYPERLINK("https://pbs.twimg.com/media/F0WgG-YX0AApQpp.jpg")</f>
        <v>https://pbs.twimg.com/media/F0WgG-YX0AApQpp.jpg</v>
      </c>
      <c r="AW767" s="81" t="s">
        <v>10035</v>
      </c>
      <c r="AX767" s="81" t="s">
        <v>10035</v>
      </c>
      <c r="AY767" s="77"/>
      <c r="AZ767" s="81" t="s">
        <v>11359</v>
      </c>
      <c r="BA767" s="81" t="s">
        <v>11359</v>
      </c>
      <c r="BB767" s="81" t="s">
        <v>11359</v>
      </c>
      <c r="BC767" s="81" t="s">
        <v>10035</v>
      </c>
      <c r="BD767" s="81" t="s">
        <v>11512</v>
      </c>
      <c r="BE767" s="77"/>
      <c r="BF767" s="77"/>
      <c r="BG767" s="77"/>
      <c r="BH767" s="77"/>
      <c r="BI767" s="77"/>
    </row>
    <row r="768" spans="1:61" x14ac:dyDescent="0.25">
      <c r="A768" s="62" t="s">
        <v>437</v>
      </c>
      <c r="B768" s="62" t="s">
        <v>437</v>
      </c>
      <c r="C768" s="63"/>
      <c r="D768" s="64"/>
      <c r="E768" s="65"/>
      <c r="F768" s="66"/>
      <c r="G768" s="63"/>
      <c r="H768" s="67"/>
      <c r="I768" s="68"/>
      <c r="J768" s="68"/>
      <c r="K768" s="32"/>
      <c r="L768" s="75">
        <v>768</v>
      </c>
      <c r="M768" s="75"/>
      <c r="N768" s="70"/>
      <c r="O768" s="77" t="s">
        <v>967</v>
      </c>
      <c r="P768" s="79">
        <v>45105.473946759259</v>
      </c>
      <c r="Q768" s="77" t="s">
        <v>1714</v>
      </c>
      <c r="R768" s="77">
        <v>0</v>
      </c>
      <c r="S768" s="77">
        <v>0</v>
      </c>
      <c r="T768" s="77">
        <v>0</v>
      </c>
      <c r="U768" s="77">
        <v>0</v>
      </c>
      <c r="V768" s="77">
        <v>71</v>
      </c>
      <c r="W768" s="81" t="s">
        <v>3356</v>
      </c>
      <c r="X768" s="77"/>
      <c r="Y768" s="77"/>
      <c r="Z768" s="77" t="s">
        <v>437</v>
      </c>
      <c r="AA768" s="77" t="s">
        <v>4982</v>
      </c>
      <c r="AB768" s="77" t="s">
        <v>5794</v>
      </c>
      <c r="AC768" s="81" t="s">
        <v>5801</v>
      </c>
      <c r="AD768" s="77" t="s">
        <v>5851</v>
      </c>
      <c r="AE768" s="83" t="str">
        <f>HYPERLINK("https://twitter.com/workshopdantas/status/1674015405969473537")</f>
        <v>https://twitter.com/workshopdantas/status/1674015405969473537</v>
      </c>
      <c r="AF768" s="79">
        <v>45105.473946759259</v>
      </c>
      <c r="AG768" s="85">
        <v>45105</v>
      </c>
      <c r="AH768" s="81" t="s">
        <v>6585</v>
      </c>
      <c r="AI768" s="77" t="b">
        <v>0</v>
      </c>
      <c r="AJ768" s="77"/>
      <c r="AK768" s="77"/>
      <c r="AL768" s="77"/>
      <c r="AM768" s="77"/>
      <c r="AN768" s="77"/>
      <c r="AO768" s="77"/>
      <c r="AP768" s="77"/>
      <c r="AQ768" s="77" t="s">
        <v>8485</v>
      </c>
      <c r="AR768" s="77"/>
      <c r="AS768" s="77"/>
      <c r="AT768" s="77"/>
      <c r="AU768" s="77"/>
      <c r="AV768" s="83" t="str">
        <f>HYPERLINK("https://pbs.twimg.com/media/FztMI9aXoAU9pde.jpg")</f>
        <v>https://pbs.twimg.com/media/FztMI9aXoAU9pde.jpg</v>
      </c>
      <c r="AW768" s="81" t="s">
        <v>10036</v>
      </c>
      <c r="AX768" s="81" t="s">
        <v>10036</v>
      </c>
      <c r="AY768" s="77"/>
      <c r="AZ768" s="81" t="s">
        <v>11359</v>
      </c>
      <c r="BA768" s="81" t="s">
        <v>11359</v>
      </c>
      <c r="BB768" s="81" t="s">
        <v>11359</v>
      </c>
      <c r="BC768" s="81" t="s">
        <v>10036</v>
      </c>
      <c r="BD768" s="81" t="s">
        <v>11512</v>
      </c>
      <c r="BE768" s="77"/>
      <c r="BF768" s="77"/>
      <c r="BG768" s="77"/>
      <c r="BH768" s="77"/>
      <c r="BI768" s="77"/>
    </row>
    <row r="769" spans="1:61" x14ac:dyDescent="0.25">
      <c r="A769" s="62" t="s">
        <v>437</v>
      </c>
      <c r="B769" s="62" t="s">
        <v>437</v>
      </c>
      <c r="C769" s="63"/>
      <c r="D769" s="64"/>
      <c r="E769" s="65"/>
      <c r="F769" s="66"/>
      <c r="G769" s="63"/>
      <c r="H769" s="67"/>
      <c r="I769" s="68"/>
      <c r="J769" s="68"/>
      <c r="K769" s="32"/>
      <c r="L769" s="75">
        <v>769</v>
      </c>
      <c r="M769" s="75"/>
      <c r="N769" s="70"/>
      <c r="O769" s="77" t="s">
        <v>967</v>
      </c>
      <c r="P769" s="79">
        <v>45104.499259259261</v>
      </c>
      <c r="Q769" s="77" t="s">
        <v>1715</v>
      </c>
      <c r="R769" s="77">
        <v>1</v>
      </c>
      <c r="S769" s="77">
        <v>2</v>
      </c>
      <c r="T769" s="77">
        <v>0</v>
      </c>
      <c r="U769" s="77">
        <v>0</v>
      </c>
      <c r="V769" s="77">
        <v>47</v>
      </c>
      <c r="W769" s="81" t="s">
        <v>3357</v>
      </c>
      <c r="X769" s="77"/>
      <c r="Y769" s="77"/>
      <c r="Z769" s="77" t="s">
        <v>437</v>
      </c>
      <c r="AA769" s="77" t="s">
        <v>4983</v>
      </c>
      <c r="AB769" s="77" t="s">
        <v>5794</v>
      </c>
      <c r="AC769" s="81" t="s">
        <v>5801</v>
      </c>
      <c r="AD769" s="77" t="s">
        <v>5851</v>
      </c>
      <c r="AE769" s="83" t="str">
        <f>HYPERLINK("https://twitter.com/workshopdantas/status/1673662190556000261")</f>
        <v>https://twitter.com/workshopdantas/status/1673662190556000261</v>
      </c>
      <c r="AF769" s="79">
        <v>45104.499259259261</v>
      </c>
      <c r="AG769" s="85">
        <v>45104</v>
      </c>
      <c r="AH769" s="81" t="s">
        <v>6586</v>
      </c>
      <c r="AI769" s="77" t="b">
        <v>0</v>
      </c>
      <c r="AJ769" s="77"/>
      <c r="AK769" s="77"/>
      <c r="AL769" s="77"/>
      <c r="AM769" s="77"/>
      <c r="AN769" s="77"/>
      <c r="AO769" s="77"/>
      <c r="AP769" s="77"/>
      <c r="AQ769" s="77" t="s">
        <v>8486</v>
      </c>
      <c r="AR769" s="77"/>
      <c r="AS769" s="77"/>
      <c r="AT769" s="77"/>
      <c r="AU769" s="77"/>
      <c r="AV769" s="83" t="str">
        <f>HYPERLINK("https://pbs.twimg.com/media/FzoK5EgXwAI7Q1A.jpg")</f>
        <v>https://pbs.twimg.com/media/FzoK5EgXwAI7Q1A.jpg</v>
      </c>
      <c r="AW769" s="81" t="s">
        <v>10037</v>
      </c>
      <c r="AX769" s="81" t="s">
        <v>10037</v>
      </c>
      <c r="AY769" s="77"/>
      <c r="AZ769" s="81" t="s">
        <v>11359</v>
      </c>
      <c r="BA769" s="81" t="s">
        <v>11359</v>
      </c>
      <c r="BB769" s="81" t="s">
        <v>11359</v>
      </c>
      <c r="BC769" s="81" t="s">
        <v>10037</v>
      </c>
      <c r="BD769" s="81" t="s">
        <v>11512</v>
      </c>
      <c r="BE769" s="77"/>
      <c r="BF769" s="77"/>
      <c r="BG769" s="77"/>
      <c r="BH769" s="77"/>
      <c r="BI769" s="77"/>
    </row>
    <row r="770" spans="1:61" x14ac:dyDescent="0.25">
      <c r="A770" s="62" t="s">
        <v>437</v>
      </c>
      <c r="B770" s="62" t="s">
        <v>437</v>
      </c>
      <c r="C770" s="63"/>
      <c r="D770" s="64"/>
      <c r="E770" s="65"/>
      <c r="F770" s="66"/>
      <c r="G770" s="63"/>
      <c r="H770" s="67"/>
      <c r="I770" s="68"/>
      <c r="J770" s="68"/>
      <c r="K770" s="32"/>
      <c r="L770" s="75">
        <v>770</v>
      </c>
      <c r="M770" s="75"/>
      <c r="N770" s="70"/>
      <c r="O770" s="77" t="s">
        <v>967</v>
      </c>
      <c r="P770" s="79">
        <v>45104.062638888892</v>
      </c>
      <c r="Q770" s="77" t="s">
        <v>1716</v>
      </c>
      <c r="R770" s="77">
        <v>0</v>
      </c>
      <c r="S770" s="77">
        <v>2</v>
      </c>
      <c r="T770" s="77">
        <v>0</v>
      </c>
      <c r="U770" s="77">
        <v>1</v>
      </c>
      <c r="V770" s="77">
        <v>1192</v>
      </c>
      <c r="W770" s="81" t="s">
        <v>3358</v>
      </c>
      <c r="X770" s="77"/>
      <c r="Y770" s="77"/>
      <c r="Z770" s="77" t="s">
        <v>437</v>
      </c>
      <c r="AA770" s="77" t="s">
        <v>4984</v>
      </c>
      <c r="AB770" s="77" t="s">
        <v>5794</v>
      </c>
      <c r="AC770" s="81" t="s">
        <v>5801</v>
      </c>
      <c r="AD770" s="77" t="s">
        <v>5851</v>
      </c>
      <c r="AE770" s="83" t="str">
        <f>HYPERLINK("https://twitter.com/workshopdantas/status/1673503966548619264")</f>
        <v>https://twitter.com/workshopdantas/status/1673503966548619264</v>
      </c>
      <c r="AF770" s="79">
        <v>45104.062638888892</v>
      </c>
      <c r="AG770" s="85">
        <v>45104</v>
      </c>
      <c r="AH770" s="81" t="s">
        <v>6587</v>
      </c>
      <c r="AI770" s="77" t="b">
        <v>0</v>
      </c>
      <c r="AJ770" s="77"/>
      <c r="AK770" s="77"/>
      <c r="AL770" s="77"/>
      <c r="AM770" s="77"/>
      <c r="AN770" s="77"/>
      <c r="AO770" s="77"/>
      <c r="AP770" s="77"/>
      <c r="AQ770" s="77" t="s">
        <v>8487</v>
      </c>
      <c r="AR770" s="77"/>
      <c r="AS770" s="77"/>
      <c r="AT770" s="77"/>
      <c r="AU770" s="77"/>
      <c r="AV770" s="83" t="str">
        <f>HYPERLINK("https://pbs.twimg.com/media/Fzl6-4UWcAAWWqo.jpg")</f>
        <v>https://pbs.twimg.com/media/Fzl6-4UWcAAWWqo.jpg</v>
      </c>
      <c r="AW770" s="81" t="s">
        <v>10038</v>
      </c>
      <c r="AX770" s="81" t="s">
        <v>10038</v>
      </c>
      <c r="AY770" s="77"/>
      <c r="AZ770" s="81" t="s">
        <v>11359</v>
      </c>
      <c r="BA770" s="81" t="s">
        <v>11359</v>
      </c>
      <c r="BB770" s="81" t="s">
        <v>11359</v>
      </c>
      <c r="BC770" s="81" t="s">
        <v>10038</v>
      </c>
      <c r="BD770" s="81" t="s">
        <v>11512</v>
      </c>
      <c r="BE770" s="77"/>
      <c r="BF770" s="77"/>
      <c r="BG770" s="77"/>
      <c r="BH770" s="77"/>
      <c r="BI770" s="77"/>
    </row>
    <row r="771" spans="1:61" x14ac:dyDescent="0.25">
      <c r="A771" s="62" t="s">
        <v>437</v>
      </c>
      <c r="B771" s="62" t="s">
        <v>437</v>
      </c>
      <c r="C771" s="63"/>
      <c r="D771" s="64"/>
      <c r="E771" s="65"/>
      <c r="F771" s="66"/>
      <c r="G771" s="63"/>
      <c r="H771" s="67"/>
      <c r="I771" s="68"/>
      <c r="J771" s="68"/>
      <c r="K771" s="32"/>
      <c r="L771" s="75">
        <v>771</v>
      </c>
      <c r="M771" s="75"/>
      <c r="N771" s="70"/>
      <c r="O771" s="77" t="s">
        <v>967</v>
      </c>
      <c r="P771" s="79">
        <v>45103.489027777781</v>
      </c>
      <c r="Q771" s="77" t="s">
        <v>1717</v>
      </c>
      <c r="R771" s="77">
        <v>0</v>
      </c>
      <c r="S771" s="77">
        <v>0</v>
      </c>
      <c r="T771" s="77">
        <v>0</v>
      </c>
      <c r="U771" s="77">
        <v>0</v>
      </c>
      <c r="V771" s="77">
        <v>96</v>
      </c>
      <c r="W771" s="81" t="s">
        <v>3359</v>
      </c>
      <c r="X771" s="77"/>
      <c r="Y771" s="77"/>
      <c r="Z771" s="77" t="s">
        <v>437</v>
      </c>
      <c r="AA771" s="77" t="s">
        <v>4985</v>
      </c>
      <c r="AB771" s="77" t="s">
        <v>5794</v>
      </c>
      <c r="AC771" s="81" t="s">
        <v>5801</v>
      </c>
      <c r="AD771" s="77" t="s">
        <v>5851</v>
      </c>
      <c r="AE771" s="83" t="str">
        <f>HYPERLINK("https://twitter.com/workshopdantas/status/1673296097576361989")</f>
        <v>https://twitter.com/workshopdantas/status/1673296097576361989</v>
      </c>
      <c r="AF771" s="79">
        <v>45103.489027777781</v>
      </c>
      <c r="AG771" s="85">
        <v>45103</v>
      </c>
      <c r="AH771" s="81" t="s">
        <v>6588</v>
      </c>
      <c r="AI771" s="77" t="b">
        <v>0</v>
      </c>
      <c r="AJ771" s="77"/>
      <c r="AK771" s="77"/>
      <c r="AL771" s="77"/>
      <c r="AM771" s="77"/>
      <c r="AN771" s="77"/>
      <c r="AO771" s="77"/>
      <c r="AP771" s="77"/>
      <c r="AQ771" s="77" t="s">
        <v>8488</v>
      </c>
      <c r="AR771" s="77"/>
      <c r="AS771" s="77"/>
      <c r="AT771" s="77"/>
      <c r="AU771" s="77"/>
      <c r="AV771" s="83" t="str">
        <f>HYPERLINK("https://pbs.twimg.com/media/Fzi97ssXoAExEo1.jpg")</f>
        <v>https://pbs.twimg.com/media/Fzi97ssXoAExEo1.jpg</v>
      </c>
      <c r="AW771" s="81" t="s">
        <v>10039</v>
      </c>
      <c r="AX771" s="81" t="s">
        <v>10039</v>
      </c>
      <c r="AY771" s="77"/>
      <c r="AZ771" s="81" t="s">
        <v>11359</v>
      </c>
      <c r="BA771" s="81" t="s">
        <v>11359</v>
      </c>
      <c r="BB771" s="81" t="s">
        <v>11359</v>
      </c>
      <c r="BC771" s="81" t="s">
        <v>10039</v>
      </c>
      <c r="BD771" s="81" t="s">
        <v>11512</v>
      </c>
      <c r="BE771" s="77"/>
      <c r="BF771" s="77"/>
      <c r="BG771" s="77"/>
      <c r="BH771" s="77"/>
      <c r="BI771" s="77"/>
    </row>
    <row r="772" spans="1:61" x14ac:dyDescent="0.25">
      <c r="A772" s="62" t="s">
        <v>437</v>
      </c>
      <c r="B772" s="62" t="s">
        <v>437</v>
      </c>
      <c r="C772" s="63"/>
      <c r="D772" s="64"/>
      <c r="E772" s="65"/>
      <c r="F772" s="66"/>
      <c r="G772" s="63"/>
      <c r="H772" s="67"/>
      <c r="I772" s="68"/>
      <c r="J772" s="68"/>
      <c r="K772" s="32"/>
      <c r="L772" s="75">
        <v>772</v>
      </c>
      <c r="M772" s="75"/>
      <c r="N772" s="70"/>
      <c r="O772" s="77" t="s">
        <v>967</v>
      </c>
      <c r="P772" s="79">
        <v>45102.657141203701</v>
      </c>
      <c r="Q772" s="77" t="s">
        <v>1718</v>
      </c>
      <c r="R772" s="77">
        <v>0</v>
      </c>
      <c r="S772" s="77">
        <v>0</v>
      </c>
      <c r="T772" s="77">
        <v>0</v>
      </c>
      <c r="U772" s="77">
        <v>0</v>
      </c>
      <c r="V772" s="77">
        <v>66</v>
      </c>
      <c r="W772" s="81" t="s">
        <v>3360</v>
      </c>
      <c r="X772" s="77"/>
      <c r="Y772" s="77"/>
      <c r="Z772" s="77" t="s">
        <v>437</v>
      </c>
      <c r="AA772" s="77" t="s">
        <v>4986</v>
      </c>
      <c r="AB772" s="77" t="s">
        <v>5794</v>
      </c>
      <c r="AC772" s="81" t="s">
        <v>5801</v>
      </c>
      <c r="AD772" s="77" t="s">
        <v>5851</v>
      </c>
      <c r="AE772" s="83" t="str">
        <f>HYPERLINK("https://twitter.com/workshopdantas/status/1672994633058582528")</f>
        <v>https://twitter.com/workshopdantas/status/1672994633058582528</v>
      </c>
      <c r="AF772" s="79">
        <v>45102.657141203701</v>
      </c>
      <c r="AG772" s="85">
        <v>45102</v>
      </c>
      <c r="AH772" s="81" t="s">
        <v>6589</v>
      </c>
      <c r="AI772" s="77" t="b">
        <v>0</v>
      </c>
      <c r="AJ772" s="77"/>
      <c r="AK772" s="77"/>
      <c r="AL772" s="77"/>
      <c r="AM772" s="77"/>
      <c r="AN772" s="77"/>
      <c r="AO772" s="77"/>
      <c r="AP772" s="77"/>
      <c r="AQ772" s="77" t="s">
        <v>8489</v>
      </c>
      <c r="AR772" s="77"/>
      <c r="AS772" s="77"/>
      <c r="AT772" s="77"/>
      <c r="AU772" s="77"/>
      <c r="AV772" s="83" t="str">
        <f>HYPERLINK("https://pbs.twimg.com/media/FzerwLJWcAApsxs.jpg")</f>
        <v>https://pbs.twimg.com/media/FzerwLJWcAApsxs.jpg</v>
      </c>
      <c r="AW772" s="81" t="s">
        <v>10040</v>
      </c>
      <c r="AX772" s="81" t="s">
        <v>10040</v>
      </c>
      <c r="AY772" s="77"/>
      <c r="AZ772" s="81" t="s">
        <v>11359</v>
      </c>
      <c r="BA772" s="81" t="s">
        <v>11359</v>
      </c>
      <c r="BB772" s="81" t="s">
        <v>11359</v>
      </c>
      <c r="BC772" s="81" t="s">
        <v>10040</v>
      </c>
      <c r="BD772" s="81" t="s">
        <v>11512</v>
      </c>
      <c r="BE772" s="77"/>
      <c r="BF772" s="77"/>
      <c r="BG772" s="77"/>
      <c r="BH772" s="77"/>
      <c r="BI772" s="77"/>
    </row>
    <row r="773" spans="1:61" x14ac:dyDescent="0.25">
      <c r="A773" s="62" t="s">
        <v>437</v>
      </c>
      <c r="B773" s="62" t="s">
        <v>437</v>
      </c>
      <c r="C773" s="63"/>
      <c r="D773" s="64"/>
      <c r="E773" s="65"/>
      <c r="F773" s="66"/>
      <c r="G773" s="63"/>
      <c r="H773" s="67"/>
      <c r="I773" s="68"/>
      <c r="J773" s="68"/>
      <c r="K773" s="32"/>
      <c r="L773" s="75">
        <v>773</v>
      </c>
      <c r="M773" s="75"/>
      <c r="N773" s="70"/>
      <c r="O773" s="77" t="s">
        <v>967</v>
      </c>
      <c r="P773" s="79">
        <v>45141.467210648145</v>
      </c>
      <c r="Q773" s="77" t="s">
        <v>1719</v>
      </c>
      <c r="R773" s="77">
        <v>0</v>
      </c>
      <c r="S773" s="77">
        <v>0</v>
      </c>
      <c r="T773" s="77">
        <v>1</v>
      </c>
      <c r="U773" s="77">
        <v>0</v>
      </c>
      <c r="V773" s="77">
        <v>45</v>
      </c>
      <c r="W773" s="81" t="s">
        <v>3361</v>
      </c>
      <c r="X773" s="77"/>
      <c r="Y773" s="77"/>
      <c r="Z773" s="77" t="s">
        <v>437</v>
      </c>
      <c r="AA773" s="77" t="s">
        <v>4987</v>
      </c>
      <c r="AB773" s="77" t="s">
        <v>5794</v>
      </c>
      <c r="AC773" s="81" t="s">
        <v>5801</v>
      </c>
      <c r="AD773" s="77" t="s">
        <v>5851</v>
      </c>
      <c r="AE773" s="83" t="str">
        <f>HYPERLINK("https://twitter.com/workshopdantas/status/1687058930738814976")</f>
        <v>https://twitter.com/workshopdantas/status/1687058930738814976</v>
      </c>
      <c r="AF773" s="79">
        <v>45141.467210648145</v>
      </c>
      <c r="AG773" s="85">
        <v>45141</v>
      </c>
      <c r="AH773" s="81" t="s">
        <v>6590</v>
      </c>
      <c r="AI773" s="77" t="b">
        <v>0</v>
      </c>
      <c r="AJ773" s="77"/>
      <c r="AK773" s="77"/>
      <c r="AL773" s="77"/>
      <c r="AM773" s="77"/>
      <c r="AN773" s="77"/>
      <c r="AO773" s="77"/>
      <c r="AP773" s="77"/>
      <c r="AQ773" s="77" t="s">
        <v>8490</v>
      </c>
      <c r="AR773" s="77"/>
      <c r="AS773" s="77"/>
      <c r="AT773" s="77"/>
      <c r="AU773" s="77"/>
      <c r="AV773" s="83" t="str">
        <f>HYPERLINK("https://pbs.twimg.com/media/F2mjKDRXwAIkqKU.jpg")</f>
        <v>https://pbs.twimg.com/media/F2mjKDRXwAIkqKU.jpg</v>
      </c>
      <c r="AW773" s="81" t="s">
        <v>10041</v>
      </c>
      <c r="AX773" s="81" t="s">
        <v>10041</v>
      </c>
      <c r="AY773" s="77"/>
      <c r="AZ773" s="81" t="s">
        <v>11359</v>
      </c>
      <c r="BA773" s="81" t="s">
        <v>11359</v>
      </c>
      <c r="BB773" s="81" t="s">
        <v>11359</v>
      </c>
      <c r="BC773" s="81" t="s">
        <v>10041</v>
      </c>
      <c r="BD773" s="81" t="s">
        <v>11512</v>
      </c>
      <c r="BE773" s="77"/>
      <c r="BF773" s="77"/>
      <c r="BG773" s="77"/>
      <c r="BH773" s="77"/>
      <c r="BI773" s="77"/>
    </row>
    <row r="774" spans="1:61" x14ac:dyDescent="0.25">
      <c r="A774" s="62" t="s">
        <v>437</v>
      </c>
      <c r="B774" s="62" t="s">
        <v>437</v>
      </c>
      <c r="C774" s="63"/>
      <c r="D774" s="64"/>
      <c r="E774" s="65"/>
      <c r="F774" s="66"/>
      <c r="G774" s="63"/>
      <c r="H774" s="67"/>
      <c r="I774" s="68"/>
      <c r="J774" s="68"/>
      <c r="K774" s="32"/>
      <c r="L774" s="75">
        <v>774</v>
      </c>
      <c r="M774" s="75"/>
      <c r="N774" s="70"/>
      <c r="O774" s="77" t="s">
        <v>967</v>
      </c>
      <c r="P774" s="79">
        <v>45132.958472222221</v>
      </c>
      <c r="Q774" s="77" t="s">
        <v>1720</v>
      </c>
      <c r="R774" s="77">
        <v>0</v>
      </c>
      <c r="S774" s="77">
        <v>1</v>
      </c>
      <c r="T774" s="77">
        <v>0</v>
      </c>
      <c r="U774" s="77">
        <v>0</v>
      </c>
      <c r="V774" s="77">
        <v>106</v>
      </c>
      <c r="W774" s="81" t="s">
        <v>3362</v>
      </c>
      <c r="X774" s="77"/>
      <c r="Y774" s="77"/>
      <c r="Z774" s="77" t="s">
        <v>437</v>
      </c>
      <c r="AA774" s="77" t="s">
        <v>4988</v>
      </c>
      <c r="AB774" s="77" t="s">
        <v>5794</v>
      </c>
      <c r="AC774" s="81" t="s">
        <v>5801</v>
      </c>
      <c r="AD774" s="77" t="s">
        <v>5851</v>
      </c>
      <c r="AE774" s="83" t="str">
        <f>HYPERLINK("https://twitter.com/workshopdantas/status/1683975467299217410")</f>
        <v>https://twitter.com/workshopdantas/status/1683975467299217410</v>
      </c>
      <c r="AF774" s="79">
        <v>45132.958472222221</v>
      </c>
      <c r="AG774" s="85">
        <v>45132</v>
      </c>
      <c r="AH774" s="81" t="s">
        <v>6156</v>
      </c>
      <c r="AI774" s="77" t="b">
        <v>0</v>
      </c>
      <c r="AJ774" s="77"/>
      <c r="AK774" s="77"/>
      <c r="AL774" s="77"/>
      <c r="AM774" s="77"/>
      <c r="AN774" s="77"/>
      <c r="AO774" s="77"/>
      <c r="AP774" s="77"/>
      <c r="AQ774" s="77" t="s">
        <v>8491</v>
      </c>
      <c r="AR774" s="77"/>
      <c r="AS774" s="77"/>
      <c r="AT774" s="77"/>
      <c r="AU774" s="77"/>
      <c r="AV774" s="83" t="str">
        <f>HYPERLINK("https://pbs.twimg.com/media/F16uwbPWAAA4hfA.jpg")</f>
        <v>https://pbs.twimg.com/media/F16uwbPWAAA4hfA.jpg</v>
      </c>
      <c r="AW774" s="81" t="s">
        <v>10042</v>
      </c>
      <c r="AX774" s="81" t="s">
        <v>10042</v>
      </c>
      <c r="AY774" s="77"/>
      <c r="AZ774" s="81" t="s">
        <v>11359</v>
      </c>
      <c r="BA774" s="81" t="s">
        <v>11359</v>
      </c>
      <c r="BB774" s="81" t="s">
        <v>11359</v>
      </c>
      <c r="BC774" s="81" t="s">
        <v>10042</v>
      </c>
      <c r="BD774" s="81" t="s">
        <v>11512</v>
      </c>
      <c r="BE774" s="77"/>
      <c r="BF774" s="77"/>
      <c r="BG774" s="77"/>
      <c r="BH774" s="77"/>
      <c r="BI774" s="77"/>
    </row>
    <row r="775" spans="1:61" x14ac:dyDescent="0.25">
      <c r="A775" s="62" t="s">
        <v>437</v>
      </c>
      <c r="B775" s="62" t="s">
        <v>437</v>
      </c>
      <c r="C775" s="63"/>
      <c r="D775" s="64"/>
      <c r="E775" s="65"/>
      <c r="F775" s="66"/>
      <c r="G775" s="63"/>
      <c r="H775" s="67"/>
      <c r="I775" s="68"/>
      <c r="J775" s="68"/>
      <c r="K775" s="32"/>
      <c r="L775" s="75">
        <v>775</v>
      </c>
      <c r="M775" s="75"/>
      <c r="N775" s="70"/>
      <c r="O775" s="77" t="s">
        <v>967</v>
      </c>
      <c r="P775" s="79">
        <v>45132.576354166667</v>
      </c>
      <c r="Q775" s="77" t="s">
        <v>1721</v>
      </c>
      <c r="R775" s="77">
        <v>0</v>
      </c>
      <c r="S775" s="77">
        <v>1</v>
      </c>
      <c r="T775" s="77">
        <v>0</v>
      </c>
      <c r="U775" s="77">
        <v>0</v>
      </c>
      <c r="V775" s="77">
        <v>54</v>
      </c>
      <c r="W775" s="81" t="s">
        <v>3363</v>
      </c>
      <c r="X775" s="77"/>
      <c r="Y775" s="77"/>
      <c r="Z775" s="77" t="s">
        <v>437</v>
      </c>
      <c r="AA775" s="77" t="s">
        <v>4989</v>
      </c>
      <c r="AB775" s="77" t="s">
        <v>5794</v>
      </c>
      <c r="AC775" s="81" t="s">
        <v>5801</v>
      </c>
      <c r="AD775" s="77" t="s">
        <v>5851</v>
      </c>
      <c r="AE775" s="83" t="str">
        <f>HYPERLINK("https://twitter.com/workshopdantas/status/1683836991111307266")</f>
        <v>https://twitter.com/workshopdantas/status/1683836991111307266</v>
      </c>
      <c r="AF775" s="79">
        <v>45132.576354166667</v>
      </c>
      <c r="AG775" s="85">
        <v>45132</v>
      </c>
      <c r="AH775" s="81" t="s">
        <v>6591</v>
      </c>
      <c r="AI775" s="77" t="b">
        <v>0</v>
      </c>
      <c r="AJ775" s="77"/>
      <c r="AK775" s="77"/>
      <c r="AL775" s="77"/>
      <c r="AM775" s="77"/>
      <c r="AN775" s="77"/>
      <c r="AO775" s="77"/>
      <c r="AP775" s="77"/>
      <c r="AQ775" s="77" t="s">
        <v>8492</v>
      </c>
      <c r="AR775" s="77"/>
      <c r="AS775" s="77"/>
      <c r="AT775" s="77"/>
      <c r="AU775" s="77"/>
      <c r="AV775" s="83" t="str">
        <f>HYPERLINK("https://pbs.twimg.com/media/F14w0dgaMAANj2-.jpg")</f>
        <v>https://pbs.twimg.com/media/F14w0dgaMAANj2-.jpg</v>
      </c>
      <c r="AW775" s="81" t="s">
        <v>10043</v>
      </c>
      <c r="AX775" s="81" t="s">
        <v>10043</v>
      </c>
      <c r="AY775" s="77"/>
      <c r="AZ775" s="81" t="s">
        <v>11359</v>
      </c>
      <c r="BA775" s="81" t="s">
        <v>11359</v>
      </c>
      <c r="BB775" s="81" t="s">
        <v>11359</v>
      </c>
      <c r="BC775" s="81" t="s">
        <v>10043</v>
      </c>
      <c r="BD775" s="81" t="s">
        <v>11512</v>
      </c>
      <c r="BE775" s="77"/>
      <c r="BF775" s="77"/>
      <c r="BG775" s="77"/>
      <c r="BH775" s="77"/>
      <c r="BI775" s="77"/>
    </row>
    <row r="776" spans="1:61" x14ac:dyDescent="0.25">
      <c r="A776" s="62" t="s">
        <v>437</v>
      </c>
      <c r="B776" s="62" t="s">
        <v>437</v>
      </c>
      <c r="C776" s="63"/>
      <c r="D776" s="64"/>
      <c r="E776" s="65"/>
      <c r="F776" s="66"/>
      <c r="G776" s="63"/>
      <c r="H776" s="67"/>
      <c r="I776" s="68"/>
      <c r="J776" s="68"/>
      <c r="K776" s="32"/>
      <c r="L776" s="75">
        <v>776</v>
      </c>
      <c r="M776" s="75"/>
      <c r="N776" s="70"/>
      <c r="O776" s="77" t="s">
        <v>967</v>
      </c>
      <c r="P776" s="79">
        <v>45132.024594907409</v>
      </c>
      <c r="Q776" s="77" t="s">
        <v>1722</v>
      </c>
      <c r="R776" s="77">
        <v>0</v>
      </c>
      <c r="S776" s="77">
        <v>0</v>
      </c>
      <c r="T776" s="77">
        <v>0</v>
      </c>
      <c r="U776" s="77">
        <v>0</v>
      </c>
      <c r="V776" s="77">
        <v>48</v>
      </c>
      <c r="W776" s="81" t="s">
        <v>3364</v>
      </c>
      <c r="X776" s="77"/>
      <c r="Y776" s="77"/>
      <c r="Z776" s="77" t="s">
        <v>437</v>
      </c>
      <c r="AA776" s="77" t="s">
        <v>4990</v>
      </c>
      <c r="AB776" s="77" t="s">
        <v>5794</v>
      </c>
      <c r="AC776" s="81" t="s">
        <v>5801</v>
      </c>
      <c r="AD776" s="77" t="s">
        <v>5851</v>
      </c>
      <c r="AE776" s="83" t="str">
        <f>HYPERLINK("https://twitter.com/workshopdantas/status/1683637039810457603")</f>
        <v>https://twitter.com/workshopdantas/status/1683637039810457603</v>
      </c>
      <c r="AF776" s="79">
        <v>45132.024594907409</v>
      </c>
      <c r="AG776" s="85">
        <v>45132</v>
      </c>
      <c r="AH776" s="81" t="s">
        <v>6592</v>
      </c>
      <c r="AI776" s="77" t="b">
        <v>0</v>
      </c>
      <c r="AJ776" s="77"/>
      <c r="AK776" s="77"/>
      <c r="AL776" s="77"/>
      <c r="AM776" s="77"/>
      <c r="AN776" s="77"/>
      <c r="AO776" s="77"/>
      <c r="AP776" s="77"/>
      <c r="AQ776" s="77" t="s">
        <v>8493</v>
      </c>
      <c r="AR776" s="77"/>
      <c r="AS776" s="77"/>
      <c r="AT776" s="77"/>
      <c r="AU776" s="77"/>
      <c r="AV776" s="83" t="str">
        <f>HYPERLINK("https://pbs.twimg.com/media/F1169YDXgAAyuwc.jpg")</f>
        <v>https://pbs.twimg.com/media/F1169YDXgAAyuwc.jpg</v>
      </c>
      <c r="AW776" s="81" t="s">
        <v>10044</v>
      </c>
      <c r="AX776" s="81" t="s">
        <v>10044</v>
      </c>
      <c r="AY776" s="77"/>
      <c r="AZ776" s="81" t="s">
        <v>11359</v>
      </c>
      <c r="BA776" s="81" t="s">
        <v>11359</v>
      </c>
      <c r="BB776" s="81" t="s">
        <v>11359</v>
      </c>
      <c r="BC776" s="81" t="s">
        <v>10044</v>
      </c>
      <c r="BD776" s="81" t="s">
        <v>11512</v>
      </c>
      <c r="BE776" s="77"/>
      <c r="BF776" s="77"/>
      <c r="BG776" s="77"/>
      <c r="BH776" s="77"/>
      <c r="BI776" s="77"/>
    </row>
    <row r="777" spans="1:61" x14ac:dyDescent="0.25">
      <c r="A777" s="62" t="s">
        <v>437</v>
      </c>
      <c r="B777" s="62" t="s">
        <v>437</v>
      </c>
      <c r="C777" s="63"/>
      <c r="D777" s="64"/>
      <c r="E777" s="65"/>
      <c r="F777" s="66"/>
      <c r="G777" s="63"/>
      <c r="H777" s="67"/>
      <c r="I777" s="68"/>
      <c r="J777" s="68"/>
      <c r="K777" s="32"/>
      <c r="L777" s="75">
        <v>777</v>
      </c>
      <c r="M777" s="75"/>
      <c r="N777" s="70"/>
      <c r="O777" s="77" t="s">
        <v>967</v>
      </c>
      <c r="P777" s="79">
        <v>45130.960763888892</v>
      </c>
      <c r="Q777" s="77" t="s">
        <v>1723</v>
      </c>
      <c r="R777" s="77">
        <v>0</v>
      </c>
      <c r="S777" s="77">
        <v>0</v>
      </c>
      <c r="T777" s="77">
        <v>0</v>
      </c>
      <c r="U777" s="77">
        <v>0</v>
      </c>
      <c r="V777" s="77">
        <v>42</v>
      </c>
      <c r="W777" s="81" t="s">
        <v>3365</v>
      </c>
      <c r="X777" s="77"/>
      <c r="Y777" s="77"/>
      <c r="Z777" s="77" t="s">
        <v>437</v>
      </c>
      <c r="AA777" s="77" t="s">
        <v>4991</v>
      </c>
      <c r="AB777" s="77" t="s">
        <v>5794</v>
      </c>
      <c r="AC777" s="81" t="s">
        <v>5801</v>
      </c>
      <c r="AD777" s="77" t="s">
        <v>5851</v>
      </c>
      <c r="AE777" s="83" t="str">
        <f>HYPERLINK("https://twitter.com/workshopdantas/status/1683251521600000001")</f>
        <v>https://twitter.com/workshopdantas/status/1683251521600000001</v>
      </c>
      <c r="AF777" s="79">
        <v>45130.960763888892</v>
      </c>
      <c r="AG777" s="85">
        <v>45130</v>
      </c>
      <c r="AH777" s="81" t="s">
        <v>6593</v>
      </c>
      <c r="AI777" s="77" t="b">
        <v>0</v>
      </c>
      <c r="AJ777" s="77"/>
      <c r="AK777" s="77"/>
      <c r="AL777" s="77"/>
      <c r="AM777" s="77"/>
      <c r="AN777" s="77"/>
      <c r="AO777" s="77"/>
      <c r="AP777" s="77"/>
      <c r="AQ777" s="77" t="s">
        <v>8494</v>
      </c>
      <c r="AR777" s="77"/>
      <c r="AS777" s="77"/>
      <c r="AT777" s="77"/>
      <c r="AU777" s="77"/>
      <c r="AV777" s="83" t="str">
        <f>HYPERLINK("https://pbs.twimg.com/media/F1wcVU5XsAI1OnQ.jpg")</f>
        <v>https://pbs.twimg.com/media/F1wcVU5XsAI1OnQ.jpg</v>
      </c>
      <c r="AW777" s="81" t="s">
        <v>10045</v>
      </c>
      <c r="AX777" s="81" t="s">
        <v>10045</v>
      </c>
      <c r="AY777" s="77"/>
      <c r="AZ777" s="81" t="s">
        <v>11359</v>
      </c>
      <c r="BA777" s="81" t="s">
        <v>11359</v>
      </c>
      <c r="BB777" s="81" t="s">
        <v>11359</v>
      </c>
      <c r="BC777" s="81" t="s">
        <v>10045</v>
      </c>
      <c r="BD777" s="81" t="s">
        <v>11512</v>
      </c>
      <c r="BE777" s="77"/>
      <c r="BF777" s="77"/>
      <c r="BG777" s="77"/>
      <c r="BH777" s="77"/>
      <c r="BI777" s="77"/>
    </row>
    <row r="778" spans="1:61" x14ac:dyDescent="0.25">
      <c r="A778" s="62" t="s">
        <v>437</v>
      </c>
      <c r="B778" s="62" t="s">
        <v>437</v>
      </c>
      <c r="C778" s="63"/>
      <c r="D778" s="64"/>
      <c r="E778" s="65"/>
      <c r="F778" s="66"/>
      <c r="G778" s="63"/>
      <c r="H778" s="67"/>
      <c r="I778" s="68"/>
      <c r="J778" s="68"/>
      <c r="K778" s="32"/>
      <c r="L778" s="75">
        <v>778</v>
      </c>
      <c r="M778" s="75"/>
      <c r="N778" s="70"/>
      <c r="O778" s="77" t="s">
        <v>967</v>
      </c>
      <c r="P778" s="79">
        <v>45130.933113425926</v>
      </c>
      <c r="Q778" s="77" t="s">
        <v>1701</v>
      </c>
      <c r="R778" s="77">
        <v>0</v>
      </c>
      <c r="S778" s="77">
        <v>0</v>
      </c>
      <c r="T778" s="77">
        <v>2</v>
      </c>
      <c r="U778" s="77">
        <v>0</v>
      </c>
      <c r="V778" s="77">
        <v>181</v>
      </c>
      <c r="W778" s="81" t="s">
        <v>3343</v>
      </c>
      <c r="X778" s="77"/>
      <c r="Y778" s="77"/>
      <c r="Z778" s="77" t="s">
        <v>4370</v>
      </c>
      <c r="AA778" s="77" t="s">
        <v>4969</v>
      </c>
      <c r="AB778" s="77" t="s">
        <v>5794</v>
      </c>
      <c r="AC778" s="81" t="s">
        <v>5801</v>
      </c>
      <c r="AD778" s="77" t="s">
        <v>5851</v>
      </c>
      <c r="AE778" s="83" t="str">
        <f>HYPERLINK("https://twitter.com/workshopdantas/status/1683241500468019200")</f>
        <v>https://twitter.com/workshopdantas/status/1683241500468019200</v>
      </c>
      <c r="AF778" s="79">
        <v>45130.933113425926</v>
      </c>
      <c r="AG778" s="85">
        <v>45130</v>
      </c>
      <c r="AH778" s="81" t="s">
        <v>6572</v>
      </c>
      <c r="AI778" s="77" t="b">
        <v>0</v>
      </c>
      <c r="AJ778" s="77"/>
      <c r="AK778" s="77"/>
      <c r="AL778" s="77"/>
      <c r="AM778" s="77"/>
      <c r="AN778" s="77"/>
      <c r="AO778" s="77"/>
      <c r="AP778" s="77"/>
      <c r="AQ778" s="77" t="s">
        <v>8472</v>
      </c>
      <c r="AR778" s="77"/>
      <c r="AS778" s="77"/>
      <c r="AT778" s="77"/>
      <c r="AU778" s="77"/>
      <c r="AV778" s="83" t="str">
        <f>HYPERLINK("https://pbs.twimg.com/media/F1wTODlXgAMFYga.jpg")</f>
        <v>https://pbs.twimg.com/media/F1wTODlXgAMFYga.jpg</v>
      </c>
      <c r="AW778" s="81" t="s">
        <v>10023</v>
      </c>
      <c r="AX778" s="81" t="s">
        <v>10023</v>
      </c>
      <c r="AY778" s="77"/>
      <c r="AZ778" s="81" t="s">
        <v>11359</v>
      </c>
      <c r="BA778" s="81" t="s">
        <v>11359</v>
      </c>
      <c r="BB778" s="81" t="s">
        <v>11359</v>
      </c>
      <c r="BC778" s="81" t="s">
        <v>10023</v>
      </c>
      <c r="BD778" s="81" t="s">
        <v>11512</v>
      </c>
      <c r="BE778" s="77"/>
      <c r="BF778" s="77"/>
      <c r="BG778" s="77"/>
      <c r="BH778" s="77"/>
      <c r="BI778" s="77"/>
    </row>
    <row r="779" spans="1:61" x14ac:dyDescent="0.25">
      <c r="A779" s="62" t="s">
        <v>437</v>
      </c>
      <c r="B779" s="62" t="s">
        <v>437</v>
      </c>
      <c r="C779" s="63"/>
      <c r="D779" s="64"/>
      <c r="E779" s="65"/>
      <c r="F779" s="66"/>
      <c r="G779" s="63"/>
      <c r="H779" s="67"/>
      <c r="I779" s="68"/>
      <c r="J779" s="68"/>
      <c r="K779" s="32"/>
      <c r="L779" s="75">
        <v>779</v>
      </c>
      <c r="M779" s="75"/>
      <c r="N779" s="70"/>
      <c r="O779" s="77" t="s">
        <v>967</v>
      </c>
      <c r="P779" s="79">
        <v>45130.803900462961</v>
      </c>
      <c r="Q779" s="77" t="s">
        <v>1724</v>
      </c>
      <c r="R779" s="77">
        <v>0</v>
      </c>
      <c r="S779" s="77">
        <v>0</v>
      </c>
      <c r="T779" s="77">
        <v>1</v>
      </c>
      <c r="U779" s="77">
        <v>0</v>
      </c>
      <c r="V779" s="77">
        <v>87</v>
      </c>
      <c r="W779" s="81" t="s">
        <v>3366</v>
      </c>
      <c r="X779" s="77"/>
      <c r="Y779" s="77"/>
      <c r="Z779" s="77" t="s">
        <v>437</v>
      </c>
      <c r="AA779" s="77" t="s">
        <v>4992</v>
      </c>
      <c r="AB779" s="77" t="s">
        <v>5794</v>
      </c>
      <c r="AC779" s="81" t="s">
        <v>5801</v>
      </c>
      <c r="AD779" s="77" t="s">
        <v>5851</v>
      </c>
      <c r="AE779" s="83" t="str">
        <f>HYPERLINK("https://twitter.com/workshopdantas/status/1683194675224625152")</f>
        <v>https://twitter.com/workshopdantas/status/1683194675224625152</v>
      </c>
      <c r="AF779" s="79">
        <v>45130.803900462961</v>
      </c>
      <c r="AG779" s="85">
        <v>45130</v>
      </c>
      <c r="AH779" s="81" t="s">
        <v>6594</v>
      </c>
      <c r="AI779" s="77" t="b">
        <v>0</v>
      </c>
      <c r="AJ779" s="77"/>
      <c r="AK779" s="77"/>
      <c r="AL779" s="77"/>
      <c r="AM779" s="77"/>
      <c r="AN779" s="77"/>
      <c r="AO779" s="77"/>
      <c r="AP779" s="77"/>
      <c r="AQ779" s="77" t="s">
        <v>8495</v>
      </c>
      <c r="AR779" s="77"/>
      <c r="AS779" s="77"/>
      <c r="AT779" s="77"/>
      <c r="AU779" s="77"/>
      <c r="AV779" s="83" t="str">
        <f>HYPERLINK("https://pbs.twimg.com/media/F1vomguWIAkOUZW.jpg")</f>
        <v>https://pbs.twimg.com/media/F1vomguWIAkOUZW.jpg</v>
      </c>
      <c r="AW779" s="81" t="s">
        <v>10046</v>
      </c>
      <c r="AX779" s="81" t="s">
        <v>10046</v>
      </c>
      <c r="AY779" s="77"/>
      <c r="AZ779" s="81" t="s">
        <v>11359</v>
      </c>
      <c r="BA779" s="81" t="s">
        <v>11359</v>
      </c>
      <c r="BB779" s="81" t="s">
        <v>11359</v>
      </c>
      <c r="BC779" s="81" t="s">
        <v>10046</v>
      </c>
      <c r="BD779" s="81" t="s">
        <v>11512</v>
      </c>
      <c r="BE779" s="77"/>
      <c r="BF779" s="77"/>
      <c r="BG779" s="77"/>
      <c r="BH779" s="77"/>
      <c r="BI779" s="77"/>
    </row>
    <row r="780" spans="1:61" x14ac:dyDescent="0.25">
      <c r="A780" s="62" t="s">
        <v>437</v>
      </c>
      <c r="B780" s="62" t="s">
        <v>437</v>
      </c>
      <c r="C780" s="63"/>
      <c r="D780" s="64"/>
      <c r="E780" s="65"/>
      <c r="F780" s="66"/>
      <c r="G780" s="63"/>
      <c r="H780" s="67"/>
      <c r="I780" s="68"/>
      <c r="J780" s="68"/>
      <c r="K780" s="32"/>
      <c r="L780" s="75">
        <v>780</v>
      </c>
      <c r="M780" s="75"/>
      <c r="N780" s="70"/>
      <c r="O780" s="77" t="s">
        <v>967</v>
      </c>
      <c r="P780" s="79">
        <v>45130.479224537034</v>
      </c>
      <c r="Q780" s="77" t="s">
        <v>1725</v>
      </c>
      <c r="R780" s="77">
        <v>0</v>
      </c>
      <c r="S780" s="77">
        <v>1</v>
      </c>
      <c r="T780" s="77">
        <v>1</v>
      </c>
      <c r="U780" s="77">
        <v>0</v>
      </c>
      <c r="V780" s="77">
        <v>57</v>
      </c>
      <c r="W780" s="81" t="s">
        <v>3367</v>
      </c>
      <c r="X780" s="77"/>
      <c r="Y780" s="77"/>
      <c r="Z780" s="77" t="s">
        <v>437</v>
      </c>
      <c r="AA780" s="77" t="s">
        <v>4993</v>
      </c>
      <c r="AB780" s="77" t="s">
        <v>5794</v>
      </c>
      <c r="AC780" s="81" t="s">
        <v>5801</v>
      </c>
      <c r="AD780" s="77" t="s">
        <v>5851</v>
      </c>
      <c r="AE780" s="83" t="str">
        <f>HYPERLINK("https://twitter.com/workshopdantas/status/1683077017497919488")</f>
        <v>https://twitter.com/workshopdantas/status/1683077017497919488</v>
      </c>
      <c r="AF780" s="79">
        <v>45130.479224537034</v>
      </c>
      <c r="AG780" s="85">
        <v>45130</v>
      </c>
      <c r="AH780" s="81" t="s">
        <v>6595</v>
      </c>
      <c r="AI780" s="77" t="b">
        <v>0</v>
      </c>
      <c r="AJ780" s="77"/>
      <c r="AK780" s="77"/>
      <c r="AL780" s="77"/>
      <c r="AM780" s="77"/>
      <c r="AN780" s="77"/>
      <c r="AO780" s="77"/>
      <c r="AP780" s="77"/>
      <c r="AQ780" s="77" t="s">
        <v>8496</v>
      </c>
      <c r="AR780" s="77"/>
      <c r="AS780" s="77"/>
      <c r="AT780" s="77"/>
      <c r="AU780" s="77"/>
      <c r="AV780" s="83" t="str">
        <f>HYPERLINK("https://pbs.twimg.com/media/F1t9oKRX0AE6DHn.jpg")</f>
        <v>https://pbs.twimg.com/media/F1t9oKRX0AE6DHn.jpg</v>
      </c>
      <c r="AW780" s="81" t="s">
        <v>10047</v>
      </c>
      <c r="AX780" s="81" t="s">
        <v>10047</v>
      </c>
      <c r="AY780" s="77"/>
      <c r="AZ780" s="81" t="s">
        <v>11359</v>
      </c>
      <c r="BA780" s="81" t="s">
        <v>11359</v>
      </c>
      <c r="BB780" s="81" t="s">
        <v>11359</v>
      </c>
      <c r="BC780" s="81" t="s">
        <v>10047</v>
      </c>
      <c r="BD780" s="81" t="s">
        <v>11512</v>
      </c>
      <c r="BE780" s="77"/>
      <c r="BF780" s="77"/>
      <c r="BG780" s="77"/>
      <c r="BH780" s="77"/>
      <c r="BI780" s="77"/>
    </row>
    <row r="781" spans="1:61" x14ac:dyDescent="0.25">
      <c r="A781" s="62" t="s">
        <v>437</v>
      </c>
      <c r="B781" s="62" t="s">
        <v>437</v>
      </c>
      <c r="C781" s="63"/>
      <c r="D781" s="64"/>
      <c r="E781" s="65"/>
      <c r="F781" s="66"/>
      <c r="G781" s="63"/>
      <c r="H781" s="67"/>
      <c r="I781" s="68"/>
      <c r="J781" s="68"/>
      <c r="K781" s="32"/>
      <c r="L781" s="75">
        <v>781</v>
      </c>
      <c r="M781" s="75"/>
      <c r="N781" s="70"/>
      <c r="O781" s="77" t="s">
        <v>967</v>
      </c>
      <c r="P781" s="79">
        <v>45130.032523148147</v>
      </c>
      <c r="Q781" s="77" t="s">
        <v>1726</v>
      </c>
      <c r="R781" s="77">
        <v>0</v>
      </c>
      <c r="S781" s="77">
        <v>1</v>
      </c>
      <c r="T781" s="77">
        <v>0</v>
      </c>
      <c r="U781" s="77">
        <v>0</v>
      </c>
      <c r="V781" s="77">
        <v>157</v>
      </c>
      <c r="W781" s="81" t="s">
        <v>3368</v>
      </c>
      <c r="X781" s="77"/>
      <c r="Y781" s="77"/>
      <c r="Z781" s="77" t="s">
        <v>437</v>
      </c>
      <c r="AA781" s="77" t="s">
        <v>4994</v>
      </c>
      <c r="AB781" s="77" t="s">
        <v>5795</v>
      </c>
      <c r="AC781" s="81" t="s">
        <v>5801</v>
      </c>
      <c r="AD781" s="77" t="s">
        <v>5851</v>
      </c>
      <c r="AE781" s="83" t="str">
        <f>HYPERLINK("https://twitter.com/workshopdantas/status/1682915136846045185")</f>
        <v>https://twitter.com/workshopdantas/status/1682915136846045185</v>
      </c>
      <c r="AF781" s="79">
        <v>45130.032523148147</v>
      </c>
      <c r="AG781" s="85">
        <v>45130</v>
      </c>
      <c r="AH781" s="81" t="s">
        <v>6596</v>
      </c>
      <c r="AI781" s="77" t="b">
        <v>0</v>
      </c>
      <c r="AJ781" s="77"/>
      <c r="AK781" s="77"/>
      <c r="AL781" s="77"/>
      <c r="AM781" s="77"/>
      <c r="AN781" s="77"/>
      <c r="AO781" s="77"/>
      <c r="AP781" s="77"/>
      <c r="AQ781" s="77" t="s">
        <v>8497</v>
      </c>
      <c r="AR781" s="77">
        <v>27444</v>
      </c>
      <c r="AS781" s="77"/>
      <c r="AT781" s="77"/>
      <c r="AU781" s="77"/>
      <c r="AV781" s="83" t="str">
        <f>HYPERLINK("https://pbs.twimg.com/ext_tw_video_thumb/1682915081007316996/pu/img/_R0T8r5SvfIyIpis.jpg")</f>
        <v>https://pbs.twimg.com/ext_tw_video_thumb/1682915081007316996/pu/img/_R0T8r5SvfIyIpis.jpg</v>
      </c>
      <c r="AW781" s="81" t="s">
        <v>10048</v>
      </c>
      <c r="AX781" s="81" t="s">
        <v>10048</v>
      </c>
      <c r="AY781" s="77"/>
      <c r="AZ781" s="81" t="s">
        <v>11359</v>
      </c>
      <c r="BA781" s="81" t="s">
        <v>11359</v>
      </c>
      <c r="BB781" s="81" t="s">
        <v>11359</v>
      </c>
      <c r="BC781" s="81" t="s">
        <v>10048</v>
      </c>
      <c r="BD781" s="81" t="s">
        <v>11512</v>
      </c>
      <c r="BE781" s="77"/>
      <c r="BF781" s="77"/>
      <c r="BG781" s="77"/>
      <c r="BH781" s="77"/>
      <c r="BI781" s="77"/>
    </row>
    <row r="782" spans="1:61" x14ac:dyDescent="0.25">
      <c r="A782" s="62" t="s">
        <v>437</v>
      </c>
      <c r="B782" s="62" t="s">
        <v>437</v>
      </c>
      <c r="C782" s="63"/>
      <c r="D782" s="64"/>
      <c r="E782" s="65"/>
      <c r="F782" s="66"/>
      <c r="G782" s="63"/>
      <c r="H782" s="67"/>
      <c r="I782" s="68"/>
      <c r="J782" s="68"/>
      <c r="K782" s="32"/>
      <c r="L782" s="75">
        <v>782</v>
      </c>
      <c r="M782" s="75"/>
      <c r="N782" s="70"/>
      <c r="O782" s="77" t="s">
        <v>967</v>
      </c>
      <c r="P782" s="79">
        <v>45129.51189814815</v>
      </c>
      <c r="Q782" s="77" t="s">
        <v>1727</v>
      </c>
      <c r="R782" s="77">
        <v>0</v>
      </c>
      <c r="S782" s="77">
        <v>1</v>
      </c>
      <c r="T782" s="77">
        <v>0</v>
      </c>
      <c r="U782" s="77">
        <v>0</v>
      </c>
      <c r="V782" s="77">
        <v>62</v>
      </c>
      <c r="W782" s="81" t="s">
        <v>3369</v>
      </c>
      <c r="X782" s="77"/>
      <c r="Y782" s="77"/>
      <c r="Z782" s="77" t="s">
        <v>437</v>
      </c>
      <c r="AA782" s="77" t="s">
        <v>4995</v>
      </c>
      <c r="AB782" s="77" t="s">
        <v>5794</v>
      </c>
      <c r="AC782" s="81" t="s">
        <v>5801</v>
      </c>
      <c r="AD782" s="77" t="s">
        <v>5851</v>
      </c>
      <c r="AE782" s="83" t="str">
        <f>HYPERLINK("https://twitter.com/workshopdantas/status/1682726469099745280")</f>
        <v>https://twitter.com/workshopdantas/status/1682726469099745280</v>
      </c>
      <c r="AF782" s="79">
        <v>45129.51189814815</v>
      </c>
      <c r="AG782" s="85">
        <v>45129</v>
      </c>
      <c r="AH782" s="81" t="s">
        <v>6597</v>
      </c>
      <c r="AI782" s="77" t="b">
        <v>0</v>
      </c>
      <c r="AJ782" s="77"/>
      <c r="AK782" s="77"/>
      <c r="AL782" s="77"/>
      <c r="AM782" s="77"/>
      <c r="AN782" s="77"/>
      <c r="AO782" s="77"/>
      <c r="AP782" s="77"/>
      <c r="AQ782" s="77" t="s">
        <v>8498</v>
      </c>
      <c r="AR782" s="77"/>
      <c r="AS782" s="77"/>
      <c r="AT782" s="77"/>
      <c r="AU782" s="77"/>
      <c r="AV782" s="83" t="str">
        <f>HYPERLINK("https://pbs.twimg.com/media/F1o-zhCWcAAz-7f.jpg")</f>
        <v>https://pbs.twimg.com/media/F1o-zhCWcAAz-7f.jpg</v>
      </c>
      <c r="AW782" s="81" t="s">
        <v>10049</v>
      </c>
      <c r="AX782" s="81" t="s">
        <v>10049</v>
      </c>
      <c r="AY782" s="77"/>
      <c r="AZ782" s="81" t="s">
        <v>11359</v>
      </c>
      <c r="BA782" s="81" t="s">
        <v>11359</v>
      </c>
      <c r="BB782" s="81" t="s">
        <v>11359</v>
      </c>
      <c r="BC782" s="81" t="s">
        <v>10049</v>
      </c>
      <c r="BD782" s="81" t="s">
        <v>11512</v>
      </c>
      <c r="BE782" s="77"/>
      <c r="BF782" s="77"/>
      <c r="BG782" s="77"/>
      <c r="BH782" s="77"/>
      <c r="BI782" s="77"/>
    </row>
    <row r="783" spans="1:61" x14ac:dyDescent="0.25">
      <c r="A783" s="62" t="s">
        <v>437</v>
      </c>
      <c r="B783" s="62" t="s">
        <v>437</v>
      </c>
      <c r="C783" s="63"/>
      <c r="D783" s="64"/>
      <c r="E783" s="65"/>
      <c r="F783" s="66"/>
      <c r="G783" s="63"/>
      <c r="H783" s="67"/>
      <c r="I783" s="68"/>
      <c r="J783" s="68"/>
      <c r="K783" s="32"/>
      <c r="L783" s="75">
        <v>783</v>
      </c>
      <c r="M783" s="75"/>
      <c r="N783" s="70"/>
      <c r="O783" s="77" t="s">
        <v>967</v>
      </c>
      <c r="P783" s="79">
        <v>45125.447685185187</v>
      </c>
      <c r="Q783" s="77" t="s">
        <v>1728</v>
      </c>
      <c r="R783" s="77">
        <v>0</v>
      </c>
      <c r="S783" s="77">
        <v>0</v>
      </c>
      <c r="T783" s="77">
        <v>1</v>
      </c>
      <c r="U783" s="77">
        <v>0</v>
      </c>
      <c r="V783" s="77">
        <v>42</v>
      </c>
      <c r="W783" s="81" t="s">
        <v>3370</v>
      </c>
      <c r="X783" s="77"/>
      <c r="Y783" s="77"/>
      <c r="Z783" s="77" t="s">
        <v>437</v>
      </c>
      <c r="AA783" s="77" t="s">
        <v>4996</v>
      </c>
      <c r="AB783" s="77" t="s">
        <v>5794</v>
      </c>
      <c r="AC783" s="81" t="s">
        <v>5801</v>
      </c>
      <c r="AD783" s="77" t="s">
        <v>5851</v>
      </c>
      <c r="AE783" s="83" t="str">
        <f>HYPERLINK("https://twitter.com/workshopdantas/status/1681253645877145600")</f>
        <v>https://twitter.com/workshopdantas/status/1681253645877145600</v>
      </c>
      <c r="AF783" s="79">
        <v>45125.447685185187</v>
      </c>
      <c r="AG783" s="85">
        <v>45125</v>
      </c>
      <c r="AH783" s="81" t="s">
        <v>6598</v>
      </c>
      <c r="AI783" s="77" t="b">
        <v>0</v>
      </c>
      <c r="AJ783" s="77"/>
      <c r="AK783" s="77"/>
      <c r="AL783" s="77"/>
      <c r="AM783" s="77"/>
      <c r="AN783" s="77"/>
      <c r="AO783" s="77"/>
      <c r="AP783" s="77"/>
      <c r="AQ783" s="77" t="s">
        <v>8499</v>
      </c>
      <c r="AR783" s="77"/>
      <c r="AS783" s="77"/>
      <c r="AT783" s="77"/>
      <c r="AU783" s="77"/>
      <c r="AV783" s="83" t="str">
        <f>HYPERLINK("https://pbs.twimg.com/media/F1UDR-MXsAA3UbA.jpg")</f>
        <v>https://pbs.twimg.com/media/F1UDR-MXsAA3UbA.jpg</v>
      </c>
      <c r="AW783" s="81" t="s">
        <v>10050</v>
      </c>
      <c r="AX783" s="81" t="s">
        <v>10050</v>
      </c>
      <c r="AY783" s="77"/>
      <c r="AZ783" s="81" t="s">
        <v>11359</v>
      </c>
      <c r="BA783" s="81" t="s">
        <v>11359</v>
      </c>
      <c r="BB783" s="81" t="s">
        <v>11359</v>
      </c>
      <c r="BC783" s="81" t="s">
        <v>10050</v>
      </c>
      <c r="BD783" s="81" t="s">
        <v>11512</v>
      </c>
      <c r="BE783" s="77"/>
      <c r="BF783" s="77"/>
      <c r="BG783" s="77"/>
      <c r="BH783" s="77"/>
      <c r="BI783" s="77"/>
    </row>
    <row r="784" spans="1:61" x14ac:dyDescent="0.25">
      <c r="A784" s="62" t="s">
        <v>437</v>
      </c>
      <c r="B784" s="62" t="s">
        <v>437</v>
      </c>
      <c r="C784" s="63"/>
      <c r="D784" s="64"/>
      <c r="E784" s="65"/>
      <c r="F784" s="66"/>
      <c r="G784" s="63"/>
      <c r="H784" s="67"/>
      <c r="I784" s="68"/>
      <c r="J784" s="68"/>
      <c r="K784" s="32"/>
      <c r="L784" s="75">
        <v>784</v>
      </c>
      <c r="M784" s="75"/>
      <c r="N784" s="70"/>
      <c r="O784" s="77" t="s">
        <v>967</v>
      </c>
      <c r="P784" s="79">
        <v>45125.134826388887</v>
      </c>
      <c r="Q784" s="77" t="s">
        <v>1729</v>
      </c>
      <c r="R784" s="77">
        <v>0</v>
      </c>
      <c r="S784" s="77">
        <v>0</v>
      </c>
      <c r="T784" s="77">
        <v>0</v>
      </c>
      <c r="U784" s="77">
        <v>0</v>
      </c>
      <c r="V784" s="77">
        <v>32</v>
      </c>
      <c r="W784" s="81" t="s">
        <v>3371</v>
      </c>
      <c r="X784" s="77"/>
      <c r="Y784" s="77"/>
      <c r="Z784" s="77" t="s">
        <v>437</v>
      </c>
      <c r="AA784" s="77" t="s">
        <v>4997</v>
      </c>
      <c r="AB784" s="77" t="s">
        <v>5794</v>
      </c>
      <c r="AC784" s="81" t="s">
        <v>5801</v>
      </c>
      <c r="AD784" s="77" t="s">
        <v>5851</v>
      </c>
      <c r="AE784" s="83" t="str">
        <f>HYPERLINK("https://twitter.com/workshopdantas/status/1681140271373754370")</f>
        <v>https://twitter.com/workshopdantas/status/1681140271373754370</v>
      </c>
      <c r="AF784" s="79">
        <v>45125.134826388887</v>
      </c>
      <c r="AG784" s="85">
        <v>45125</v>
      </c>
      <c r="AH784" s="81" t="s">
        <v>6599</v>
      </c>
      <c r="AI784" s="77" t="b">
        <v>0</v>
      </c>
      <c r="AJ784" s="77"/>
      <c r="AK784" s="77"/>
      <c r="AL784" s="77"/>
      <c r="AM784" s="77"/>
      <c r="AN784" s="77"/>
      <c r="AO784" s="77"/>
      <c r="AP784" s="77"/>
      <c r="AQ784" s="77" t="s">
        <v>8500</v>
      </c>
      <c r="AR784" s="77"/>
      <c r="AS784" s="77"/>
      <c r="AT784" s="77"/>
      <c r="AU784" s="77"/>
      <c r="AV784" s="83" t="str">
        <f>HYPERLINK("https://pbs.twimg.com/media/F1ScKvvWAAArolX.jpg")</f>
        <v>https://pbs.twimg.com/media/F1ScKvvWAAArolX.jpg</v>
      </c>
      <c r="AW784" s="81" t="s">
        <v>10051</v>
      </c>
      <c r="AX784" s="81" t="s">
        <v>10051</v>
      </c>
      <c r="AY784" s="77"/>
      <c r="AZ784" s="81" t="s">
        <v>11359</v>
      </c>
      <c r="BA784" s="81" t="s">
        <v>11359</v>
      </c>
      <c r="BB784" s="81" t="s">
        <v>11359</v>
      </c>
      <c r="BC784" s="81" t="s">
        <v>10051</v>
      </c>
      <c r="BD784" s="81" t="s">
        <v>11512</v>
      </c>
      <c r="BE784" s="77"/>
      <c r="BF784" s="77"/>
      <c r="BG784" s="77"/>
      <c r="BH784" s="77"/>
      <c r="BI784" s="77"/>
    </row>
    <row r="785" spans="1:61" x14ac:dyDescent="0.25">
      <c r="A785" s="62" t="s">
        <v>437</v>
      </c>
      <c r="B785" s="62" t="s">
        <v>437</v>
      </c>
      <c r="C785" s="63"/>
      <c r="D785" s="64"/>
      <c r="E785" s="65"/>
      <c r="F785" s="66"/>
      <c r="G785" s="63"/>
      <c r="H785" s="67"/>
      <c r="I785" s="68"/>
      <c r="J785" s="68"/>
      <c r="K785" s="32"/>
      <c r="L785" s="75">
        <v>785</v>
      </c>
      <c r="M785" s="75"/>
      <c r="N785" s="70"/>
      <c r="O785" s="77" t="s">
        <v>967</v>
      </c>
      <c r="P785" s="79">
        <v>45124.491261574076</v>
      </c>
      <c r="Q785" s="77" t="s">
        <v>1730</v>
      </c>
      <c r="R785" s="77">
        <v>0</v>
      </c>
      <c r="S785" s="77">
        <v>1</v>
      </c>
      <c r="T785" s="77">
        <v>0</v>
      </c>
      <c r="U785" s="77">
        <v>0</v>
      </c>
      <c r="V785" s="77">
        <v>51</v>
      </c>
      <c r="W785" s="81" t="s">
        <v>3372</v>
      </c>
      <c r="X785" s="77"/>
      <c r="Y785" s="77"/>
      <c r="Z785" s="77" t="s">
        <v>437</v>
      </c>
      <c r="AA785" s="77" t="s">
        <v>4998</v>
      </c>
      <c r="AB785" s="77" t="s">
        <v>5794</v>
      </c>
      <c r="AC785" s="81" t="s">
        <v>5801</v>
      </c>
      <c r="AD785" s="77" t="s">
        <v>5851</v>
      </c>
      <c r="AE785" s="83" t="str">
        <f>HYPERLINK("https://twitter.com/workshopdantas/status/1680907050107252739")</f>
        <v>https://twitter.com/workshopdantas/status/1680907050107252739</v>
      </c>
      <c r="AF785" s="79">
        <v>45124.491261574076</v>
      </c>
      <c r="AG785" s="85">
        <v>45124</v>
      </c>
      <c r="AH785" s="81" t="s">
        <v>6600</v>
      </c>
      <c r="AI785" s="77" t="b">
        <v>0</v>
      </c>
      <c r="AJ785" s="77"/>
      <c r="AK785" s="77"/>
      <c r="AL785" s="77"/>
      <c r="AM785" s="77"/>
      <c r="AN785" s="77"/>
      <c r="AO785" s="77"/>
      <c r="AP785" s="77"/>
      <c r="AQ785" s="77" t="s">
        <v>8501</v>
      </c>
      <c r="AR785" s="77"/>
      <c r="AS785" s="77"/>
      <c r="AT785" s="77"/>
      <c r="AU785" s="77"/>
      <c r="AV785" s="83" t="str">
        <f>HYPERLINK("https://pbs.twimg.com/media/F1PIDcPXwAAgzmT.jpg")</f>
        <v>https://pbs.twimg.com/media/F1PIDcPXwAAgzmT.jpg</v>
      </c>
      <c r="AW785" s="81" t="s">
        <v>10052</v>
      </c>
      <c r="AX785" s="81" t="s">
        <v>10052</v>
      </c>
      <c r="AY785" s="77"/>
      <c r="AZ785" s="81" t="s">
        <v>11359</v>
      </c>
      <c r="BA785" s="81" t="s">
        <v>11359</v>
      </c>
      <c r="BB785" s="81" t="s">
        <v>11359</v>
      </c>
      <c r="BC785" s="81" t="s">
        <v>10052</v>
      </c>
      <c r="BD785" s="81" t="s">
        <v>11512</v>
      </c>
      <c r="BE785" s="77"/>
      <c r="BF785" s="77"/>
      <c r="BG785" s="77"/>
      <c r="BH785" s="77"/>
      <c r="BI785" s="77"/>
    </row>
    <row r="786" spans="1:61" x14ac:dyDescent="0.25">
      <c r="A786" s="62" t="s">
        <v>437</v>
      </c>
      <c r="B786" s="62" t="s">
        <v>437</v>
      </c>
      <c r="C786" s="63"/>
      <c r="D786" s="64"/>
      <c r="E786" s="65"/>
      <c r="F786" s="66"/>
      <c r="G786" s="63"/>
      <c r="H786" s="67"/>
      <c r="I786" s="68"/>
      <c r="J786" s="68"/>
      <c r="K786" s="32"/>
      <c r="L786" s="75">
        <v>786</v>
      </c>
      <c r="M786" s="75"/>
      <c r="N786" s="70"/>
      <c r="O786" s="77" t="s">
        <v>967</v>
      </c>
      <c r="P786" s="79">
        <v>45123.955347222225</v>
      </c>
      <c r="Q786" s="77" t="s">
        <v>1731</v>
      </c>
      <c r="R786" s="77">
        <v>0</v>
      </c>
      <c r="S786" s="77">
        <v>0</v>
      </c>
      <c r="T786" s="77">
        <v>0</v>
      </c>
      <c r="U786" s="77">
        <v>0</v>
      </c>
      <c r="V786" s="77">
        <v>72</v>
      </c>
      <c r="W786" s="81" t="s">
        <v>3373</v>
      </c>
      <c r="X786" s="77"/>
      <c r="Y786" s="77"/>
      <c r="Z786" s="77" t="s">
        <v>437</v>
      </c>
      <c r="AA786" s="77" t="s">
        <v>4999</v>
      </c>
      <c r="AB786" s="77" t="s">
        <v>5794</v>
      </c>
      <c r="AC786" s="81" t="s">
        <v>5801</v>
      </c>
      <c r="AD786" s="77" t="s">
        <v>5851</v>
      </c>
      <c r="AE786" s="83" t="str">
        <f>HYPERLINK("https://twitter.com/workshopdantas/status/1680712842121494528")</f>
        <v>https://twitter.com/workshopdantas/status/1680712842121494528</v>
      </c>
      <c r="AF786" s="79">
        <v>45123.955347222225</v>
      </c>
      <c r="AG786" s="85">
        <v>45123</v>
      </c>
      <c r="AH786" s="81" t="s">
        <v>6601</v>
      </c>
      <c r="AI786" s="77" t="b">
        <v>0</v>
      </c>
      <c r="AJ786" s="77"/>
      <c r="AK786" s="77"/>
      <c r="AL786" s="77"/>
      <c r="AM786" s="77"/>
      <c r="AN786" s="77"/>
      <c r="AO786" s="77"/>
      <c r="AP786" s="77"/>
      <c r="AQ786" s="77" t="s">
        <v>8502</v>
      </c>
      <c r="AR786" s="77"/>
      <c r="AS786" s="77"/>
      <c r="AT786" s="77"/>
      <c r="AU786" s="77"/>
      <c r="AV786" s="83" t="str">
        <f>HYPERLINK("https://pbs.twimg.com/media/F1MXbF0XsAEWAGV.jpg")</f>
        <v>https://pbs.twimg.com/media/F1MXbF0XsAEWAGV.jpg</v>
      </c>
      <c r="AW786" s="81" t="s">
        <v>10053</v>
      </c>
      <c r="AX786" s="81" t="s">
        <v>10053</v>
      </c>
      <c r="AY786" s="77"/>
      <c r="AZ786" s="81" t="s">
        <v>11359</v>
      </c>
      <c r="BA786" s="81" t="s">
        <v>11359</v>
      </c>
      <c r="BB786" s="81" t="s">
        <v>11359</v>
      </c>
      <c r="BC786" s="81" t="s">
        <v>10053</v>
      </c>
      <c r="BD786" s="81" t="s">
        <v>11512</v>
      </c>
      <c r="BE786" s="77"/>
      <c r="BF786" s="77"/>
      <c r="BG786" s="77"/>
      <c r="BH786" s="77"/>
      <c r="BI786" s="77"/>
    </row>
    <row r="787" spans="1:61" x14ac:dyDescent="0.25">
      <c r="A787" s="62" t="s">
        <v>437</v>
      </c>
      <c r="B787" s="62" t="s">
        <v>437</v>
      </c>
      <c r="C787" s="63"/>
      <c r="D787" s="64"/>
      <c r="E787" s="65"/>
      <c r="F787" s="66"/>
      <c r="G787" s="63"/>
      <c r="H787" s="67"/>
      <c r="I787" s="68"/>
      <c r="J787" s="68"/>
      <c r="K787" s="32"/>
      <c r="L787" s="75">
        <v>787</v>
      </c>
      <c r="M787" s="75"/>
      <c r="N787" s="70"/>
      <c r="O787" s="77" t="s">
        <v>967</v>
      </c>
      <c r="P787" s="79">
        <v>45120.403506944444</v>
      </c>
      <c r="Q787" s="77" t="s">
        <v>1732</v>
      </c>
      <c r="R787" s="77">
        <v>0</v>
      </c>
      <c r="S787" s="77">
        <v>0</v>
      </c>
      <c r="T787" s="77">
        <v>0</v>
      </c>
      <c r="U787" s="77">
        <v>0</v>
      </c>
      <c r="V787" s="77">
        <v>47</v>
      </c>
      <c r="W787" s="81" t="s">
        <v>3374</v>
      </c>
      <c r="X787" s="77"/>
      <c r="Y787" s="77"/>
      <c r="Z787" s="77" t="s">
        <v>437</v>
      </c>
      <c r="AA787" s="77" t="s">
        <v>5000</v>
      </c>
      <c r="AB787" s="77" t="s">
        <v>5794</v>
      </c>
      <c r="AC787" s="81" t="s">
        <v>5801</v>
      </c>
      <c r="AD787" s="77" t="s">
        <v>5851</v>
      </c>
      <c r="AE787" s="83" t="str">
        <f>HYPERLINK("https://twitter.com/workshopdantas/status/1679425699512287236")</f>
        <v>https://twitter.com/workshopdantas/status/1679425699512287236</v>
      </c>
      <c r="AF787" s="79">
        <v>45120.403506944444</v>
      </c>
      <c r="AG787" s="85">
        <v>45120</v>
      </c>
      <c r="AH787" s="81" t="s">
        <v>6602</v>
      </c>
      <c r="AI787" s="77" t="b">
        <v>0</v>
      </c>
      <c r="AJ787" s="77"/>
      <c r="AK787" s="77"/>
      <c r="AL787" s="77"/>
      <c r="AM787" s="77"/>
      <c r="AN787" s="77"/>
      <c r="AO787" s="77"/>
      <c r="AP787" s="77"/>
      <c r="AQ787" s="77" t="s">
        <v>8503</v>
      </c>
      <c r="AR787" s="77"/>
      <c r="AS787" s="77"/>
      <c r="AT787" s="77"/>
      <c r="AU787" s="77"/>
      <c r="AV787" s="83" t="str">
        <f>HYPERLINK("https://pbs.twimg.com/media/F06ExcgX0AAz6sS.jpg")</f>
        <v>https://pbs.twimg.com/media/F06ExcgX0AAz6sS.jpg</v>
      </c>
      <c r="AW787" s="81" t="s">
        <v>10054</v>
      </c>
      <c r="AX787" s="81" t="s">
        <v>10054</v>
      </c>
      <c r="AY787" s="77"/>
      <c r="AZ787" s="81" t="s">
        <v>11359</v>
      </c>
      <c r="BA787" s="81" t="s">
        <v>11359</v>
      </c>
      <c r="BB787" s="81" t="s">
        <v>11359</v>
      </c>
      <c r="BC787" s="81" t="s">
        <v>10054</v>
      </c>
      <c r="BD787" s="81" t="s">
        <v>11512</v>
      </c>
      <c r="BE787" s="77"/>
      <c r="BF787" s="77"/>
      <c r="BG787" s="77"/>
      <c r="BH787" s="77"/>
      <c r="BI787" s="77"/>
    </row>
    <row r="788" spans="1:61" x14ac:dyDescent="0.25">
      <c r="A788" s="62" t="s">
        <v>437</v>
      </c>
      <c r="B788" s="62" t="s">
        <v>437</v>
      </c>
      <c r="C788" s="63"/>
      <c r="D788" s="64"/>
      <c r="E788" s="65"/>
      <c r="F788" s="66"/>
      <c r="G788" s="63"/>
      <c r="H788" s="67"/>
      <c r="I788" s="68"/>
      <c r="J788" s="68"/>
      <c r="K788" s="32"/>
      <c r="L788" s="75">
        <v>788</v>
      </c>
      <c r="M788" s="75"/>
      <c r="N788" s="70"/>
      <c r="O788" s="77" t="s">
        <v>967</v>
      </c>
      <c r="P788" s="79">
        <v>45120.012754629628</v>
      </c>
      <c r="Q788" s="77" t="s">
        <v>1733</v>
      </c>
      <c r="R788" s="77">
        <v>0</v>
      </c>
      <c r="S788" s="77">
        <v>0</v>
      </c>
      <c r="T788" s="77">
        <v>1</v>
      </c>
      <c r="U788" s="77">
        <v>0</v>
      </c>
      <c r="V788" s="77">
        <v>45</v>
      </c>
      <c r="W788" s="81" t="s">
        <v>3344</v>
      </c>
      <c r="X788" s="77"/>
      <c r="Y788" s="77"/>
      <c r="Z788" s="77" t="s">
        <v>437</v>
      </c>
      <c r="AA788" s="77" t="s">
        <v>5001</v>
      </c>
      <c r="AB788" s="77" t="s">
        <v>5794</v>
      </c>
      <c r="AC788" s="81" t="s">
        <v>5801</v>
      </c>
      <c r="AD788" s="77" t="s">
        <v>5851</v>
      </c>
      <c r="AE788" s="83" t="str">
        <f>HYPERLINK("https://twitter.com/workshopdantas/status/1679284094331416579")</f>
        <v>https://twitter.com/workshopdantas/status/1679284094331416579</v>
      </c>
      <c r="AF788" s="79">
        <v>45120.012754629628</v>
      </c>
      <c r="AG788" s="85">
        <v>45120</v>
      </c>
      <c r="AH788" s="81" t="s">
        <v>6603</v>
      </c>
      <c r="AI788" s="77" t="b">
        <v>0</v>
      </c>
      <c r="AJ788" s="77"/>
      <c r="AK788" s="77"/>
      <c r="AL788" s="77"/>
      <c r="AM788" s="77"/>
      <c r="AN788" s="77"/>
      <c r="AO788" s="77"/>
      <c r="AP788" s="77"/>
      <c r="AQ788" s="77" t="s">
        <v>8504</v>
      </c>
      <c r="AR788" s="77"/>
      <c r="AS788" s="77"/>
      <c r="AT788" s="77"/>
      <c r="AU788" s="77"/>
      <c r="AV788" s="83" t="str">
        <f>HYPERLINK("https://pbs.twimg.com/media/F04D-mEX0AEh8IS.jpg")</f>
        <v>https://pbs.twimg.com/media/F04D-mEX0AEh8IS.jpg</v>
      </c>
      <c r="AW788" s="81" t="s">
        <v>10055</v>
      </c>
      <c r="AX788" s="81" t="s">
        <v>10055</v>
      </c>
      <c r="AY788" s="77"/>
      <c r="AZ788" s="81" t="s">
        <v>11359</v>
      </c>
      <c r="BA788" s="81" t="s">
        <v>11359</v>
      </c>
      <c r="BB788" s="81" t="s">
        <v>11359</v>
      </c>
      <c r="BC788" s="81" t="s">
        <v>10055</v>
      </c>
      <c r="BD788" s="81" t="s">
        <v>11512</v>
      </c>
      <c r="BE788" s="77"/>
      <c r="BF788" s="77"/>
      <c r="BG788" s="77"/>
      <c r="BH788" s="77"/>
      <c r="BI788" s="77"/>
    </row>
    <row r="789" spans="1:61" x14ac:dyDescent="0.25">
      <c r="A789" s="62" t="s">
        <v>437</v>
      </c>
      <c r="B789" s="62" t="s">
        <v>912</v>
      </c>
      <c r="C789" s="63"/>
      <c r="D789" s="64"/>
      <c r="E789" s="65"/>
      <c r="F789" s="66"/>
      <c r="G789" s="63"/>
      <c r="H789" s="67"/>
      <c r="I789" s="68"/>
      <c r="J789" s="68"/>
      <c r="K789" s="32"/>
      <c r="L789" s="75">
        <v>789</v>
      </c>
      <c r="M789" s="75"/>
      <c r="N789" s="70"/>
      <c r="O789" s="77" t="s">
        <v>967</v>
      </c>
      <c r="P789" s="79">
        <v>45119.478668981479</v>
      </c>
      <c r="Q789" s="77" t="s">
        <v>1734</v>
      </c>
      <c r="R789" s="77">
        <v>0</v>
      </c>
      <c r="S789" s="77">
        <v>2</v>
      </c>
      <c r="T789" s="77">
        <v>1</v>
      </c>
      <c r="U789" s="77">
        <v>0</v>
      </c>
      <c r="V789" s="77">
        <v>47</v>
      </c>
      <c r="W789" s="81" t="s">
        <v>3344</v>
      </c>
      <c r="X789" s="77"/>
      <c r="Y789" s="77"/>
      <c r="Z789" s="77" t="s">
        <v>4373</v>
      </c>
      <c r="AA789" s="77" t="s">
        <v>5002</v>
      </c>
      <c r="AB789" s="77" t="s">
        <v>5794</v>
      </c>
      <c r="AC789" s="81" t="s">
        <v>5801</v>
      </c>
      <c r="AD789" s="77" t="s">
        <v>5851</v>
      </c>
      <c r="AE789" s="83" t="str">
        <f>HYPERLINK("https://twitter.com/workshopdantas/status/1679090549804900352")</f>
        <v>https://twitter.com/workshopdantas/status/1679090549804900352</v>
      </c>
      <c r="AF789" s="79">
        <v>45119.478668981479</v>
      </c>
      <c r="AG789" s="85">
        <v>45119</v>
      </c>
      <c r="AH789" s="81" t="s">
        <v>6604</v>
      </c>
      <c r="AI789" s="77" t="b">
        <v>0</v>
      </c>
      <c r="AJ789" s="77"/>
      <c r="AK789" s="77"/>
      <c r="AL789" s="77"/>
      <c r="AM789" s="77"/>
      <c r="AN789" s="77"/>
      <c r="AO789" s="77"/>
      <c r="AP789" s="77"/>
      <c r="AQ789" s="77" t="s">
        <v>8505</v>
      </c>
      <c r="AR789" s="77"/>
      <c r="AS789" s="77"/>
      <c r="AT789" s="77"/>
      <c r="AU789" s="77"/>
      <c r="AV789" s="83" t="str">
        <f>HYPERLINK("https://pbs.twimg.com/media/F01T9MnWYAAqxnf.jpg")</f>
        <v>https://pbs.twimg.com/media/F01T9MnWYAAqxnf.jpg</v>
      </c>
      <c r="AW789" s="81" t="s">
        <v>10056</v>
      </c>
      <c r="AX789" s="81" t="s">
        <v>10056</v>
      </c>
      <c r="AY789" s="77"/>
      <c r="AZ789" s="81" t="s">
        <v>11359</v>
      </c>
      <c r="BA789" s="81" t="s">
        <v>11359</v>
      </c>
      <c r="BB789" s="81" t="s">
        <v>11359</v>
      </c>
      <c r="BC789" s="81" t="s">
        <v>10056</v>
      </c>
      <c r="BD789" s="81" t="s">
        <v>11512</v>
      </c>
      <c r="BE789" s="77"/>
      <c r="BF789" s="77"/>
      <c r="BG789" s="77"/>
      <c r="BH789" s="77"/>
      <c r="BI789" s="77"/>
    </row>
    <row r="790" spans="1:61" x14ac:dyDescent="0.25">
      <c r="A790" s="62" t="s">
        <v>437</v>
      </c>
      <c r="B790" s="62" t="s">
        <v>437</v>
      </c>
      <c r="C790" s="63"/>
      <c r="D790" s="64"/>
      <c r="E790" s="65"/>
      <c r="F790" s="66"/>
      <c r="G790" s="63"/>
      <c r="H790" s="67"/>
      <c r="I790" s="68"/>
      <c r="J790" s="68"/>
      <c r="K790" s="32"/>
      <c r="L790" s="75">
        <v>790</v>
      </c>
      <c r="M790" s="75"/>
      <c r="N790" s="70"/>
      <c r="O790" s="77" t="s">
        <v>967</v>
      </c>
      <c r="P790" s="79">
        <v>45119.478668981479</v>
      </c>
      <c r="Q790" s="77" t="s">
        <v>1734</v>
      </c>
      <c r="R790" s="77">
        <v>0</v>
      </c>
      <c r="S790" s="77">
        <v>2</v>
      </c>
      <c r="T790" s="77">
        <v>1</v>
      </c>
      <c r="U790" s="77">
        <v>0</v>
      </c>
      <c r="V790" s="77">
        <v>47</v>
      </c>
      <c r="W790" s="81" t="s">
        <v>3344</v>
      </c>
      <c r="X790" s="77"/>
      <c r="Y790" s="77"/>
      <c r="Z790" s="77" t="s">
        <v>4373</v>
      </c>
      <c r="AA790" s="77" t="s">
        <v>5002</v>
      </c>
      <c r="AB790" s="77" t="s">
        <v>5794</v>
      </c>
      <c r="AC790" s="81" t="s">
        <v>5801</v>
      </c>
      <c r="AD790" s="77" t="s">
        <v>5851</v>
      </c>
      <c r="AE790" s="83" t="str">
        <f>HYPERLINK("https://twitter.com/workshopdantas/status/1679090549804900352")</f>
        <v>https://twitter.com/workshopdantas/status/1679090549804900352</v>
      </c>
      <c r="AF790" s="79">
        <v>45119.478668981479</v>
      </c>
      <c r="AG790" s="85">
        <v>45119</v>
      </c>
      <c r="AH790" s="81" t="s">
        <v>6604</v>
      </c>
      <c r="AI790" s="77" t="b">
        <v>0</v>
      </c>
      <c r="AJ790" s="77"/>
      <c r="AK790" s="77"/>
      <c r="AL790" s="77"/>
      <c r="AM790" s="77"/>
      <c r="AN790" s="77"/>
      <c r="AO790" s="77"/>
      <c r="AP790" s="77"/>
      <c r="AQ790" s="77" t="s">
        <v>8505</v>
      </c>
      <c r="AR790" s="77"/>
      <c r="AS790" s="77"/>
      <c r="AT790" s="77"/>
      <c r="AU790" s="77"/>
      <c r="AV790" s="83" t="str">
        <f>HYPERLINK("https://pbs.twimg.com/media/F01T9MnWYAAqxnf.jpg")</f>
        <v>https://pbs.twimg.com/media/F01T9MnWYAAqxnf.jpg</v>
      </c>
      <c r="AW790" s="81" t="s">
        <v>10056</v>
      </c>
      <c r="AX790" s="81" t="s">
        <v>10056</v>
      </c>
      <c r="AY790" s="77"/>
      <c r="AZ790" s="81" t="s">
        <v>11359</v>
      </c>
      <c r="BA790" s="81" t="s">
        <v>11359</v>
      </c>
      <c r="BB790" s="81" t="s">
        <v>11359</v>
      </c>
      <c r="BC790" s="81" t="s">
        <v>10056</v>
      </c>
      <c r="BD790" s="81" t="s">
        <v>11512</v>
      </c>
      <c r="BE790" s="77"/>
      <c r="BF790" s="77"/>
      <c r="BG790" s="77"/>
      <c r="BH790" s="77"/>
      <c r="BI790" s="77"/>
    </row>
    <row r="791" spans="1:61" x14ac:dyDescent="0.25">
      <c r="A791" s="62" t="s">
        <v>437</v>
      </c>
      <c r="B791" s="62" t="s">
        <v>437</v>
      </c>
      <c r="C791" s="63"/>
      <c r="D791" s="64"/>
      <c r="E791" s="65"/>
      <c r="F791" s="66"/>
      <c r="G791" s="63"/>
      <c r="H791" s="67"/>
      <c r="I791" s="68"/>
      <c r="J791" s="68"/>
      <c r="K791" s="32"/>
      <c r="L791" s="75">
        <v>791</v>
      </c>
      <c r="M791" s="75"/>
      <c r="N791" s="70"/>
      <c r="O791" s="77" t="s">
        <v>967</v>
      </c>
      <c r="P791" s="79">
        <v>45118.916377314818</v>
      </c>
      <c r="Q791" s="77" t="s">
        <v>1735</v>
      </c>
      <c r="R791" s="77">
        <v>0</v>
      </c>
      <c r="S791" s="77">
        <v>0</v>
      </c>
      <c r="T791" s="77">
        <v>0</v>
      </c>
      <c r="U791" s="77">
        <v>0</v>
      </c>
      <c r="V791" s="77">
        <v>25</v>
      </c>
      <c r="W791" s="81" t="s">
        <v>3375</v>
      </c>
      <c r="X791" s="77"/>
      <c r="Y791" s="77"/>
      <c r="Z791" s="77" t="s">
        <v>437</v>
      </c>
      <c r="AA791" s="77" t="s">
        <v>5003</v>
      </c>
      <c r="AB791" s="77" t="s">
        <v>5795</v>
      </c>
      <c r="AC791" s="81" t="s">
        <v>5801</v>
      </c>
      <c r="AD791" s="77" t="s">
        <v>5851</v>
      </c>
      <c r="AE791" s="83" t="str">
        <f>HYPERLINK("https://twitter.com/workshopdantas/status/1678886780777508869")</f>
        <v>https://twitter.com/workshopdantas/status/1678886780777508869</v>
      </c>
      <c r="AF791" s="79">
        <v>45118.916377314818</v>
      </c>
      <c r="AG791" s="85">
        <v>45118</v>
      </c>
      <c r="AH791" s="81" t="s">
        <v>6605</v>
      </c>
      <c r="AI791" s="77" t="b">
        <v>0</v>
      </c>
      <c r="AJ791" s="77"/>
      <c r="AK791" s="77"/>
      <c r="AL791" s="77"/>
      <c r="AM791" s="77"/>
      <c r="AN791" s="77"/>
      <c r="AO791" s="77"/>
      <c r="AP791" s="77"/>
      <c r="AQ791" s="77" t="s">
        <v>8506</v>
      </c>
      <c r="AR791" s="77">
        <v>23697</v>
      </c>
      <c r="AS791" s="77"/>
      <c r="AT791" s="77"/>
      <c r="AU791" s="77"/>
      <c r="AV791" s="83" t="str">
        <f>HYPERLINK("https://pbs.twimg.com/ext_tw_video_thumb/1678886707507212289/pu/img/VVtxTuAu53Qg3REh.jpg")</f>
        <v>https://pbs.twimg.com/ext_tw_video_thumb/1678886707507212289/pu/img/VVtxTuAu53Qg3REh.jpg</v>
      </c>
      <c r="AW791" s="81" t="s">
        <v>10057</v>
      </c>
      <c r="AX791" s="81" t="s">
        <v>10057</v>
      </c>
      <c r="AY791" s="77"/>
      <c r="AZ791" s="81" t="s">
        <v>11359</v>
      </c>
      <c r="BA791" s="81" t="s">
        <v>11359</v>
      </c>
      <c r="BB791" s="81" t="s">
        <v>11359</v>
      </c>
      <c r="BC791" s="81" t="s">
        <v>10057</v>
      </c>
      <c r="BD791" s="81" t="s">
        <v>11512</v>
      </c>
      <c r="BE791" s="77"/>
      <c r="BF791" s="77"/>
      <c r="BG791" s="77"/>
      <c r="BH791" s="77"/>
      <c r="BI791" s="77"/>
    </row>
    <row r="792" spans="1:61" x14ac:dyDescent="0.25">
      <c r="A792" s="62" t="s">
        <v>437</v>
      </c>
      <c r="B792" s="62" t="s">
        <v>437</v>
      </c>
      <c r="C792" s="63"/>
      <c r="D792" s="64"/>
      <c r="E792" s="65"/>
      <c r="F792" s="66"/>
      <c r="G792" s="63"/>
      <c r="H792" s="67"/>
      <c r="I792" s="68"/>
      <c r="J792" s="68"/>
      <c r="K792" s="32"/>
      <c r="L792" s="75">
        <v>792</v>
      </c>
      <c r="M792" s="75"/>
      <c r="N792" s="70"/>
      <c r="O792" s="77" t="s">
        <v>967</v>
      </c>
      <c r="P792" s="79">
        <v>45118.489050925928</v>
      </c>
      <c r="Q792" s="77" t="s">
        <v>1736</v>
      </c>
      <c r="R792" s="77">
        <v>0</v>
      </c>
      <c r="S792" s="77">
        <v>0</v>
      </c>
      <c r="T792" s="77">
        <v>0</v>
      </c>
      <c r="U792" s="77">
        <v>0</v>
      </c>
      <c r="V792" s="77">
        <v>40</v>
      </c>
      <c r="W792" s="81" t="s">
        <v>3376</v>
      </c>
      <c r="X792" s="77"/>
      <c r="Y792" s="77"/>
      <c r="Z792" s="77" t="s">
        <v>437</v>
      </c>
      <c r="AA792" s="77" t="s">
        <v>5004</v>
      </c>
      <c r="AB792" s="77" t="s">
        <v>5794</v>
      </c>
      <c r="AC792" s="81" t="s">
        <v>5801</v>
      </c>
      <c r="AD792" s="77" t="s">
        <v>5851</v>
      </c>
      <c r="AE792" s="83" t="str">
        <f>HYPERLINK("https://twitter.com/workshopdantas/status/1678731922816499713")</f>
        <v>https://twitter.com/workshopdantas/status/1678731922816499713</v>
      </c>
      <c r="AF792" s="79">
        <v>45118.489050925928</v>
      </c>
      <c r="AG792" s="85">
        <v>45118</v>
      </c>
      <c r="AH792" s="81" t="s">
        <v>6606</v>
      </c>
      <c r="AI792" s="77" t="b">
        <v>0</v>
      </c>
      <c r="AJ792" s="77"/>
      <c r="AK792" s="77"/>
      <c r="AL792" s="77"/>
      <c r="AM792" s="77"/>
      <c r="AN792" s="77"/>
      <c r="AO792" s="77"/>
      <c r="AP792" s="77"/>
      <c r="AQ792" s="77" t="s">
        <v>8507</v>
      </c>
      <c r="AR792" s="77"/>
      <c r="AS792" s="77"/>
      <c r="AT792" s="77"/>
      <c r="AU792" s="77"/>
      <c r="AV792" s="83" t="str">
        <f>HYPERLINK("https://pbs.twimg.com/media/F0wNyURXsAEjUmQ.jpg")</f>
        <v>https://pbs.twimg.com/media/F0wNyURXsAEjUmQ.jpg</v>
      </c>
      <c r="AW792" s="81" t="s">
        <v>10058</v>
      </c>
      <c r="AX792" s="81" t="s">
        <v>10058</v>
      </c>
      <c r="AY792" s="77"/>
      <c r="AZ792" s="81" t="s">
        <v>11359</v>
      </c>
      <c r="BA792" s="81" t="s">
        <v>11359</v>
      </c>
      <c r="BB792" s="81" t="s">
        <v>11359</v>
      </c>
      <c r="BC792" s="81" t="s">
        <v>10058</v>
      </c>
      <c r="BD792" s="81" t="s">
        <v>11512</v>
      </c>
      <c r="BE792" s="77"/>
      <c r="BF792" s="77"/>
      <c r="BG792" s="77"/>
      <c r="BH792" s="77"/>
      <c r="BI792" s="77"/>
    </row>
    <row r="793" spans="1:61" x14ac:dyDescent="0.25">
      <c r="A793" s="62" t="s">
        <v>437</v>
      </c>
      <c r="B793" s="62" t="s">
        <v>437</v>
      </c>
      <c r="C793" s="63"/>
      <c r="D793" s="64"/>
      <c r="E793" s="65"/>
      <c r="F793" s="66"/>
      <c r="G793" s="63"/>
      <c r="H793" s="67"/>
      <c r="I793" s="68"/>
      <c r="J793" s="68"/>
      <c r="K793" s="32"/>
      <c r="L793" s="75">
        <v>793</v>
      </c>
      <c r="M793" s="75"/>
      <c r="N793" s="70"/>
      <c r="O793" s="77" t="s">
        <v>967</v>
      </c>
      <c r="P793" s="79">
        <v>45117.702488425923</v>
      </c>
      <c r="Q793" s="77" t="s">
        <v>1737</v>
      </c>
      <c r="R793" s="77">
        <v>1</v>
      </c>
      <c r="S793" s="77">
        <v>4</v>
      </c>
      <c r="T793" s="77">
        <v>2</v>
      </c>
      <c r="U793" s="77">
        <v>0</v>
      </c>
      <c r="V793" s="77">
        <v>735</v>
      </c>
      <c r="W793" s="81" t="s">
        <v>3377</v>
      </c>
      <c r="X793" s="77"/>
      <c r="Y793" s="77"/>
      <c r="Z793" s="77" t="s">
        <v>437</v>
      </c>
      <c r="AA793" s="77" t="s">
        <v>5005</v>
      </c>
      <c r="AB793" s="77" t="s">
        <v>5794</v>
      </c>
      <c r="AC793" s="81" t="s">
        <v>5801</v>
      </c>
      <c r="AD793" s="77" t="s">
        <v>5851</v>
      </c>
      <c r="AE793" s="83" t="str">
        <f>HYPERLINK("https://twitter.com/workshopdantas/status/1678446881465147429")</f>
        <v>https://twitter.com/workshopdantas/status/1678446881465147429</v>
      </c>
      <c r="AF793" s="79">
        <v>45117.702488425923</v>
      </c>
      <c r="AG793" s="85">
        <v>45117</v>
      </c>
      <c r="AH793" s="81" t="s">
        <v>6607</v>
      </c>
      <c r="AI793" s="77" t="b">
        <v>0</v>
      </c>
      <c r="AJ793" s="77"/>
      <c r="AK793" s="77"/>
      <c r="AL793" s="77"/>
      <c r="AM793" s="77"/>
      <c r="AN793" s="77"/>
      <c r="AO793" s="77"/>
      <c r="AP793" s="77"/>
      <c r="AQ793" s="77" t="s">
        <v>8508</v>
      </c>
      <c r="AR793" s="77"/>
      <c r="AS793" s="77"/>
      <c r="AT793" s="77"/>
      <c r="AU793" s="77"/>
      <c r="AV793" s="83" t="str">
        <f>HYPERLINK("https://pbs.twimg.com/media/F0sKijNXoAATLUe.jpg")</f>
        <v>https://pbs.twimg.com/media/F0sKijNXoAATLUe.jpg</v>
      </c>
      <c r="AW793" s="81" t="s">
        <v>10059</v>
      </c>
      <c r="AX793" s="81" t="s">
        <v>10059</v>
      </c>
      <c r="AY793" s="77"/>
      <c r="AZ793" s="81" t="s">
        <v>11359</v>
      </c>
      <c r="BA793" s="81" t="s">
        <v>11359</v>
      </c>
      <c r="BB793" s="81" t="s">
        <v>11359</v>
      </c>
      <c r="BC793" s="81" t="s">
        <v>10059</v>
      </c>
      <c r="BD793" s="81" t="s">
        <v>11512</v>
      </c>
      <c r="BE793" s="77"/>
      <c r="BF793" s="77"/>
      <c r="BG793" s="77"/>
      <c r="BH793" s="77"/>
      <c r="BI793" s="77"/>
    </row>
    <row r="794" spans="1:61" x14ac:dyDescent="0.25">
      <c r="A794" s="62" t="s">
        <v>437</v>
      </c>
      <c r="B794" s="62" t="s">
        <v>437</v>
      </c>
      <c r="C794" s="63"/>
      <c r="D794" s="64"/>
      <c r="E794" s="65"/>
      <c r="F794" s="66"/>
      <c r="G794" s="63"/>
      <c r="H794" s="67"/>
      <c r="I794" s="68"/>
      <c r="J794" s="68"/>
      <c r="K794" s="32"/>
      <c r="L794" s="75">
        <v>794</v>
      </c>
      <c r="M794" s="75"/>
      <c r="N794" s="70"/>
      <c r="O794" s="77" t="s">
        <v>967</v>
      </c>
      <c r="P794" s="79">
        <v>45110.439976851849</v>
      </c>
      <c r="Q794" s="77" t="s">
        <v>1738</v>
      </c>
      <c r="R794" s="77">
        <v>0</v>
      </c>
      <c r="S794" s="77">
        <v>1</v>
      </c>
      <c r="T794" s="77">
        <v>0</v>
      </c>
      <c r="U794" s="77">
        <v>0</v>
      </c>
      <c r="V794" s="77">
        <v>63</v>
      </c>
      <c r="W794" s="81" t="s">
        <v>3378</v>
      </c>
      <c r="X794" s="77"/>
      <c r="Y794" s="77"/>
      <c r="Z794" s="77" t="s">
        <v>437</v>
      </c>
      <c r="AA794" s="77" t="s">
        <v>5006</v>
      </c>
      <c r="AB794" s="77" t="s">
        <v>5794</v>
      </c>
      <c r="AC794" s="81" t="s">
        <v>5801</v>
      </c>
      <c r="AD794" s="77" t="s">
        <v>5851</v>
      </c>
      <c r="AE794" s="83" t="str">
        <f>HYPERLINK("https://twitter.com/workshopdantas/status/1675815035933786113")</f>
        <v>https://twitter.com/workshopdantas/status/1675815035933786113</v>
      </c>
      <c r="AF794" s="79">
        <v>45110.439976851849</v>
      </c>
      <c r="AG794" s="85">
        <v>45110</v>
      </c>
      <c r="AH794" s="81" t="s">
        <v>6608</v>
      </c>
      <c r="AI794" s="77" t="b">
        <v>0</v>
      </c>
      <c r="AJ794" s="77"/>
      <c r="AK794" s="77"/>
      <c r="AL794" s="77"/>
      <c r="AM794" s="77"/>
      <c r="AN794" s="77"/>
      <c r="AO794" s="77"/>
      <c r="AP794" s="77"/>
      <c r="AQ794" s="77" t="s">
        <v>8509</v>
      </c>
      <c r="AR794" s="77"/>
      <c r="AS794" s="77"/>
      <c r="AT794" s="77"/>
      <c r="AU794" s="77"/>
      <c r="AV794" s="83" t="str">
        <f>HYPERLINK("https://pbs.twimg.com/media/F0Gw5NjX0AAk8vG.jpg")</f>
        <v>https://pbs.twimg.com/media/F0Gw5NjX0AAk8vG.jpg</v>
      </c>
      <c r="AW794" s="81" t="s">
        <v>10060</v>
      </c>
      <c r="AX794" s="81" t="s">
        <v>10060</v>
      </c>
      <c r="AY794" s="77"/>
      <c r="AZ794" s="81" t="s">
        <v>11359</v>
      </c>
      <c r="BA794" s="81" t="s">
        <v>11359</v>
      </c>
      <c r="BB794" s="81" t="s">
        <v>11359</v>
      </c>
      <c r="BC794" s="81" t="s">
        <v>10060</v>
      </c>
      <c r="BD794" s="81" t="s">
        <v>11512</v>
      </c>
      <c r="BE794" s="77"/>
      <c r="BF794" s="77"/>
      <c r="BG794" s="77"/>
      <c r="BH794" s="77"/>
      <c r="BI794" s="77"/>
    </row>
    <row r="795" spans="1:61" x14ac:dyDescent="0.25">
      <c r="A795" s="62" t="s">
        <v>437</v>
      </c>
      <c r="B795" s="62" t="s">
        <v>437</v>
      </c>
      <c r="C795" s="63"/>
      <c r="D795" s="64"/>
      <c r="E795" s="65"/>
      <c r="F795" s="66"/>
      <c r="G795" s="63"/>
      <c r="H795" s="67"/>
      <c r="I795" s="68"/>
      <c r="J795" s="68"/>
      <c r="K795" s="32"/>
      <c r="L795" s="75">
        <v>795</v>
      </c>
      <c r="M795" s="75"/>
      <c r="N795" s="70"/>
      <c r="O795" s="77" t="s">
        <v>967</v>
      </c>
      <c r="P795" s="79">
        <v>45148.500833333332</v>
      </c>
      <c r="Q795" s="77" t="s">
        <v>1739</v>
      </c>
      <c r="R795" s="77">
        <v>0</v>
      </c>
      <c r="S795" s="77">
        <v>0</v>
      </c>
      <c r="T795" s="77">
        <v>0</v>
      </c>
      <c r="U795" s="77">
        <v>0</v>
      </c>
      <c r="V795" s="77">
        <v>43</v>
      </c>
      <c r="W795" s="81" t="s">
        <v>3344</v>
      </c>
      <c r="X795" s="77"/>
      <c r="Y795" s="77"/>
      <c r="Z795" s="77" t="s">
        <v>437</v>
      </c>
      <c r="AA795" s="77" t="s">
        <v>5007</v>
      </c>
      <c r="AB795" s="77" t="s">
        <v>5794</v>
      </c>
      <c r="AC795" s="81" t="s">
        <v>5801</v>
      </c>
      <c r="AD795" s="77" t="s">
        <v>5851</v>
      </c>
      <c r="AE795" s="83" t="str">
        <f>HYPERLINK("https://twitter.com/workshopdantas/status/1689607828128792576")</f>
        <v>https://twitter.com/workshopdantas/status/1689607828128792576</v>
      </c>
      <c r="AF795" s="79">
        <v>45148.500833333332</v>
      </c>
      <c r="AG795" s="85">
        <v>45148</v>
      </c>
      <c r="AH795" s="81" t="s">
        <v>6609</v>
      </c>
      <c r="AI795" s="77" t="b">
        <v>0</v>
      </c>
      <c r="AJ795" s="77"/>
      <c r="AK795" s="77"/>
      <c r="AL795" s="77"/>
      <c r="AM795" s="77"/>
      <c r="AN795" s="77"/>
      <c r="AO795" s="77"/>
      <c r="AP795" s="77"/>
      <c r="AQ795" s="77" t="s">
        <v>8510</v>
      </c>
      <c r="AR795" s="77"/>
      <c r="AS795" s="77"/>
      <c r="AT795" s="77"/>
      <c r="AU795" s="77"/>
      <c r="AV795" s="83" t="str">
        <f>HYPERLINK("https://pbs.twimg.com/media/F3KxXYuWYAEAa0A.jpg")</f>
        <v>https://pbs.twimg.com/media/F3KxXYuWYAEAa0A.jpg</v>
      </c>
      <c r="AW795" s="81" t="s">
        <v>10061</v>
      </c>
      <c r="AX795" s="81" t="s">
        <v>10061</v>
      </c>
      <c r="AY795" s="77"/>
      <c r="AZ795" s="81" t="s">
        <v>11359</v>
      </c>
      <c r="BA795" s="81" t="s">
        <v>11359</v>
      </c>
      <c r="BB795" s="81" t="s">
        <v>11359</v>
      </c>
      <c r="BC795" s="81" t="s">
        <v>10061</v>
      </c>
      <c r="BD795" s="81" t="s">
        <v>11512</v>
      </c>
      <c r="BE795" s="77"/>
      <c r="BF795" s="77"/>
      <c r="BG795" s="77"/>
      <c r="BH795" s="77"/>
      <c r="BI795" s="77"/>
    </row>
    <row r="796" spans="1:61" x14ac:dyDescent="0.25">
      <c r="A796" s="62" t="s">
        <v>437</v>
      </c>
      <c r="B796" s="62" t="s">
        <v>437</v>
      </c>
      <c r="C796" s="63"/>
      <c r="D796" s="64"/>
      <c r="E796" s="65"/>
      <c r="F796" s="66"/>
      <c r="G796" s="63"/>
      <c r="H796" s="67"/>
      <c r="I796" s="68"/>
      <c r="J796" s="68"/>
      <c r="K796" s="32"/>
      <c r="L796" s="75">
        <v>796</v>
      </c>
      <c r="M796" s="75"/>
      <c r="N796" s="70"/>
      <c r="O796" s="77" t="s">
        <v>967</v>
      </c>
      <c r="P796" s="79">
        <v>45147.673136574071</v>
      </c>
      <c r="Q796" s="77" t="s">
        <v>1740</v>
      </c>
      <c r="R796" s="77">
        <v>0</v>
      </c>
      <c r="S796" s="77">
        <v>0</v>
      </c>
      <c r="T796" s="77">
        <v>0</v>
      </c>
      <c r="U796" s="77">
        <v>0</v>
      </c>
      <c r="V796" s="77">
        <v>38</v>
      </c>
      <c r="W796" s="81" t="s">
        <v>3344</v>
      </c>
      <c r="X796" s="77"/>
      <c r="Y796" s="77"/>
      <c r="Z796" s="77" t="s">
        <v>437</v>
      </c>
      <c r="AA796" s="77" t="s">
        <v>5008</v>
      </c>
      <c r="AB796" s="77" t="s">
        <v>5794</v>
      </c>
      <c r="AC796" s="81" t="s">
        <v>5801</v>
      </c>
      <c r="AD796" s="77" t="s">
        <v>5851</v>
      </c>
      <c r="AE796" s="83" t="str">
        <f>HYPERLINK("https://twitter.com/workshopdantas/status/1689307883454820353")</f>
        <v>https://twitter.com/workshopdantas/status/1689307883454820353</v>
      </c>
      <c r="AF796" s="79">
        <v>45147.673136574071</v>
      </c>
      <c r="AG796" s="85">
        <v>45147</v>
      </c>
      <c r="AH796" s="81" t="s">
        <v>6610</v>
      </c>
      <c r="AI796" s="77" t="b">
        <v>0</v>
      </c>
      <c r="AJ796" s="77"/>
      <c r="AK796" s="77"/>
      <c r="AL796" s="77"/>
      <c r="AM796" s="77"/>
      <c r="AN796" s="77"/>
      <c r="AO796" s="77"/>
      <c r="AP796" s="77"/>
      <c r="AQ796" s="77" t="s">
        <v>8511</v>
      </c>
      <c r="AR796" s="77"/>
      <c r="AS796" s="77"/>
      <c r="AT796" s="77"/>
      <c r="AU796" s="77"/>
      <c r="AV796" s="83" t="str">
        <f>HYPERLINK("https://pbs.twimg.com/media/F3GgkWGXQAAI-1T.jpg")</f>
        <v>https://pbs.twimg.com/media/F3GgkWGXQAAI-1T.jpg</v>
      </c>
      <c r="AW796" s="81" t="s">
        <v>10062</v>
      </c>
      <c r="AX796" s="81" t="s">
        <v>10062</v>
      </c>
      <c r="AY796" s="77"/>
      <c r="AZ796" s="81" t="s">
        <v>11359</v>
      </c>
      <c r="BA796" s="81" t="s">
        <v>11359</v>
      </c>
      <c r="BB796" s="81" t="s">
        <v>11359</v>
      </c>
      <c r="BC796" s="81" t="s">
        <v>10062</v>
      </c>
      <c r="BD796" s="81" t="s">
        <v>11512</v>
      </c>
      <c r="BE796" s="77"/>
      <c r="BF796" s="77"/>
      <c r="BG796" s="77"/>
      <c r="BH796" s="77"/>
      <c r="BI796" s="77"/>
    </row>
    <row r="797" spans="1:61" x14ac:dyDescent="0.25">
      <c r="A797" s="62" t="s">
        <v>437</v>
      </c>
      <c r="B797" s="62" t="s">
        <v>437</v>
      </c>
      <c r="C797" s="63"/>
      <c r="D797" s="64"/>
      <c r="E797" s="65"/>
      <c r="F797" s="66"/>
      <c r="G797" s="63"/>
      <c r="H797" s="67"/>
      <c r="I797" s="68"/>
      <c r="J797" s="68"/>
      <c r="K797" s="32"/>
      <c r="L797" s="75">
        <v>797</v>
      </c>
      <c r="M797" s="75"/>
      <c r="N797" s="70"/>
      <c r="O797" s="77" t="s">
        <v>967</v>
      </c>
      <c r="P797" s="79">
        <v>45146.495069444441</v>
      </c>
      <c r="Q797" s="77" t="s">
        <v>1741</v>
      </c>
      <c r="R797" s="77">
        <v>1</v>
      </c>
      <c r="S797" s="77">
        <v>0</v>
      </c>
      <c r="T797" s="77">
        <v>1</v>
      </c>
      <c r="U797" s="77">
        <v>0</v>
      </c>
      <c r="V797" s="77">
        <v>87</v>
      </c>
      <c r="W797" s="81" t="s">
        <v>3379</v>
      </c>
      <c r="X797" s="77"/>
      <c r="Y797" s="77"/>
      <c r="Z797" s="77" t="s">
        <v>437</v>
      </c>
      <c r="AA797" s="77" t="s">
        <v>5009</v>
      </c>
      <c r="AB797" s="77" t="s">
        <v>5794</v>
      </c>
      <c r="AC797" s="81" t="s">
        <v>5801</v>
      </c>
      <c r="AD797" s="77" t="s">
        <v>5851</v>
      </c>
      <c r="AE797" s="83" t="str">
        <f>HYPERLINK("https://twitter.com/workshopdantas/status/1688880965605572610")</f>
        <v>https://twitter.com/workshopdantas/status/1688880965605572610</v>
      </c>
      <c r="AF797" s="79">
        <v>45146.495069444441</v>
      </c>
      <c r="AG797" s="85">
        <v>45146</v>
      </c>
      <c r="AH797" s="81" t="s">
        <v>6611</v>
      </c>
      <c r="AI797" s="77" t="b">
        <v>0</v>
      </c>
      <c r="AJ797" s="77"/>
      <c r="AK797" s="77"/>
      <c r="AL797" s="77"/>
      <c r="AM797" s="77"/>
      <c r="AN797" s="77"/>
      <c r="AO797" s="77"/>
      <c r="AP797" s="77"/>
      <c r="AQ797" s="77" t="s">
        <v>8512</v>
      </c>
      <c r="AR797" s="77"/>
      <c r="AS797" s="77"/>
      <c r="AT797" s="77"/>
      <c r="AU797" s="77"/>
      <c r="AV797" s="83" t="str">
        <f>HYPERLINK("https://pbs.twimg.com/media/F3AcSdrXEAAZwWO.jpg")</f>
        <v>https://pbs.twimg.com/media/F3AcSdrXEAAZwWO.jpg</v>
      </c>
      <c r="AW797" s="81" t="s">
        <v>10063</v>
      </c>
      <c r="AX797" s="81" t="s">
        <v>10063</v>
      </c>
      <c r="AY797" s="77"/>
      <c r="AZ797" s="81" t="s">
        <v>11359</v>
      </c>
      <c r="BA797" s="81" t="s">
        <v>11359</v>
      </c>
      <c r="BB797" s="81" t="s">
        <v>11359</v>
      </c>
      <c r="BC797" s="81" t="s">
        <v>10063</v>
      </c>
      <c r="BD797" s="81" t="s">
        <v>11512</v>
      </c>
      <c r="BE797" s="77"/>
      <c r="BF797" s="77"/>
      <c r="BG797" s="77"/>
      <c r="BH797" s="77"/>
      <c r="BI797" s="77"/>
    </row>
    <row r="798" spans="1:61" x14ac:dyDescent="0.25">
      <c r="A798" s="62" t="s">
        <v>437</v>
      </c>
      <c r="B798" s="62" t="s">
        <v>437</v>
      </c>
      <c r="C798" s="63"/>
      <c r="D798" s="64"/>
      <c r="E798" s="65"/>
      <c r="F798" s="66"/>
      <c r="G798" s="63"/>
      <c r="H798" s="67"/>
      <c r="I798" s="68"/>
      <c r="J798" s="68"/>
      <c r="K798" s="32"/>
      <c r="L798" s="75">
        <v>798</v>
      </c>
      <c r="M798" s="75"/>
      <c r="N798" s="70"/>
      <c r="O798" s="77" t="s">
        <v>967</v>
      </c>
      <c r="P798" s="79">
        <v>45146.423935185187</v>
      </c>
      <c r="Q798" s="77" t="s">
        <v>1742</v>
      </c>
      <c r="R798" s="77">
        <v>0</v>
      </c>
      <c r="S798" s="77">
        <v>1</v>
      </c>
      <c r="T798" s="77">
        <v>0</v>
      </c>
      <c r="U798" s="77">
        <v>0</v>
      </c>
      <c r="V798" s="77">
        <v>47</v>
      </c>
      <c r="W798" s="81" t="s">
        <v>3380</v>
      </c>
      <c r="X798" s="77"/>
      <c r="Y798" s="77"/>
      <c r="Z798" s="77" t="s">
        <v>437</v>
      </c>
      <c r="AA798" s="77" t="s">
        <v>5010</v>
      </c>
      <c r="AB798" s="77" t="s">
        <v>5794</v>
      </c>
      <c r="AC798" s="81" t="s">
        <v>5801</v>
      </c>
      <c r="AD798" s="77" t="s">
        <v>5851</v>
      </c>
      <c r="AE798" s="83" t="str">
        <f>HYPERLINK("https://twitter.com/workshopdantas/status/1688855184489771009")</f>
        <v>https://twitter.com/workshopdantas/status/1688855184489771009</v>
      </c>
      <c r="AF798" s="79">
        <v>45146.423935185187</v>
      </c>
      <c r="AG798" s="85">
        <v>45146</v>
      </c>
      <c r="AH798" s="81" t="s">
        <v>6612</v>
      </c>
      <c r="AI798" s="77" t="b">
        <v>0</v>
      </c>
      <c r="AJ798" s="77"/>
      <c r="AK798" s="77"/>
      <c r="AL798" s="77"/>
      <c r="AM798" s="77"/>
      <c r="AN798" s="77"/>
      <c r="AO798" s="77"/>
      <c r="AP798" s="77"/>
      <c r="AQ798" s="77" t="s">
        <v>8513</v>
      </c>
      <c r="AR798" s="77"/>
      <c r="AS798" s="77"/>
      <c r="AT798" s="77"/>
      <c r="AU798" s="77"/>
      <c r="AV798" s="83" t="str">
        <f>HYPERLINK("https://pbs.twimg.com/media/F3AE1xHXYAE8eQv.jpg")</f>
        <v>https://pbs.twimg.com/media/F3AE1xHXYAE8eQv.jpg</v>
      </c>
      <c r="AW798" s="81" t="s">
        <v>10064</v>
      </c>
      <c r="AX798" s="81" t="s">
        <v>10064</v>
      </c>
      <c r="AY798" s="77"/>
      <c r="AZ798" s="81" t="s">
        <v>11359</v>
      </c>
      <c r="BA798" s="81" t="s">
        <v>11359</v>
      </c>
      <c r="BB798" s="81" t="s">
        <v>11359</v>
      </c>
      <c r="BC798" s="81" t="s">
        <v>10064</v>
      </c>
      <c r="BD798" s="81" t="s">
        <v>11512</v>
      </c>
      <c r="BE798" s="77"/>
      <c r="BF798" s="77"/>
      <c r="BG798" s="77"/>
      <c r="BH798" s="77"/>
      <c r="BI798" s="77"/>
    </row>
    <row r="799" spans="1:61" x14ac:dyDescent="0.25">
      <c r="A799" s="62" t="s">
        <v>437</v>
      </c>
      <c r="B799" s="62" t="s">
        <v>437</v>
      </c>
      <c r="C799" s="63"/>
      <c r="D799" s="64"/>
      <c r="E799" s="65"/>
      <c r="F799" s="66"/>
      <c r="G799" s="63"/>
      <c r="H799" s="67"/>
      <c r="I799" s="68"/>
      <c r="J799" s="68"/>
      <c r="K799" s="32"/>
      <c r="L799" s="75">
        <v>799</v>
      </c>
      <c r="M799" s="75"/>
      <c r="N799" s="70"/>
      <c r="O799" s="77" t="s">
        <v>967</v>
      </c>
      <c r="P799" s="79">
        <v>45145.499143518522</v>
      </c>
      <c r="Q799" s="77" t="s">
        <v>1743</v>
      </c>
      <c r="R799" s="77">
        <v>0</v>
      </c>
      <c r="S799" s="77">
        <v>1</v>
      </c>
      <c r="T799" s="77">
        <v>0</v>
      </c>
      <c r="U799" s="77">
        <v>0</v>
      </c>
      <c r="V799" s="77">
        <v>43</v>
      </c>
      <c r="W799" s="81" t="s">
        <v>3381</v>
      </c>
      <c r="X799" s="77"/>
      <c r="Y799" s="77"/>
      <c r="Z799" s="77" t="s">
        <v>437</v>
      </c>
      <c r="AA799" s="77" t="s">
        <v>5011</v>
      </c>
      <c r="AB799" s="77" t="s">
        <v>5794</v>
      </c>
      <c r="AC799" s="81" t="s">
        <v>5801</v>
      </c>
      <c r="AD799" s="77" t="s">
        <v>5851</v>
      </c>
      <c r="AE799" s="83" t="str">
        <f>HYPERLINK("https://twitter.com/workshopdantas/status/1688520053862326272")</f>
        <v>https://twitter.com/workshopdantas/status/1688520053862326272</v>
      </c>
      <c r="AF799" s="79">
        <v>45145.499143518522</v>
      </c>
      <c r="AG799" s="85">
        <v>45145</v>
      </c>
      <c r="AH799" s="81" t="s">
        <v>6613</v>
      </c>
      <c r="AI799" s="77" t="b">
        <v>0</v>
      </c>
      <c r="AJ799" s="77"/>
      <c r="AK799" s="77"/>
      <c r="AL799" s="77"/>
      <c r="AM799" s="77"/>
      <c r="AN799" s="77"/>
      <c r="AO799" s="77"/>
      <c r="AP799" s="77"/>
      <c r="AQ799" s="77" t="s">
        <v>8514</v>
      </c>
      <c r="AR799" s="77"/>
      <c r="AS799" s="77"/>
      <c r="AT799" s="77"/>
      <c r="AU799" s="77"/>
      <c r="AV799" s="83" t="str">
        <f>HYPERLINK("https://pbs.twimg.com/media/F27UCmLXsAAGT9W.jpg")</f>
        <v>https://pbs.twimg.com/media/F27UCmLXsAAGT9W.jpg</v>
      </c>
      <c r="AW799" s="81" t="s">
        <v>10065</v>
      </c>
      <c r="AX799" s="81" t="s">
        <v>10065</v>
      </c>
      <c r="AY799" s="77"/>
      <c r="AZ799" s="81" t="s">
        <v>11359</v>
      </c>
      <c r="BA799" s="81" t="s">
        <v>11359</v>
      </c>
      <c r="BB799" s="81" t="s">
        <v>11359</v>
      </c>
      <c r="BC799" s="81" t="s">
        <v>10065</v>
      </c>
      <c r="BD799" s="81" t="s">
        <v>11512</v>
      </c>
      <c r="BE799" s="77"/>
      <c r="BF799" s="77"/>
      <c r="BG799" s="77"/>
      <c r="BH799" s="77"/>
      <c r="BI799" s="77"/>
    </row>
    <row r="800" spans="1:61" x14ac:dyDescent="0.25">
      <c r="A800" s="62" t="s">
        <v>437</v>
      </c>
      <c r="B800" s="62" t="s">
        <v>437</v>
      </c>
      <c r="C800" s="63"/>
      <c r="D800" s="64"/>
      <c r="E800" s="65"/>
      <c r="F800" s="66"/>
      <c r="G800" s="63"/>
      <c r="H800" s="67"/>
      <c r="I800" s="68"/>
      <c r="J800" s="68"/>
      <c r="K800" s="32"/>
      <c r="L800" s="75">
        <v>800</v>
      </c>
      <c r="M800" s="75"/>
      <c r="N800" s="70"/>
      <c r="O800" s="77" t="s">
        <v>967</v>
      </c>
      <c r="P800" s="79">
        <v>45144.644108796296</v>
      </c>
      <c r="Q800" s="77" t="s">
        <v>1744</v>
      </c>
      <c r="R800" s="77">
        <v>0</v>
      </c>
      <c r="S800" s="77">
        <v>0</v>
      </c>
      <c r="T800" s="77">
        <v>1</v>
      </c>
      <c r="U800" s="77">
        <v>0</v>
      </c>
      <c r="V800" s="77">
        <v>57</v>
      </c>
      <c r="W800" s="81" t="s">
        <v>3382</v>
      </c>
      <c r="X800" s="77"/>
      <c r="Y800" s="77"/>
      <c r="Z800" s="77" t="s">
        <v>437</v>
      </c>
      <c r="AA800" s="77" t="s">
        <v>5012</v>
      </c>
      <c r="AB800" s="77" t="s">
        <v>5794</v>
      </c>
      <c r="AC800" s="81" t="s">
        <v>5801</v>
      </c>
      <c r="AD800" s="77" t="s">
        <v>5851</v>
      </c>
      <c r="AE800" s="83" t="str">
        <f>HYPERLINK("https://twitter.com/workshopdantas/status/1688210199658602497")</f>
        <v>https://twitter.com/workshopdantas/status/1688210199658602497</v>
      </c>
      <c r="AF800" s="79">
        <v>45144.644108796296</v>
      </c>
      <c r="AG800" s="85">
        <v>45144</v>
      </c>
      <c r="AH800" s="81" t="s">
        <v>6614</v>
      </c>
      <c r="AI800" s="77" t="b">
        <v>0</v>
      </c>
      <c r="AJ800" s="77"/>
      <c r="AK800" s="77"/>
      <c r="AL800" s="77"/>
      <c r="AM800" s="77"/>
      <c r="AN800" s="77"/>
      <c r="AO800" s="77"/>
      <c r="AP800" s="77"/>
      <c r="AQ800" s="77" t="s">
        <v>8515</v>
      </c>
      <c r="AR800" s="77"/>
      <c r="AS800" s="77"/>
      <c r="AT800" s="77"/>
      <c r="AU800" s="77"/>
      <c r="AV800" s="83" t="str">
        <f>HYPERLINK("https://pbs.twimg.com/media/F226OYvWoAEWj6j.jpg")</f>
        <v>https://pbs.twimg.com/media/F226OYvWoAEWj6j.jpg</v>
      </c>
      <c r="AW800" s="81" t="s">
        <v>10066</v>
      </c>
      <c r="AX800" s="81" t="s">
        <v>10066</v>
      </c>
      <c r="AY800" s="77"/>
      <c r="AZ800" s="81" t="s">
        <v>11359</v>
      </c>
      <c r="BA800" s="81" t="s">
        <v>11359</v>
      </c>
      <c r="BB800" s="81" t="s">
        <v>11359</v>
      </c>
      <c r="BC800" s="81" t="s">
        <v>10066</v>
      </c>
      <c r="BD800" s="81" t="s">
        <v>11512</v>
      </c>
      <c r="BE800" s="77"/>
      <c r="BF800" s="77"/>
      <c r="BG800" s="77"/>
      <c r="BH800" s="77"/>
      <c r="BI800" s="77"/>
    </row>
    <row r="801" spans="1:61" x14ac:dyDescent="0.25">
      <c r="A801" s="62" t="s">
        <v>437</v>
      </c>
      <c r="B801" s="62" t="s">
        <v>437</v>
      </c>
      <c r="C801" s="63"/>
      <c r="D801" s="64"/>
      <c r="E801" s="65"/>
      <c r="F801" s="66"/>
      <c r="G801" s="63"/>
      <c r="H801" s="67"/>
      <c r="I801" s="68"/>
      <c r="J801" s="68"/>
      <c r="K801" s="32"/>
      <c r="L801" s="75">
        <v>801</v>
      </c>
      <c r="M801" s="75"/>
      <c r="N801" s="70"/>
      <c r="O801" s="77" t="s">
        <v>967</v>
      </c>
      <c r="P801" s="79">
        <v>45143.416828703703</v>
      </c>
      <c r="Q801" s="77" t="s">
        <v>1745</v>
      </c>
      <c r="R801" s="77">
        <v>0</v>
      </c>
      <c r="S801" s="77">
        <v>0</v>
      </c>
      <c r="T801" s="77">
        <v>0</v>
      </c>
      <c r="U801" s="77">
        <v>0</v>
      </c>
      <c r="V801" s="77">
        <v>67</v>
      </c>
      <c r="W801" s="81" t="s">
        <v>3383</v>
      </c>
      <c r="X801" s="77"/>
      <c r="Y801" s="77"/>
      <c r="Z801" s="77" t="s">
        <v>437</v>
      </c>
      <c r="AA801" s="77" t="s">
        <v>5013</v>
      </c>
      <c r="AB801" s="77" t="s">
        <v>5794</v>
      </c>
      <c r="AC801" s="81" t="s">
        <v>5801</v>
      </c>
      <c r="AD801" s="77" t="s">
        <v>5851</v>
      </c>
      <c r="AE801" s="83" t="str">
        <f>HYPERLINK("https://twitter.com/workshopdantas/status/1687765448933113856")</f>
        <v>https://twitter.com/workshopdantas/status/1687765448933113856</v>
      </c>
      <c r="AF801" s="79">
        <v>45143.416828703703</v>
      </c>
      <c r="AG801" s="85">
        <v>45143</v>
      </c>
      <c r="AH801" s="81" t="s">
        <v>6615</v>
      </c>
      <c r="AI801" s="77" t="b">
        <v>0</v>
      </c>
      <c r="AJ801" s="77"/>
      <c r="AK801" s="77"/>
      <c r="AL801" s="77"/>
      <c r="AM801" s="77"/>
      <c r="AN801" s="77"/>
      <c r="AO801" s="77"/>
      <c r="AP801" s="77"/>
      <c r="AQ801" s="77" t="s">
        <v>8516</v>
      </c>
      <c r="AR801" s="77"/>
      <c r="AS801" s="77"/>
      <c r="AT801" s="77"/>
      <c r="AU801" s="77"/>
      <c r="AV801" s="83" t="str">
        <f>HYPERLINK("https://pbs.twimg.com/media/F2wluzZWEAEWi3e.jpg")</f>
        <v>https://pbs.twimg.com/media/F2wluzZWEAEWi3e.jpg</v>
      </c>
      <c r="AW801" s="81" t="s">
        <v>10067</v>
      </c>
      <c r="AX801" s="81" t="s">
        <v>10067</v>
      </c>
      <c r="AY801" s="77"/>
      <c r="AZ801" s="81" t="s">
        <v>11359</v>
      </c>
      <c r="BA801" s="81" t="s">
        <v>11359</v>
      </c>
      <c r="BB801" s="81" t="s">
        <v>11359</v>
      </c>
      <c r="BC801" s="81" t="s">
        <v>10067</v>
      </c>
      <c r="BD801" s="81" t="s">
        <v>11512</v>
      </c>
      <c r="BE801" s="77"/>
      <c r="BF801" s="77"/>
      <c r="BG801" s="77"/>
      <c r="BH801" s="77"/>
      <c r="BI801" s="77"/>
    </row>
    <row r="802" spans="1:61" x14ac:dyDescent="0.25">
      <c r="A802" s="62" t="s">
        <v>437</v>
      </c>
      <c r="B802" s="62" t="s">
        <v>437</v>
      </c>
      <c r="C802" s="63"/>
      <c r="D802" s="64"/>
      <c r="E802" s="65"/>
      <c r="F802" s="66"/>
      <c r="G802" s="63"/>
      <c r="H802" s="67"/>
      <c r="I802" s="68"/>
      <c r="J802" s="68"/>
      <c r="K802" s="32"/>
      <c r="L802" s="75">
        <v>802</v>
      </c>
      <c r="M802" s="75"/>
      <c r="N802" s="70"/>
      <c r="O802" s="77" t="s">
        <v>967</v>
      </c>
      <c r="P802" s="79">
        <v>45151.892476851855</v>
      </c>
      <c r="Q802" s="77" t="s">
        <v>1746</v>
      </c>
      <c r="R802" s="77">
        <v>0</v>
      </c>
      <c r="S802" s="77">
        <v>1</v>
      </c>
      <c r="T802" s="77">
        <v>1</v>
      </c>
      <c r="U802" s="77">
        <v>0</v>
      </c>
      <c r="V802" s="77">
        <v>20</v>
      </c>
      <c r="W802" s="81" t="s">
        <v>3344</v>
      </c>
      <c r="X802" s="77"/>
      <c r="Y802" s="77"/>
      <c r="Z802" s="77" t="s">
        <v>437</v>
      </c>
      <c r="AA802" s="77" t="s">
        <v>5014</v>
      </c>
      <c r="AB802" s="77" t="s">
        <v>5794</v>
      </c>
      <c r="AC802" s="81" t="s">
        <v>5801</v>
      </c>
      <c r="AD802" s="77" t="s">
        <v>5851</v>
      </c>
      <c r="AE802" s="83" t="str">
        <f>HYPERLINK("https://twitter.com/workshopdantas/status/1690836920203403264")</f>
        <v>https://twitter.com/workshopdantas/status/1690836920203403264</v>
      </c>
      <c r="AF802" s="79">
        <v>45151.892476851855</v>
      </c>
      <c r="AG802" s="85">
        <v>45151</v>
      </c>
      <c r="AH802" s="81" t="s">
        <v>6616</v>
      </c>
      <c r="AI802" s="77" t="b">
        <v>0</v>
      </c>
      <c r="AJ802" s="77"/>
      <c r="AK802" s="77"/>
      <c r="AL802" s="77"/>
      <c r="AM802" s="77"/>
      <c r="AN802" s="77"/>
      <c r="AO802" s="77"/>
      <c r="AP802" s="77"/>
      <c r="AQ802" s="77" t="s">
        <v>8517</v>
      </c>
      <c r="AR802" s="77"/>
      <c r="AS802" s="77"/>
      <c r="AT802" s="77"/>
      <c r="AU802" s="77"/>
      <c r="AV802" s="83" t="str">
        <f>HYPERLINK("https://pbs.twimg.com/media/F3cPNk_WcAIp2Sm.jpg")</f>
        <v>https://pbs.twimg.com/media/F3cPNk_WcAIp2Sm.jpg</v>
      </c>
      <c r="AW802" s="81" t="s">
        <v>10068</v>
      </c>
      <c r="AX802" s="81" t="s">
        <v>10068</v>
      </c>
      <c r="AY802" s="77"/>
      <c r="AZ802" s="81" t="s">
        <v>11359</v>
      </c>
      <c r="BA802" s="81" t="s">
        <v>11359</v>
      </c>
      <c r="BB802" s="81" t="s">
        <v>11359</v>
      </c>
      <c r="BC802" s="81" t="s">
        <v>10068</v>
      </c>
      <c r="BD802" s="81" t="s">
        <v>11512</v>
      </c>
      <c r="BE802" s="77"/>
      <c r="BF802" s="77"/>
      <c r="BG802" s="77"/>
      <c r="BH802" s="77"/>
      <c r="BI802" s="77"/>
    </row>
    <row r="803" spans="1:61" x14ac:dyDescent="0.25">
      <c r="A803" s="62" t="s">
        <v>437</v>
      </c>
      <c r="B803" s="62" t="s">
        <v>437</v>
      </c>
      <c r="C803" s="63"/>
      <c r="D803" s="64"/>
      <c r="E803" s="65"/>
      <c r="F803" s="66"/>
      <c r="G803" s="63"/>
      <c r="H803" s="67"/>
      <c r="I803" s="68"/>
      <c r="J803" s="68"/>
      <c r="K803" s="32"/>
      <c r="L803" s="75">
        <v>803</v>
      </c>
      <c r="M803" s="75"/>
      <c r="N803" s="70"/>
      <c r="O803" s="77" t="s">
        <v>967</v>
      </c>
      <c r="P803" s="79">
        <v>45138.456770833334</v>
      </c>
      <c r="Q803" s="77" t="s">
        <v>1747</v>
      </c>
      <c r="R803" s="77">
        <v>0</v>
      </c>
      <c r="S803" s="77">
        <v>0</v>
      </c>
      <c r="T803" s="77">
        <v>0</v>
      </c>
      <c r="U803" s="77">
        <v>0</v>
      </c>
      <c r="V803" s="77">
        <v>47</v>
      </c>
      <c r="W803" s="81" t="s">
        <v>3344</v>
      </c>
      <c r="X803" s="77"/>
      <c r="Y803" s="77"/>
      <c r="Z803" s="77" t="s">
        <v>437</v>
      </c>
      <c r="AA803" s="77" t="s">
        <v>5015</v>
      </c>
      <c r="AB803" s="77" t="s">
        <v>5794</v>
      </c>
      <c r="AC803" s="81" t="s">
        <v>5801</v>
      </c>
      <c r="AD803" s="77" t="s">
        <v>5851</v>
      </c>
      <c r="AE803" s="83" t="str">
        <f>HYPERLINK("https://twitter.com/workshopdantas/status/1685967981170327552")</f>
        <v>https://twitter.com/workshopdantas/status/1685967981170327552</v>
      </c>
      <c r="AF803" s="79">
        <v>45138.456770833334</v>
      </c>
      <c r="AG803" s="85">
        <v>45138</v>
      </c>
      <c r="AH803" s="81" t="s">
        <v>6617</v>
      </c>
      <c r="AI803" s="77" t="b">
        <v>0</v>
      </c>
      <c r="AJ803" s="77"/>
      <c r="AK803" s="77"/>
      <c r="AL803" s="77"/>
      <c r="AM803" s="77"/>
      <c r="AN803" s="77"/>
      <c r="AO803" s="77"/>
      <c r="AP803" s="77"/>
      <c r="AQ803" s="77" t="s">
        <v>8518</v>
      </c>
      <c r="AR803" s="77"/>
      <c r="AS803" s="77"/>
      <c r="AT803" s="77"/>
      <c r="AU803" s="77"/>
      <c r="AV803" s="83" t="str">
        <f>HYPERLINK("https://pbs.twimg.com/media/F2XC8X8XsAAy_l4.jpg")</f>
        <v>https://pbs.twimg.com/media/F2XC8X8XsAAy_l4.jpg</v>
      </c>
      <c r="AW803" s="81" t="s">
        <v>10069</v>
      </c>
      <c r="AX803" s="81" t="s">
        <v>10069</v>
      </c>
      <c r="AY803" s="77"/>
      <c r="AZ803" s="81" t="s">
        <v>11359</v>
      </c>
      <c r="BA803" s="81" t="s">
        <v>11359</v>
      </c>
      <c r="BB803" s="81" t="s">
        <v>11359</v>
      </c>
      <c r="BC803" s="81" t="s">
        <v>10069</v>
      </c>
      <c r="BD803" s="81" t="s">
        <v>11512</v>
      </c>
      <c r="BE803" s="77"/>
      <c r="BF803" s="77"/>
      <c r="BG803" s="77"/>
      <c r="BH803" s="77"/>
      <c r="BI803" s="77"/>
    </row>
    <row r="804" spans="1:61" x14ac:dyDescent="0.25">
      <c r="A804" s="62" t="s">
        <v>437</v>
      </c>
      <c r="B804" s="62" t="s">
        <v>437</v>
      </c>
      <c r="C804" s="63"/>
      <c r="D804" s="64"/>
      <c r="E804" s="65"/>
      <c r="F804" s="66"/>
      <c r="G804" s="63"/>
      <c r="H804" s="67"/>
      <c r="I804" s="68"/>
      <c r="J804" s="68"/>
      <c r="K804" s="32"/>
      <c r="L804" s="75">
        <v>804</v>
      </c>
      <c r="M804" s="75"/>
      <c r="N804" s="70"/>
      <c r="O804" s="77" t="s">
        <v>967</v>
      </c>
      <c r="P804" s="79">
        <v>45137.432233796295</v>
      </c>
      <c r="Q804" s="77" t="s">
        <v>1748</v>
      </c>
      <c r="R804" s="77">
        <v>0</v>
      </c>
      <c r="S804" s="77">
        <v>0</v>
      </c>
      <c r="T804" s="77">
        <v>0</v>
      </c>
      <c r="U804" s="77">
        <v>0</v>
      </c>
      <c r="V804" s="77">
        <v>50</v>
      </c>
      <c r="W804" s="81" t="s">
        <v>3384</v>
      </c>
      <c r="X804" s="77"/>
      <c r="Y804" s="77"/>
      <c r="Z804" s="77" t="s">
        <v>437</v>
      </c>
      <c r="AA804" s="77" t="s">
        <v>5016</v>
      </c>
      <c r="AB804" s="77" t="s">
        <v>5794</v>
      </c>
      <c r="AC804" s="81" t="s">
        <v>5801</v>
      </c>
      <c r="AD804" s="77" t="s">
        <v>5851</v>
      </c>
      <c r="AE804" s="83" t="str">
        <f>HYPERLINK("https://twitter.com/workshopdantas/status/1685596701896105985")</f>
        <v>https://twitter.com/workshopdantas/status/1685596701896105985</v>
      </c>
      <c r="AF804" s="79">
        <v>45137.432233796295</v>
      </c>
      <c r="AG804" s="85">
        <v>45137</v>
      </c>
      <c r="AH804" s="81" t="s">
        <v>6618</v>
      </c>
      <c r="AI804" s="77" t="b">
        <v>0</v>
      </c>
      <c r="AJ804" s="77"/>
      <c r="AK804" s="77"/>
      <c r="AL804" s="77"/>
      <c r="AM804" s="77"/>
      <c r="AN804" s="77"/>
      <c r="AO804" s="77"/>
      <c r="AP804" s="77"/>
      <c r="AQ804" s="77" t="s">
        <v>8519</v>
      </c>
      <c r="AR804" s="77"/>
      <c r="AS804" s="77"/>
      <c r="AT804" s="77"/>
      <c r="AU804" s="77"/>
      <c r="AV804" s="83" t="str">
        <f>HYPERLINK("https://pbs.twimg.com/media/F2RxRFJXEAAV5Yx.jpg")</f>
        <v>https://pbs.twimg.com/media/F2RxRFJXEAAV5Yx.jpg</v>
      </c>
      <c r="AW804" s="81" t="s">
        <v>10070</v>
      </c>
      <c r="AX804" s="81" t="s">
        <v>10070</v>
      </c>
      <c r="AY804" s="77"/>
      <c r="AZ804" s="81" t="s">
        <v>11359</v>
      </c>
      <c r="BA804" s="81" t="s">
        <v>11359</v>
      </c>
      <c r="BB804" s="81" t="s">
        <v>11359</v>
      </c>
      <c r="BC804" s="81" t="s">
        <v>10070</v>
      </c>
      <c r="BD804" s="81" t="s">
        <v>11512</v>
      </c>
      <c r="BE804" s="77"/>
      <c r="BF804" s="77"/>
      <c r="BG804" s="77"/>
      <c r="BH804" s="77"/>
      <c r="BI804" s="77"/>
    </row>
    <row r="805" spans="1:61" x14ac:dyDescent="0.25">
      <c r="A805" s="62" t="s">
        <v>437</v>
      </c>
      <c r="B805" s="62" t="s">
        <v>437</v>
      </c>
      <c r="C805" s="63"/>
      <c r="D805" s="64"/>
      <c r="E805" s="65"/>
      <c r="F805" s="66"/>
      <c r="G805" s="63"/>
      <c r="H805" s="67"/>
      <c r="I805" s="68"/>
      <c r="J805" s="68"/>
      <c r="K805" s="32"/>
      <c r="L805" s="75">
        <v>805</v>
      </c>
      <c r="M805" s="75"/>
      <c r="N805" s="70"/>
      <c r="O805" s="77" t="s">
        <v>967</v>
      </c>
      <c r="P805" s="79">
        <v>45106.501655092594</v>
      </c>
      <c r="Q805" s="77" t="s">
        <v>1749</v>
      </c>
      <c r="R805" s="77">
        <v>0</v>
      </c>
      <c r="S805" s="77">
        <v>1</v>
      </c>
      <c r="T805" s="77">
        <v>0</v>
      </c>
      <c r="U805" s="77">
        <v>0</v>
      </c>
      <c r="V805" s="77">
        <v>31</v>
      </c>
      <c r="W805" s="81" t="s">
        <v>3385</v>
      </c>
      <c r="X805" s="77"/>
      <c r="Y805" s="77"/>
      <c r="Z805" s="77" t="s">
        <v>437</v>
      </c>
      <c r="AA805" s="77" t="s">
        <v>5017</v>
      </c>
      <c r="AB805" s="77" t="s">
        <v>5794</v>
      </c>
      <c r="AC805" s="81" t="s">
        <v>5801</v>
      </c>
      <c r="AD805" s="77" t="s">
        <v>5851</v>
      </c>
      <c r="AE805" s="83" t="str">
        <f>HYPERLINK("https://twitter.com/workshopdantas/status/1674387837980999686")</f>
        <v>https://twitter.com/workshopdantas/status/1674387837980999686</v>
      </c>
      <c r="AF805" s="79">
        <v>45106.501655092594</v>
      </c>
      <c r="AG805" s="85">
        <v>45106</v>
      </c>
      <c r="AH805" s="81" t="s">
        <v>6619</v>
      </c>
      <c r="AI805" s="77" t="b">
        <v>0</v>
      </c>
      <c r="AJ805" s="77"/>
      <c r="AK805" s="77"/>
      <c r="AL805" s="77"/>
      <c r="AM805" s="77"/>
      <c r="AN805" s="77"/>
      <c r="AO805" s="77"/>
      <c r="AP805" s="77"/>
      <c r="AQ805" s="77" t="s">
        <v>8520</v>
      </c>
      <c r="AR805" s="77"/>
      <c r="AS805" s="77"/>
      <c r="AT805" s="77"/>
      <c r="AU805" s="77"/>
      <c r="AV805" s="83" t="str">
        <f>HYPERLINK("https://pbs.twimg.com/media/Fzye3WCX0AE_wN-.jpg")</f>
        <v>https://pbs.twimg.com/media/Fzye3WCX0AE_wN-.jpg</v>
      </c>
      <c r="AW805" s="81" t="s">
        <v>10071</v>
      </c>
      <c r="AX805" s="81" t="s">
        <v>10071</v>
      </c>
      <c r="AY805" s="77"/>
      <c r="AZ805" s="81" t="s">
        <v>11359</v>
      </c>
      <c r="BA805" s="81" t="s">
        <v>11359</v>
      </c>
      <c r="BB805" s="81" t="s">
        <v>11359</v>
      </c>
      <c r="BC805" s="81" t="s">
        <v>10071</v>
      </c>
      <c r="BD805" s="81" t="s">
        <v>11512</v>
      </c>
      <c r="BE805" s="77"/>
      <c r="BF805" s="77"/>
      <c r="BG805" s="77"/>
      <c r="BH805" s="77"/>
      <c r="BI805" s="77"/>
    </row>
    <row r="806" spans="1:61" x14ac:dyDescent="0.25">
      <c r="A806" s="62" t="s">
        <v>437</v>
      </c>
      <c r="B806" s="62" t="s">
        <v>437</v>
      </c>
      <c r="C806" s="63"/>
      <c r="D806" s="64"/>
      <c r="E806" s="65"/>
      <c r="F806" s="66"/>
      <c r="G806" s="63"/>
      <c r="H806" s="67"/>
      <c r="I806" s="68"/>
      <c r="J806" s="68"/>
      <c r="K806" s="32"/>
      <c r="L806" s="75">
        <v>806</v>
      </c>
      <c r="M806" s="75"/>
      <c r="N806" s="70"/>
      <c r="O806" s="77" t="s">
        <v>967</v>
      </c>
      <c r="P806" s="79">
        <v>45105.856134259258</v>
      </c>
      <c r="Q806" s="77" t="s">
        <v>1750</v>
      </c>
      <c r="R806" s="77">
        <v>0</v>
      </c>
      <c r="S806" s="77">
        <v>0</v>
      </c>
      <c r="T806" s="77">
        <v>0</v>
      </c>
      <c r="U806" s="77">
        <v>0</v>
      </c>
      <c r="V806" s="77">
        <v>56</v>
      </c>
      <c r="W806" s="81" t="s">
        <v>3386</v>
      </c>
      <c r="X806" s="77"/>
      <c r="Y806" s="77"/>
      <c r="Z806" s="77" t="s">
        <v>437</v>
      </c>
      <c r="AA806" s="77" t="s">
        <v>5018</v>
      </c>
      <c r="AB806" s="77" t="s">
        <v>5795</v>
      </c>
      <c r="AC806" s="81" t="s">
        <v>5801</v>
      </c>
      <c r="AD806" s="77" t="s">
        <v>5851</v>
      </c>
      <c r="AE806" s="83" t="str">
        <f>HYPERLINK("https://twitter.com/workshopdantas/status/1674153907747008512")</f>
        <v>https://twitter.com/workshopdantas/status/1674153907747008512</v>
      </c>
      <c r="AF806" s="79">
        <v>45105.856134259258</v>
      </c>
      <c r="AG806" s="85">
        <v>45105</v>
      </c>
      <c r="AH806" s="81" t="s">
        <v>6620</v>
      </c>
      <c r="AI806" s="77" t="b">
        <v>0</v>
      </c>
      <c r="AJ806" s="77"/>
      <c r="AK806" s="77"/>
      <c r="AL806" s="77"/>
      <c r="AM806" s="77"/>
      <c r="AN806" s="77"/>
      <c r="AO806" s="77"/>
      <c r="AP806" s="77"/>
      <c r="AQ806" s="77" t="s">
        <v>8521</v>
      </c>
      <c r="AR806" s="77">
        <v>9833</v>
      </c>
      <c r="AS806" s="77"/>
      <c r="AT806" s="77"/>
      <c r="AU806" s="77"/>
      <c r="AV806" s="83" t="str">
        <f>HYPERLINK("https://pbs.twimg.com/ext_tw_video_thumb/1674153873194229760/pu/img/JblQkNM2jhDEjpFw.jpg")</f>
        <v>https://pbs.twimg.com/ext_tw_video_thumb/1674153873194229760/pu/img/JblQkNM2jhDEjpFw.jpg</v>
      </c>
      <c r="AW806" s="81" t="s">
        <v>10072</v>
      </c>
      <c r="AX806" s="81" t="s">
        <v>10072</v>
      </c>
      <c r="AY806" s="77"/>
      <c r="AZ806" s="81" t="s">
        <v>11359</v>
      </c>
      <c r="BA806" s="81" t="s">
        <v>11359</v>
      </c>
      <c r="BB806" s="81" t="s">
        <v>11359</v>
      </c>
      <c r="BC806" s="81" t="s">
        <v>10072</v>
      </c>
      <c r="BD806" s="81" t="s">
        <v>11512</v>
      </c>
      <c r="BE806" s="77"/>
      <c r="BF806" s="77"/>
      <c r="BG806" s="77"/>
      <c r="BH806" s="77"/>
      <c r="BI806" s="77"/>
    </row>
    <row r="807" spans="1:61" x14ac:dyDescent="0.25">
      <c r="A807" s="62" t="s">
        <v>437</v>
      </c>
      <c r="B807" s="62" t="s">
        <v>437</v>
      </c>
      <c r="C807" s="63"/>
      <c r="D807" s="64"/>
      <c r="E807" s="65"/>
      <c r="F807" s="66"/>
      <c r="G807" s="63"/>
      <c r="H807" s="67"/>
      <c r="I807" s="68"/>
      <c r="J807" s="68"/>
      <c r="K807" s="32"/>
      <c r="L807" s="75">
        <v>807</v>
      </c>
      <c r="M807" s="75"/>
      <c r="N807" s="70"/>
      <c r="O807" s="77" t="s">
        <v>967</v>
      </c>
      <c r="P807" s="79">
        <v>45153.462916666664</v>
      </c>
      <c r="Q807" s="77" t="s">
        <v>1751</v>
      </c>
      <c r="R807" s="77">
        <v>0</v>
      </c>
      <c r="S807" s="77">
        <v>0</v>
      </c>
      <c r="T807" s="77">
        <v>0</v>
      </c>
      <c r="U807" s="77">
        <v>0</v>
      </c>
      <c r="V807" s="77">
        <v>68</v>
      </c>
      <c r="W807" s="81" t="s">
        <v>3387</v>
      </c>
      <c r="X807" s="77"/>
      <c r="Y807" s="77"/>
      <c r="Z807" s="77" t="s">
        <v>437</v>
      </c>
      <c r="AA807" s="77" t="s">
        <v>5019</v>
      </c>
      <c r="AB807" s="77" t="s">
        <v>5794</v>
      </c>
      <c r="AC807" s="81" t="s">
        <v>5801</v>
      </c>
      <c r="AD807" s="77" t="s">
        <v>5851</v>
      </c>
      <c r="AE807" s="83" t="str">
        <f>HYPERLINK("https://twitter.com/workshopdantas/status/1691406026443046912")</f>
        <v>https://twitter.com/workshopdantas/status/1691406026443046912</v>
      </c>
      <c r="AF807" s="79">
        <v>45153.462916666664</v>
      </c>
      <c r="AG807" s="85">
        <v>45153</v>
      </c>
      <c r="AH807" s="81" t="s">
        <v>6621</v>
      </c>
      <c r="AI807" s="77" t="b">
        <v>0</v>
      </c>
      <c r="AJ807" s="77"/>
      <c r="AK807" s="77"/>
      <c r="AL807" s="77"/>
      <c r="AM807" s="77"/>
      <c r="AN807" s="77"/>
      <c r="AO807" s="77"/>
      <c r="AP807" s="77"/>
      <c r="AQ807" s="77" t="s">
        <v>8522</v>
      </c>
      <c r="AR807" s="77"/>
      <c r="AS807" s="77"/>
      <c r="AT807" s="77"/>
      <c r="AU807" s="77"/>
      <c r="AV807" s="83" t="str">
        <f>HYPERLINK("https://pbs.twimg.com/media/F3kU0VWWUAA5nDy.jpg")</f>
        <v>https://pbs.twimg.com/media/F3kU0VWWUAA5nDy.jpg</v>
      </c>
      <c r="AW807" s="81" t="s">
        <v>10073</v>
      </c>
      <c r="AX807" s="81" t="s">
        <v>10073</v>
      </c>
      <c r="AY807" s="77"/>
      <c r="AZ807" s="81" t="s">
        <v>11359</v>
      </c>
      <c r="BA807" s="81" t="s">
        <v>11359</v>
      </c>
      <c r="BB807" s="81" t="s">
        <v>11359</v>
      </c>
      <c r="BC807" s="81" t="s">
        <v>10073</v>
      </c>
      <c r="BD807" s="81" t="s">
        <v>11512</v>
      </c>
      <c r="BE807" s="77"/>
      <c r="BF807" s="77"/>
      <c r="BG807" s="77"/>
      <c r="BH807" s="77"/>
      <c r="BI807" s="77"/>
    </row>
    <row r="808" spans="1:61" x14ac:dyDescent="0.25">
      <c r="A808" s="62" t="s">
        <v>437</v>
      </c>
      <c r="B808" s="62" t="s">
        <v>437</v>
      </c>
      <c r="C808" s="63"/>
      <c r="D808" s="64"/>
      <c r="E808" s="65"/>
      <c r="F808" s="66"/>
      <c r="G808" s="63"/>
      <c r="H808" s="67"/>
      <c r="I808" s="68"/>
      <c r="J808" s="68"/>
      <c r="K808" s="32"/>
      <c r="L808" s="75">
        <v>808</v>
      </c>
      <c r="M808" s="75"/>
      <c r="N808" s="70"/>
      <c r="O808" s="77" t="s">
        <v>967</v>
      </c>
      <c r="P808" s="79">
        <v>45142.426249999997</v>
      </c>
      <c r="Q808" s="77" t="s">
        <v>1752</v>
      </c>
      <c r="R808" s="77">
        <v>0</v>
      </c>
      <c r="S808" s="77">
        <v>0</v>
      </c>
      <c r="T808" s="77">
        <v>0</v>
      </c>
      <c r="U808" s="77">
        <v>0</v>
      </c>
      <c r="V808" s="77">
        <v>152</v>
      </c>
      <c r="W808" s="81" t="s">
        <v>3388</v>
      </c>
      <c r="X808" s="77"/>
      <c r="Y808" s="77"/>
      <c r="Z808" s="77" t="s">
        <v>437</v>
      </c>
      <c r="AA808" s="77" t="s">
        <v>5020</v>
      </c>
      <c r="AB808" s="77" t="s">
        <v>5795</v>
      </c>
      <c r="AC808" s="81" t="s">
        <v>5801</v>
      </c>
      <c r="AD808" s="77" t="s">
        <v>5851</v>
      </c>
      <c r="AE808" s="83" t="str">
        <f>HYPERLINK("https://twitter.com/workshopdantas/status/1687406474832588800")</f>
        <v>https://twitter.com/workshopdantas/status/1687406474832588800</v>
      </c>
      <c r="AF808" s="79">
        <v>45142.426249999997</v>
      </c>
      <c r="AG808" s="85">
        <v>45142</v>
      </c>
      <c r="AH808" s="81" t="s">
        <v>6622</v>
      </c>
      <c r="AI808" s="77" t="b">
        <v>0</v>
      </c>
      <c r="AJ808" s="77"/>
      <c r="AK808" s="77"/>
      <c r="AL808" s="77"/>
      <c r="AM808" s="77"/>
      <c r="AN808" s="77"/>
      <c r="AO808" s="77"/>
      <c r="AP808" s="77"/>
      <c r="AQ808" s="77" t="s">
        <v>8523</v>
      </c>
      <c r="AR808" s="77">
        <v>119069</v>
      </c>
      <c r="AS808" s="77"/>
      <c r="AT808" s="77"/>
      <c r="AU808" s="77"/>
      <c r="AV808" s="83" t="str">
        <f>HYPERLINK("https://pbs.twimg.com/ext_tw_video_thumb/1687406431551537152/pu/img/9DRrA9kzcJOfw7Wy.jpg")</f>
        <v>https://pbs.twimg.com/ext_tw_video_thumb/1687406431551537152/pu/img/9DRrA9kzcJOfw7Wy.jpg</v>
      </c>
      <c r="AW808" s="81" t="s">
        <v>10074</v>
      </c>
      <c r="AX808" s="81" t="s">
        <v>10074</v>
      </c>
      <c r="AY808" s="77"/>
      <c r="AZ808" s="81" t="s">
        <v>11359</v>
      </c>
      <c r="BA808" s="81" t="s">
        <v>11359</v>
      </c>
      <c r="BB808" s="81" t="s">
        <v>11359</v>
      </c>
      <c r="BC808" s="81" t="s">
        <v>10074</v>
      </c>
      <c r="BD808" s="81" t="s">
        <v>11512</v>
      </c>
      <c r="BE808" s="77"/>
      <c r="BF808" s="77"/>
      <c r="BG808" s="77"/>
      <c r="BH808" s="77"/>
      <c r="BI808" s="77"/>
    </row>
    <row r="809" spans="1:61" x14ac:dyDescent="0.25">
      <c r="A809" s="62" t="s">
        <v>437</v>
      </c>
      <c r="B809" s="62" t="s">
        <v>437</v>
      </c>
      <c r="C809" s="63"/>
      <c r="D809" s="64"/>
      <c r="E809" s="65"/>
      <c r="F809" s="66"/>
      <c r="G809" s="63"/>
      <c r="H809" s="67"/>
      <c r="I809" s="68"/>
      <c r="J809" s="68"/>
      <c r="K809" s="32"/>
      <c r="L809" s="75">
        <v>809</v>
      </c>
      <c r="M809" s="75"/>
      <c r="N809" s="70"/>
      <c r="O809" s="77" t="s">
        <v>967</v>
      </c>
      <c r="P809" s="79">
        <v>45142.405381944445</v>
      </c>
      <c r="Q809" s="77" t="s">
        <v>1753</v>
      </c>
      <c r="R809" s="77">
        <v>0</v>
      </c>
      <c r="S809" s="77">
        <v>1</v>
      </c>
      <c r="T809" s="77">
        <v>0</v>
      </c>
      <c r="U809" s="77">
        <v>0</v>
      </c>
      <c r="V809" s="77">
        <v>49</v>
      </c>
      <c r="W809" s="81" t="s">
        <v>3389</v>
      </c>
      <c r="X809" s="77"/>
      <c r="Y809" s="77"/>
      <c r="Z809" s="77" t="s">
        <v>437</v>
      </c>
      <c r="AA809" s="77" t="s">
        <v>5021</v>
      </c>
      <c r="AB809" s="77" t="s">
        <v>5794</v>
      </c>
      <c r="AC809" s="81" t="s">
        <v>5801</v>
      </c>
      <c r="AD809" s="77" t="s">
        <v>5851</v>
      </c>
      <c r="AE809" s="83" t="str">
        <f>HYPERLINK("https://twitter.com/workshopdantas/status/1687398910950547456")</f>
        <v>https://twitter.com/workshopdantas/status/1687398910950547456</v>
      </c>
      <c r="AF809" s="79">
        <v>45142.405381944445</v>
      </c>
      <c r="AG809" s="85">
        <v>45142</v>
      </c>
      <c r="AH809" s="81" t="s">
        <v>6623</v>
      </c>
      <c r="AI809" s="77" t="b">
        <v>0</v>
      </c>
      <c r="AJ809" s="77"/>
      <c r="AK809" s="77"/>
      <c r="AL809" s="77"/>
      <c r="AM809" s="77"/>
      <c r="AN809" s="77"/>
      <c r="AO809" s="77"/>
      <c r="AP809" s="77"/>
      <c r="AQ809" s="77" t="s">
        <v>8524</v>
      </c>
      <c r="AR809" s="77"/>
      <c r="AS809" s="77"/>
      <c r="AT809" s="77"/>
      <c r="AU809" s="77"/>
      <c r="AV809" s="83" t="str">
        <f>HYPERLINK("https://pbs.twimg.com/media/F2rYXgNX0AATnXw.jpg")</f>
        <v>https://pbs.twimg.com/media/F2rYXgNX0AATnXw.jpg</v>
      </c>
      <c r="AW809" s="81" t="s">
        <v>10075</v>
      </c>
      <c r="AX809" s="81" t="s">
        <v>10075</v>
      </c>
      <c r="AY809" s="77"/>
      <c r="AZ809" s="81" t="s">
        <v>11359</v>
      </c>
      <c r="BA809" s="81" t="s">
        <v>11359</v>
      </c>
      <c r="BB809" s="81" t="s">
        <v>11359</v>
      </c>
      <c r="BC809" s="81" t="s">
        <v>10075</v>
      </c>
      <c r="BD809" s="81" t="s">
        <v>11512</v>
      </c>
      <c r="BE809" s="77"/>
      <c r="BF809" s="77"/>
      <c r="BG809" s="77"/>
      <c r="BH809" s="77"/>
      <c r="BI809" s="77"/>
    </row>
    <row r="810" spans="1:61" x14ac:dyDescent="0.25">
      <c r="A810" s="62" t="s">
        <v>437</v>
      </c>
      <c r="B810" s="62" t="s">
        <v>437</v>
      </c>
      <c r="C810" s="63"/>
      <c r="D810" s="64"/>
      <c r="E810" s="65"/>
      <c r="F810" s="66"/>
      <c r="G810" s="63"/>
      <c r="H810" s="67"/>
      <c r="I810" s="68"/>
      <c r="J810" s="68"/>
      <c r="K810" s="32"/>
      <c r="L810" s="75">
        <v>810</v>
      </c>
      <c r="M810" s="75"/>
      <c r="N810" s="70"/>
      <c r="O810" s="77" t="s">
        <v>967</v>
      </c>
      <c r="P810" s="79">
        <v>45134.490868055553</v>
      </c>
      <c r="Q810" s="77" t="s">
        <v>1754</v>
      </c>
      <c r="R810" s="77">
        <v>0</v>
      </c>
      <c r="S810" s="77">
        <v>0</v>
      </c>
      <c r="T810" s="77">
        <v>1</v>
      </c>
      <c r="U810" s="77">
        <v>0</v>
      </c>
      <c r="V810" s="77">
        <v>90</v>
      </c>
      <c r="W810" s="81" t="s">
        <v>3390</v>
      </c>
      <c r="X810" s="77"/>
      <c r="Y810" s="77"/>
      <c r="Z810" s="77" t="s">
        <v>437</v>
      </c>
      <c r="AA810" s="77" t="s">
        <v>5022</v>
      </c>
      <c r="AB810" s="77" t="s">
        <v>5794</v>
      </c>
      <c r="AC810" s="81" t="s">
        <v>5801</v>
      </c>
      <c r="AD810" s="77" t="s">
        <v>5851</v>
      </c>
      <c r="AE810" s="83" t="str">
        <f>HYPERLINK("https://twitter.com/workshopdantas/status/1684530788589600769")</f>
        <v>https://twitter.com/workshopdantas/status/1684530788589600769</v>
      </c>
      <c r="AF810" s="79">
        <v>45134.490868055553</v>
      </c>
      <c r="AG810" s="85">
        <v>45134</v>
      </c>
      <c r="AH810" s="81" t="s">
        <v>6624</v>
      </c>
      <c r="AI810" s="77" t="b">
        <v>0</v>
      </c>
      <c r="AJ810" s="77"/>
      <c r="AK810" s="77"/>
      <c r="AL810" s="77"/>
      <c r="AM810" s="77"/>
      <c r="AN810" s="77"/>
      <c r="AO810" s="77"/>
      <c r="AP810" s="77"/>
      <c r="AQ810" s="77" t="s">
        <v>8525</v>
      </c>
      <c r="AR810" s="77"/>
      <c r="AS810" s="77"/>
      <c r="AT810" s="77"/>
      <c r="AU810" s="77"/>
      <c r="AV810" s="83" t="str">
        <f>HYPERLINK("https://pbs.twimg.com/media/F2Cn0h_WIAAxorE.jpg")</f>
        <v>https://pbs.twimg.com/media/F2Cn0h_WIAAxorE.jpg</v>
      </c>
      <c r="AW810" s="81" t="s">
        <v>10076</v>
      </c>
      <c r="AX810" s="81" t="s">
        <v>10076</v>
      </c>
      <c r="AY810" s="77"/>
      <c r="AZ810" s="81" t="s">
        <v>11359</v>
      </c>
      <c r="BA810" s="81" t="s">
        <v>11359</v>
      </c>
      <c r="BB810" s="81" t="s">
        <v>11359</v>
      </c>
      <c r="BC810" s="81" t="s">
        <v>10076</v>
      </c>
      <c r="BD810" s="81" t="s">
        <v>11512</v>
      </c>
      <c r="BE810" s="77"/>
      <c r="BF810" s="77"/>
      <c r="BG810" s="77"/>
      <c r="BH810" s="77"/>
      <c r="BI810" s="77"/>
    </row>
    <row r="811" spans="1:61" x14ac:dyDescent="0.25">
      <c r="A811" s="62" t="s">
        <v>437</v>
      </c>
      <c r="B811" s="62" t="s">
        <v>437</v>
      </c>
      <c r="C811" s="63"/>
      <c r="D811" s="64"/>
      <c r="E811" s="65"/>
      <c r="F811" s="66"/>
      <c r="G811" s="63"/>
      <c r="H811" s="67"/>
      <c r="I811" s="68"/>
      <c r="J811" s="68"/>
      <c r="K811" s="32"/>
      <c r="L811" s="75">
        <v>811</v>
      </c>
      <c r="M811" s="75"/>
      <c r="N811" s="70"/>
      <c r="O811" s="77" t="s">
        <v>967</v>
      </c>
      <c r="P811" s="79">
        <v>45133.740057870367</v>
      </c>
      <c r="Q811" s="77" t="s">
        <v>1755</v>
      </c>
      <c r="R811" s="77">
        <v>0</v>
      </c>
      <c r="S811" s="77">
        <v>1</v>
      </c>
      <c r="T811" s="77">
        <v>0</v>
      </c>
      <c r="U811" s="77">
        <v>0</v>
      </c>
      <c r="V811" s="77">
        <v>110</v>
      </c>
      <c r="W811" s="81" t="s">
        <v>3391</v>
      </c>
      <c r="X811" s="77"/>
      <c r="Y811" s="77"/>
      <c r="Z811" s="77" t="s">
        <v>437</v>
      </c>
      <c r="AA811" s="77" t="s">
        <v>5023</v>
      </c>
      <c r="AB811" s="77" t="s">
        <v>5794</v>
      </c>
      <c r="AC811" s="81" t="s">
        <v>5801</v>
      </c>
      <c r="AD811" s="77" t="s">
        <v>5851</v>
      </c>
      <c r="AE811" s="83" t="str">
        <f>HYPERLINK("https://twitter.com/workshopdantas/status/1684258703216611328")</f>
        <v>https://twitter.com/workshopdantas/status/1684258703216611328</v>
      </c>
      <c r="AF811" s="79">
        <v>45133.740057870367</v>
      </c>
      <c r="AG811" s="85">
        <v>45133</v>
      </c>
      <c r="AH811" s="81" t="s">
        <v>6625</v>
      </c>
      <c r="AI811" s="77" t="b">
        <v>0</v>
      </c>
      <c r="AJ811" s="77"/>
      <c r="AK811" s="77"/>
      <c r="AL811" s="77"/>
      <c r="AM811" s="77"/>
      <c r="AN811" s="77"/>
      <c r="AO811" s="77"/>
      <c r="AP811" s="77"/>
      <c r="AQ811" s="77" t="s">
        <v>8526</v>
      </c>
      <c r="AR811" s="77"/>
      <c r="AS811" s="77"/>
      <c r="AT811" s="77"/>
      <c r="AU811" s="77"/>
      <c r="AV811" s="83" t="str">
        <f>HYPERLINK("https://pbs.twimg.com/media/F1-wXV2XoAUNk18.jpg")</f>
        <v>https://pbs.twimg.com/media/F1-wXV2XoAUNk18.jpg</v>
      </c>
      <c r="AW811" s="81" t="s">
        <v>10077</v>
      </c>
      <c r="AX811" s="81" t="s">
        <v>10077</v>
      </c>
      <c r="AY811" s="77"/>
      <c r="AZ811" s="81" t="s">
        <v>11359</v>
      </c>
      <c r="BA811" s="81" t="s">
        <v>11359</v>
      </c>
      <c r="BB811" s="81" t="s">
        <v>11359</v>
      </c>
      <c r="BC811" s="81" t="s">
        <v>10077</v>
      </c>
      <c r="BD811" s="81" t="s">
        <v>11512</v>
      </c>
      <c r="BE811" s="77"/>
      <c r="BF811" s="77"/>
      <c r="BG811" s="77"/>
      <c r="BH811" s="77"/>
      <c r="BI811" s="77"/>
    </row>
    <row r="812" spans="1:61" x14ac:dyDescent="0.25">
      <c r="A812" s="62" t="s">
        <v>437</v>
      </c>
      <c r="B812" s="62" t="s">
        <v>437</v>
      </c>
      <c r="C812" s="63"/>
      <c r="D812" s="64"/>
      <c r="E812" s="65"/>
      <c r="F812" s="66"/>
      <c r="G812" s="63"/>
      <c r="H812" s="67"/>
      <c r="I812" s="68"/>
      <c r="J812" s="68"/>
      <c r="K812" s="32"/>
      <c r="L812" s="75">
        <v>812</v>
      </c>
      <c r="M812" s="75"/>
      <c r="N812" s="70"/>
      <c r="O812" s="77" t="s">
        <v>967</v>
      </c>
      <c r="P812" s="79">
        <v>45107.410300925927</v>
      </c>
      <c r="Q812" s="77" t="s">
        <v>1756</v>
      </c>
      <c r="R812" s="77">
        <v>0</v>
      </c>
      <c r="S812" s="77">
        <v>0</v>
      </c>
      <c r="T812" s="77">
        <v>0</v>
      </c>
      <c r="U812" s="77">
        <v>0</v>
      </c>
      <c r="V812" s="77">
        <v>34</v>
      </c>
      <c r="W812" s="81" t="s">
        <v>3392</v>
      </c>
      <c r="X812" s="77"/>
      <c r="Y812" s="77"/>
      <c r="Z812" s="77" t="s">
        <v>437</v>
      </c>
      <c r="AA812" s="77" t="s">
        <v>5024</v>
      </c>
      <c r="AB812" s="77" t="s">
        <v>5794</v>
      </c>
      <c r="AC812" s="81" t="s">
        <v>5801</v>
      </c>
      <c r="AD812" s="77" t="s">
        <v>5851</v>
      </c>
      <c r="AE812" s="83" t="str">
        <f>HYPERLINK("https://twitter.com/workshopdantas/status/1674717119257227264")</f>
        <v>https://twitter.com/workshopdantas/status/1674717119257227264</v>
      </c>
      <c r="AF812" s="79">
        <v>45107.410300925927</v>
      </c>
      <c r="AG812" s="85">
        <v>45107</v>
      </c>
      <c r="AH812" s="81" t="s">
        <v>6626</v>
      </c>
      <c r="AI812" s="77" t="b">
        <v>0</v>
      </c>
      <c r="AJ812" s="77"/>
      <c r="AK812" s="77"/>
      <c r="AL812" s="77"/>
      <c r="AM812" s="77"/>
      <c r="AN812" s="77"/>
      <c r="AO812" s="77"/>
      <c r="AP812" s="77"/>
      <c r="AQ812" s="77" t="s">
        <v>8527</v>
      </c>
      <c r="AR812" s="77"/>
      <c r="AS812" s="77"/>
      <c r="AT812" s="77"/>
      <c r="AU812" s="77"/>
      <c r="AV812" s="83" t="str">
        <f>HYPERLINK("https://pbs.twimg.com/media/Fz3KWAtXoAArD1O.jpg")</f>
        <v>https://pbs.twimg.com/media/Fz3KWAtXoAArD1O.jpg</v>
      </c>
      <c r="AW812" s="81" t="s">
        <v>10078</v>
      </c>
      <c r="AX812" s="81" t="s">
        <v>10078</v>
      </c>
      <c r="AY812" s="77"/>
      <c r="AZ812" s="81" t="s">
        <v>11359</v>
      </c>
      <c r="BA812" s="81" t="s">
        <v>11359</v>
      </c>
      <c r="BB812" s="81" t="s">
        <v>11359</v>
      </c>
      <c r="BC812" s="81" t="s">
        <v>10078</v>
      </c>
      <c r="BD812" s="81" t="s">
        <v>11512</v>
      </c>
      <c r="BE812" s="77"/>
      <c r="BF812" s="77"/>
      <c r="BG812" s="77"/>
      <c r="BH812" s="77"/>
      <c r="BI812" s="77"/>
    </row>
    <row r="813" spans="1:61" x14ac:dyDescent="0.25">
      <c r="A813" s="62" t="s">
        <v>437</v>
      </c>
      <c r="B813" s="62" t="s">
        <v>437</v>
      </c>
      <c r="C813" s="63"/>
      <c r="D813" s="64"/>
      <c r="E813" s="65"/>
      <c r="F813" s="66"/>
      <c r="G813" s="63"/>
      <c r="H813" s="67"/>
      <c r="I813" s="68"/>
      <c r="J813" s="68"/>
      <c r="K813" s="32"/>
      <c r="L813" s="75">
        <v>813</v>
      </c>
      <c r="M813" s="75"/>
      <c r="N813" s="70"/>
      <c r="O813" s="77" t="s">
        <v>967</v>
      </c>
      <c r="P813" s="79">
        <v>45150.439062500001</v>
      </c>
      <c r="Q813" s="77" t="s">
        <v>1757</v>
      </c>
      <c r="R813" s="77">
        <v>1</v>
      </c>
      <c r="S813" s="77">
        <v>1</v>
      </c>
      <c r="T813" s="77">
        <v>0</v>
      </c>
      <c r="U813" s="77">
        <v>0</v>
      </c>
      <c r="V813" s="77">
        <v>61</v>
      </c>
      <c r="W813" s="81" t="s">
        <v>3393</v>
      </c>
      <c r="X813" s="77"/>
      <c r="Y813" s="77"/>
      <c r="Z813" s="77" t="s">
        <v>437</v>
      </c>
      <c r="AA813" s="77" t="s">
        <v>5025</v>
      </c>
      <c r="AB813" s="77" t="s">
        <v>5794</v>
      </c>
      <c r="AC813" s="81" t="s">
        <v>5801</v>
      </c>
      <c r="AD813" s="77" t="s">
        <v>5851</v>
      </c>
      <c r="AE813" s="83" t="str">
        <f>HYPERLINK("https://twitter.com/workshopdantas/status/1690310218633060352")</f>
        <v>https://twitter.com/workshopdantas/status/1690310218633060352</v>
      </c>
      <c r="AF813" s="79">
        <v>45150.439062500001</v>
      </c>
      <c r="AG813" s="85">
        <v>45150</v>
      </c>
      <c r="AH813" s="81" t="s">
        <v>6627</v>
      </c>
      <c r="AI813" s="77" t="b">
        <v>0</v>
      </c>
      <c r="AJ813" s="77"/>
      <c r="AK813" s="77"/>
      <c r="AL813" s="77"/>
      <c r="AM813" s="77"/>
      <c r="AN813" s="77"/>
      <c r="AO813" s="77"/>
      <c r="AP813" s="77"/>
      <c r="AQ813" s="77" t="s">
        <v>8528</v>
      </c>
      <c r="AR813" s="77"/>
      <c r="AS813" s="77"/>
      <c r="AT813" s="77"/>
      <c r="AU813" s="77"/>
      <c r="AV813" s="83" t="str">
        <f>HYPERLINK("https://pbs.twimg.com/media/F3UwL6kWgAAAQYg.jpg")</f>
        <v>https://pbs.twimg.com/media/F3UwL6kWgAAAQYg.jpg</v>
      </c>
      <c r="AW813" s="81" t="s">
        <v>10079</v>
      </c>
      <c r="AX813" s="81" t="s">
        <v>10079</v>
      </c>
      <c r="AY813" s="77"/>
      <c r="AZ813" s="81" t="s">
        <v>11359</v>
      </c>
      <c r="BA813" s="81" t="s">
        <v>11359</v>
      </c>
      <c r="BB813" s="81" t="s">
        <v>11359</v>
      </c>
      <c r="BC813" s="81" t="s">
        <v>10079</v>
      </c>
      <c r="BD813" s="81" t="s">
        <v>11512</v>
      </c>
      <c r="BE813" s="77"/>
      <c r="BF813" s="77"/>
      <c r="BG813" s="77"/>
      <c r="BH813" s="77"/>
      <c r="BI813" s="77"/>
    </row>
    <row r="814" spans="1:61" x14ac:dyDescent="0.25">
      <c r="A814" s="62" t="s">
        <v>437</v>
      </c>
      <c r="B814" s="62" t="s">
        <v>437</v>
      </c>
      <c r="C814" s="63"/>
      <c r="D814" s="64"/>
      <c r="E814" s="65"/>
      <c r="F814" s="66"/>
      <c r="G814" s="63"/>
      <c r="H814" s="67"/>
      <c r="I814" s="68"/>
      <c r="J814" s="68"/>
      <c r="K814" s="32"/>
      <c r="L814" s="75">
        <v>814</v>
      </c>
      <c r="M814" s="75"/>
      <c r="N814" s="70"/>
      <c r="O814" s="77" t="s">
        <v>967</v>
      </c>
      <c r="P814" s="79">
        <v>45149.447430555556</v>
      </c>
      <c r="Q814" s="77" t="s">
        <v>1758</v>
      </c>
      <c r="R814" s="77">
        <v>0</v>
      </c>
      <c r="S814" s="77">
        <v>0</v>
      </c>
      <c r="T814" s="77">
        <v>0</v>
      </c>
      <c r="U814" s="77">
        <v>0</v>
      </c>
      <c r="V814" s="77">
        <v>48</v>
      </c>
      <c r="W814" s="81" t="s">
        <v>3344</v>
      </c>
      <c r="X814" s="77"/>
      <c r="Y814" s="77"/>
      <c r="Z814" s="77" t="s">
        <v>437</v>
      </c>
      <c r="AA814" s="77" t="s">
        <v>5026</v>
      </c>
      <c r="AB814" s="77" t="s">
        <v>5794</v>
      </c>
      <c r="AC814" s="81" t="s">
        <v>5801</v>
      </c>
      <c r="AD814" s="77" t="s">
        <v>5851</v>
      </c>
      <c r="AE814" s="83" t="str">
        <f>HYPERLINK("https://twitter.com/workshopdantas/status/1689950864725692416")</f>
        <v>https://twitter.com/workshopdantas/status/1689950864725692416</v>
      </c>
      <c r="AF814" s="79">
        <v>45149.447430555556</v>
      </c>
      <c r="AG814" s="85">
        <v>45149</v>
      </c>
      <c r="AH814" s="81" t="s">
        <v>6628</v>
      </c>
      <c r="AI814" s="77" t="b">
        <v>0</v>
      </c>
      <c r="AJ814" s="77"/>
      <c r="AK814" s="77"/>
      <c r="AL814" s="77"/>
      <c r="AM814" s="77"/>
      <c r="AN814" s="77"/>
      <c r="AO814" s="77"/>
      <c r="AP814" s="77"/>
      <c r="AQ814" s="77" t="s">
        <v>8529</v>
      </c>
      <c r="AR814" s="77"/>
      <c r="AS814" s="77"/>
      <c r="AT814" s="77"/>
      <c r="AU814" s="77"/>
      <c r="AV814" s="83" t="str">
        <f>HYPERLINK("https://pbs.twimg.com/media/F3PpWvdW4AAeNNE.jpg")</f>
        <v>https://pbs.twimg.com/media/F3PpWvdW4AAeNNE.jpg</v>
      </c>
      <c r="AW814" s="81" t="s">
        <v>10080</v>
      </c>
      <c r="AX814" s="81" t="s">
        <v>10080</v>
      </c>
      <c r="AY814" s="77"/>
      <c r="AZ814" s="81" t="s">
        <v>11359</v>
      </c>
      <c r="BA814" s="81" t="s">
        <v>11359</v>
      </c>
      <c r="BB814" s="81" t="s">
        <v>11359</v>
      </c>
      <c r="BC814" s="81" t="s">
        <v>10080</v>
      </c>
      <c r="BD814" s="81" t="s">
        <v>11512</v>
      </c>
      <c r="BE814" s="77"/>
      <c r="BF814" s="77"/>
      <c r="BG814" s="77"/>
      <c r="BH814" s="77"/>
      <c r="BI814" s="77"/>
    </row>
    <row r="815" spans="1:61" x14ac:dyDescent="0.25">
      <c r="A815" s="62" t="s">
        <v>437</v>
      </c>
      <c r="B815" s="62" t="s">
        <v>437</v>
      </c>
      <c r="C815" s="63"/>
      <c r="D815" s="64"/>
      <c r="E815" s="65"/>
      <c r="F815" s="66"/>
      <c r="G815" s="63"/>
      <c r="H815" s="67"/>
      <c r="I815" s="68"/>
      <c r="J815" s="68"/>
      <c r="K815" s="32"/>
      <c r="L815" s="75">
        <v>815</v>
      </c>
      <c r="M815" s="75"/>
      <c r="N815" s="70"/>
      <c r="O815" s="77" t="s">
        <v>967</v>
      </c>
      <c r="P815" s="79">
        <v>45136.471944444442</v>
      </c>
      <c r="Q815" s="77" t="s">
        <v>1759</v>
      </c>
      <c r="R815" s="77">
        <v>0</v>
      </c>
      <c r="S815" s="77">
        <v>0</v>
      </c>
      <c r="T815" s="77">
        <v>1</v>
      </c>
      <c r="U815" s="77">
        <v>0</v>
      </c>
      <c r="V815" s="77">
        <v>81</v>
      </c>
      <c r="W815" s="81" t="s">
        <v>3394</v>
      </c>
      <c r="X815" s="77"/>
      <c r="Y815" s="77"/>
      <c r="Z815" s="77" t="s">
        <v>437</v>
      </c>
      <c r="AA815" s="77" t="s">
        <v>5027</v>
      </c>
      <c r="AB815" s="77" t="s">
        <v>5794</v>
      </c>
      <c r="AC815" s="81" t="s">
        <v>5801</v>
      </c>
      <c r="AD815" s="77" t="s">
        <v>5851</v>
      </c>
      <c r="AE815" s="83" t="str">
        <f>HYPERLINK("https://twitter.com/workshopdantas/status/1685248705039904769")</f>
        <v>https://twitter.com/workshopdantas/status/1685248705039904769</v>
      </c>
      <c r="AF815" s="79">
        <v>45136.471944444442</v>
      </c>
      <c r="AG815" s="85">
        <v>45136</v>
      </c>
      <c r="AH815" s="81" t="s">
        <v>6629</v>
      </c>
      <c r="AI815" s="77" t="b">
        <v>0</v>
      </c>
      <c r="AJ815" s="77"/>
      <c r="AK815" s="77"/>
      <c r="AL815" s="77"/>
      <c r="AM815" s="77"/>
      <c r="AN815" s="77"/>
      <c r="AO815" s="77"/>
      <c r="AP815" s="77"/>
      <c r="AQ815" s="77" t="s">
        <v>8530</v>
      </c>
      <c r="AR815" s="77"/>
      <c r="AS815" s="77"/>
      <c r="AT815" s="77"/>
      <c r="AU815" s="77"/>
      <c r="AV815" s="83" t="str">
        <f>HYPERLINK("https://pbs.twimg.com/media/F2M0xBNW4AAMNrh.jpg")</f>
        <v>https://pbs.twimg.com/media/F2M0xBNW4AAMNrh.jpg</v>
      </c>
      <c r="AW815" s="81" t="s">
        <v>10081</v>
      </c>
      <c r="AX815" s="81" t="s">
        <v>10081</v>
      </c>
      <c r="AY815" s="77"/>
      <c r="AZ815" s="81" t="s">
        <v>11359</v>
      </c>
      <c r="BA815" s="81" t="s">
        <v>11359</v>
      </c>
      <c r="BB815" s="81" t="s">
        <v>11359</v>
      </c>
      <c r="BC815" s="81" t="s">
        <v>10081</v>
      </c>
      <c r="BD815" s="81" t="s">
        <v>11512</v>
      </c>
      <c r="BE815" s="77"/>
      <c r="BF815" s="77"/>
      <c r="BG815" s="77"/>
      <c r="BH815" s="77"/>
      <c r="BI815" s="77"/>
    </row>
    <row r="816" spans="1:61" x14ac:dyDescent="0.25">
      <c r="A816" s="62" t="s">
        <v>437</v>
      </c>
      <c r="B816" s="62" t="s">
        <v>437</v>
      </c>
      <c r="C816" s="63"/>
      <c r="D816" s="64"/>
      <c r="E816" s="65"/>
      <c r="F816" s="66"/>
      <c r="G816" s="63"/>
      <c r="H816" s="67"/>
      <c r="I816" s="68"/>
      <c r="J816" s="68"/>
      <c r="K816" s="32"/>
      <c r="L816" s="75">
        <v>816</v>
      </c>
      <c r="M816" s="75"/>
      <c r="N816" s="70"/>
      <c r="O816" s="77" t="s">
        <v>967</v>
      </c>
      <c r="P816" s="79">
        <v>45136.110717592594</v>
      </c>
      <c r="Q816" s="77" t="s">
        <v>1760</v>
      </c>
      <c r="R816" s="77">
        <v>0</v>
      </c>
      <c r="S816" s="77">
        <v>0</v>
      </c>
      <c r="T816" s="77">
        <v>0</v>
      </c>
      <c r="U816" s="77">
        <v>0</v>
      </c>
      <c r="V816" s="77">
        <v>60</v>
      </c>
      <c r="W816" s="81" t="s">
        <v>3395</v>
      </c>
      <c r="X816" s="77"/>
      <c r="Y816" s="77"/>
      <c r="Z816" s="77" t="s">
        <v>437</v>
      </c>
      <c r="AA816" s="77" t="s">
        <v>5028</v>
      </c>
      <c r="AB816" s="77" t="s">
        <v>5795</v>
      </c>
      <c r="AC816" s="81" t="s">
        <v>5801</v>
      </c>
      <c r="AD816" s="77" t="s">
        <v>5851</v>
      </c>
      <c r="AE816" s="83" t="str">
        <f>HYPERLINK("https://twitter.com/workshopdantas/status/1685117801311162369")</f>
        <v>https://twitter.com/workshopdantas/status/1685117801311162369</v>
      </c>
      <c r="AF816" s="79">
        <v>45136.110717592594</v>
      </c>
      <c r="AG816" s="85">
        <v>45136</v>
      </c>
      <c r="AH816" s="81" t="s">
        <v>6630</v>
      </c>
      <c r="AI816" s="77" t="b">
        <v>0</v>
      </c>
      <c r="AJ816" s="77"/>
      <c r="AK816" s="77"/>
      <c r="AL816" s="77"/>
      <c r="AM816" s="77"/>
      <c r="AN816" s="77"/>
      <c r="AO816" s="77"/>
      <c r="AP816" s="77"/>
      <c r="AQ816" s="77" t="s">
        <v>8531</v>
      </c>
      <c r="AR816" s="77">
        <v>25912</v>
      </c>
      <c r="AS816" s="77"/>
      <c r="AT816" s="77"/>
      <c r="AU816" s="77"/>
      <c r="AV816" s="83" t="str">
        <f>HYPERLINK("https://pbs.twimg.com/ext_tw_video_thumb/1685117722953179136/pu/img/XBpb-CvjoiirR5pg.jpg")</f>
        <v>https://pbs.twimg.com/ext_tw_video_thumb/1685117722953179136/pu/img/XBpb-CvjoiirR5pg.jpg</v>
      </c>
      <c r="AW816" s="81" t="s">
        <v>10082</v>
      </c>
      <c r="AX816" s="81" t="s">
        <v>10082</v>
      </c>
      <c r="AY816" s="77"/>
      <c r="AZ816" s="81" t="s">
        <v>11359</v>
      </c>
      <c r="BA816" s="81" t="s">
        <v>11359</v>
      </c>
      <c r="BB816" s="81" t="s">
        <v>11359</v>
      </c>
      <c r="BC816" s="81" t="s">
        <v>10082</v>
      </c>
      <c r="BD816" s="81" t="s">
        <v>11512</v>
      </c>
      <c r="BE816" s="77"/>
      <c r="BF816" s="77"/>
      <c r="BG816" s="77"/>
      <c r="BH816" s="77"/>
      <c r="BI816" s="77"/>
    </row>
    <row r="817" spans="1:61" x14ac:dyDescent="0.25">
      <c r="A817" s="62" t="s">
        <v>437</v>
      </c>
      <c r="B817" s="62" t="s">
        <v>437</v>
      </c>
      <c r="C817" s="63"/>
      <c r="D817" s="64"/>
      <c r="E817" s="65"/>
      <c r="F817" s="66"/>
      <c r="G817" s="63"/>
      <c r="H817" s="67"/>
      <c r="I817" s="68"/>
      <c r="J817" s="68"/>
      <c r="K817" s="32"/>
      <c r="L817" s="75">
        <v>817</v>
      </c>
      <c r="M817" s="75"/>
      <c r="N817" s="70"/>
      <c r="O817" s="77" t="s">
        <v>967</v>
      </c>
      <c r="P817" s="79">
        <v>45135.683229166665</v>
      </c>
      <c r="Q817" s="77" t="s">
        <v>1761</v>
      </c>
      <c r="R817" s="77">
        <v>0</v>
      </c>
      <c r="S817" s="77">
        <v>0</v>
      </c>
      <c r="T817" s="77">
        <v>0</v>
      </c>
      <c r="U817" s="77">
        <v>0</v>
      </c>
      <c r="V817" s="77">
        <v>51</v>
      </c>
      <c r="W817" s="81" t="s">
        <v>3357</v>
      </c>
      <c r="X817" s="77"/>
      <c r="Y817" s="77"/>
      <c r="Z817" s="77" t="s">
        <v>437</v>
      </c>
      <c r="AA817" s="77" t="s">
        <v>5029</v>
      </c>
      <c r="AB817" s="77" t="s">
        <v>5794</v>
      </c>
      <c r="AC817" s="81" t="s">
        <v>5801</v>
      </c>
      <c r="AD817" s="77" t="s">
        <v>5851</v>
      </c>
      <c r="AE817" s="83" t="str">
        <f>HYPERLINK("https://twitter.com/workshopdantas/status/1684962886668492814")</f>
        <v>https://twitter.com/workshopdantas/status/1684962886668492814</v>
      </c>
      <c r="AF817" s="79">
        <v>45135.683229166665</v>
      </c>
      <c r="AG817" s="85">
        <v>45135</v>
      </c>
      <c r="AH817" s="81" t="s">
        <v>6631</v>
      </c>
      <c r="AI817" s="77" t="b">
        <v>0</v>
      </c>
      <c r="AJ817" s="77"/>
      <c r="AK817" s="77"/>
      <c r="AL817" s="77"/>
      <c r="AM817" s="77"/>
      <c r="AN817" s="77"/>
      <c r="AO817" s="77"/>
      <c r="AP817" s="77"/>
      <c r="AQ817" s="77" t="s">
        <v>8532</v>
      </c>
      <c r="AR817" s="77"/>
      <c r="AS817" s="77"/>
      <c r="AT817" s="77"/>
      <c r="AU817" s="77"/>
      <c r="AV817" s="83" t="str">
        <f>HYPERLINK("https://pbs.twimg.com/media/F2Iwz7cXoAkzpzv.jpg")</f>
        <v>https://pbs.twimg.com/media/F2Iwz7cXoAkzpzv.jpg</v>
      </c>
      <c r="AW817" s="81" t="s">
        <v>10083</v>
      </c>
      <c r="AX817" s="81" t="s">
        <v>10083</v>
      </c>
      <c r="AY817" s="77"/>
      <c r="AZ817" s="81" t="s">
        <v>11359</v>
      </c>
      <c r="BA817" s="81" t="s">
        <v>11359</v>
      </c>
      <c r="BB817" s="81" t="s">
        <v>11359</v>
      </c>
      <c r="BC817" s="81" t="s">
        <v>10083</v>
      </c>
      <c r="BD817" s="81" t="s">
        <v>11512</v>
      </c>
      <c r="BE817" s="77"/>
      <c r="BF817" s="77"/>
      <c r="BG817" s="77"/>
      <c r="BH817" s="77"/>
      <c r="BI817" s="77"/>
    </row>
    <row r="818" spans="1:61" x14ac:dyDescent="0.25">
      <c r="A818" s="62" t="s">
        <v>437</v>
      </c>
      <c r="B818" s="62" t="s">
        <v>437</v>
      </c>
      <c r="C818" s="63"/>
      <c r="D818" s="64"/>
      <c r="E818" s="65"/>
      <c r="F818" s="66"/>
      <c r="G818" s="63"/>
      <c r="H818" s="67"/>
      <c r="I818" s="68"/>
      <c r="J818" s="68"/>
      <c r="K818" s="32"/>
      <c r="L818" s="75">
        <v>818</v>
      </c>
      <c r="M818" s="75"/>
      <c r="N818" s="70"/>
      <c r="O818" s="77" t="s">
        <v>967</v>
      </c>
      <c r="P818" s="79">
        <v>45135.456828703704</v>
      </c>
      <c r="Q818" s="77" t="s">
        <v>1702</v>
      </c>
      <c r="R818" s="77">
        <v>0</v>
      </c>
      <c r="S818" s="77">
        <v>0</v>
      </c>
      <c r="T818" s="77">
        <v>0</v>
      </c>
      <c r="U818" s="77">
        <v>0</v>
      </c>
      <c r="V818" s="77">
        <v>52</v>
      </c>
      <c r="W818" s="81" t="s">
        <v>3344</v>
      </c>
      <c r="X818" s="77"/>
      <c r="Y818" s="77"/>
      <c r="Z818" s="77" t="s">
        <v>4371</v>
      </c>
      <c r="AA818" s="77" t="s">
        <v>4970</v>
      </c>
      <c r="AB818" s="77" t="s">
        <v>5794</v>
      </c>
      <c r="AC818" s="81" t="s">
        <v>5801</v>
      </c>
      <c r="AD818" s="77" t="s">
        <v>5851</v>
      </c>
      <c r="AE818" s="83" t="str">
        <f>HYPERLINK("https://twitter.com/workshopdantas/status/1684880840432721920")</f>
        <v>https://twitter.com/workshopdantas/status/1684880840432721920</v>
      </c>
      <c r="AF818" s="79">
        <v>45135.456828703704</v>
      </c>
      <c r="AG818" s="85">
        <v>45135</v>
      </c>
      <c r="AH818" s="81" t="s">
        <v>6573</v>
      </c>
      <c r="AI818" s="77" t="b">
        <v>0</v>
      </c>
      <c r="AJ818" s="77"/>
      <c r="AK818" s="77"/>
      <c r="AL818" s="77"/>
      <c r="AM818" s="77"/>
      <c r="AN818" s="77"/>
      <c r="AO818" s="77"/>
      <c r="AP818" s="77"/>
      <c r="AQ818" s="77" t="s">
        <v>8473</v>
      </c>
      <c r="AR818" s="77"/>
      <c r="AS818" s="77"/>
      <c r="AT818" s="77"/>
      <c r="AU818" s="77"/>
      <c r="AV818" s="83" t="str">
        <f>HYPERLINK("https://pbs.twimg.com/media/F2HmMekbcAAuTpe.jpg")</f>
        <v>https://pbs.twimg.com/media/F2HmMekbcAAuTpe.jpg</v>
      </c>
      <c r="AW818" s="81" t="s">
        <v>10024</v>
      </c>
      <c r="AX818" s="81" t="s">
        <v>10024</v>
      </c>
      <c r="AY818" s="77"/>
      <c r="AZ818" s="81" t="s">
        <v>11359</v>
      </c>
      <c r="BA818" s="81" t="s">
        <v>11359</v>
      </c>
      <c r="BB818" s="81" t="s">
        <v>11359</v>
      </c>
      <c r="BC818" s="81" t="s">
        <v>10024</v>
      </c>
      <c r="BD818" s="81" t="s">
        <v>11512</v>
      </c>
      <c r="BE818" s="77"/>
      <c r="BF818" s="77"/>
      <c r="BG818" s="77"/>
      <c r="BH818" s="77"/>
      <c r="BI818" s="77"/>
    </row>
    <row r="819" spans="1:61" x14ac:dyDescent="0.25">
      <c r="A819" s="62" t="s">
        <v>437</v>
      </c>
      <c r="B819" s="62" t="s">
        <v>437</v>
      </c>
      <c r="C819" s="63"/>
      <c r="D819" s="64"/>
      <c r="E819" s="65"/>
      <c r="F819" s="66"/>
      <c r="G819" s="63"/>
      <c r="H819" s="67"/>
      <c r="I819" s="68"/>
      <c r="J819" s="68"/>
      <c r="K819" s="32"/>
      <c r="L819" s="75">
        <v>819</v>
      </c>
      <c r="M819" s="75"/>
      <c r="N819" s="70"/>
      <c r="O819" s="77" t="s">
        <v>967</v>
      </c>
      <c r="P819" s="79">
        <v>45134.741898148146</v>
      </c>
      <c r="Q819" s="77" t="s">
        <v>1762</v>
      </c>
      <c r="R819" s="77">
        <v>0</v>
      </c>
      <c r="S819" s="77">
        <v>0</v>
      </c>
      <c r="T819" s="77">
        <v>1</v>
      </c>
      <c r="U819" s="77">
        <v>1</v>
      </c>
      <c r="V819" s="77">
        <v>233</v>
      </c>
      <c r="W819" s="81" t="s">
        <v>3396</v>
      </c>
      <c r="X819" s="77"/>
      <c r="Y819" s="77"/>
      <c r="Z819" s="77" t="s">
        <v>437</v>
      </c>
      <c r="AA819" s="77" t="s">
        <v>5030</v>
      </c>
      <c r="AB819" s="77" t="s">
        <v>5795</v>
      </c>
      <c r="AC819" s="81" t="s">
        <v>5801</v>
      </c>
      <c r="AD819" s="77" t="s">
        <v>5851</v>
      </c>
      <c r="AE819" s="83" t="str">
        <f>HYPERLINK("https://twitter.com/workshopdantas/status/1684621756609236992")</f>
        <v>https://twitter.com/workshopdantas/status/1684621756609236992</v>
      </c>
      <c r="AF819" s="79">
        <v>45134.741898148146</v>
      </c>
      <c r="AG819" s="85">
        <v>45134</v>
      </c>
      <c r="AH819" s="81" t="s">
        <v>6632</v>
      </c>
      <c r="AI819" s="77" t="b">
        <v>0</v>
      </c>
      <c r="AJ819" s="77"/>
      <c r="AK819" s="77"/>
      <c r="AL819" s="77"/>
      <c r="AM819" s="77"/>
      <c r="AN819" s="77"/>
      <c r="AO819" s="77"/>
      <c r="AP819" s="77"/>
      <c r="AQ819" s="77" t="s">
        <v>8533</v>
      </c>
      <c r="AR819" s="77">
        <v>40517</v>
      </c>
      <c r="AS819" s="77"/>
      <c r="AT819" s="77"/>
      <c r="AU819" s="77"/>
      <c r="AV819" s="83" t="str">
        <f>HYPERLINK("https://pbs.twimg.com/ext_tw_video_thumb/1684621704830586880/pu/img/9DW4swX3XfeDqdNM.jpg")</f>
        <v>https://pbs.twimg.com/ext_tw_video_thumb/1684621704830586880/pu/img/9DW4swX3XfeDqdNM.jpg</v>
      </c>
      <c r="AW819" s="81" t="s">
        <v>10084</v>
      </c>
      <c r="AX819" s="81" t="s">
        <v>10084</v>
      </c>
      <c r="AY819" s="77"/>
      <c r="AZ819" s="81" t="s">
        <v>11359</v>
      </c>
      <c r="BA819" s="81" t="s">
        <v>11359</v>
      </c>
      <c r="BB819" s="81" t="s">
        <v>11359</v>
      </c>
      <c r="BC819" s="81" t="s">
        <v>10084</v>
      </c>
      <c r="BD819" s="81" t="s">
        <v>11512</v>
      </c>
      <c r="BE819" s="77"/>
      <c r="BF819" s="77"/>
      <c r="BG819" s="77"/>
      <c r="BH819" s="77"/>
      <c r="BI819" s="77"/>
    </row>
    <row r="820" spans="1:61" x14ac:dyDescent="0.25">
      <c r="A820" s="62" t="s">
        <v>437</v>
      </c>
      <c r="B820" s="62" t="s">
        <v>437</v>
      </c>
      <c r="C820" s="63"/>
      <c r="D820" s="64"/>
      <c r="E820" s="65"/>
      <c r="F820" s="66"/>
      <c r="G820" s="63"/>
      <c r="H820" s="67"/>
      <c r="I820" s="68"/>
      <c r="J820" s="68"/>
      <c r="K820" s="32"/>
      <c r="L820" s="75">
        <v>820</v>
      </c>
      <c r="M820" s="75"/>
      <c r="N820" s="70"/>
      <c r="O820" s="77" t="s">
        <v>967</v>
      </c>
      <c r="P820" s="79">
        <v>45098.578055555554</v>
      </c>
      <c r="Q820" s="77" t="s">
        <v>1703</v>
      </c>
      <c r="R820" s="77">
        <v>0</v>
      </c>
      <c r="S820" s="77">
        <v>0</v>
      </c>
      <c r="T820" s="77">
        <v>0</v>
      </c>
      <c r="U820" s="77">
        <v>0</v>
      </c>
      <c r="V820" s="77">
        <v>47</v>
      </c>
      <c r="W820" s="81" t="s">
        <v>3345</v>
      </c>
      <c r="X820" s="77"/>
      <c r="Y820" s="77"/>
      <c r="Z820" s="77" t="s">
        <v>4372</v>
      </c>
      <c r="AA820" s="77" t="s">
        <v>4971</v>
      </c>
      <c r="AB820" s="77" t="s">
        <v>5794</v>
      </c>
      <c r="AC820" s="81" t="s">
        <v>5801</v>
      </c>
      <c r="AD820" s="77" t="s">
        <v>5851</v>
      </c>
      <c r="AE820" s="83" t="str">
        <f>HYPERLINK("https://twitter.com/workshopdantas/status/1671516419391889408")</f>
        <v>https://twitter.com/workshopdantas/status/1671516419391889408</v>
      </c>
      <c r="AF820" s="79">
        <v>45098.578055555554</v>
      </c>
      <c r="AG820" s="85">
        <v>45098</v>
      </c>
      <c r="AH820" s="81" t="s">
        <v>6574</v>
      </c>
      <c r="AI820" s="77" t="b">
        <v>0</v>
      </c>
      <c r="AJ820" s="77"/>
      <c r="AK820" s="77"/>
      <c r="AL820" s="77"/>
      <c r="AM820" s="77"/>
      <c r="AN820" s="77"/>
      <c r="AO820" s="77"/>
      <c r="AP820" s="77"/>
      <c r="AQ820" s="77" t="s">
        <v>8474</v>
      </c>
      <c r="AR820" s="77"/>
      <c r="AS820" s="77"/>
      <c r="AT820" s="77"/>
      <c r="AU820" s="77"/>
      <c r="AV820" s="83" t="str">
        <f>HYPERLINK("https://pbs.twimg.com/media/FzJrUt3WwAMaeyJ.jpg")</f>
        <v>https://pbs.twimg.com/media/FzJrUt3WwAMaeyJ.jpg</v>
      </c>
      <c r="AW820" s="81" t="s">
        <v>10025</v>
      </c>
      <c r="AX820" s="81" t="s">
        <v>10025</v>
      </c>
      <c r="AY820" s="77"/>
      <c r="AZ820" s="81" t="s">
        <v>11359</v>
      </c>
      <c r="BA820" s="81" t="s">
        <v>11359</v>
      </c>
      <c r="BB820" s="81" t="s">
        <v>11359</v>
      </c>
      <c r="BC820" s="81" t="s">
        <v>10025</v>
      </c>
      <c r="BD820" s="81" t="s">
        <v>11512</v>
      </c>
      <c r="BE820" s="77"/>
      <c r="BF820" s="77"/>
      <c r="BG820" s="77"/>
      <c r="BH820" s="77"/>
      <c r="BI820" s="77"/>
    </row>
    <row r="821" spans="1:61" x14ac:dyDescent="0.25">
      <c r="A821" s="62" t="s">
        <v>437</v>
      </c>
      <c r="B821" s="62" t="s">
        <v>437</v>
      </c>
      <c r="C821" s="63"/>
      <c r="D821" s="64"/>
      <c r="E821" s="65"/>
      <c r="F821" s="66"/>
      <c r="G821" s="63"/>
      <c r="H821" s="67"/>
      <c r="I821" s="68"/>
      <c r="J821" s="68"/>
      <c r="K821" s="32"/>
      <c r="L821" s="75">
        <v>821</v>
      </c>
      <c r="M821" s="75"/>
      <c r="N821" s="70"/>
      <c r="O821" s="77" t="s">
        <v>967</v>
      </c>
      <c r="P821" s="79">
        <v>45097.46806712963</v>
      </c>
      <c r="Q821" s="77" t="s">
        <v>1763</v>
      </c>
      <c r="R821" s="77">
        <v>0</v>
      </c>
      <c r="S821" s="77">
        <v>0</v>
      </c>
      <c r="T821" s="77">
        <v>0</v>
      </c>
      <c r="U821" s="77">
        <v>0</v>
      </c>
      <c r="V821" s="77">
        <v>34</v>
      </c>
      <c r="W821" s="81" t="s">
        <v>3397</v>
      </c>
      <c r="X821" s="77"/>
      <c r="Y821" s="77"/>
      <c r="Z821" s="77" t="s">
        <v>437</v>
      </c>
      <c r="AA821" s="77" t="s">
        <v>5031</v>
      </c>
      <c r="AB821" s="77" t="s">
        <v>5794</v>
      </c>
      <c r="AC821" s="81" t="s">
        <v>5801</v>
      </c>
      <c r="AD821" s="77" t="s">
        <v>5851</v>
      </c>
      <c r="AE821" s="83" t="str">
        <f>HYPERLINK("https://twitter.com/workshopdantas/status/1671114175689400320")</f>
        <v>https://twitter.com/workshopdantas/status/1671114175689400320</v>
      </c>
      <c r="AF821" s="79">
        <v>45097.46806712963</v>
      </c>
      <c r="AG821" s="85">
        <v>45097</v>
      </c>
      <c r="AH821" s="81" t="s">
        <v>6633</v>
      </c>
      <c r="AI821" s="77" t="b">
        <v>0</v>
      </c>
      <c r="AJ821" s="77"/>
      <c r="AK821" s="77"/>
      <c r="AL821" s="77"/>
      <c r="AM821" s="77"/>
      <c r="AN821" s="77"/>
      <c r="AO821" s="77"/>
      <c r="AP821" s="77"/>
      <c r="AQ821" s="77" t="s">
        <v>8534</v>
      </c>
      <c r="AR821" s="77"/>
      <c r="AS821" s="77"/>
      <c r="AT821" s="77"/>
      <c r="AU821" s="77"/>
      <c r="AV821" s="83" t="str">
        <f>HYPERLINK("https://pbs.twimg.com/media/FzD9fIBXsAAwroE.jpg")</f>
        <v>https://pbs.twimg.com/media/FzD9fIBXsAAwroE.jpg</v>
      </c>
      <c r="AW821" s="81" t="s">
        <v>10085</v>
      </c>
      <c r="AX821" s="81" t="s">
        <v>10085</v>
      </c>
      <c r="AY821" s="77"/>
      <c r="AZ821" s="81" t="s">
        <v>11359</v>
      </c>
      <c r="BA821" s="81" t="s">
        <v>11359</v>
      </c>
      <c r="BB821" s="81" t="s">
        <v>11359</v>
      </c>
      <c r="BC821" s="81" t="s">
        <v>10085</v>
      </c>
      <c r="BD821" s="81" t="s">
        <v>11512</v>
      </c>
      <c r="BE821" s="77"/>
      <c r="BF821" s="77"/>
      <c r="BG821" s="77"/>
      <c r="BH821" s="77"/>
      <c r="BI821" s="77"/>
    </row>
    <row r="822" spans="1:61" x14ac:dyDescent="0.25">
      <c r="A822" s="62" t="s">
        <v>437</v>
      </c>
      <c r="B822" s="62" t="s">
        <v>437</v>
      </c>
      <c r="C822" s="63"/>
      <c r="D822" s="64"/>
      <c r="E822" s="65"/>
      <c r="F822" s="66"/>
      <c r="G822" s="63"/>
      <c r="H822" s="67"/>
      <c r="I822" s="68"/>
      <c r="J822" s="68"/>
      <c r="K822" s="32"/>
      <c r="L822" s="75">
        <v>822</v>
      </c>
      <c r="M822" s="75"/>
      <c r="N822" s="70"/>
      <c r="O822" s="77" t="s">
        <v>967</v>
      </c>
      <c r="P822" s="79">
        <v>45152.88616898148</v>
      </c>
      <c r="Q822" s="77" t="s">
        <v>1764</v>
      </c>
      <c r="R822" s="77">
        <v>1</v>
      </c>
      <c r="S822" s="77">
        <v>3</v>
      </c>
      <c r="T822" s="77">
        <v>0</v>
      </c>
      <c r="U822" s="77">
        <v>1</v>
      </c>
      <c r="V822" s="77">
        <v>114</v>
      </c>
      <c r="W822" s="81" t="s">
        <v>3398</v>
      </c>
      <c r="X822" s="77"/>
      <c r="Y822" s="77"/>
      <c r="Z822" s="77" t="s">
        <v>437</v>
      </c>
      <c r="AA822" s="77" t="s">
        <v>5032</v>
      </c>
      <c r="AB822" s="77" t="s">
        <v>5794</v>
      </c>
      <c r="AC822" s="81" t="s">
        <v>5801</v>
      </c>
      <c r="AD822" s="77" t="s">
        <v>5851</v>
      </c>
      <c r="AE822" s="83" t="str">
        <f>HYPERLINK("https://twitter.com/workshopdantas/status/1691197020650795009")</f>
        <v>https://twitter.com/workshopdantas/status/1691197020650795009</v>
      </c>
      <c r="AF822" s="79">
        <v>45152.88616898148</v>
      </c>
      <c r="AG822" s="85">
        <v>45152</v>
      </c>
      <c r="AH822" s="81" t="s">
        <v>6634</v>
      </c>
      <c r="AI822" s="77" t="b">
        <v>0</v>
      </c>
      <c r="AJ822" s="77"/>
      <c r="AK822" s="77"/>
      <c r="AL822" s="77"/>
      <c r="AM822" s="77"/>
      <c r="AN822" s="77"/>
      <c r="AO822" s="77"/>
      <c r="AP822" s="77"/>
      <c r="AQ822" s="77" t="s">
        <v>8535</v>
      </c>
      <c r="AR822" s="77"/>
      <c r="AS822" s="77"/>
      <c r="AT822" s="77"/>
      <c r="AU822" s="77"/>
      <c r="AV822" s="83" t="str">
        <f>HYPERLINK("https://pbs.twimg.com/media/F3hWuRAXUAE7LuQ.jpg")</f>
        <v>https://pbs.twimg.com/media/F3hWuRAXUAE7LuQ.jpg</v>
      </c>
      <c r="AW822" s="81" t="s">
        <v>10086</v>
      </c>
      <c r="AX822" s="81" t="s">
        <v>10086</v>
      </c>
      <c r="AY822" s="77"/>
      <c r="AZ822" s="81" t="s">
        <v>11359</v>
      </c>
      <c r="BA822" s="81" t="s">
        <v>11359</v>
      </c>
      <c r="BB822" s="81" t="s">
        <v>11359</v>
      </c>
      <c r="BC822" s="81" t="s">
        <v>10086</v>
      </c>
      <c r="BD822" s="81" t="s">
        <v>11512</v>
      </c>
      <c r="BE822" s="77"/>
      <c r="BF822" s="77"/>
      <c r="BG822" s="77"/>
      <c r="BH822" s="77"/>
      <c r="BI822" s="77"/>
    </row>
    <row r="823" spans="1:61" x14ac:dyDescent="0.25">
      <c r="A823" s="62" t="s">
        <v>437</v>
      </c>
      <c r="B823" s="62" t="s">
        <v>437</v>
      </c>
      <c r="C823" s="63"/>
      <c r="D823" s="64"/>
      <c r="E823" s="65"/>
      <c r="F823" s="66"/>
      <c r="G823" s="63"/>
      <c r="H823" s="67"/>
      <c r="I823" s="68"/>
      <c r="J823" s="68"/>
      <c r="K823" s="32"/>
      <c r="L823" s="75">
        <v>823</v>
      </c>
      <c r="M823" s="75"/>
      <c r="N823" s="70"/>
      <c r="O823" s="77" t="s">
        <v>967</v>
      </c>
      <c r="P823" s="79">
        <v>45140.621574074074</v>
      </c>
      <c r="Q823" s="77" t="s">
        <v>1765</v>
      </c>
      <c r="R823" s="77">
        <v>0</v>
      </c>
      <c r="S823" s="77">
        <v>0</v>
      </c>
      <c r="T823" s="77">
        <v>0</v>
      </c>
      <c r="U823" s="77">
        <v>0</v>
      </c>
      <c r="V823" s="77">
        <v>55</v>
      </c>
      <c r="W823" s="81" t="s">
        <v>3399</v>
      </c>
      <c r="X823" s="77"/>
      <c r="Y823" s="77"/>
      <c r="Z823" s="77" t="s">
        <v>437</v>
      </c>
      <c r="AA823" s="77" t="s">
        <v>5033</v>
      </c>
      <c r="AB823" s="77" t="s">
        <v>5794</v>
      </c>
      <c r="AC823" s="81" t="s">
        <v>5801</v>
      </c>
      <c r="AD823" s="77" t="s">
        <v>5851</v>
      </c>
      <c r="AE823" s="83" t="str">
        <f>HYPERLINK("https://twitter.com/workshopdantas/status/1686752481793994752")</f>
        <v>https://twitter.com/workshopdantas/status/1686752481793994752</v>
      </c>
      <c r="AF823" s="79">
        <v>45140.621574074074</v>
      </c>
      <c r="AG823" s="85">
        <v>45140</v>
      </c>
      <c r="AH823" s="81" t="s">
        <v>6635</v>
      </c>
      <c r="AI823" s="77" t="b">
        <v>0</v>
      </c>
      <c r="AJ823" s="77"/>
      <c r="AK823" s="77"/>
      <c r="AL823" s="77"/>
      <c r="AM823" s="77"/>
      <c r="AN823" s="77"/>
      <c r="AO823" s="77"/>
      <c r="AP823" s="77"/>
      <c r="AQ823" s="77" t="s">
        <v>8536</v>
      </c>
      <c r="AR823" s="77"/>
      <c r="AS823" s="77"/>
      <c r="AT823" s="77"/>
      <c r="AU823" s="77"/>
      <c r="AV823" s="83" t="str">
        <f>HYPERLINK("https://pbs.twimg.com/media/F2iMcENW4AE12lX.jpg")</f>
        <v>https://pbs.twimg.com/media/F2iMcENW4AE12lX.jpg</v>
      </c>
      <c r="AW823" s="81" t="s">
        <v>10087</v>
      </c>
      <c r="AX823" s="81" t="s">
        <v>10087</v>
      </c>
      <c r="AY823" s="77"/>
      <c r="AZ823" s="81" t="s">
        <v>11359</v>
      </c>
      <c r="BA823" s="81" t="s">
        <v>11359</v>
      </c>
      <c r="BB823" s="81" t="s">
        <v>11359</v>
      </c>
      <c r="BC823" s="81" t="s">
        <v>10087</v>
      </c>
      <c r="BD823" s="81" t="s">
        <v>11512</v>
      </c>
      <c r="BE823" s="77"/>
      <c r="BF823" s="77"/>
      <c r="BG823" s="77"/>
      <c r="BH823" s="77"/>
      <c r="BI823" s="77"/>
    </row>
    <row r="824" spans="1:61" x14ac:dyDescent="0.25">
      <c r="A824" s="62" t="s">
        <v>437</v>
      </c>
      <c r="B824" s="62" t="s">
        <v>437</v>
      </c>
      <c r="C824" s="63"/>
      <c r="D824" s="64"/>
      <c r="E824" s="65"/>
      <c r="F824" s="66"/>
      <c r="G824" s="63"/>
      <c r="H824" s="67"/>
      <c r="I824" s="68"/>
      <c r="J824" s="68"/>
      <c r="K824" s="32"/>
      <c r="L824" s="75">
        <v>824</v>
      </c>
      <c r="M824" s="75"/>
      <c r="N824" s="70"/>
      <c r="O824" s="77" t="s">
        <v>967</v>
      </c>
      <c r="P824" s="79">
        <v>45140.39130787037</v>
      </c>
      <c r="Q824" s="77" t="s">
        <v>1766</v>
      </c>
      <c r="R824" s="77">
        <v>0</v>
      </c>
      <c r="S824" s="77">
        <v>0</v>
      </c>
      <c r="T824" s="77">
        <v>0</v>
      </c>
      <c r="U824" s="77">
        <v>0</v>
      </c>
      <c r="V824" s="77">
        <v>43</v>
      </c>
      <c r="W824" s="81" t="s">
        <v>3400</v>
      </c>
      <c r="X824" s="77"/>
      <c r="Y824" s="77"/>
      <c r="Z824" s="77" t="s">
        <v>437</v>
      </c>
      <c r="AA824" s="77" t="s">
        <v>5034</v>
      </c>
      <c r="AB824" s="77" t="s">
        <v>5794</v>
      </c>
      <c r="AC824" s="81" t="s">
        <v>5801</v>
      </c>
      <c r="AD824" s="77" t="s">
        <v>5851</v>
      </c>
      <c r="AE824" s="83" t="str">
        <f>HYPERLINK("https://twitter.com/workshopdantas/status/1686669033364418560")</f>
        <v>https://twitter.com/workshopdantas/status/1686669033364418560</v>
      </c>
      <c r="AF824" s="79">
        <v>45140.39130787037</v>
      </c>
      <c r="AG824" s="85">
        <v>45140</v>
      </c>
      <c r="AH824" s="81" t="s">
        <v>6636</v>
      </c>
      <c r="AI824" s="77" t="b">
        <v>0</v>
      </c>
      <c r="AJ824" s="77"/>
      <c r="AK824" s="77"/>
      <c r="AL824" s="77"/>
      <c r="AM824" s="77"/>
      <c r="AN824" s="77"/>
      <c r="AO824" s="77"/>
      <c r="AP824" s="77"/>
      <c r="AQ824" s="77" t="s">
        <v>8537</v>
      </c>
      <c r="AR824" s="77"/>
      <c r="AS824" s="77"/>
      <c r="AT824" s="77"/>
      <c r="AU824" s="77"/>
      <c r="AV824" s="83" t="str">
        <f>HYPERLINK("https://pbs.twimg.com/media/F2hAjCnXwAAM6pR.jpg")</f>
        <v>https://pbs.twimg.com/media/F2hAjCnXwAAM6pR.jpg</v>
      </c>
      <c r="AW824" s="81" t="s">
        <v>10088</v>
      </c>
      <c r="AX824" s="81" t="s">
        <v>10088</v>
      </c>
      <c r="AY824" s="77"/>
      <c r="AZ824" s="81" t="s">
        <v>11359</v>
      </c>
      <c r="BA824" s="81" t="s">
        <v>11359</v>
      </c>
      <c r="BB824" s="81" t="s">
        <v>11359</v>
      </c>
      <c r="BC824" s="81" t="s">
        <v>10088</v>
      </c>
      <c r="BD824" s="81" t="s">
        <v>11512</v>
      </c>
      <c r="BE824" s="77"/>
      <c r="BF824" s="77"/>
      <c r="BG824" s="77"/>
      <c r="BH824" s="77"/>
      <c r="BI824" s="77"/>
    </row>
    <row r="825" spans="1:61" x14ac:dyDescent="0.25">
      <c r="A825" s="62" t="s">
        <v>437</v>
      </c>
      <c r="B825" s="62" t="s">
        <v>437</v>
      </c>
      <c r="C825" s="63"/>
      <c r="D825" s="64"/>
      <c r="E825" s="65"/>
      <c r="F825" s="66"/>
      <c r="G825" s="63"/>
      <c r="H825" s="67"/>
      <c r="I825" s="68"/>
      <c r="J825" s="68"/>
      <c r="K825" s="32"/>
      <c r="L825" s="75">
        <v>825</v>
      </c>
      <c r="M825" s="75"/>
      <c r="N825" s="70"/>
      <c r="O825" s="77" t="s">
        <v>967</v>
      </c>
      <c r="P825" s="79">
        <v>45139.490671296298</v>
      </c>
      <c r="Q825" s="77" t="s">
        <v>1767</v>
      </c>
      <c r="R825" s="77">
        <v>0</v>
      </c>
      <c r="S825" s="77">
        <v>2</v>
      </c>
      <c r="T825" s="77">
        <v>0</v>
      </c>
      <c r="U825" s="77">
        <v>0</v>
      </c>
      <c r="V825" s="77">
        <v>77</v>
      </c>
      <c r="W825" s="81" t="s">
        <v>3401</v>
      </c>
      <c r="X825" s="77"/>
      <c r="Y825" s="77"/>
      <c r="Z825" s="77" t="s">
        <v>437</v>
      </c>
      <c r="AA825" s="77" t="s">
        <v>5035</v>
      </c>
      <c r="AB825" s="77" t="s">
        <v>5794</v>
      </c>
      <c r="AC825" s="81" t="s">
        <v>5801</v>
      </c>
      <c r="AD825" s="77" t="s">
        <v>5851</v>
      </c>
      <c r="AE825" s="83" t="str">
        <f>HYPERLINK("https://twitter.com/workshopdantas/status/1686342654907334656")</f>
        <v>https://twitter.com/workshopdantas/status/1686342654907334656</v>
      </c>
      <c r="AF825" s="79">
        <v>45139.490671296298</v>
      </c>
      <c r="AG825" s="85">
        <v>45139</v>
      </c>
      <c r="AH825" s="81" t="s">
        <v>6637</v>
      </c>
      <c r="AI825" s="77" t="b">
        <v>0</v>
      </c>
      <c r="AJ825" s="77"/>
      <c r="AK825" s="77"/>
      <c r="AL825" s="77"/>
      <c r="AM825" s="77"/>
      <c r="AN825" s="77"/>
      <c r="AO825" s="77"/>
      <c r="AP825" s="77"/>
      <c r="AQ825" s="77" t="s">
        <v>8538</v>
      </c>
      <c r="AR825" s="77"/>
      <c r="AS825" s="77"/>
      <c r="AT825" s="77"/>
      <c r="AU825" s="77"/>
      <c r="AV825" s="83" t="str">
        <f>HYPERLINK("https://pbs.twimg.com/media/F2cXtRaWUAAhdOr.jpg")</f>
        <v>https://pbs.twimg.com/media/F2cXtRaWUAAhdOr.jpg</v>
      </c>
      <c r="AW825" s="81" t="s">
        <v>10089</v>
      </c>
      <c r="AX825" s="81" t="s">
        <v>10089</v>
      </c>
      <c r="AY825" s="77"/>
      <c r="AZ825" s="81" t="s">
        <v>11359</v>
      </c>
      <c r="BA825" s="81" t="s">
        <v>11359</v>
      </c>
      <c r="BB825" s="81" t="s">
        <v>11359</v>
      </c>
      <c r="BC825" s="81" t="s">
        <v>10089</v>
      </c>
      <c r="BD825" s="81" t="s">
        <v>11512</v>
      </c>
      <c r="BE825" s="77"/>
      <c r="BF825" s="77"/>
      <c r="BG825" s="77"/>
      <c r="BH825" s="77"/>
      <c r="BI825" s="77"/>
    </row>
    <row r="826" spans="1:61" x14ac:dyDescent="0.25">
      <c r="A826" s="62" t="s">
        <v>437</v>
      </c>
      <c r="B826" s="62" t="s">
        <v>437</v>
      </c>
      <c r="C826" s="63"/>
      <c r="D826" s="64"/>
      <c r="E826" s="65"/>
      <c r="F826" s="66"/>
      <c r="G826" s="63"/>
      <c r="H826" s="67"/>
      <c r="I826" s="68"/>
      <c r="J826" s="68"/>
      <c r="K826" s="32"/>
      <c r="L826" s="75">
        <v>826</v>
      </c>
      <c r="M826" s="75"/>
      <c r="N826" s="70"/>
      <c r="O826" s="77" t="s">
        <v>967</v>
      </c>
      <c r="P826" s="79">
        <v>45101.567719907405</v>
      </c>
      <c r="Q826" s="77" t="s">
        <v>1768</v>
      </c>
      <c r="R826" s="77">
        <v>0</v>
      </c>
      <c r="S826" s="77">
        <v>0</v>
      </c>
      <c r="T826" s="77">
        <v>0</v>
      </c>
      <c r="U826" s="77">
        <v>0</v>
      </c>
      <c r="V826" s="77">
        <v>58</v>
      </c>
      <c r="W826" s="81" t="s">
        <v>3402</v>
      </c>
      <c r="X826" s="77"/>
      <c r="Y826" s="77"/>
      <c r="Z826" s="77" t="s">
        <v>437</v>
      </c>
      <c r="AA826" s="77" t="s">
        <v>5036</v>
      </c>
      <c r="AB826" s="77" t="s">
        <v>5794</v>
      </c>
      <c r="AC826" s="81" t="s">
        <v>5801</v>
      </c>
      <c r="AD826" s="77" t="s">
        <v>5851</v>
      </c>
      <c r="AE826" s="83" t="str">
        <f>HYPERLINK("https://twitter.com/workshopdantas/status/1672599837085249539")</f>
        <v>https://twitter.com/workshopdantas/status/1672599837085249539</v>
      </c>
      <c r="AF826" s="79">
        <v>45101.567719907405</v>
      </c>
      <c r="AG826" s="85">
        <v>45101</v>
      </c>
      <c r="AH826" s="81" t="s">
        <v>6638</v>
      </c>
      <c r="AI826" s="77" t="b">
        <v>0</v>
      </c>
      <c r="AJ826" s="77"/>
      <c r="AK826" s="77"/>
      <c r="AL826" s="77"/>
      <c r="AM826" s="77"/>
      <c r="AN826" s="77"/>
      <c r="AO826" s="77"/>
      <c r="AP826" s="77"/>
      <c r="AQ826" s="77" t="s">
        <v>8539</v>
      </c>
      <c r="AR826" s="77"/>
      <c r="AS826" s="77"/>
      <c r="AT826" s="77"/>
      <c r="AU826" s="77"/>
      <c r="AV826" s="83" t="str">
        <f>HYPERLINK("https://pbs.twimg.com/media/FzZEsBZWwAcBJoJ.jpg")</f>
        <v>https://pbs.twimg.com/media/FzZEsBZWwAcBJoJ.jpg</v>
      </c>
      <c r="AW826" s="81" t="s">
        <v>10090</v>
      </c>
      <c r="AX826" s="81" t="s">
        <v>10090</v>
      </c>
      <c r="AY826" s="77"/>
      <c r="AZ826" s="81" t="s">
        <v>11359</v>
      </c>
      <c r="BA826" s="81" t="s">
        <v>11359</v>
      </c>
      <c r="BB826" s="81" t="s">
        <v>11359</v>
      </c>
      <c r="BC826" s="81" t="s">
        <v>10090</v>
      </c>
      <c r="BD826" s="81" t="s">
        <v>11512</v>
      </c>
      <c r="BE826" s="77"/>
      <c r="BF826" s="77"/>
      <c r="BG826" s="77"/>
      <c r="BH826" s="77"/>
      <c r="BI826" s="77"/>
    </row>
    <row r="827" spans="1:61" x14ac:dyDescent="0.25">
      <c r="A827" s="62" t="s">
        <v>437</v>
      </c>
      <c r="B827" s="62" t="s">
        <v>437</v>
      </c>
      <c r="C827" s="63"/>
      <c r="D827" s="64"/>
      <c r="E827" s="65"/>
      <c r="F827" s="66"/>
      <c r="G827" s="63"/>
      <c r="H827" s="67"/>
      <c r="I827" s="68"/>
      <c r="J827" s="68"/>
      <c r="K827" s="32"/>
      <c r="L827" s="75">
        <v>827</v>
      </c>
      <c r="M827" s="75"/>
      <c r="N827" s="70"/>
      <c r="O827" s="77" t="s">
        <v>967</v>
      </c>
      <c r="P827" s="79">
        <v>45099.715011574073</v>
      </c>
      <c r="Q827" s="77" t="s">
        <v>1769</v>
      </c>
      <c r="R827" s="77">
        <v>0</v>
      </c>
      <c r="S827" s="77">
        <v>0</v>
      </c>
      <c r="T827" s="77">
        <v>0</v>
      </c>
      <c r="U827" s="77">
        <v>0</v>
      </c>
      <c r="V827" s="77">
        <v>31</v>
      </c>
      <c r="W827" s="81" t="s">
        <v>3403</v>
      </c>
      <c r="X827" s="77"/>
      <c r="Y827" s="77"/>
      <c r="Z827" s="77" t="s">
        <v>437</v>
      </c>
      <c r="AA827" s="77" t="s">
        <v>5037</v>
      </c>
      <c r="AB827" s="77" t="s">
        <v>5794</v>
      </c>
      <c r="AC827" s="81" t="s">
        <v>5801</v>
      </c>
      <c r="AD827" s="77" t="s">
        <v>5851</v>
      </c>
      <c r="AE827" s="83" t="str">
        <f>HYPERLINK("https://twitter.com/workshopdantas/status/1671928440008720395")</f>
        <v>https://twitter.com/workshopdantas/status/1671928440008720395</v>
      </c>
      <c r="AF827" s="79">
        <v>45099.715011574073</v>
      </c>
      <c r="AG827" s="85">
        <v>45099</v>
      </c>
      <c r="AH827" s="81" t="s">
        <v>6639</v>
      </c>
      <c r="AI827" s="77" t="b">
        <v>0</v>
      </c>
      <c r="AJ827" s="77"/>
      <c r="AK827" s="77"/>
      <c r="AL827" s="77"/>
      <c r="AM827" s="77"/>
      <c r="AN827" s="77"/>
      <c r="AO827" s="77"/>
      <c r="AP827" s="77"/>
      <c r="AQ827" s="77" t="s">
        <v>8540</v>
      </c>
      <c r="AR827" s="77"/>
      <c r="AS827" s="77"/>
      <c r="AT827" s="77"/>
      <c r="AU827" s="77"/>
      <c r="AV827" s="83" t="str">
        <f>HYPERLINK("https://pbs.twimg.com/media/FzPiDMeXwBsPfbe.jpg")</f>
        <v>https://pbs.twimg.com/media/FzPiDMeXwBsPfbe.jpg</v>
      </c>
      <c r="AW827" s="81" t="s">
        <v>10091</v>
      </c>
      <c r="AX827" s="81" t="s">
        <v>10091</v>
      </c>
      <c r="AY827" s="77"/>
      <c r="AZ827" s="81" t="s">
        <v>11359</v>
      </c>
      <c r="BA827" s="81" t="s">
        <v>11359</v>
      </c>
      <c r="BB827" s="81" t="s">
        <v>11359</v>
      </c>
      <c r="BC827" s="81" t="s">
        <v>10091</v>
      </c>
      <c r="BD827" s="81" t="s">
        <v>11512</v>
      </c>
      <c r="BE827" s="77"/>
      <c r="BF827" s="77"/>
      <c r="BG827" s="77"/>
      <c r="BH827" s="77"/>
      <c r="BI827" s="77"/>
    </row>
    <row r="828" spans="1:61" x14ac:dyDescent="0.25">
      <c r="A828" s="62" t="s">
        <v>437</v>
      </c>
      <c r="B828" s="62" t="s">
        <v>437</v>
      </c>
      <c r="C828" s="63"/>
      <c r="D828" s="64"/>
      <c r="E828" s="65"/>
      <c r="F828" s="66"/>
      <c r="G828" s="63"/>
      <c r="H828" s="67"/>
      <c r="I828" s="68"/>
      <c r="J828" s="68"/>
      <c r="K828" s="32"/>
      <c r="L828" s="75">
        <v>828</v>
      </c>
      <c r="M828" s="75"/>
      <c r="N828" s="70"/>
      <c r="O828" s="77" t="s">
        <v>967</v>
      </c>
      <c r="P828" s="79">
        <v>45185.464525462965</v>
      </c>
      <c r="Q828" s="77" t="s">
        <v>1770</v>
      </c>
      <c r="R828" s="77">
        <v>0</v>
      </c>
      <c r="S828" s="77">
        <v>0</v>
      </c>
      <c r="T828" s="77">
        <v>0</v>
      </c>
      <c r="U828" s="77">
        <v>0</v>
      </c>
      <c r="V828" s="77">
        <v>103</v>
      </c>
      <c r="W828" s="81" t="s">
        <v>3365</v>
      </c>
      <c r="X828" s="77"/>
      <c r="Y828" s="77"/>
      <c r="Z828" s="77" t="s">
        <v>437</v>
      </c>
      <c r="AA828" s="77" t="s">
        <v>5038</v>
      </c>
      <c r="AB828" s="77" t="s">
        <v>5794</v>
      </c>
      <c r="AC828" s="81" t="s">
        <v>5801</v>
      </c>
      <c r="AD828" s="77" t="s">
        <v>5851</v>
      </c>
      <c r="AE828" s="83" t="str">
        <f>HYPERLINK("https://twitter.com/workshopdantas/status/1703003023012675630")</f>
        <v>https://twitter.com/workshopdantas/status/1703003023012675630</v>
      </c>
      <c r="AF828" s="79">
        <v>45185.464525462965</v>
      </c>
      <c r="AG828" s="85">
        <v>45185</v>
      </c>
      <c r="AH828" s="81" t="s">
        <v>6640</v>
      </c>
      <c r="AI828" s="77" t="b">
        <v>0</v>
      </c>
      <c r="AJ828" s="77"/>
      <c r="AK828" s="77"/>
      <c r="AL828" s="77"/>
      <c r="AM828" s="77"/>
      <c r="AN828" s="77"/>
      <c r="AO828" s="77"/>
      <c r="AP828" s="77"/>
      <c r="AQ828" s="77" t="s">
        <v>8541</v>
      </c>
      <c r="AR828" s="77"/>
      <c r="AS828" s="77"/>
      <c r="AT828" s="77"/>
      <c r="AU828" s="77"/>
      <c r="AV828" s="83" t="str">
        <f>HYPERLINK("https://pbs.twimg.com/media/F6JIOWGXYAAngAy.jpg")</f>
        <v>https://pbs.twimg.com/media/F6JIOWGXYAAngAy.jpg</v>
      </c>
      <c r="AW828" s="81" t="s">
        <v>10092</v>
      </c>
      <c r="AX828" s="81" t="s">
        <v>10092</v>
      </c>
      <c r="AY828" s="77"/>
      <c r="AZ828" s="81" t="s">
        <v>11359</v>
      </c>
      <c r="BA828" s="81" t="s">
        <v>11359</v>
      </c>
      <c r="BB828" s="81" t="s">
        <v>11359</v>
      </c>
      <c r="BC828" s="81" t="s">
        <v>10092</v>
      </c>
      <c r="BD828" s="81" t="s">
        <v>11512</v>
      </c>
      <c r="BE828" s="77"/>
      <c r="BF828" s="77"/>
      <c r="BG828" s="77"/>
      <c r="BH828" s="77"/>
      <c r="BI828" s="77"/>
    </row>
    <row r="829" spans="1:61" x14ac:dyDescent="0.25">
      <c r="A829" s="62" t="s">
        <v>437</v>
      </c>
      <c r="B829" s="62" t="s">
        <v>437</v>
      </c>
      <c r="C829" s="63"/>
      <c r="D829" s="64"/>
      <c r="E829" s="65"/>
      <c r="F829" s="66"/>
      <c r="G829" s="63"/>
      <c r="H829" s="67"/>
      <c r="I829" s="68"/>
      <c r="J829" s="68"/>
      <c r="K829" s="32"/>
      <c r="L829" s="75">
        <v>829</v>
      </c>
      <c r="M829" s="75"/>
      <c r="N829" s="70"/>
      <c r="O829" s="77" t="s">
        <v>179</v>
      </c>
      <c r="P829" s="79">
        <v>45183.726840277777</v>
      </c>
      <c r="Q829" s="77" t="s">
        <v>1771</v>
      </c>
      <c r="R829" s="77">
        <v>0</v>
      </c>
      <c r="S829" s="77">
        <v>1</v>
      </c>
      <c r="T829" s="77">
        <v>0</v>
      </c>
      <c r="U829" s="77">
        <v>0</v>
      </c>
      <c r="V829" s="77">
        <v>71</v>
      </c>
      <c r="W829" s="81" t="s">
        <v>3404</v>
      </c>
      <c r="X829" s="77"/>
      <c r="Y829" s="77"/>
      <c r="Z829" s="77"/>
      <c r="AA829" s="77" t="s">
        <v>5039</v>
      </c>
      <c r="AB829" s="77" t="s">
        <v>5794</v>
      </c>
      <c r="AC829" s="81" t="s">
        <v>5801</v>
      </c>
      <c r="AD829" s="77" t="s">
        <v>5851</v>
      </c>
      <c r="AE829" s="83" t="str">
        <f>HYPERLINK("https://twitter.com/workshopdantas/status/1702373305867555185")</f>
        <v>https://twitter.com/workshopdantas/status/1702373305867555185</v>
      </c>
      <c r="AF829" s="79">
        <v>45183.726840277777</v>
      </c>
      <c r="AG829" s="85">
        <v>45183</v>
      </c>
      <c r="AH829" s="81" t="s">
        <v>6641</v>
      </c>
      <c r="AI829" s="77" t="b">
        <v>0</v>
      </c>
      <c r="AJ829" s="77"/>
      <c r="AK829" s="77"/>
      <c r="AL829" s="77"/>
      <c r="AM829" s="77"/>
      <c r="AN829" s="77"/>
      <c r="AO829" s="77"/>
      <c r="AP829" s="77"/>
      <c r="AQ829" s="77" t="s">
        <v>8542</v>
      </c>
      <c r="AR829" s="77"/>
      <c r="AS829" s="77"/>
      <c r="AT829" s="77"/>
      <c r="AU829" s="77"/>
      <c r="AV829" s="83" t="str">
        <f>HYPERLINK("https://pbs.twimg.com/media/F6ALf-tXQAArhe7.jpg")</f>
        <v>https://pbs.twimg.com/media/F6ALf-tXQAArhe7.jpg</v>
      </c>
      <c r="AW829" s="81" t="s">
        <v>10093</v>
      </c>
      <c r="AX829" s="81" t="s">
        <v>10093</v>
      </c>
      <c r="AY829" s="77"/>
      <c r="AZ829" s="81" t="s">
        <v>11359</v>
      </c>
      <c r="BA829" s="81" t="s">
        <v>11359</v>
      </c>
      <c r="BB829" s="81" t="s">
        <v>11359</v>
      </c>
      <c r="BC829" s="81" t="s">
        <v>10093</v>
      </c>
      <c r="BD829" s="81" t="s">
        <v>11512</v>
      </c>
      <c r="BE829" s="77"/>
      <c r="BF829" s="77"/>
      <c r="BG829" s="77"/>
      <c r="BH829" s="77"/>
      <c r="BI829" s="77"/>
    </row>
    <row r="830" spans="1:61" x14ac:dyDescent="0.25">
      <c r="A830" s="62" t="s">
        <v>437</v>
      </c>
      <c r="B830" s="62" t="s">
        <v>437</v>
      </c>
      <c r="C830" s="63"/>
      <c r="D830" s="64"/>
      <c r="E830" s="65"/>
      <c r="F830" s="66"/>
      <c r="G830" s="63"/>
      <c r="H830" s="67"/>
      <c r="I830" s="68"/>
      <c r="J830" s="68"/>
      <c r="K830" s="32"/>
      <c r="L830" s="75">
        <v>830</v>
      </c>
      <c r="M830" s="75"/>
      <c r="N830" s="70"/>
      <c r="O830" s="77" t="s">
        <v>967</v>
      </c>
      <c r="P830" s="79">
        <v>45182.934374999997</v>
      </c>
      <c r="Q830" s="77" t="s">
        <v>1772</v>
      </c>
      <c r="R830" s="77">
        <v>0</v>
      </c>
      <c r="S830" s="77">
        <v>0</v>
      </c>
      <c r="T830" s="77">
        <v>0</v>
      </c>
      <c r="U830" s="77">
        <v>0</v>
      </c>
      <c r="V830" s="77">
        <v>42</v>
      </c>
      <c r="W830" s="81" t="s">
        <v>3405</v>
      </c>
      <c r="X830" s="77"/>
      <c r="Y830" s="77"/>
      <c r="Z830" s="77" t="s">
        <v>437</v>
      </c>
      <c r="AA830" s="77" t="s">
        <v>5040</v>
      </c>
      <c r="AB830" s="77" t="s">
        <v>5794</v>
      </c>
      <c r="AC830" s="81" t="s">
        <v>5801</v>
      </c>
      <c r="AD830" s="77" t="s">
        <v>5851</v>
      </c>
      <c r="AE830" s="83" t="str">
        <f>HYPERLINK("https://twitter.com/workshopdantas/status/1702086128239624319")</f>
        <v>https://twitter.com/workshopdantas/status/1702086128239624319</v>
      </c>
      <c r="AF830" s="79">
        <v>45182.934374999997</v>
      </c>
      <c r="AG830" s="85">
        <v>45182</v>
      </c>
      <c r="AH830" s="81" t="s">
        <v>6642</v>
      </c>
      <c r="AI830" s="77" t="b">
        <v>0</v>
      </c>
      <c r="AJ830" s="77"/>
      <c r="AK830" s="77"/>
      <c r="AL830" s="77"/>
      <c r="AM830" s="77"/>
      <c r="AN830" s="77"/>
      <c r="AO830" s="77"/>
      <c r="AP830" s="77"/>
      <c r="AQ830" s="77" t="s">
        <v>8543</v>
      </c>
      <c r="AR830" s="77"/>
      <c r="AS830" s="77"/>
      <c r="AT830" s="77"/>
      <c r="AU830" s="77"/>
      <c r="AV830" s="83" t="str">
        <f>HYPERLINK("https://pbs.twimg.com/media/F58GUDVXAAAMXaK.jpg")</f>
        <v>https://pbs.twimg.com/media/F58GUDVXAAAMXaK.jpg</v>
      </c>
      <c r="AW830" s="81" t="s">
        <v>10094</v>
      </c>
      <c r="AX830" s="81" t="s">
        <v>10094</v>
      </c>
      <c r="AY830" s="77"/>
      <c r="AZ830" s="81" t="s">
        <v>11359</v>
      </c>
      <c r="BA830" s="81" t="s">
        <v>11359</v>
      </c>
      <c r="BB830" s="81" t="s">
        <v>11359</v>
      </c>
      <c r="BC830" s="81" t="s">
        <v>10094</v>
      </c>
      <c r="BD830" s="81" t="s">
        <v>11512</v>
      </c>
      <c r="BE830" s="77"/>
      <c r="BF830" s="77"/>
      <c r="BG830" s="77"/>
      <c r="BH830" s="77"/>
      <c r="BI830" s="77"/>
    </row>
    <row r="831" spans="1:61" x14ac:dyDescent="0.25">
      <c r="A831" s="62" t="s">
        <v>437</v>
      </c>
      <c r="B831" s="62" t="s">
        <v>437</v>
      </c>
      <c r="C831" s="63"/>
      <c r="D831" s="64"/>
      <c r="E831" s="65"/>
      <c r="F831" s="66"/>
      <c r="G831" s="63"/>
      <c r="H831" s="67"/>
      <c r="I831" s="68"/>
      <c r="J831" s="68"/>
      <c r="K831" s="32"/>
      <c r="L831" s="75">
        <v>831</v>
      </c>
      <c r="M831" s="75"/>
      <c r="N831" s="70"/>
      <c r="O831" s="77" t="s">
        <v>967</v>
      </c>
      <c r="P831" s="79">
        <v>45180.637766203705</v>
      </c>
      <c r="Q831" s="77" t="s">
        <v>1773</v>
      </c>
      <c r="R831" s="77">
        <v>0</v>
      </c>
      <c r="S831" s="77">
        <v>0</v>
      </c>
      <c r="T831" s="77">
        <v>0</v>
      </c>
      <c r="U831" s="77">
        <v>0</v>
      </c>
      <c r="V831" s="77">
        <v>77</v>
      </c>
      <c r="W831" s="81" t="s">
        <v>3406</v>
      </c>
      <c r="X831" s="77"/>
      <c r="Y831" s="77"/>
      <c r="Z831" s="77" t="s">
        <v>437</v>
      </c>
      <c r="AA831" s="77" t="s">
        <v>5041</v>
      </c>
      <c r="AB831" s="77" t="s">
        <v>5794</v>
      </c>
      <c r="AC831" s="81" t="s">
        <v>5801</v>
      </c>
      <c r="AD831" s="77" t="s">
        <v>5851</v>
      </c>
      <c r="AE831" s="83" t="str">
        <f>HYPERLINK("https://twitter.com/workshopdantas/status/1701253862164681160")</f>
        <v>https://twitter.com/workshopdantas/status/1701253862164681160</v>
      </c>
      <c r="AF831" s="79">
        <v>45180.637766203705</v>
      </c>
      <c r="AG831" s="85">
        <v>45180</v>
      </c>
      <c r="AH831" s="81" t="s">
        <v>6643</v>
      </c>
      <c r="AI831" s="77" t="b">
        <v>0</v>
      </c>
      <c r="AJ831" s="77"/>
      <c r="AK831" s="77"/>
      <c r="AL831" s="77"/>
      <c r="AM831" s="77"/>
      <c r="AN831" s="77"/>
      <c r="AO831" s="77"/>
      <c r="AP831" s="77"/>
      <c r="AQ831" s="77" t="s">
        <v>8544</v>
      </c>
      <c r="AR831" s="77"/>
      <c r="AS831" s="77"/>
      <c r="AT831" s="77"/>
      <c r="AU831" s="77"/>
      <c r="AV831" s="83" t="str">
        <f>HYPERLINK("https://pbs.twimg.com/media/F5wRX0UWUAAzjhO.jpg")</f>
        <v>https://pbs.twimg.com/media/F5wRX0UWUAAzjhO.jpg</v>
      </c>
      <c r="AW831" s="81" t="s">
        <v>10095</v>
      </c>
      <c r="AX831" s="81" t="s">
        <v>10095</v>
      </c>
      <c r="AY831" s="77"/>
      <c r="AZ831" s="81" t="s">
        <v>11359</v>
      </c>
      <c r="BA831" s="81" t="s">
        <v>11359</v>
      </c>
      <c r="BB831" s="81" t="s">
        <v>11359</v>
      </c>
      <c r="BC831" s="81" t="s">
        <v>10095</v>
      </c>
      <c r="BD831" s="81" t="s">
        <v>11512</v>
      </c>
      <c r="BE831" s="77"/>
      <c r="BF831" s="77"/>
      <c r="BG831" s="77"/>
      <c r="BH831" s="77"/>
      <c r="BI831" s="77"/>
    </row>
    <row r="832" spans="1:61" x14ac:dyDescent="0.25">
      <c r="A832" s="62" t="s">
        <v>437</v>
      </c>
      <c r="B832" s="62" t="s">
        <v>437</v>
      </c>
      <c r="C832" s="63"/>
      <c r="D832" s="64"/>
      <c r="E832" s="65"/>
      <c r="F832" s="66"/>
      <c r="G832" s="63"/>
      <c r="H832" s="67"/>
      <c r="I832" s="68"/>
      <c r="J832" s="68"/>
      <c r="K832" s="32"/>
      <c r="L832" s="75">
        <v>832</v>
      </c>
      <c r="M832" s="75"/>
      <c r="N832" s="70"/>
      <c r="O832" s="77" t="s">
        <v>967</v>
      </c>
      <c r="P832" s="79">
        <v>45162.543738425928</v>
      </c>
      <c r="Q832" s="77" t="s">
        <v>1774</v>
      </c>
      <c r="R832" s="77">
        <v>0</v>
      </c>
      <c r="S832" s="77">
        <v>0</v>
      </c>
      <c r="T832" s="77">
        <v>0</v>
      </c>
      <c r="U832" s="77">
        <v>0</v>
      </c>
      <c r="V832" s="77">
        <v>195</v>
      </c>
      <c r="W832" s="81" t="s">
        <v>3407</v>
      </c>
      <c r="X832" s="77"/>
      <c r="Y832" s="77"/>
      <c r="Z832" s="77" t="s">
        <v>437</v>
      </c>
      <c r="AA832" s="77" t="s">
        <v>5042</v>
      </c>
      <c r="AB832" s="77" t="s">
        <v>5794</v>
      </c>
      <c r="AC832" s="81" t="s">
        <v>5801</v>
      </c>
      <c r="AD832" s="77" t="s">
        <v>5851</v>
      </c>
      <c r="AE832" s="83" t="str">
        <f>HYPERLINK("https://twitter.com/workshopdantas/status/1694696806636999058")</f>
        <v>https://twitter.com/workshopdantas/status/1694696806636999058</v>
      </c>
      <c r="AF832" s="79">
        <v>45162.543738425928</v>
      </c>
      <c r="AG832" s="85">
        <v>45162</v>
      </c>
      <c r="AH832" s="81" t="s">
        <v>6644</v>
      </c>
      <c r="AI832" s="77" t="b">
        <v>0</v>
      </c>
      <c r="AJ832" s="77"/>
      <c r="AK832" s="77"/>
      <c r="AL832" s="77"/>
      <c r="AM832" s="77"/>
      <c r="AN832" s="77"/>
      <c r="AO832" s="77"/>
      <c r="AP832" s="77"/>
      <c r="AQ832" s="77" t="s">
        <v>8545</v>
      </c>
      <c r="AR832" s="77"/>
      <c r="AS832" s="77"/>
      <c r="AT832" s="77"/>
      <c r="AU832" s="77"/>
      <c r="AV832" s="83" t="str">
        <f>HYPERLINK("https://pbs.twimg.com/media/F4TFw6BWcAAhAvN.jpg")</f>
        <v>https://pbs.twimg.com/media/F4TFw6BWcAAhAvN.jpg</v>
      </c>
      <c r="AW832" s="81" t="s">
        <v>10096</v>
      </c>
      <c r="AX832" s="81" t="s">
        <v>10096</v>
      </c>
      <c r="AY832" s="77"/>
      <c r="AZ832" s="81" t="s">
        <v>11359</v>
      </c>
      <c r="BA832" s="81" t="s">
        <v>11359</v>
      </c>
      <c r="BB832" s="81" t="s">
        <v>11359</v>
      </c>
      <c r="BC832" s="81" t="s">
        <v>10096</v>
      </c>
      <c r="BD832" s="81" t="s">
        <v>11512</v>
      </c>
      <c r="BE832" s="77"/>
      <c r="BF832" s="77"/>
      <c r="BG832" s="77"/>
      <c r="BH832" s="77"/>
      <c r="BI832" s="77"/>
    </row>
    <row r="833" spans="1:61" x14ac:dyDescent="0.25">
      <c r="A833" s="62" t="s">
        <v>437</v>
      </c>
      <c r="B833" s="62" t="s">
        <v>437</v>
      </c>
      <c r="C833" s="63"/>
      <c r="D833" s="64"/>
      <c r="E833" s="65"/>
      <c r="F833" s="66"/>
      <c r="G833" s="63"/>
      <c r="H833" s="67"/>
      <c r="I833" s="68"/>
      <c r="J833" s="68"/>
      <c r="K833" s="32"/>
      <c r="L833" s="75">
        <v>833</v>
      </c>
      <c r="M833" s="75"/>
      <c r="N833" s="70"/>
      <c r="O833" s="77" t="s">
        <v>967</v>
      </c>
      <c r="P833" s="79">
        <v>45155.472708333335</v>
      </c>
      <c r="Q833" s="77" t="s">
        <v>1775</v>
      </c>
      <c r="R833" s="77">
        <v>0</v>
      </c>
      <c r="S833" s="77">
        <v>0</v>
      </c>
      <c r="T833" s="77">
        <v>0</v>
      </c>
      <c r="U833" s="77">
        <v>0</v>
      </c>
      <c r="V833" s="77">
        <v>118</v>
      </c>
      <c r="W833" s="81" t="s">
        <v>3408</v>
      </c>
      <c r="X833" s="77"/>
      <c r="Y833" s="77"/>
      <c r="Z833" s="77" t="s">
        <v>437</v>
      </c>
      <c r="AA833" s="77" t="s">
        <v>5043</v>
      </c>
      <c r="AB833" s="77" t="s">
        <v>5794</v>
      </c>
      <c r="AC833" s="81" t="s">
        <v>5801</v>
      </c>
      <c r="AD833" s="77" t="s">
        <v>5851</v>
      </c>
      <c r="AE833" s="83" t="str">
        <f>HYPERLINK("https://twitter.com/workshopdantas/status/1692134352119894211")</f>
        <v>https://twitter.com/workshopdantas/status/1692134352119894211</v>
      </c>
      <c r="AF833" s="79">
        <v>45155.472708333335</v>
      </c>
      <c r="AG833" s="85">
        <v>45155</v>
      </c>
      <c r="AH833" s="81" t="s">
        <v>6645</v>
      </c>
      <c r="AI833" s="77" t="b">
        <v>0</v>
      </c>
      <c r="AJ833" s="77"/>
      <c r="AK833" s="77"/>
      <c r="AL833" s="77"/>
      <c r="AM833" s="77"/>
      <c r="AN833" s="77"/>
      <c r="AO833" s="77"/>
      <c r="AP833" s="77"/>
      <c r="AQ833" s="77" t="s">
        <v>8546</v>
      </c>
      <c r="AR833" s="77"/>
      <c r="AS833" s="77"/>
      <c r="AT833" s="77"/>
      <c r="AU833" s="77"/>
      <c r="AV833" s="83" t="str">
        <f>HYPERLINK("https://pbs.twimg.com/media/F3urOcmW8AAv6ne.jpg")</f>
        <v>https://pbs.twimg.com/media/F3urOcmW8AAv6ne.jpg</v>
      </c>
      <c r="AW833" s="81" t="s">
        <v>10097</v>
      </c>
      <c r="AX833" s="81" t="s">
        <v>10097</v>
      </c>
      <c r="AY833" s="77"/>
      <c r="AZ833" s="81" t="s">
        <v>11359</v>
      </c>
      <c r="BA833" s="81" t="s">
        <v>11359</v>
      </c>
      <c r="BB833" s="81" t="s">
        <v>11359</v>
      </c>
      <c r="BC833" s="81" t="s">
        <v>10097</v>
      </c>
      <c r="BD833" s="81" t="s">
        <v>11512</v>
      </c>
      <c r="BE833" s="77"/>
      <c r="BF833" s="77"/>
      <c r="BG833" s="77"/>
      <c r="BH833" s="77"/>
      <c r="BI833" s="77"/>
    </row>
    <row r="834" spans="1:61" x14ac:dyDescent="0.25">
      <c r="A834" s="62" t="s">
        <v>437</v>
      </c>
      <c r="B834" s="62" t="s">
        <v>437</v>
      </c>
      <c r="C834" s="63"/>
      <c r="D834" s="64"/>
      <c r="E834" s="65"/>
      <c r="F834" s="66"/>
      <c r="G834" s="63"/>
      <c r="H834" s="67"/>
      <c r="I834" s="68"/>
      <c r="J834" s="68"/>
      <c r="K834" s="32"/>
      <c r="L834" s="75">
        <v>834</v>
      </c>
      <c r="M834" s="75"/>
      <c r="N834" s="70"/>
      <c r="O834" s="77" t="s">
        <v>967</v>
      </c>
      <c r="P834" s="79">
        <v>45153.883263888885</v>
      </c>
      <c r="Q834" s="77" t="s">
        <v>1776</v>
      </c>
      <c r="R834" s="77">
        <v>0</v>
      </c>
      <c r="S834" s="77">
        <v>0</v>
      </c>
      <c r="T834" s="77">
        <v>1</v>
      </c>
      <c r="U834" s="77">
        <v>0</v>
      </c>
      <c r="V834" s="77">
        <v>72</v>
      </c>
      <c r="W834" s="81" t="s">
        <v>3409</v>
      </c>
      <c r="X834" s="77"/>
      <c r="Y834" s="77"/>
      <c r="Z834" s="77" t="s">
        <v>437</v>
      </c>
      <c r="AA834" s="77" t="s">
        <v>5044</v>
      </c>
      <c r="AB834" s="77" t="s">
        <v>5794</v>
      </c>
      <c r="AC834" s="81" t="s">
        <v>5801</v>
      </c>
      <c r="AD834" s="77" t="s">
        <v>5851</v>
      </c>
      <c r="AE834" s="83" t="str">
        <f>HYPERLINK("https://twitter.com/workshopdantas/status/1691558358115865079")</f>
        <v>https://twitter.com/workshopdantas/status/1691558358115865079</v>
      </c>
      <c r="AF834" s="79">
        <v>45153.883263888885</v>
      </c>
      <c r="AG834" s="85">
        <v>45153</v>
      </c>
      <c r="AH834" s="81" t="s">
        <v>6646</v>
      </c>
      <c r="AI834" s="77" t="b">
        <v>0</v>
      </c>
      <c r="AJ834" s="77"/>
      <c r="AK834" s="77"/>
      <c r="AL834" s="77"/>
      <c r="AM834" s="77"/>
      <c r="AN834" s="77"/>
      <c r="AO834" s="77"/>
      <c r="AP834" s="77"/>
      <c r="AQ834" s="77" t="s">
        <v>8547</v>
      </c>
      <c r="AR834" s="77"/>
      <c r="AS834" s="77"/>
      <c r="AT834" s="77"/>
      <c r="AU834" s="77"/>
      <c r="AV834" s="83" t="str">
        <f>HYPERLINK("https://pbs.twimg.com/media/F3mfXLPXsAEEL6x.jpg")</f>
        <v>https://pbs.twimg.com/media/F3mfXLPXsAEEL6x.jpg</v>
      </c>
      <c r="AW834" s="81" t="s">
        <v>10098</v>
      </c>
      <c r="AX834" s="81" t="s">
        <v>10098</v>
      </c>
      <c r="AY834" s="77"/>
      <c r="AZ834" s="81" t="s">
        <v>11359</v>
      </c>
      <c r="BA834" s="81" t="s">
        <v>11359</v>
      </c>
      <c r="BB834" s="81" t="s">
        <v>11359</v>
      </c>
      <c r="BC834" s="81" t="s">
        <v>10098</v>
      </c>
      <c r="BD834" s="81" t="s">
        <v>11512</v>
      </c>
      <c r="BE834" s="77"/>
      <c r="BF834" s="77"/>
      <c r="BG834" s="77"/>
      <c r="BH834" s="77"/>
      <c r="BI834" s="77"/>
    </row>
    <row r="835" spans="1:61" x14ac:dyDescent="0.25">
      <c r="A835" s="62" t="s">
        <v>437</v>
      </c>
      <c r="B835" s="62" t="s">
        <v>437</v>
      </c>
      <c r="C835" s="63"/>
      <c r="D835" s="64"/>
      <c r="E835" s="65"/>
      <c r="F835" s="66"/>
      <c r="G835" s="63"/>
      <c r="H835" s="67"/>
      <c r="I835" s="68"/>
      <c r="J835" s="68"/>
      <c r="K835" s="32"/>
      <c r="L835" s="75">
        <v>835</v>
      </c>
      <c r="M835" s="75"/>
      <c r="N835" s="70"/>
      <c r="O835" s="77" t="s">
        <v>967</v>
      </c>
      <c r="P835" s="79">
        <v>45112.477175925924</v>
      </c>
      <c r="Q835" s="77" t="s">
        <v>1777</v>
      </c>
      <c r="R835" s="77">
        <v>0</v>
      </c>
      <c r="S835" s="77">
        <v>0</v>
      </c>
      <c r="T835" s="77">
        <v>0</v>
      </c>
      <c r="U835" s="77">
        <v>0</v>
      </c>
      <c r="V835" s="77">
        <v>59</v>
      </c>
      <c r="W835" s="81" t="s">
        <v>3410</v>
      </c>
      <c r="X835" s="77"/>
      <c r="Y835" s="77"/>
      <c r="Z835" s="77" t="s">
        <v>437</v>
      </c>
      <c r="AA835" s="77" t="s">
        <v>5045</v>
      </c>
      <c r="AB835" s="77" t="s">
        <v>5794</v>
      </c>
      <c r="AC835" s="81" t="s">
        <v>5801</v>
      </c>
      <c r="AD835" s="77" t="s">
        <v>5851</v>
      </c>
      <c r="AE835" s="83" t="str">
        <f>HYPERLINK("https://twitter.com/workshopdantas/status/1676553292044705794")</f>
        <v>https://twitter.com/workshopdantas/status/1676553292044705794</v>
      </c>
      <c r="AF835" s="79">
        <v>45112.477175925924</v>
      </c>
      <c r="AG835" s="85">
        <v>45112</v>
      </c>
      <c r="AH835" s="81" t="s">
        <v>6647</v>
      </c>
      <c r="AI835" s="77" t="b">
        <v>0</v>
      </c>
      <c r="AJ835" s="77"/>
      <c r="AK835" s="77"/>
      <c r="AL835" s="77"/>
      <c r="AM835" s="77"/>
      <c r="AN835" s="77"/>
      <c r="AO835" s="77"/>
      <c r="AP835" s="77"/>
      <c r="AQ835" s="77" t="s">
        <v>8548</v>
      </c>
      <c r="AR835" s="77"/>
      <c r="AS835" s="77"/>
      <c r="AT835" s="77"/>
      <c r="AU835" s="77"/>
      <c r="AV835" s="83" t="str">
        <f>HYPERLINK("https://pbs.twimg.com/media/F0RQVXnWcAIZOSy.jpg")</f>
        <v>https://pbs.twimg.com/media/F0RQVXnWcAIZOSy.jpg</v>
      </c>
      <c r="AW835" s="81" t="s">
        <v>10099</v>
      </c>
      <c r="AX835" s="81" t="s">
        <v>10099</v>
      </c>
      <c r="AY835" s="77"/>
      <c r="AZ835" s="81" t="s">
        <v>11359</v>
      </c>
      <c r="BA835" s="81" t="s">
        <v>11359</v>
      </c>
      <c r="BB835" s="81" t="s">
        <v>11359</v>
      </c>
      <c r="BC835" s="81" t="s">
        <v>10099</v>
      </c>
      <c r="BD835" s="81" t="s">
        <v>11512</v>
      </c>
      <c r="BE835" s="77"/>
      <c r="BF835" s="77"/>
      <c r="BG835" s="77"/>
      <c r="BH835" s="77"/>
      <c r="BI835" s="77"/>
    </row>
    <row r="836" spans="1:61" x14ac:dyDescent="0.25">
      <c r="A836" s="62" t="s">
        <v>437</v>
      </c>
      <c r="B836" s="62" t="s">
        <v>437</v>
      </c>
      <c r="C836" s="63"/>
      <c r="D836" s="64"/>
      <c r="E836" s="65"/>
      <c r="F836" s="66"/>
      <c r="G836" s="63"/>
      <c r="H836" s="67"/>
      <c r="I836" s="68"/>
      <c r="J836" s="68"/>
      <c r="K836" s="32"/>
      <c r="L836" s="75">
        <v>836</v>
      </c>
      <c r="M836" s="75"/>
      <c r="N836" s="70"/>
      <c r="O836" s="77" t="s">
        <v>967</v>
      </c>
      <c r="P836" s="79">
        <v>45096.53334490741</v>
      </c>
      <c r="Q836" s="77" t="s">
        <v>1778</v>
      </c>
      <c r="R836" s="77">
        <v>0</v>
      </c>
      <c r="S836" s="77">
        <v>0</v>
      </c>
      <c r="T836" s="77">
        <v>0</v>
      </c>
      <c r="U836" s="77">
        <v>0</v>
      </c>
      <c r="V836" s="77">
        <v>641</v>
      </c>
      <c r="W836" s="81" t="s">
        <v>3411</v>
      </c>
      <c r="X836" s="77"/>
      <c r="Y836" s="77"/>
      <c r="Z836" s="77" t="s">
        <v>437</v>
      </c>
      <c r="AA836" s="77" t="s">
        <v>5046</v>
      </c>
      <c r="AB836" s="77" t="s">
        <v>5794</v>
      </c>
      <c r="AC836" s="81" t="s">
        <v>5801</v>
      </c>
      <c r="AD836" s="77" t="s">
        <v>5851</v>
      </c>
      <c r="AE836" s="83" t="str">
        <f>HYPERLINK("https://twitter.com/workshopdantas/status/1670775441102184449")</f>
        <v>https://twitter.com/workshopdantas/status/1670775441102184449</v>
      </c>
      <c r="AF836" s="79">
        <v>45096.53334490741</v>
      </c>
      <c r="AG836" s="85">
        <v>45096</v>
      </c>
      <c r="AH836" s="81" t="s">
        <v>6648</v>
      </c>
      <c r="AI836" s="77" t="b">
        <v>0</v>
      </c>
      <c r="AJ836" s="77"/>
      <c r="AK836" s="77"/>
      <c r="AL836" s="77"/>
      <c r="AM836" s="77"/>
      <c r="AN836" s="77"/>
      <c r="AO836" s="77"/>
      <c r="AP836" s="77"/>
      <c r="AQ836" s="77" t="s">
        <v>8549</v>
      </c>
      <c r="AR836" s="77"/>
      <c r="AS836" s="77"/>
      <c r="AT836" s="77"/>
      <c r="AU836" s="77"/>
      <c r="AV836" s="83" t="str">
        <f>HYPERLINK("https://pbs.twimg.com/media/Fy_JaLFWcAAWGjX.jpg")</f>
        <v>https://pbs.twimg.com/media/Fy_JaLFWcAAWGjX.jpg</v>
      </c>
      <c r="AW836" s="81" t="s">
        <v>10100</v>
      </c>
      <c r="AX836" s="81" t="s">
        <v>10100</v>
      </c>
      <c r="AY836" s="77"/>
      <c r="AZ836" s="81" t="s">
        <v>11359</v>
      </c>
      <c r="BA836" s="81" t="s">
        <v>11359</v>
      </c>
      <c r="BB836" s="81" t="s">
        <v>11359</v>
      </c>
      <c r="BC836" s="81" t="s">
        <v>10100</v>
      </c>
      <c r="BD836" s="81" t="s">
        <v>11512</v>
      </c>
      <c r="BE836" s="77"/>
      <c r="BF836" s="77"/>
      <c r="BG836" s="77"/>
      <c r="BH836" s="77"/>
      <c r="BI836" s="77"/>
    </row>
    <row r="837" spans="1:61" x14ac:dyDescent="0.25">
      <c r="A837" s="62" t="s">
        <v>437</v>
      </c>
      <c r="B837" s="62" t="s">
        <v>437</v>
      </c>
      <c r="C837" s="63"/>
      <c r="D837" s="64"/>
      <c r="E837" s="65"/>
      <c r="F837" s="66"/>
      <c r="G837" s="63"/>
      <c r="H837" s="67"/>
      <c r="I837" s="68"/>
      <c r="J837" s="68"/>
      <c r="K837" s="32"/>
      <c r="L837" s="75">
        <v>837</v>
      </c>
      <c r="M837" s="75"/>
      <c r="N837" s="70"/>
      <c r="O837" s="77" t="s">
        <v>967</v>
      </c>
      <c r="P837" s="79">
        <v>45095.434756944444</v>
      </c>
      <c r="Q837" s="77" t="s">
        <v>1779</v>
      </c>
      <c r="R837" s="77">
        <v>0</v>
      </c>
      <c r="S837" s="77">
        <v>0</v>
      </c>
      <c r="T837" s="77">
        <v>0</v>
      </c>
      <c r="U837" s="77">
        <v>0</v>
      </c>
      <c r="V837" s="77">
        <v>48</v>
      </c>
      <c r="W837" s="81" t="s">
        <v>3412</v>
      </c>
      <c r="X837" s="77"/>
      <c r="Y837" s="77"/>
      <c r="Z837" s="77" t="s">
        <v>437</v>
      </c>
      <c r="AA837" s="77" t="s">
        <v>5047</v>
      </c>
      <c r="AB837" s="77" t="s">
        <v>5794</v>
      </c>
      <c r="AC837" s="81" t="s">
        <v>5801</v>
      </c>
      <c r="AD837" s="77" t="s">
        <v>5851</v>
      </c>
      <c r="AE837" s="83" t="str">
        <f>HYPERLINK("https://twitter.com/workshopdantas/status/1670377326977388546")</f>
        <v>https://twitter.com/workshopdantas/status/1670377326977388546</v>
      </c>
      <c r="AF837" s="79">
        <v>45095.434756944444</v>
      </c>
      <c r="AG837" s="85">
        <v>45095</v>
      </c>
      <c r="AH837" s="81" t="s">
        <v>6649</v>
      </c>
      <c r="AI837" s="77" t="b">
        <v>0</v>
      </c>
      <c r="AJ837" s="77"/>
      <c r="AK837" s="77"/>
      <c r="AL837" s="77"/>
      <c r="AM837" s="77"/>
      <c r="AN837" s="77"/>
      <c r="AO837" s="77"/>
      <c r="AP837" s="77"/>
      <c r="AQ837" s="77" t="s">
        <v>8550</v>
      </c>
      <c r="AR837" s="77"/>
      <c r="AS837" s="77"/>
      <c r="AT837" s="77"/>
      <c r="AU837" s="77"/>
      <c r="AV837" s="83" t="str">
        <f>HYPERLINK("https://pbs.twimg.com/media/Fy5fU4nXwAIEtjP.jpg")</f>
        <v>https://pbs.twimg.com/media/Fy5fU4nXwAIEtjP.jpg</v>
      </c>
      <c r="AW837" s="81" t="s">
        <v>10101</v>
      </c>
      <c r="AX837" s="81" t="s">
        <v>10101</v>
      </c>
      <c r="AY837" s="77"/>
      <c r="AZ837" s="81" t="s">
        <v>11359</v>
      </c>
      <c r="BA837" s="81" t="s">
        <v>11359</v>
      </c>
      <c r="BB837" s="81" t="s">
        <v>11359</v>
      </c>
      <c r="BC837" s="81" t="s">
        <v>10101</v>
      </c>
      <c r="BD837" s="81" t="s">
        <v>11512</v>
      </c>
      <c r="BE837" s="77"/>
      <c r="BF837" s="77"/>
      <c r="BG837" s="77"/>
      <c r="BH837" s="77"/>
      <c r="BI837" s="77"/>
    </row>
    <row r="838" spans="1:61" x14ac:dyDescent="0.25">
      <c r="A838" s="62" t="s">
        <v>437</v>
      </c>
      <c r="B838" s="62" t="s">
        <v>437</v>
      </c>
      <c r="C838" s="63"/>
      <c r="D838" s="64"/>
      <c r="E838" s="65"/>
      <c r="F838" s="66"/>
      <c r="G838" s="63"/>
      <c r="H838" s="67"/>
      <c r="I838" s="68"/>
      <c r="J838" s="68"/>
      <c r="K838" s="32"/>
      <c r="L838" s="75">
        <v>838</v>
      </c>
      <c r="M838" s="75"/>
      <c r="N838" s="70"/>
      <c r="O838" s="77" t="s">
        <v>967</v>
      </c>
      <c r="P838" s="79">
        <v>45094.748749999999</v>
      </c>
      <c r="Q838" s="77" t="s">
        <v>1780</v>
      </c>
      <c r="R838" s="77">
        <v>0</v>
      </c>
      <c r="S838" s="77">
        <v>0</v>
      </c>
      <c r="T838" s="77">
        <v>0</v>
      </c>
      <c r="U838" s="77">
        <v>0</v>
      </c>
      <c r="V838" s="77">
        <v>55</v>
      </c>
      <c r="W838" s="81" t="s">
        <v>3413</v>
      </c>
      <c r="X838" s="77"/>
      <c r="Y838" s="77"/>
      <c r="Z838" s="77" t="s">
        <v>437</v>
      </c>
      <c r="AA838" s="77" t="s">
        <v>5048</v>
      </c>
      <c r="AB838" s="77" t="s">
        <v>5794</v>
      </c>
      <c r="AC838" s="81" t="s">
        <v>5801</v>
      </c>
      <c r="AD838" s="77" t="s">
        <v>5851</v>
      </c>
      <c r="AE838" s="83" t="str">
        <f>HYPERLINK("https://twitter.com/workshopdantas/status/1670128727974346754")</f>
        <v>https://twitter.com/workshopdantas/status/1670128727974346754</v>
      </c>
      <c r="AF838" s="79">
        <v>45094.748749999999</v>
      </c>
      <c r="AG838" s="85">
        <v>45094</v>
      </c>
      <c r="AH838" s="81" t="s">
        <v>6650</v>
      </c>
      <c r="AI838" s="77" t="b">
        <v>0</v>
      </c>
      <c r="AJ838" s="77"/>
      <c r="AK838" s="77"/>
      <c r="AL838" s="77"/>
      <c r="AM838" s="77"/>
      <c r="AN838" s="77"/>
      <c r="AO838" s="77"/>
      <c r="AP838" s="77"/>
      <c r="AQ838" s="77" t="s">
        <v>8551</v>
      </c>
      <c r="AR838" s="77"/>
      <c r="AS838" s="77"/>
      <c r="AT838" s="77"/>
      <c r="AU838" s="77"/>
      <c r="AV838" s="83" t="str">
        <f>HYPERLINK("https://pbs.twimg.com/media/Fy19Oh0XwAEUNxz.jpg")</f>
        <v>https://pbs.twimg.com/media/Fy19Oh0XwAEUNxz.jpg</v>
      </c>
      <c r="AW838" s="81" t="s">
        <v>10102</v>
      </c>
      <c r="AX838" s="81" t="s">
        <v>10102</v>
      </c>
      <c r="AY838" s="77"/>
      <c r="AZ838" s="81" t="s">
        <v>11359</v>
      </c>
      <c r="BA838" s="81" t="s">
        <v>11359</v>
      </c>
      <c r="BB838" s="81" t="s">
        <v>11359</v>
      </c>
      <c r="BC838" s="81" t="s">
        <v>10102</v>
      </c>
      <c r="BD838" s="81" t="s">
        <v>11512</v>
      </c>
      <c r="BE838" s="77"/>
      <c r="BF838" s="77"/>
      <c r="BG838" s="77"/>
      <c r="BH838" s="77"/>
      <c r="BI838" s="77"/>
    </row>
    <row r="839" spans="1:61" x14ac:dyDescent="0.25">
      <c r="A839" s="62" t="s">
        <v>438</v>
      </c>
      <c r="B839" s="62" t="s">
        <v>438</v>
      </c>
      <c r="C839" s="63"/>
      <c r="D839" s="64"/>
      <c r="E839" s="65"/>
      <c r="F839" s="66"/>
      <c r="G839" s="63"/>
      <c r="H839" s="67"/>
      <c r="I839" s="68"/>
      <c r="J839" s="68"/>
      <c r="K839" s="32"/>
      <c r="L839" s="75">
        <v>839</v>
      </c>
      <c r="M839" s="75"/>
      <c r="N839" s="70"/>
      <c r="O839" s="77" t="s">
        <v>179</v>
      </c>
      <c r="P839" s="79">
        <v>45107.137037037035</v>
      </c>
      <c r="Q839" s="77" t="s">
        <v>1781</v>
      </c>
      <c r="R839" s="77">
        <v>0</v>
      </c>
      <c r="S839" s="77">
        <v>0</v>
      </c>
      <c r="T839" s="77">
        <v>0</v>
      </c>
      <c r="U839" s="77">
        <v>0</v>
      </c>
      <c r="V839" s="77">
        <v>42</v>
      </c>
      <c r="W839" s="81" t="s">
        <v>3414</v>
      </c>
      <c r="X839" s="77"/>
      <c r="Y839" s="77"/>
      <c r="Z839" s="77"/>
      <c r="AA839" s="77"/>
      <c r="AB839" s="77"/>
      <c r="AC839" s="81" t="s">
        <v>5803</v>
      </c>
      <c r="AD839" s="77" t="s">
        <v>5851</v>
      </c>
      <c r="AE839" s="83" t="str">
        <f>HYPERLINK("https://twitter.com/garotoviniofc/status/1674618089449635840")</f>
        <v>https://twitter.com/garotoviniofc/status/1674618089449635840</v>
      </c>
      <c r="AF839" s="79">
        <v>45107.137037037035</v>
      </c>
      <c r="AG839" s="85">
        <v>45107</v>
      </c>
      <c r="AH839" s="81" t="s">
        <v>6651</v>
      </c>
      <c r="AI839" s="77"/>
      <c r="AJ839" s="77"/>
      <c r="AK839" s="77"/>
      <c r="AL839" s="77"/>
      <c r="AM839" s="77"/>
      <c r="AN839" s="77"/>
      <c r="AO839" s="77"/>
      <c r="AP839" s="77"/>
      <c r="AQ839" s="77"/>
      <c r="AR839" s="77"/>
      <c r="AS839" s="77"/>
      <c r="AT839" s="77"/>
      <c r="AU839" s="77"/>
      <c r="AV839" s="83" t="str">
        <f>HYPERLINK("https://pbs.twimg.com/profile_images/1640539031405469696/Jfz8n7JO_normal.jpg")</f>
        <v>https://pbs.twimg.com/profile_images/1640539031405469696/Jfz8n7JO_normal.jpg</v>
      </c>
      <c r="AW839" s="81" t="s">
        <v>10103</v>
      </c>
      <c r="AX839" s="81" t="s">
        <v>10103</v>
      </c>
      <c r="AY839" s="77"/>
      <c r="AZ839" s="81" t="s">
        <v>11359</v>
      </c>
      <c r="BA839" s="81" t="s">
        <v>11359</v>
      </c>
      <c r="BB839" s="81" t="s">
        <v>11359</v>
      </c>
      <c r="BC839" s="81" t="s">
        <v>10103</v>
      </c>
      <c r="BD839" s="81" t="s">
        <v>11513</v>
      </c>
      <c r="BE839" s="77"/>
      <c r="BF839" s="77"/>
      <c r="BG839" s="77"/>
      <c r="BH839" s="77"/>
      <c r="BI839" s="77"/>
    </row>
    <row r="840" spans="1:61" x14ac:dyDescent="0.25">
      <c r="A840" s="62" t="s">
        <v>439</v>
      </c>
      <c r="B840" s="62" t="s">
        <v>439</v>
      </c>
      <c r="C840" s="63"/>
      <c r="D840" s="64"/>
      <c r="E840" s="65"/>
      <c r="F840" s="66"/>
      <c r="G840" s="63"/>
      <c r="H840" s="67"/>
      <c r="I840" s="68"/>
      <c r="J840" s="68"/>
      <c r="K840" s="32"/>
      <c r="L840" s="75">
        <v>840</v>
      </c>
      <c r="M840" s="75"/>
      <c r="N840" s="70"/>
      <c r="O840" s="77" t="s">
        <v>179</v>
      </c>
      <c r="P840" s="79">
        <v>44937.698750000003</v>
      </c>
      <c r="Q840" s="77" t="s">
        <v>1782</v>
      </c>
      <c r="R840" s="77">
        <v>0</v>
      </c>
      <c r="S840" s="77">
        <v>0</v>
      </c>
      <c r="T840" s="77">
        <v>0</v>
      </c>
      <c r="U840" s="77">
        <v>0</v>
      </c>
      <c r="V840" s="77">
        <v>53</v>
      </c>
      <c r="W840" s="81" t="s">
        <v>3415</v>
      </c>
      <c r="X840" s="77"/>
      <c r="Y840" s="77"/>
      <c r="Z840" s="77"/>
      <c r="AA840" s="77" t="s">
        <v>5049</v>
      </c>
      <c r="AB840" s="77" t="s">
        <v>5794</v>
      </c>
      <c r="AC840" s="81" t="s">
        <v>5805</v>
      </c>
      <c r="AD840" s="77" t="s">
        <v>5850</v>
      </c>
      <c r="AE840" s="83" t="str">
        <f>HYPERLINK("https://twitter.com/elcaph/status/1613215713367588865")</f>
        <v>https://twitter.com/elcaph/status/1613215713367588865</v>
      </c>
      <c r="AF840" s="79">
        <v>44937.698750000003</v>
      </c>
      <c r="AG840" s="85">
        <v>44937</v>
      </c>
      <c r="AH840" s="81" t="s">
        <v>6652</v>
      </c>
      <c r="AI840" s="77" t="b">
        <v>0</v>
      </c>
      <c r="AJ840" s="77"/>
      <c r="AK840" s="77"/>
      <c r="AL840" s="77"/>
      <c r="AM840" s="77"/>
      <c r="AN840" s="77"/>
      <c r="AO840" s="77"/>
      <c r="AP840" s="77"/>
      <c r="AQ840" s="77" t="s">
        <v>8552</v>
      </c>
      <c r="AR840" s="77"/>
      <c r="AS840" s="77"/>
      <c r="AT840" s="77"/>
      <c r="AU840" s="77"/>
      <c r="AV840" s="83" t="str">
        <f>HYPERLINK("https://pbs.twimg.com/media/FmNLHXeaYAE_O4t.jpg")</f>
        <v>https://pbs.twimg.com/media/FmNLHXeaYAE_O4t.jpg</v>
      </c>
      <c r="AW840" s="81" t="s">
        <v>10104</v>
      </c>
      <c r="AX840" s="81" t="s">
        <v>10104</v>
      </c>
      <c r="AY840" s="77"/>
      <c r="AZ840" s="81" t="s">
        <v>11359</v>
      </c>
      <c r="BA840" s="81" t="s">
        <v>11359</v>
      </c>
      <c r="BB840" s="81" t="s">
        <v>11359</v>
      </c>
      <c r="BC840" s="81" t="s">
        <v>10104</v>
      </c>
      <c r="BD840" s="81" t="s">
        <v>11514</v>
      </c>
      <c r="BE840" s="77"/>
      <c r="BF840" s="77"/>
      <c r="BG840" s="77"/>
      <c r="BH840" s="77"/>
      <c r="BI840" s="77"/>
    </row>
    <row r="841" spans="1:61" x14ac:dyDescent="0.25">
      <c r="A841" s="62" t="s">
        <v>439</v>
      </c>
      <c r="B841" s="62" t="s">
        <v>439</v>
      </c>
      <c r="C841" s="63"/>
      <c r="D841" s="64"/>
      <c r="E841" s="65"/>
      <c r="F841" s="66"/>
      <c r="G841" s="63"/>
      <c r="H841" s="67"/>
      <c r="I841" s="68"/>
      <c r="J841" s="68"/>
      <c r="K841" s="32"/>
      <c r="L841" s="75">
        <v>841</v>
      </c>
      <c r="M841" s="75"/>
      <c r="N841" s="70"/>
      <c r="O841" s="77" t="s">
        <v>179</v>
      </c>
      <c r="P841" s="79">
        <v>44935.750601851854</v>
      </c>
      <c r="Q841" s="77" t="s">
        <v>1783</v>
      </c>
      <c r="R841" s="77">
        <v>0</v>
      </c>
      <c r="S841" s="77">
        <v>0</v>
      </c>
      <c r="T841" s="77">
        <v>0</v>
      </c>
      <c r="U841" s="77">
        <v>0</v>
      </c>
      <c r="V841" s="77">
        <v>62</v>
      </c>
      <c r="W841" s="81" t="s">
        <v>3415</v>
      </c>
      <c r="X841" s="77"/>
      <c r="Y841" s="77"/>
      <c r="Z841" s="77"/>
      <c r="AA841" s="77" t="s">
        <v>5050</v>
      </c>
      <c r="AB841" s="77" t="s">
        <v>5794</v>
      </c>
      <c r="AC841" s="81" t="s">
        <v>5805</v>
      </c>
      <c r="AD841" s="77" t="s">
        <v>5850</v>
      </c>
      <c r="AE841" s="83" t="str">
        <f>HYPERLINK("https://twitter.com/elcaph/status/1612509727308800000")</f>
        <v>https://twitter.com/elcaph/status/1612509727308800000</v>
      </c>
      <c r="AF841" s="79">
        <v>44935.750601851854</v>
      </c>
      <c r="AG841" s="85">
        <v>44935</v>
      </c>
      <c r="AH841" s="81" t="s">
        <v>6653</v>
      </c>
      <c r="AI841" s="77" t="b">
        <v>0</v>
      </c>
      <c r="AJ841" s="77"/>
      <c r="AK841" s="77"/>
      <c r="AL841" s="77"/>
      <c r="AM841" s="77"/>
      <c r="AN841" s="77"/>
      <c r="AO841" s="77"/>
      <c r="AP841" s="77"/>
      <c r="AQ841" s="77" t="s">
        <v>8553</v>
      </c>
      <c r="AR841" s="77"/>
      <c r="AS841" s="77"/>
      <c r="AT841" s="77"/>
      <c r="AU841" s="77"/>
      <c r="AV841" s="83" t="str">
        <f>HYPERLINK("https://pbs.twimg.com/media/FmDJCijaAAE315P.jpg")</f>
        <v>https://pbs.twimg.com/media/FmDJCijaAAE315P.jpg</v>
      </c>
      <c r="AW841" s="81" t="s">
        <v>10105</v>
      </c>
      <c r="AX841" s="81" t="s">
        <v>10105</v>
      </c>
      <c r="AY841" s="77"/>
      <c r="AZ841" s="81" t="s">
        <v>11359</v>
      </c>
      <c r="BA841" s="81" t="s">
        <v>11359</v>
      </c>
      <c r="BB841" s="81" t="s">
        <v>11359</v>
      </c>
      <c r="BC841" s="81" t="s">
        <v>10105</v>
      </c>
      <c r="BD841" s="81" t="s">
        <v>11514</v>
      </c>
      <c r="BE841" s="77"/>
      <c r="BF841" s="77"/>
      <c r="BG841" s="77"/>
      <c r="BH841" s="77"/>
      <c r="BI841" s="77"/>
    </row>
    <row r="842" spans="1:61" x14ac:dyDescent="0.25">
      <c r="A842" s="62" t="s">
        <v>439</v>
      </c>
      <c r="B842" s="62" t="s">
        <v>439</v>
      </c>
      <c r="C842" s="63"/>
      <c r="D842" s="64"/>
      <c r="E842" s="65"/>
      <c r="F842" s="66"/>
      <c r="G842" s="63"/>
      <c r="H842" s="67"/>
      <c r="I842" s="68"/>
      <c r="J842" s="68"/>
      <c r="K842" s="32"/>
      <c r="L842" s="75">
        <v>842</v>
      </c>
      <c r="M842" s="75"/>
      <c r="N842" s="70"/>
      <c r="O842" s="77" t="s">
        <v>179</v>
      </c>
      <c r="P842" s="79">
        <v>44986.733634259261</v>
      </c>
      <c r="Q842" s="77" t="s">
        <v>1784</v>
      </c>
      <c r="R842" s="77">
        <v>0</v>
      </c>
      <c r="S842" s="77">
        <v>0</v>
      </c>
      <c r="T842" s="77">
        <v>0</v>
      </c>
      <c r="U842" s="77">
        <v>0</v>
      </c>
      <c r="V842" s="77">
        <v>60</v>
      </c>
      <c r="W842" s="81" t="s">
        <v>3415</v>
      </c>
      <c r="X842" s="77"/>
      <c r="Y842" s="77"/>
      <c r="Z842" s="77"/>
      <c r="AA842" s="77" t="s">
        <v>5051</v>
      </c>
      <c r="AB842" s="77" t="s">
        <v>5794</v>
      </c>
      <c r="AC842" s="81" t="s">
        <v>5805</v>
      </c>
      <c r="AD842" s="77" t="s">
        <v>5850</v>
      </c>
      <c r="AE842" s="83" t="str">
        <f>HYPERLINK("https://twitter.com/elcaph/status/1630985360489545736")</f>
        <v>https://twitter.com/elcaph/status/1630985360489545736</v>
      </c>
      <c r="AF842" s="79">
        <v>44986.733634259261</v>
      </c>
      <c r="AG842" s="85">
        <v>44986</v>
      </c>
      <c r="AH842" s="81" t="s">
        <v>6654</v>
      </c>
      <c r="AI842" s="77" t="b">
        <v>0</v>
      </c>
      <c r="AJ842" s="77"/>
      <c r="AK842" s="77"/>
      <c r="AL842" s="77"/>
      <c r="AM842" s="77"/>
      <c r="AN842" s="77"/>
      <c r="AO842" s="77"/>
      <c r="AP842" s="77"/>
      <c r="AQ842" s="77" t="s">
        <v>8554</v>
      </c>
      <c r="AR842" s="77"/>
      <c r="AS842" s="77"/>
      <c r="AT842" s="77"/>
      <c r="AU842" s="77"/>
      <c r="AV842" s="83" t="str">
        <f>HYPERLINK("https://pbs.twimg.com/media/FqJsh-qagAAA6Zf.jpg")</f>
        <v>https://pbs.twimg.com/media/FqJsh-qagAAA6Zf.jpg</v>
      </c>
      <c r="AW842" s="81" t="s">
        <v>10106</v>
      </c>
      <c r="AX842" s="81" t="s">
        <v>10106</v>
      </c>
      <c r="AY842" s="77"/>
      <c r="AZ842" s="81" t="s">
        <v>11359</v>
      </c>
      <c r="BA842" s="81" t="s">
        <v>11359</v>
      </c>
      <c r="BB842" s="81" t="s">
        <v>11359</v>
      </c>
      <c r="BC842" s="81" t="s">
        <v>10106</v>
      </c>
      <c r="BD842" s="81" t="s">
        <v>11514</v>
      </c>
      <c r="BE842" s="77"/>
      <c r="BF842" s="77"/>
      <c r="BG842" s="77"/>
      <c r="BH842" s="77"/>
      <c r="BI842" s="77"/>
    </row>
    <row r="843" spans="1:61" x14ac:dyDescent="0.25">
      <c r="A843" s="62" t="s">
        <v>439</v>
      </c>
      <c r="B843" s="62" t="s">
        <v>439</v>
      </c>
      <c r="C843" s="63"/>
      <c r="D843" s="64"/>
      <c r="E843" s="65"/>
      <c r="F843" s="66"/>
      <c r="G843" s="63"/>
      <c r="H843" s="67"/>
      <c r="I843" s="68"/>
      <c r="J843" s="68"/>
      <c r="K843" s="32"/>
      <c r="L843" s="75">
        <v>843</v>
      </c>
      <c r="M843" s="75"/>
      <c r="N843" s="70"/>
      <c r="O843" s="77" t="s">
        <v>179</v>
      </c>
      <c r="P843" s="79">
        <v>44956.759027777778</v>
      </c>
      <c r="Q843" s="77" t="s">
        <v>1785</v>
      </c>
      <c r="R843" s="77">
        <v>0</v>
      </c>
      <c r="S843" s="77">
        <v>0</v>
      </c>
      <c r="T843" s="77">
        <v>0</v>
      </c>
      <c r="U843" s="77">
        <v>0</v>
      </c>
      <c r="V843" s="77">
        <v>64</v>
      </c>
      <c r="W843" s="81" t="s">
        <v>3415</v>
      </c>
      <c r="X843" s="77"/>
      <c r="Y843" s="77"/>
      <c r="Z843" s="77"/>
      <c r="AA843" s="77" t="s">
        <v>5052</v>
      </c>
      <c r="AB843" s="77" t="s">
        <v>5794</v>
      </c>
      <c r="AC843" s="81" t="s">
        <v>5805</v>
      </c>
      <c r="AD843" s="77" t="s">
        <v>5850</v>
      </c>
      <c r="AE843" s="83" t="str">
        <f>HYPERLINK("https://twitter.com/elcaph/status/1620122924425547777")</f>
        <v>https://twitter.com/elcaph/status/1620122924425547777</v>
      </c>
      <c r="AF843" s="79">
        <v>44956.759027777778</v>
      </c>
      <c r="AG843" s="85">
        <v>44956</v>
      </c>
      <c r="AH843" s="81" t="s">
        <v>6655</v>
      </c>
      <c r="AI843" s="77" t="b">
        <v>0</v>
      </c>
      <c r="AJ843" s="77"/>
      <c r="AK843" s="77"/>
      <c r="AL843" s="77"/>
      <c r="AM843" s="77"/>
      <c r="AN843" s="77"/>
      <c r="AO843" s="77"/>
      <c r="AP843" s="77"/>
      <c r="AQ843" s="77" t="s">
        <v>8555</v>
      </c>
      <c r="AR843" s="77"/>
      <c r="AS843" s="77"/>
      <c r="AT843" s="77"/>
      <c r="AU843" s="77"/>
      <c r="AV843" s="83" t="str">
        <f>HYPERLINK("https://pbs.twimg.com/media/FnvVNLqaIAA2Lda.jpg")</f>
        <v>https://pbs.twimg.com/media/FnvVNLqaIAA2Lda.jpg</v>
      </c>
      <c r="AW843" s="81" t="s">
        <v>10107</v>
      </c>
      <c r="AX843" s="81" t="s">
        <v>10107</v>
      </c>
      <c r="AY843" s="77"/>
      <c r="AZ843" s="81" t="s">
        <v>11359</v>
      </c>
      <c r="BA843" s="81" t="s">
        <v>11359</v>
      </c>
      <c r="BB843" s="81" t="s">
        <v>11359</v>
      </c>
      <c r="BC843" s="81" t="s">
        <v>10107</v>
      </c>
      <c r="BD843" s="81" t="s">
        <v>11514</v>
      </c>
      <c r="BE843" s="77"/>
      <c r="BF843" s="77"/>
      <c r="BG843" s="77"/>
      <c r="BH843" s="77"/>
      <c r="BI843" s="77"/>
    </row>
    <row r="844" spans="1:61" x14ac:dyDescent="0.25">
      <c r="A844" s="62" t="s">
        <v>439</v>
      </c>
      <c r="B844" s="62" t="s">
        <v>439</v>
      </c>
      <c r="C844" s="63"/>
      <c r="D844" s="64"/>
      <c r="E844" s="65"/>
      <c r="F844" s="66"/>
      <c r="G844" s="63"/>
      <c r="H844" s="67"/>
      <c r="I844" s="68"/>
      <c r="J844" s="68"/>
      <c r="K844" s="32"/>
      <c r="L844" s="75">
        <v>844</v>
      </c>
      <c r="M844" s="75"/>
      <c r="N844" s="70"/>
      <c r="O844" s="77" t="s">
        <v>179</v>
      </c>
      <c r="P844" s="79">
        <v>44952.972777777781</v>
      </c>
      <c r="Q844" s="77" t="s">
        <v>1786</v>
      </c>
      <c r="R844" s="77">
        <v>0</v>
      </c>
      <c r="S844" s="77">
        <v>0</v>
      </c>
      <c r="T844" s="77">
        <v>0</v>
      </c>
      <c r="U844" s="77">
        <v>0</v>
      </c>
      <c r="V844" s="77">
        <v>47</v>
      </c>
      <c r="W844" s="81" t="s">
        <v>3415</v>
      </c>
      <c r="X844" s="77"/>
      <c r="Y844" s="77"/>
      <c r="Z844" s="77"/>
      <c r="AA844" s="77" t="s">
        <v>5053</v>
      </c>
      <c r="AB844" s="77" t="s">
        <v>5794</v>
      </c>
      <c r="AC844" s="81" t="s">
        <v>5805</v>
      </c>
      <c r="AD844" s="77" t="s">
        <v>5850</v>
      </c>
      <c r="AE844" s="83" t="str">
        <f>HYPERLINK("https://twitter.com/elcaph/status/1618750833809846273")</f>
        <v>https://twitter.com/elcaph/status/1618750833809846273</v>
      </c>
      <c r="AF844" s="79">
        <v>44952.972777777781</v>
      </c>
      <c r="AG844" s="85">
        <v>44952</v>
      </c>
      <c r="AH844" s="81" t="s">
        <v>6656</v>
      </c>
      <c r="AI844" s="77" t="b">
        <v>0</v>
      </c>
      <c r="AJ844" s="77"/>
      <c r="AK844" s="77"/>
      <c r="AL844" s="77"/>
      <c r="AM844" s="77"/>
      <c r="AN844" s="77"/>
      <c r="AO844" s="77"/>
      <c r="AP844" s="77"/>
      <c r="AQ844" s="77" t="s">
        <v>8556</v>
      </c>
      <c r="AR844" s="77"/>
      <c r="AS844" s="77"/>
      <c r="AT844" s="77"/>
      <c r="AU844" s="77"/>
      <c r="AV844" s="83" t="str">
        <f>HYPERLINK("https://pbs.twimg.com/media/Fnb1OnFaMAM8nlQ.jpg")</f>
        <v>https://pbs.twimg.com/media/Fnb1OnFaMAM8nlQ.jpg</v>
      </c>
      <c r="AW844" s="81" t="s">
        <v>10108</v>
      </c>
      <c r="AX844" s="81" t="s">
        <v>10108</v>
      </c>
      <c r="AY844" s="77"/>
      <c r="AZ844" s="81" t="s">
        <v>11359</v>
      </c>
      <c r="BA844" s="81" t="s">
        <v>11359</v>
      </c>
      <c r="BB844" s="81" t="s">
        <v>11359</v>
      </c>
      <c r="BC844" s="81" t="s">
        <v>10108</v>
      </c>
      <c r="BD844" s="81" t="s">
        <v>11514</v>
      </c>
      <c r="BE844" s="77"/>
      <c r="BF844" s="77"/>
      <c r="BG844" s="77"/>
      <c r="BH844" s="77"/>
      <c r="BI844" s="77"/>
    </row>
    <row r="845" spans="1:61" x14ac:dyDescent="0.25">
      <c r="A845" s="62" t="s">
        <v>439</v>
      </c>
      <c r="B845" s="62" t="s">
        <v>439</v>
      </c>
      <c r="C845" s="63"/>
      <c r="D845" s="64"/>
      <c r="E845" s="65"/>
      <c r="F845" s="66"/>
      <c r="G845" s="63"/>
      <c r="H845" s="67"/>
      <c r="I845" s="68"/>
      <c r="J845" s="68"/>
      <c r="K845" s="32"/>
      <c r="L845" s="75">
        <v>845</v>
      </c>
      <c r="M845" s="75"/>
      <c r="N845" s="70"/>
      <c r="O845" s="77" t="s">
        <v>179</v>
      </c>
      <c r="P845" s="79">
        <v>44951.734363425923</v>
      </c>
      <c r="Q845" s="77" t="s">
        <v>1787</v>
      </c>
      <c r="R845" s="77">
        <v>0</v>
      </c>
      <c r="S845" s="77">
        <v>0</v>
      </c>
      <c r="T845" s="77">
        <v>0</v>
      </c>
      <c r="U845" s="77">
        <v>0</v>
      </c>
      <c r="V845" s="77">
        <v>36</v>
      </c>
      <c r="W845" s="81" t="s">
        <v>3415</v>
      </c>
      <c r="X845" s="77"/>
      <c r="Y845" s="77"/>
      <c r="Z845" s="77"/>
      <c r="AA845" s="77" t="s">
        <v>5054</v>
      </c>
      <c r="AB845" s="77" t="s">
        <v>5794</v>
      </c>
      <c r="AC845" s="81" t="s">
        <v>5805</v>
      </c>
      <c r="AD845" s="77" t="s">
        <v>5850</v>
      </c>
      <c r="AE845" s="83" t="str">
        <f>HYPERLINK("https://twitter.com/elcaph/status/1618302048445009920")</f>
        <v>https://twitter.com/elcaph/status/1618302048445009920</v>
      </c>
      <c r="AF845" s="79">
        <v>44951.734363425923</v>
      </c>
      <c r="AG845" s="85">
        <v>44951</v>
      </c>
      <c r="AH845" s="81" t="s">
        <v>6657</v>
      </c>
      <c r="AI845" s="77" t="b">
        <v>0</v>
      </c>
      <c r="AJ845" s="77"/>
      <c r="AK845" s="77"/>
      <c r="AL845" s="77"/>
      <c r="AM845" s="77"/>
      <c r="AN845" s="77"/>
      <c r="AO845" s="77"/>
      <c r="AP845" s="77"/>
      <c r="AQ845" s="77" t="s">
        <v>8557</v>
      </c>
      <c r="AR845" s="77"/>
      <c r="AS845" s="77"/>
      <c r="AT845" s="77"/>
      <c r="AU845" s="77"/>
      <c r="AV845" s="83" t="str">
        <f>HYPERLINK("https://pbs.twimg.com/media/FnVdIPlagAA-vLl.jpg")</f>
        <v>https://pbs.twimg.com/media/FnVdIPlagAA-vLl.jpg</v>
      </c>
      <c r="AW845" s="81" t="s">
        <v>10109</v>
      </c>
      <c r="AX845" s="81" t="s">
        <v>10109</v>
      </c>
      <c r="AY845" s="77"/>
      <c r="AZ845" s="81" t="s">
        <v>11359</v>
      </c>
      <c r="BA845" s="81" t="s">
        <v>11359</v>
      </c>
      <c r="BB845" s="81" t="s">
        <v>11359</v>
      </c>
      <c r="BC845" s="81" t="s">
        <v>10109</v>
      </c>
      <c r="BD845" s="81" t="s">
        <v>11514</v>
      </c>
      <c r="BE845" s="77"/>
      <c r="BF845" s="77"/>
      <c r="BG845" s="77"/>
      <c r="BH845" s="77"/>
      <c r="BI845" s="77"/>
    </row>
    <row r="846" spans="1:61" x14ac:dyDescent="0.25">
      <c r="A846" s="62" t="s">
        <v>439</v>
      </c>
      <c r="B846" s="62" t="s">
        <v>439</v>
      </c>
      <c r="C846" s="63"/>
      <c r="D846" s="64"/>
      <c r="E846" s="65"/>
      <c r="F846" s="66"/>
      <c r="G846" s="63"/>
      <c r="H846" s="67"/>
      <c r="I846" s="68"/>
      <c r="J846" s="68"/>
      <c r="K846" s="32"/>
      <c r="L846" s="75">
        <v>846</v>
      </c>
      <c r="M846" s="75"/>
      <c r="N846" s="70"/>
      <c r="O846" s="77" t="s">
        <v>179</v>
      </c>
      <c r="P846" s="79">
        <v>44950.925520833334</v>
      </c>
      <c r="Q846" s="77" t="s">
        <v>1788</v>
      </c>
      <c r="R846" s="77">
        <v>0</v>
      </c>
      <c r="S846" s="77">
        <v>0</v>
      </c>
      <c r="T846" s="77">
        <v>0</v>
      </c>
      <c r="U846" s="77">
        <v>0</v>
      </c>
      <c r="V846" s="77">
        <v>40</v>
      </c>
      <c r="W846" s="81" t="s">
        <v>3415</v>
      </c>
      <c r="X846" s="77"/>
      <c r="Y846" s="77"/>
      <c r="Z846" s="77"/>
      <c r="AA846" s="77" t="s">
        <v>5055</v>
      </c>
      <c r="AB846" s="77" t="s">
        <v>5794</v>
      </c>
      <c r="AC846" s="81" t="s">
        <v>5805</v>
      </c>
      <c r="AD846" s="77" t="s">
        <v>5850</v>
      </c>
      <c r="AE846" s="83" t="str">
        <f>HYPERLINK("https://twitter.com/elcaph/status/1618008932840275972")</f>
        <v>https://twitter.com/elcaph/status/1618008932840275972</v>
      </c>
      <c r="AF846" s="79">
        <v>44950.925520833334</v>
      </c>
      <c r="AG846" s="85">
        <v>44950</v>
      </c>
      <c r="AH846" s="81" t="s">
        <v>6658</v>
      </c>
      <c r="AI846" s="77" t="b">
        <v>0</v>
      </c>
      <c r="AJ846" s="77"/>
      <c r="AK846" s="77"/>
      <c r="AL846" s="77"/>
      <c r="AM846" s="77"/>
      <c r="AN846" s="77"/>
      <c r="AO846" s="77"/>
      <c r="AP846" s="77"/>
      <c r="AQ846" s="77" t="s">
        <v>8558</v>
      </c>
      <c r="AR846" s="77"/>
      <c r="AS846" s="77"/>
      <c r="AT846" s="77"/>
      <c r="AU846" s="77"/>
      <c r="AV846" s="83" t="str">
        <f>HYPERLINK("https://pbs.twimg.com/media/FnRSh9RagBMjTXU.jpg")</f>
        <v>https://pbs.twimg.com/media/FnRSh9RagBMjTXU.jpg</v>
      </c>
      <c r="AW846" s="81" t="s">
        <v>10110</v>
      </c>
      <c r="AX846" s="81" t="s">
        <v>10110</v>
      </c>
      <c r="AY846" s="77"/>
      <c r="AZ846" s="81" t="s">
        <v>11359</v>
      </c>
      <c r="BA846" s="81" t="s">
        <v>11359</v>
      </c>
      <c r="BB846" s="81" t="s">
        <v>11359</v>
      </c>
      <c r="BC846" s="81" t="s">
        <v>10110</v>
      </c>
      <c r="BD846" s="81" t="s">
        <v>11514</v>
      </c>
      <c r="BE846" s="77"/>
      <c r="BF846" s="77"/>
      <c r="BG846" s="77"/>
      <c r="BH846" s="77"/>
      <c r="BI846" s="77"/>
    </row>
    <row r="847" spans="1:61" x14ac:dyDescent="0.25">
      <c r="A847" s="62" t="s">
        <v>439</v>
      </c>
      <c r="B847" s="62" t="s">
        <v>439</v>
      </c>
      <c r="C847" s="63"/>
      <c r="D847" s="64"/>
      <c r="E847" s="65"/>
      <c r="F847" s="66"/>
      <c r="G847" s="63"/>
      <c r="H847" s="67"/>
      <c r="I847" s="68"/>
      <c r="J847" s="68"/>
      <c r="K847" s="32"/>
      <c r="L847" s="75">
        <v>847</v>
      </c>
      <c r="M847" s="75"/>
      <c r="N847" s="70"/>
      <c r="O847" s="77" t="s">
        <v>179</v>
      </c>
      <c r="P847" s="79">
        <v>44972.894050925926</v>
      </c>
      <c r="Q847" s="77" t="s">
        <v>1789</v>
      </c>
      <c r="R847" s="77">
        <v>0</v>
      </c>
      <c r="S847" s="77">
        <v>0</v>
      </c>
      <c r="T847" s="77">
        <v>0</v>
      </c>
      <c r="U847" s="77">
        <v>0</v>
      </c>
      <c r="V847" s="77">
        <v>50</v>
      </c>
      <c r="W847" s="81" t="s">
        <v>3415</v>
      </c>
      <c r="X847" s="77"/>
      <c r="Y847" s="77"/>
      <c r="Z847" s="77"/>
      <c r="AA847" s="77" t="s">
        <v>5056</v>
      </c>
      <c r="AB847" s="77" t="s">
        <v>5794</v>
      </c>
      <c r="AC847" s="81" t="s">
        <v>5805</v>
      </c>
      <c r="AD847" s="77" t="s">
        <v>5850</v>
      </c>
      <c r="AE847" s="83" t="str">
        <f>HYPERLINK("https://twitter.com/elcaph/status/1625970062904393728")</f>
        <v>https://twitter.com/elcaph/status/1625970062904393728</v>
      </c>
      <c r="AF847" s="79">
        <v>44972.894050925926</v>
      </c>
      <c r="AG847" s="85">
        <v>44972</v>
      </c>
      <c r="AH847" s="81" t="s">
        <v>6659</v>
      </c>
      <c r="AI847" s="77" t="b">
        <v>0</v>
      </c>
      <c r="AJ847" s="77"/>
      <c r="AK847" s="77"/>
      <c r="AL847" s="77"/>
      <c r="AM847" s="77"/>
      <c r="AN847" s="77"/>
      <c r="AO847" s="77"/>
      <c r="AP847" s="77"/>
      <c r="AQ847" s="77" t="s">
        <v>8559</v>
      </c>
      <c r="AR847" s="77"/>
      <c r="AS847" s="77"/>
      <c r="AT847" s="77"/>
      <c r="AU847" s="77"/>
      <c r="AV847" s="83" t="str">
        <f>HYPERLINK("https://pbs.twimg.com/media/FpCbI9KaUAA_SA2.jpg")</f>
        <v>https://pbs.twimg.com/media/FpCbI9KaUAA_SA2.jpg</v>
      </c>
      <c r="AW847" s="81" t="s">
        <v>10111</v>
      </c>
      <c r="AX847" s="81" t="s">
        <v>10111</v>
      </c>
      <c r="AY847" s="77"/>
      <c r="AZ847" s="81" t="s">
        <v>11359</v>
      </c>
      <c r="BA847" s="81" t="s">
        <v>11359</v>
      </c>
      <c r="BB847" s="81" t="s">
        <v>11359</v>
      </c>
      <c r="BC847" s="81" t="s">
        <v>10111</v>
      </c>
      <c r="BD847" s="81" t="s">
        <v>11514</v>
      </c>
      <c r="BE847" s="77"/>
      <c r="BF847" s="77"/>
      <c r="BG847" s="77"/>
      <c r="BH847" s="77"/>
      <c r="BI847" s="77"/>
    </row>
    <row r="848" spans="1:61" x14ac:dyDescent="0.25">
      <c r="A848" s="62" t="s">
        <v>439</v>
      </c>
      <c r="B848" s="62" t="s">
        <v>439</v>
      </c>
      <c r="C848" s="63"/>
      <c r="D848" s="64"/>
      <c r="E848" s="65"/>
      <c r="F848" s="66"/>
      <c r="G848" s="63"/>
      <c r="H848" s="67"/>
      <c r="I848" s="68"/>
      <c r="J848" s="68"/>
      <c r="K848" s="32"/>
      <c r="L848" s="75">
        <v>848</v>
      </c>
      <c r="M848" s="75"/>
      <c r="N848" s="70"/>
      <c r="O848" s="77" t="s">
        <v>179</v>
      </c>
      <c r="P848" s="79">
        <v>44942.918425925927</v>
      </c>
      <c r="Q848" s="77" t="s">
        <v>1790</v>
      </c>
      <c r="R848" s="77">
        <v>0</v>
      </c>
      <c r="S848" s="77">
        <v>0</v>
      </c>
      <c r="T848" s="77">
        <v>0</v>
      </c>
      <c r="U848" s="77">
        <v>0</v>
      </c>
      <c r="V848" s="77">
        <v>61</v>
      </c>
      <c r="W848" s="81" t="s">
        <v>3415</v>
      </c>
      <c r="X848" s="77"/>
      <c r="Y848" s="77"/>
      <c r="Z848" s="77"/>
      <c r="AA848" s="77" t="s">
        <v>5057</v>
      </c>
      <c r="AB848" s="77" t="s">
        <v>5794</v>
      </c>
      <c r="AC848" s="81" t="s">
        <v>5805</v>
      </c>
      <c r="AD848" s="77" t="s">
        <v>5850</v>
      </c>
      <c r="AE848" s="83" t="str">
        <f>HYPERLINK("https://twitter.com/elcaph/status/1615107258521903105")</f>
        <v>https://twitter.com/elcaph/status/1615107258521903105</v>
      </c>
      <c r="AF848" s="79">
        <v>44942.918425925927</v>
      </c>
      <c r="AG848" s="85">
        <v>44942</v>
      </c>
      <c r="AH848" s="81" t="s">
        <v>6660</v>
      </c>
      <c r="AI848" s="77" t="b">
        <v>0</v>
      </c>
      <c r="AJ848" s="77"/>
      <c r="AK848" s="77"/>
      <c r="AL848" s="77"/>
      <c r="AM848" s="77"/>
      <c r="AN848" s="77"/>
      <c r="AO848" s="77"/>
      <c r="AP848" s="77"/>
      <c r="AQ848" s="77" t="s">
        <v>8560</v>
      </c>
      <c r="AR848" s="77"/>
      <c r="AS848" s="77"/>
      <c r="AT848" s="77"/>
      <c r="AU848" s="77"/>
      <c r="AV848" s="83" t="str">
        <f>HYPERLINK("https://pbs.twimg.com/media/FmoDe7daEAApOcj.jpg")</f>
        <v>https://pbs.twimg.com/media/FmoDe7daEAApOcj.jpg</v>
      </c>
      <c r="AW848" s="81" t="s">
        <v>10112</v>
      </c>
      <c r="AX848" s="81" t="s">
        <v>10112</v>
      </c>
      <c r="AY848" s="77"/>
      <c r="AZ848" s="81" t="s">
        <v>11359</v>
      </c>
      <c r="BA848" s="81" t="s">
        <v>11359</v>
      </c>
      <c r="BB848" s="81" t="s">
        <v>11359</v>
      </c>
      <c r="BC848" s="81" t="s">
        <v>10112</v>
      </c>
      <c r="BD848" s="81" t="s">
        <v>11514</v>
      </c>
      <c r="BE848" s="77"/>
      <c r="BF848" s="77"/>
      <c r="BG848" s="77"/>
      <c r="BH848" s="77"/>
      <c r="BI848" s="77"/>
    </row>
    <row r="849" spans="1:61" x14ac:dyDescent="0.25">
      <c r="A849" s="62" t="s">
        <v>439</v>
      </c>
      <c r="B849" s="62" t="s">
        <v>439</v>
      </c>
      <c r="C849" s="63"/>
      <c r="D849" s="64"/>
      <c r="E849" s="65"/>
      <c r="F849" s="66"/>
      <c r="G849" s="63"/>
      <c r="H849" s="67"/>
      <c r="I849" s="68"/>
      <c r="J849" s="68"/>
      <c r="K849" s="32"/>
      <c r="L849" s="75">
        <v>849</v>
      </c>
      <c r="M849" s="75"/>
      <c r="N849" s="70"/>
      <c r="O849" s="77" t="s">
        <v>179</v>
      </c>
      <c r="P849" s="79">
        <v>44970.846388888887</v>
      </c>
      <c r="Q849" s="77" t="s">
        <v>1791</v>
      </c>
      <c r="R849" s="77">
        <v>0</v>
      </c>
      <c r="S849" s="77">
        <v>0</v>
      </c>
      <c r="T849" s="77">
        <v>0</v>
      </c>
      <c r="U849" s="77">
        <v>0</v>
      </c>
      <c r="V849" s="77">
        <v>66</v>
      </c>
      <c r="W849" s="81" t="s">
        <v>3415</v>
      </c>
      <c r="X849" s="77"/>
      <c r="Y849" s="77"/>
      <c r="Z849" s="77"/>
      <c r="AA849" s="77" t="s">
        <v>5058</v>
      </c>
      <c r="AB849" s="77" t="s">
        <v>5794</v>
      </c>
      <c r="AC849" s="81" t="s">
        <v>5805</v>
      </c>
      <c r="AD849" s="77" t="s">
        <v>5850</v>
      </c>
      <c r="AE849" s="83" t="str">
        <f>HYPERLINK("https://twitter.com/elcaph/status/1625228016082378752")</f>
        <v>https://twitter.com/elcaph/status/1625228016082378752</v>
      </c>
      <c r="AF849" s="79">
        <v>44970.846388888887</v>
      </c>
      <c r="AG849" s="85">
        <v>44970</v>
      </c>
      <c r="AH849" s="81" t="s">
        <v>6661</v>
      </c>
      <c r="AI849" s="77" t="b">
        <v>0</v>
      </c>
      <c r="AJ849" s="77"/>
      <c r="AK849" s="77"/>
      <c r="AL849" s="77"/>
      <c r="AM849" s="77"/>
      <c r="AN849" s="77"/>
      <c r="AO849" s="77"/>
      <c r="AP849" s="77"/>
      <c r="AQ849" s="77" t="s">
        <v>8561</v>
      </c>
      <c r="AR849" s="77"/>
      <c r="AS849" s="77"/>
      <c r="AT849" s="77"/>
      <c r="AU849" s="77"/>
      <c r="AV849" s="83" t="str">
        <f>HYPERLINK("https://pbs.twimg.com/media/Fo34QsKagAEqlSn.jpg")</f>
        <v>https://pbs.twimg.com/media/Fo34QsKagAEqlSn.jpg</v>
      </c>
      <c r="AW849" s="81" t="s">
        <v>10113</v>
      </c>
      <c r="AX849" s="81" t="s">
        <v>10113</v>
      </c>
      <c r="AY849" s="77"/>
      <c r="AZ849" s="81" t="s">
        <v>11359</v>
      </c>
      <c r="BA849" s="81" t="s">
        <v>11359</v>
      </c>
      <c r="BB849" s="81" t="s">
        <v>11359</v>
      </c>
      <c r="BC849" s="81" t="s">
        <v>10113</v>
      </c>
      <c r="BD849" s="81" t="s">
        <v>11514</v>
      </c>
      <c r="BE849" s="77"/>
      <c r="BF849" s="77"/>
      <c r="BG849" s="77"/>
      <c r="BH849" s="77"/>
      <c r="BI849" s="77"/>
    </row>
    <row r="850" spans="1:61" x14ac:dyDescent="0.25">
      <c r="A850" s="62" t="s">
        <v>439</v>
      </c>
      <c r="B850" s="62" t="s">
        <v>439</v>
      </c>
      <c r="C850" s="63"/>
      <c r="D850" s="64"/>
      <c r="E850" s="65"/>
      <c r="F850" s="66"/>
      <c r="G850" s="63"/>
      <c r="H850" s="67"/>
      <c r="I850" s="68"/>
      <c r="J850" s="68"/>
      <c r="K850" s="32"/>
      <c r="L850" s="75">
        <v>850</v>
      </c>
      <c r="M850" s="75"/>
      <c r="N850" s="70"/>
      <c r="O850" s="77" t="s">
        <v>179</v>
      </c>
      <c r="P850" s="79">
        <v>44967.866932870369</v>
      </c>
      <c r="Q850" s="77" t="s">
        <v>1792</v>
      </c>
      <c r="R850" s="77">
        <v>0</v>
      </c>
      <c r="S850" s="77">
        <v>0</v>
      </c>
      <c r="T850" s="77">
        <v>0</v>
      </c>
      <c r="U850" s="77">
        <v>0</v>
      </c>
      <c r="V850" s="77">
        <v>72</v>
      </c>
      <c r="W850" s="81" t="s">
        <v>3415</v>
      </c>
      <c r="X850" s="77"/>
      <c r="Y850" s="77"/>
      <c r="Z850" s="77"/>
      <c r="AA850" s="77" t="s">
        <v>5059</v>
      </c>
      <c r="AB850" s="77" t="s">
        <v>5794</v>
      </c>
      <c r="AC850" s="81" t="s">
        <v>5805</v>
      </c>
      <c r="AD850" s="77" t="s">
        <v>5850</v>
      </c>
      <c r="AE850" s="83" t="str">
        <f>HYPERLINK("https://twitter.com/elcaph/status/1624148293499461632")</f>
        <v>https://twitter.com/elcaph/status/1624148293499461632</v>
      </c>
      <c r="AF850" s="79">
        <v>44967.866932870369</v>
      </c>
      <c r="AG850" s="85">
        <v>44967</v>
      </c>
      <c r="AH850" s="81" t="s">
        <v>6662</v>
      </c>
      <c r="AI850" s="77" t="b">
        <v>0</v>
      </c>
      <c r="AJ850" s="77"/>
      <c r="AK850" s="77"/>
      <c r="AL850" s="77"/>
      <c r="AM850" s="77"/>
      <c r="AN850" s="77"/>
      <c r="AO850" s="77"/>
      <c r="AP850" s="77"/>
      <c r="AQ850" s="77" t="s">
        <v>8562</v>
      </c>
      <c r="AR850" s="77"/>
      <c r="AS850" s="77"/>
      <c r="AT850" s="77"/>
      <c r="AU850" s="77"/>
      <c r="AV850" s="83" t="str">
        <f>HYPERLINK("https://pbs.twimg.com/media/FooiQVnakAA1-8r.jpg")</f>
        <v>https://pbs.twimg.com/media/FooiQVnakAA1-8r.jpg</v>
      </c>
      <c r="AW850" s="81" t="s">
        <v>10114</v>
      </c>
      <c r="AX850" s="81" t="s">
        <v>10114</v>
      </c>
      <c r="AY850" s="77"/>
      <c r="AZ850" s="81" t="s">
        <v>11359</v>
      </c>
      <c r="BA850" s="81" t="s">
        <v>11359</v>
      </c>
      <c r="BB850" s="81" t="s">
        <v>11359</v>
      </c>
      <c r="BC850" s="81" t="s">
        <v>10114</v>
      </c>
      <c r="BD850" s="81" t="s">
        <v>11514</v>
      </c>
      <c r="BE850" s="77"/>
      <c r="BF850" s="77"/>
      <c r="BG850" s="77"/>
      <c r="BH850" s="77"/>
      <c r="BI850" s="77"/>
    </row>
    <row r="851" spans="1:61" x14ac:dyDescent="0.25">
      <c r="A851" s="62" t="s">
        <v>439</v>
      </c>
      <c r="B851" s="62" t="s">
        <v>439</v>
      </c>
      <c r="C851" s="63"/>
      <c r="D851" s="64"/>
      <c r="E851" s="65"/>
      <c r="F851" s="66"/>
      <c r="G851" s="63"/>
      <c r="H851" s="67"/>
      <c r="I851" s="68"/>
      <c r="J851" s="68"/>
      <c r="K851" s="32"/>
      <c r="L851" s="75">
        <v>851</v>
      </c>
      <c r="M851" s="75"/>
      <c r="N851" s="70"/>
      <c r="O851" s="77" t="s">
        <v>179</v>
      </c>
      <c r="P851" s="79">
        <v>44928.727407407408</v>
      </c>
      <c r="Q851" s="77" t="s">
        <v>1793</v>
      </c>
      <c r="R851" s="77">
        <v>0</v>
      </c>
      <c r="S851" s="77">
        <v>0</v>
      </c>
      <c r="T851" s="77">
        <v>0</v>
      </c>
      <c r="U851" s="77">
        <v>0</v>
      </c>
      <c r="V851" s="77">
        <v>31</v>
      </c>
      <c r="W851" s="81" t="s">
        <v>3416</v>
      </c>
      <c r="X851" s="77"/>
      <c r="Y851" s="77"/>
      <c r="Z851" s="77"/>
      <c r="AA851" s="77" t="s">
        <v>5060</v>
      </c>
      <c r="AB851" s="77" t="s">
        <v>5794</v>
      </c>
      <c r="AC851" s="81" t="s">
        <v>5805</v>
      </c>
      <c r="AD851" s="77" t="s">
        <v>5850</v>
      </c>
      <c r="AE851" s="83" t="str">
        <f>HYPERLINK("https://twitter.com/elcaph/status/1609964606880882694")</f>
        <v>https://twitter.com/elcaph/status/1609964606880882694</v>
      </c>
      <c r="AF851" s="79">
        <v>44928.727407407408</v>
      </c>
      <c r="AG851" s="85">
        <v>44928</v>
      </c>
      <c r="AH851" s="81" t="s">
        <v>6663</v>
      </c>
      <c r="AI851" s="77" t="b">
        <v>0</v>
      </c>
      <c r="AJ851" s="77"/>
      <c r="AK851" s="77"/>
      <c r="AL851" s="77"/>
      <c r="AM851" s="77"/>
      <c r="AN851" s="77"/>
      <c r="AO851" s="77"/>
      <c r="AP851" s="77"/>
      <c r="AQ851" s="77" t="s">
        <v>8563</v>
      </c>
      <c r="AR851" s="77"/>
      <c r="AS851" s="77"/>
      <c r="AT851" s="77"/>
      <c r="AU851" s="77"/>
      <c r="AV851" s="83" t="str">
        <f>HYPERLINK("https://pbs.twimg.com/media/Fle-LQoaEAA0LBm.jpg")</f>
        <v>https://pbs.twimg.com/media/Fle-LQoaEAA0LBm.jpg</v>
      </c>
      <c r="AW851" s="81" t="s">
        <v>10115</v>
      </c>
      <c r="AX851" s="81" t="s">
        <v>10115</v>
      </c>
      <c r="AY851" s="77"/>
      <c r="AZ851" s="81" t="s">
        <v>11359</v>
      </c>
      <c r="BA851" s="81" t="s">
        <v>11359</v>
      </c>
      <c r="BB851" s="81" t="s">
        <v>11359</v>
      </c>
      <c r="BC851" s="81" t="s">
        <v>10115</v>
      </c>
      <c r="BD851" s="81" t="s">
        <v>11514</v>
      </c>
      <c r="BE851" s="77"/>
      <c r="BF851" s="77"/>
      <c r="BG851" s="77"/>
      <c r="BH851" s="77"/>
      <c r="BI851" s="77"/>
    </row>
    <row r="852" spans="1:61" x14ac:dyDescent="0.25">
      <c r="A852" s="62" t="s">
        <v>439</v>
      </c>
      <c r="B852" s="62" t="s">
        <v>439</v>
      </c>
      <c r="C852" s="63"/>
      <c r="D852" s="64"/>
      <c r="E852" s="65"/>
      <c r="F852" s="66"/>
      <c r="G852" s="63"/>
      <c r="H852" s="67"/>
      <c r="I852" s="68"/>
      <c r="J852" s="68"/>
      <c r="K852" s="32"/>
      <c r="L852" s="75">
        <v>852</v>
      </c>
      <c r="M852" s="75"/>
      <c r="N852" s="70"/>
      <c r="O852" s="77" t="s">
        <v>179</v>
      </c>
      <c r="P852" s="79">
        <v>44966.970393518517</v>
      </c>
      <c r="Q852" s="77" t="s">
        <v>1794</v>
      </c>
      <c r="R852" s="77">
        <v>0</v>
      </c>
      <c r="S852" s="77">
        <v>0</v>
      </c>
      <c r="T852" s="77">
        <v>0</v>
      </c>
      <c r="U852" s="77">
        <v>0</v>
      </c>
      <c r="V852" s="77">
        <v>49</v>
      </c>
      <c r="W852" s="81" t="s">
        <v>3415</v>
      </c>
      <c r="X852" s="77"/>
      <c r="Y852" s="77"/>
      <c r="Z852" s="77"/>
      <c r="AA852" s="77" t="s">
        <v>5061</v>
      </c>
      <c r="AB852" s="77" t="s">
        <v>5794</v>
      </c>
      <c r="AC852" s="81" t="s">
        <v>5805</v>
      </c>
      <c r="AD852" s="77" t="s">
        <v>5850</v>
      </c>
      <c r="AE852" s="83" t="str">
        <f>HYPERLINK("https://twitter.com/elcaph/status/1623823400899584000")</f>
        <v>https://twitter.com/elcaph/status/1623823400899584000</v>
      </c>
      <c r="AF852" s="79">
        <v>44966.970393518517</v>
      </c>
      <c r="AG852" s="85">
        <v>44966</v>
      </c>
      <c r="AH852" s="81" t="s">
        <v>6664</v>
      </c>
      <c r="AI852" s="77" t="b">
        <v>0</v>
      </c>
      <c r="AJ852" s="77"/>
      <c r="AK852" s="77"/>
      <c r="AL852" s="77"/>
      <c r="AM852" s="77"/>
      <c r="AN852" s="77"/>
      <c r="AO852" s="77"/>
      <c r="AP852" s="77"/>
      <c r="AQ852" s="77" t="s">
        <v>8564</v>
      </c>
      <c r="AR852" s="77"/>
      <c r="AS852" s="77"/>
      <c r="AT852" s="77"/>
      <c r="AU852" s="77"/>
      <c r="AV852" s="83" t="str">
        <f>HYPERLINK("https://pbs.twimg.com/media/Foj5MXqaMAAcsQ1.jpg")</f>
        <v>https://pbs.twimg.com/media/Foj5MXqaMAAcsQ1.jpg</v>
      </c>
      <c r="AW852" s="81" t="s">
        <v>10116</v>
      </c>
      <c r="AX852" s="81" t="s">
        <v>10116</v>
      </c>
      <c r="AY852" s="77"/>
      <c r="AZ852" s="81" t="s">
        <v>11359</v>
      </c>
      <c r="BA852" s="81" t="s">
        <v>11359</v>
      </c>
      <c r="BB852" s="81" t="s">
        <v>11359</v>
      </c>
      <c r="BC852" s="81" t="s">
        <v>10116</v>
      </c>
      <c r="BD852" s="81" t="s">
        <v>11514</v>
      </c>
      <c r="BE852" s="77"/>
      <c r="BF852" s="77"/>
      <c r="BG852" s="77"/>
      <c r="BH852" s="77"/>
      <c r="BI852" s="77"/>
    </row>
    <row r="853" spans="1:61" x14ac:dyDescent="0.25">
      <c r="A853" s="62" t="s">
        <v>439</v>
      </c>
      <c r="B853" s="62" t="s">
        <v>439</v>
      </c>
      <c r="C853" s="63"/>
      <c r="D853" s="64"/>
      <c r="E853" s="65"/>
      <c r="F853" s="66"/>
      <c r="G853" s="63"/>
      <c r="H853" s="67"/>
      <c r="I853" s="68"/>
      <c r="J853" s="68"/>
      <c r="K853" s="32"/>
      <c r="L853" s="75">
        <v>853</v>
      </c>
      <c r="M853" s="75"/>
      <c r="N853" s="70"/>
      <c r="O853" s="77" t="s">
        <v>179</v>
      </c>
      <c r="P853" s="79">
        <v>44965.760787037034</v>
      </c>
      <c r="Q853" s="77" t="s">
        <v>1795</v>
      </c>
      <c r="R853" s="77">
        <v>0</v>
      </c>
      <c r="S853" s="77">
        <v>0</v>
      </c>
      <c r="T853" s="77">
        <v>0</v>
      </c>
      <c r="U853" s="77">
        <v>0</v>
      </c>
      <c r="V853" s="77">
        <v>68</v>
      </c>
      <c r="W853" s="81" t="s">
        <v>3415</v>
      </c>
      <c r="X853" s="77"/>
      <c r="Y853" s="77"/>
      <c r="Z853" s="77"/>
      <c r="AA853" s="77" t="s">
        <v>5062</v>
      </c>
      <c r="AB853" s="77" t="s">
        <v>5794</v>
      </c>
      <c r="AC853" s="81" t="s">
        <v>5805</v>
      </c>
      <c r="AD853" s="77" t="s">
        <v>5850</v>
      </c>
      <c r="AE853" s="83" t="str">
        <f>HYPERLINK("https://twitter.com/elcaph/status/1623385055585247248")</f>
        <v>https://twitter.com/elcaph/status/1623385055585247248</v>
      </c>
      <c r="AF853" s="79">
        <v>44965.760787037034</v>
      </c>
      <c r="AG853" s="85">
        <v>44965</v>
      </c>
      <c r="AH853" s="81" t="s">
        <v>6665</v>
      </c>
      <c r="AI853" s="77" t="b">
        <v>0</v>
      </c>
      <c r="AJ853" s="77"/>
      <c r="AK853" s="77"/>
      <c r="AL853" s="77"/>
      <c r="AM853" s="77"/>
      <c r="AN853" s="77"/>
      <c r="AO853" s="77"/>
      <c r="AP853" s="77"/>
      <c r="AQ853" s="77" t="s">
        <v>8565</v>
      </c>
      <c r="AR853" s="77"/>
      <c r="AS853" s="77"/>
      <c r="AT853" s="77"/>
      <c r="AU853" s="77"/>
      <c r="AV853" s="83" t="str">
        <f>HYPERLINK("https://pbs.twimg.com/media/Fodqp4kacAAmude.jpg")</f>
        <v>https://pbs.twimg.com/media/Fodqp4kacAAmude.jpg</v>
      </c>
      <c r="AW853" s="81" t="s">
        <v>10117</v>
      </c>
      <c r="AX853" s="81" t="s">
        <v>10117</v>
      </c>
      <c r="AY853" s="77"/>
      <c r="AZ853" s="81" t="s">
        <v>11359</v>
      </c>
      <c r="BA853" s="81" t="s">
        <v>11359</v>
      </c>
      <c r="BB853" s="81" t="s">
        <v>11359</v>
      </c>
      <c r="BC853" s="81" t="s">
        <v>10117</v>
      </c>
      <c r="BD853" s="81" t="s">
        <v>11514</v>
      </c>
      <c r="BE853" s="77"/>
      <c r="BF853" s="77"/>
      <c r="BG853" s="77"/>
      <c r="BH853" s="77"/>
      <c r="BI853" s="77"/>
    </row>
    <row r="854" spans="1:61" x14ac:dyDescent="0.25">
      <c r="A854" s="62" t="s">
        <v>439</v>
      </c>
      <c r="B854" s="62" t="s">
        <v>439</v>
      </c>
      <c r="C854" s="63"/>
      <c r="D854" s="64"/>
      <c r="E854" s="65"/>
      <c r="F854" s="66"/>
      <c r="G854" s="63"/>
      <c r="H854" s="67"/>
      <c r="I854" s="68"/>
      <c r="J854" s="68"/>
      <c r="K854" s="32"/>
      <c r="L854" s="75">
        <v>854</v>
      </c>
      <c r="M854" s="75"/>
      <c r="N854" s="70"/>
      <c r="O854" s="77" t="s">
        <v>179</v>
      </c>
      <c r="P854" s="79">
        <v>44964.977719907409</v>
      </c>
      <c r="Q854" s="77" t="s">
        <v>1796</v>
      </c>
      <c r="R854" s="77">
        <v>0</v>
      </c>
      <c r="S854" s="77">
        <v>0</v>
      </c>
      <c r="T854" s="77">
        <v>0</v>
      </c>
      <c r="U854" s="77">
        <v>0</v>
      </c>
      <c r="V854" s="77">
        <v>70</v>
      </c>
      <c r="W854" s="81" t="s">
        <v>3415</v>
      </c>
      <c r="X854" s="77"/>
      <c r="Y854" s="77"/>
      <c r="Z854" s="77"/>
      <c r="AA854" s="77" t="s">
        <v>5063</v>
      </c>
      <c r="AB854" s="77" t="s">
        <v>5794</v>
      </c>
      <c r="AC854" s="81" t="s">
        <v>5805</v>
      </c>
      <c r="AD854" s="77" t="s">
        <v>5850</v>
      </c>
      <c r="AE854" s="83" t="str">
        <f>HYPERLINK("https://twitter.com/elcaph/status/1623101281081389056")</f>
        <v>https://twitter.com/elcaph/status/1623101281081389056</v>
      </c>
      <c r="AF854" s="79">
        <v>44964.977719907409</v>
      </c>
      <c r="AG854" s="85">
        <v>44964</v>
      </c>
      <c r="AH854" s="81" t="s">
        <v>6666</v>
      </c>
      <c r="AI854" s="77" t="b">
        <v>0</v>
      </c>
      <c r="AJ854" s="77"/>
      <c r="AK854" s="77"/>
      <c r="AL854" s="77"/>
      <c r="AM854" s="77"/>
      <c r="AN854" s="77"/>
      <c r="AO854" s="77"/>
      <c r="AP854" s="77"/>
      <c r="AQ854" s="77" t="s">
        <v>8566</v>
      </c>
      <c r="AR854" s="77"/>
      <c r="AS854" s="77"/>
      <c r="AT854" s="77"/>
      <c r="AU854" s="77"/>
      <c r="AV854" s="83" t="str">
        <f>HYPERLINK("https://pbs.twimg.com/media/FoZqAPBakAI7o_-.jpg")</f>
        <v>https://pbs.twimg.com/media/FoZqAPBakAI7o_-.jpg</v>
      </c>
      <c r="AW854" s="81" t="s">
        <v>10118</v>
      </c>
      <c r="AX854" s="81" t="s">
        <v>10118</v>
      </c>
      <c r="AY854" s="77"/>
      <c r="AZ854" s="81" t="s">
        <v>11359</v>
      </c>
      <c r="BA854" s="81" t="s">
        <v>11359</v>
      </c>
      <c r="BB854" s="81" t="s">
        <v>11359</v>
      </c>
      <c r="BC854" s="81" t="s">
        <v>10118</v>
      </c>
      <c r="BD854" s="81" t="s">
        <v>11514</v>
      </c>
      <c r="BE854" s="77"/>
      <c r="BF854" s="77"/>
      <c r="BG854" s="77"/>
      <c r="BH854" s="77"/>
      <c r="BI854" s="77"/>
    </row>
    <row r="855" spans="1:61" x14ac:dyDescent="0.25">
      <c r="A855" s="62" t="s">
        <v>439</v>
      </c>
      <c r="B855" s="62" t="s">
        <v>439</v>
      </c>
      <c r="C855" s="63"/>
      <c r="D855" s="64"/>
      <c r="E855" s="65"/>
      <c r="F855" s="66"/>
      <c r="G855" s="63"/>
      <c r="H855" s="67"/>
      <c r="I855" s="68"/>
      <c r="J855" s="68"/>
      <c r="K855" s="32"/>
      <c r="L855" s="75">
        <v>855</v>
      </c>
      <c r="M855" s="75"/>
      <c r="N855" s="70"/>
      <c r="O855" s="77" t="s">
        <v>179</v>
      </c>
      <c r="P855" s="79">
        <v>44979.762407407405</v>
      </c>
      <c r="Q855" s="77" t="s">
        <v>1797</v>
      </c>
      <c r="R855" s="77">
        <v>0</v>
      </c>
      <c r="S855" s="77">
        <v>0</v>
      </c>
      <c r="T855" s="77">
        <v>0</v>
      </c>
      <c r="U855" s="77">
        <v>0</v>
      </c>
      <c r="V855" s="77">
        <v>49</v>
      </c>
      <c r="W855" s="81" t="s">
        <v>3415</v>
      </c>
      <c r="X855" s="77"/>
      <c r="Y855" s="77"/>
      <c r="Z855" s="77"/>
      <c r="AA855" s="77" t="s">
        <v>5064</v>
      </c>
      <c r="AB855" s="77" t="s">
        <v>5794</v>
      </c>
      <c r="AC855" s="81" t="s">
        <v>5805</v>
      </c>
      <c r="AD855" s="77" t="s">
        <v>5850</v>
      </c>
      <c r="AE855" s="83" t="str">
        <f>HYPERLINK("https://twitter.com/elcaph/status/1628459070700269568")</f>
        <v>https://twitter.com/elcaph/status/1628459070700269568</v>
      </c>
      <c r="AF855" s="79">
        <v>44979.762407407405</v>
      </c>
      <c r="AG855" s="85">
        <v>44979</v>
      </c>
      <c r="AH855" s="81" t="s">
        <v>6667</v>
      </c>
      <c r="AI855" s="77" t="b">
        <v>0</v>
      </c>
      <c r="AJ855" s="77"/>
      <c r="AK855" s="77"/>
      <c r="AL855" s="77"/>
      <c r="AM855" s="77"/>
      <c r="AN855" s="77"/>
      <c r="AO855" s="77"/>
      <c r="AP855" s="77"/>
      <c r="AQ855" s="77" t="s">
        <v>8567</v>
      </c>
      <c r="AR855" s="77"/>
      <c r="AS855" s="77"/>
      <c r="AT855" s="77"/>
      <c r="AU855" s="77"/>
      <c r="AV855" s="83" t="str">
        <f>HYPERLINK("https://pbs.twimg.com/media/Fply4yNacAEsX3o.jpg")</f>
        <v>https://pbs.twimg.com/media/Fply4yNacAEsX3o.jpg</v>
      </c>
      <c r="AW855" s="81" t="s">
        <v>10119</v>
      </c>
      <c r="AX855" s="81" t="s">
        <v>10119</v>
      </c>
      <c r="AY855" s="77"/>
      <c r="AZ855" s="81" t="s">
        <v>11359</v>
      </c>
      <c r="BA855" s="81" t="s">
        <v>11359</v>
      </c>
      <c r="BB855" s="81" t="s">
        <v>11359</v>
      </c>
      <c r="BC855" s="81" t="s">
        <v>10119</v>
      </c>
      <c r="BD855" s="81" t="s">
        <v>11514</v>
      </c>
      <c r="BE855" s="77"/>
      <c r="BF855" s="77"/>
      <c r="BG855" s="77"/>
      <c r="BH855" s="77"/>
      <c r="BI855" s="77"/>
    </row>
    <row r="856" spans="1:61" x14ac:dyDescent="0.25">
      <c r="A856" s="62" t="s">
        <v>439</v>
      </c>
      <c r="B856" s="62" t="s">
        <v>439</v>
      </c>
      <c r="C856" s="63"/>
      <c r="D856" s="64"/>
      <c r="E856" s="65"/>
      <c r="F856" s="66"/>
      <c r="G856" s="63"/>
      <c r="H856" s="67"/>
      <c r="I856" s="68"/>
      <c r="J856" s="68"/>
      <c r="K856" s="32"/>
      <c r="L856" s="75">
        <v>856</v>
      </c>
      <c r="M856" s="75"/>
      <c r="N856" s="70"/>
      <c r="O856" s="77" t="s">
        <v>179</v>
      </c>
      <c r="P856" s="79">
        <v>44949.700995370367</v>
      </c>
      <c r="Q856" s="77" t="s">
        <v>1798</v>
      </c>
      <c r="R856" s="77">
        <v>0</v>
      </c>
      <c r="S856" s="77">
        <v>0</v>
      </c>
      <c r="T856" s="77">
        <v>0</v>
      </c>
      <c r="U856" s="77">
        <v>0</v>
      </c>
      <c r="V856" s="77">
        <v>51</v>
      </c>
      <c r="W856" s="81" t="s">
        <v>3415</v>
      </c>
      <c r="X856" s="77"/>
      <c r="Y856" s="77"/>
      <c r="Z856" s="77"/>
      <c r="AA856" s="77" t="s">
        <v>5065</v>
      </c>
      <c r="AB856" s="77" t="s">
        <v>5794</v>
      </c>
      <c r="AC856" s="81" t="s">
        <v>5805</v>
      </c>
      <c r="AD856" s="77" t="s">
        <v>5850</v>
      </c>
      <c r="AE856" s="83" t="str">
        <f>HYPERLINK("https://twitter.com/elcaph/status/1617565180388585473")</f>
        <v>https://twitter.com/elcaph/status/1617565180388585473</v>
      </c>
      <c r="AF856" s="79">
        <v>44949.700995370367</v>
      </c>
      <c r="AG856" s="85">
        <v>44949</v>
      </c>
      <c r="AH856" s="81" t="s">
        <v>6668</v>
      </c>
      <c r="AI856" s="77" t="b">
        <v>0</v>
      </c>
      <c r="AJ856" s="77"/>
      <c r="AK856" s="77"/>
      <c r="AL856" s="77"/>
      <c r="AM856" s="77"/>
      <c r="AN856" s="77"/>
      <c r="AO856" s="77"/>
      <c r="AP856" s="77"/>
      <c r="AQ856" s="77" t="s">
        <v>8568</v>
      </c>
      <c r="AR856" s="77"/>
      <c r="AS856" s="77"/>
      <c r="AT856" s="77"/>
      <c r="AU856" s="77"/>
      <c r="AV856" s="83" t="str">
        <f>HYPERLINK("https://pbs.twimg.com/media/FnK-u9DaYAA5fHw.jpg")</f>
        <v>https://pbs.twimg.com/media/FnK-u9DaYAA5fHw.jpg</v>
      </c>
      <c r="AW856" s="81" t="s">
        <v>10120</v>
      </c>
      <c r="AX856" s="81" t="s">
        <v>10120</v>
      </c>
      <c r="AY856" s="77"/>
      <c r="AZ856" s="81" t="s">
        <v>11359</v>
      </c>
      <c r="BA856" s="81" t="s">
        <v>11359</v>
      </c>
      <c r="BB856" s="81" t="s">
        <v>11359</v>
      </c>
      <c r="BC856" s="81" t="s">
        <v>10120</v>
      </c>
      <c r="BD856" s="81" t="s">
        <v>11514</v>
      </c>
      <c r="BE856" s="77"/>
      <c r="BF856" s="77"/>
      <c r="BG856" s="77"/>
      <c r="BH856" s="77"/>
      <c r="BI856" s="77"/>
    </row>
    <row r="857" spans="1:61" x14ac:dyDescent="0.25">
      <c r="A857" s="62" t="s">
        <v>439</v>
      </c>
      <c r="B857" s="62" t="s">
        <v>439</v>
      </c>
      <c r="C857" s="63"/>
      <c r="D857" s="64"/>
      <c r="E857" s="65"/>
      <c r="F857" s="66"/>
      <c r="G857" s="63"/>
      <c r="H857" s="67"/>
      <c r="I857" s="68"/>
      <c r="J857" s="68"/>
      <c r="K857" s="32"/>
      <c r="L857" s="75">
        <v>857</v>
      </c>
      <c r="M857" s="75"/>
      <c r="N857" s="70"/>
      <c r="O857" s="77" t="s">
        <v>179</v>
      </c>
      <c r="P857" s="79">
        <v>44946.786979166667</v>
      </c>
      <c r="Q857" s="77" t="s">
        <v>1799</v>
      </c>
      <c r="R857" s="77">
        <v>0</v>
      </c>
      <c r="S857" s="77">
        <v>0</v>
      </c>
      <c r="T857" s="77">
        <v>0</v>
      </c>
      <c r="U857" s="77">
        <v>0</v>
      </c>
      <c r="V857" s="77">
        <v>35</v>
      </c>
      <c r="W857" s="81" t="s">
        <v>3415</v>
      </c>
      <c r="X857" s="77"/>
      <c r="Y857" s="77"/>
      <c r="Z857" s="77"/>
      <c r="AA857" s="77" t="s">
        <v>5066</v>
      </c>
      <c r="AB857" s="77" t="s">
        <v>5794</v>
      </c>
      <c r="AC857" s="81" t="s">
        <v>5805</v>
      </c>
      <c r="AD857" s="77" t="s">
        <v>5850</v>
      </c>
      <c r="AE857" s="83" t="str">
        <f>HYPERLINK("https://twitter.com/elcaph/status/1616509177613979664")</f>
        <v>https://twitter.com/elcaph/status/1616509177613979664</v>
      </c>
      <c r="AF857" s="79">
        <v>44946.786979166667</v>
      </c>
      <c r="AG857" s="85">
        <v>44946</v>
      </c>
      <c r="AH857" s="81" t="s">
        <v>6669</v>
      </c>
      <c r="AI857" s="77" t="b">
        <v>0</v>
      </c>
      <c r="AJ857" s="77"/>
      <c r="AK857" s="77"/>
      <c r="AL857" s="77"/>
      <c r="AM857" s="77"/>
      <c r="AN857" s="77"/>
      <c r="AO857" s="77"/>
      <c r="AP857" s="77"/>
      <c r="AQ857" s="77" t="s">
        <v>8569</v>
      </c>
      <c r="AR857" s="77"/>
      <c r="AS857" s="77"/>
      <c r="AT857" s="77"/>
      <c r="AU857" s="77"/>
      <c r="AV857" s="83" t="str">
        <f>HYPERLINK("https://pbs.twimg.com/media/Fm7-hSuaUAAXa-e.jpg")</f>
        <v>https://pbs.twimg.com/media/Fm7-hSuaUAAXa-e.jpg</v>
      </c>
      <c r="AW857" s="81" t="s">
        <v>10121</v>
      </c>
      <c r="AX857" s="81" t="s">
        <v>10121</v>
      </c>
      <c r="AY857" s="77"/>
      <c r="AZ857" s="81" t="s">
        <v>11359</v>
      </c>
      <c r="BA857" s="81" t="s">
        <v>11359</v>
      </c>
      <c r="BB857" s="81" t="s">
        <v>11359</v>
      </c>
      <c r="BC857" s="81" t="s">
        <v>10121</v>
      </c>
      <c r="BD857" s="81" t="s">
        <v>11514</v>
      </c>
      <c r="BE857" s="77"/>
      <c r="BF857" s="77"/>
      <c r="BG857" s="77"/>
      <c r="BH857" s="77"/>
      <c r="BI857" s="77"/>
    </row>
    <row r="858" spans="1:61" x14ac:dyDescent="0.25">
      <c r="A858" s="62" t="s">
        <v>439</v>
      </c>
      <c r="B858" s="62" t="s">
        <v>439</v>
      </c>
      <c r="C858" s="63"/>
      <c r="D858" s="64"/>
      <c r="E858" s="65"/>
      <c r="F858" s="66"/>
      <c r="G858" s="63"/>
      <c r="H858" s="67"/>
      <c r="I858" s="68"/>
      <c r="J858" s="68"/>
      <c r="K858" s="32"/>
      <c r="L858" s="75">
        <v>858</v>
      </c>
      <c r="M858" s="75"/>
      <c r="N858" s="70"/>
      <c r="O858" s="77" t="s">
        <v>179</v>
      </c>
      <c r="P858" s="79">
        <v>44945.794363425928</v>
      </c>
      <c r="Q858" s="77" t="s">
        <v>1800</v>
      </c>
      <c r="R858" s="77">
        <v>0</v>
      </c>
      <c r="S858" s="77">
        <v>0</v>
      </c>
      <c r="T858" s="77">
        <v>0</v>
      </c>
      <c r="U858" s="77">
        <v>0</v>
      </c>
      <c r="V858" s="77">
        <v>39</v>
      </c>
      <c r="W858" s="81" t="s">
        <v>3415</v>
      </c>
      <c r="X858" s="77"/>
      <c r="Y858" s="77"/>
      <c r="Z858" s="77"/>
      <c r="AA858" s="77" t="s">
        <v>5067</v>
      </c>
      <c r="AB858" s="77" t="s">
        <v>5794</v>
      </c>
      <c r="AC858" s="81" t="s">
        <v>5805</v>
      </c>
      <c r="AD858" s="77" t="s">
        <v>5850</v>
      </c>
      <c r="AE858" s="83" t="str">
        <f>HYPERLINK("https://twitter.com/elcaph/status/1616149465760661504")</f>
        <v>https://twitter.com/elcaph/status/1616149465760661504</v>
      </c>
      <c r="AF858" s="79">
        <v>44945.794363425928</v>
      </c>
      <c r="AG858" s="85">
        <v>44945</v>
      </c>
      <c r="AH858" s="81" t="s">
        <v>6670</v>
      </c>
      <c r="AI858" s="77" t="b">
        <v>0</v>
      </c>
      <c r="AJ858" s="77"/>
      <c r="AK858" s="77"/>
      <c r="AL858" s="77"/>
      <c r="AM858" s="77"/>
      <c r="AN858" s="77"/>
      <c r="AO858" s="77"/>
      <c r="AP858" s="77"/>
      <c r="AQ858" s="77" t="s">
        <v>8570</v>
      </c>
      <c r="AR858" s="77"/>
      <c r="AS858" s="77"/>
      <c r="AT858" s="77"/>
      <c r="AU858" s="77"/>
      <c r="AV858" s="83" t="str">
        <f>HYPERLINK("https://pbs.twimg.com/media/Fm23W7naAAEib1d.jpg")</f>
        <v>https://pbs.twimg.com/media/Fm23W7naAAEib1d.jpg</v>
      </c>
      <c r="AW858" s="81" t="s">
        <v>10122</v>
      </c>
      <c r="AX858" s="81" t="s">
        <v>10122</v>
      </c>
      <c r="AY858" s="77"/>
      <c r="AZ858" s="81" t="s">
        <v>11359</v>
      </c>
      <c r="BA858" s="81" t="s">
        <v>11359</v>
      </c>
      <c r="BB858" s="81" t="s">
        <v>11359</v>
      </c>
      <c r="BC858" s="81" t="s">
        <v>10122</v>
      </c>
      <c r="BD858" s="81" t="s">
        <v>11514</v>
      </c>
      <c r="BE858" s="77"/>
      <c r="BF858" s="77"/>
      <c r="BG858" s="77"/>
      <c r="BH858" s="77"/>
      <c r="BI858" s="77"/>
    </row>
    <row r="859" spans="1:61" x14ac:dyDescent="0.25">
      <c r="A859" s="62" t="s">
        <v>439</v>
      </c>
      <c r="B859" s="62" t="s">
        <v>439</v>
      </c>
      <c r="C859" s="63"/>
      <c r="D859" s="64"/>
      <c r="E859" s="65"/>
      <c r="F859" s="66"/>
      <c r="G859" s="63"/>
      <c r="H859" s="67"/>
      <c r="I859" s="68"/>
      <c r="J859" s="68"/>
      <c r="K859" s="32"/>
      <c r="L859" s="75">
        <v>859</v>
      </c>
      <c r="M859" s="75"/>
      <c r="N859" s="70"/>
      <c r="O859" s="77" t="s">
        <v>179</v>
      </c>
      <c r="P859" s="79">
        <v>44945.793391203704</v>
      </c>
      <c r="Q859" s="77" t="s">
        <v>1801</v>
      </c>
      <c r="R859" s="77">
        <v>0</v>
      </c>
      <c r="S859" s="77">
        <v>0</v>
      </c>
      <c r="T859" s="77">
        <v>0</v>
      </c>
      <c r="U859" s="77">
        <v>0</v>
      </c>
      <c r="V859" s="77">
        <v>40</v>
      </c>
      <c r="W859" s="81" t="s">
        <v>3415</v>
      </c>
      <c r="X859" s="77"/>
      <c r="Y859" s="77"/>
      <c r="Z859" s="77"/>
      <c r="AA859" s="77" t="s">
        <v>5068</v>
      </c>
      <c r="AB859" s="77" t="s">
        <v>5794</v>
      </c>
      <c r="AC859" s="81" t="s">
        <v>5805</v>
      </c>
      <c r="AD859" s="77" t="s">
        <v>5850</v>
      </c>
      <c r="AE859" s="83" t="str">
        <f>HYPERLINK("https://twitter.com/elcaph/status/1616149112818225154")</f>
        <v>https://twitter.com/elcaph/status/1616149112818225154</v>
      </c>
      <c r="AF859" s="79">
        <v>44945.793391203704</v>
      </c>
      <c r="AG859" s="85">
        <v>44945</v>
      </c>
      <c r="AH859" s="81" t="s">
        <v>6671</v>
      </c>
      <c r="AI859" s="77" t="b">
        <v>0</v>
      </c>
      <c r="AJ859" s="77"/>
      <c r="AK859" s="77"/>
      <c r="AL859" s="77"/>
      <c r="AM859" s="77"/>
      <c r="AN859" s="77"/>
      <c r="AO859" s="77"/>
      <c r="AP859" s="77"/>
      <c r="AQ859" s="77" t="s">
        <v>8571</v>
      </c>
      <c r="AR859" s="77"/>
      <c r="AS859" s="77"/>
      <c r="AT859" s="77"/>
      <c r="AU859" s="77"/>
      <c r="AV859" s="83" t="str">
        <f>HYPERLINK("https://pbs.twimg.com/media/Fm23CSoacAAR1my.jpg")</f>
        <v>https://pbs.twimg.com/media/Fm23CSoacAAR1my.jpg</v>
      </c>
      <c r="AW859" s="81" t="s">
        <v>10123</v>
      </c>
      <c r="AX859" s="81" t="s">
        <v>10123</v>
      </c>
      <c r="AY859" s="77"/>
      <c r="AZ859" s="81" t="s">
        <v>11359</v>
      </c>
      <c r="BA859" s="81" t="s">
        <v>11359</v>
      </c>
      <c r="BB859" s="81" t="s">
        <v>11359</v>
      </c>
      <c r="BC859" s="81" t="s">
        <v>10123</v>
      </c>
      <c r="BD859" s="81" t="s">
        <v>11514</v>
      </c>
      <c r="BE859" s="77"/>
      <c r="BF859" s="77"/>
      <c r="BG859" s="77"/>
      <c r="BH859" s="77"/>
      <c r="BI859" s="77"/>
    </row>
    <row r="860" spans="1:61" x14ac:dyDescent="0.25">
      <c r="A860" s="62" t="s">
        <v>439</v>
      </c>
      <c r="B860" s="62" t="s">
        <v>439</v>
      </c>
      <c r="C860" s="63"/>
      <c r="D860" s="64"/>
      <c r="E860" s="65"/>
      <c r="F860" s="66"/>
      <c r="G860" s="63"/>
      <c r="H860" s="67"/>
      <c r="I860" s="68"/>
      <c r="J860" s="68"/>
      <c r="K860" s="32"/>
      <c r="L860" s="75">
        <v>860</v>
      </c>
      <c r="M860" s="75"/>
      <c r="N860" s="70"/>
      <c r="O860" s="77" t="s">
        <v>179</v>
      </c>
      <c r="P860" s="79">
        <v>44944.744409722225</v>
      </c>
      <c r="Q860" s="77" t="s">
        <v>1802</v>
      </c>
      <c r="R860" s="77">
        <v>0</v>
      </c>
      <c r="S860" s="77">
        <v>0</v>
      </c>
      <c r="T860" s="77">
        <v>0</v>
      </c>
      <c r="U860" s="77">
        <v>0</v>
      </c>
      <c r="V860" s="77">
        <v>38</v>
      </c>
      <c r="W860" s="81" t="s">
        <v>3415</v>
      </c>
      <c r="X860" s="77"/>
      <c r="Y860" s="77"/>
      <c r="Z860" s="77"/>
      <c r="AA860" s="77" t="s">
        <v>5069</v>
      </c>
      <c r="AB860" s="77" t="s">
        <v>5794</v>
      </c>
      <c r="AC860" s="81" t="s">
        <v>5805</v>
      </c>
      <c r="AD860" s="77" t="s">
        <v>5850</v>
      </c>
      <c r="AE860" s="83" t="str">
        <f>HYPERLINK("https://twitter.com/elcaph/status/1615768974444175361")</f>
        <v>https://twitter.com/elcaph/status/1615768974444175361</v>
      </c>
      <c r="AF860" s="79">
        <v>44944.744409722225</v>
      </c>
      <c r="AG860" s="85">
        <v>44944</v>
      </c>
      <c r="AH860" s="81" t="s">
        <v>6672</v>
      </c>
      <c r="AI860" s="77" t="b">
        <v>0</v>
      </c>
      <c r="AJ860" s="77"/>
      <c r="AK860" s="77"/>
      <c r="AL860" s="77"/>
      <c r="AM860" s="77"/>
      <c r="AN860" s="77"/>
      <c r="AO860" s="77"/>
      <c r="AP860" s="77"/>
      <c r="AQ860" s="77" t="s">
        <v>8572</v>
      </c>
      <c r="AR860" s="77"/>
      <c r="AS860" s="77"/>
      <c r="AT860" s="77"/>
      <c r="AU860" s="77"/>
      <c r="AV860" s="83" t="str">
        <f>HYPERLINK("https://pbs.twimg.com/media/FmxdTyNakAExgnX.jpg")</f>
        <v>https://pbs.twimg.com/media/FmxdTyNakAExgnX.jpg</v>
      </c>
      <c r="AW860" s="81" t="s">
        <v>10124</v>
      </c>
      <c r="AX860" s="81" t="s">
        <v>10124</v>
      </c>
      <c r="AY860" s="77"/>
      <c r="AZ860" s="81" t="s">
        <v>11359</v>
      </c>
      <c r="BA860" s="81" t="s">
        <v>11359</v>
      </c>
      <c r="BB860" s="81" t="s">
        <v>11359</v>
      </c>
      <c r="BC860" s="81" t="s">
        <v>10124</v>
      </c>
      <c r="BD860" s="81" t="s">
        <v>11514</v>
      </c>
      <c r="BE860" s="77"/>
      <c r="BF860" s="77"/>
      <c r="BG860" s="77"/>
      <c r="BH860" s="77"/>
      <c r="BI860" s="77"/>
    </row>
    <row r="861" spans="1:61" x14ac:dyDescent="0.25">
      <c r="A861" s="62" t="s">
        <v>439</v>
      </c>
      <c r="B861" s="62" t="s">
        <v>439</v>
      </c>
      <c r="C861" s="63"/>
      <c r="D861" s="64"/>
      <c r="E861" s="65"/>
      <c r="F861" s="66"/>
      <c r="G861" s="63"/>
      <c r="H861" s="67"/>
      <c r="I861" s="68"/>
      <c r="J861" s="68"/>
      <c r="K861" s="32"/>
      <c r="L861" s="75">
        <v>861</v>
      </c>
      <c r="M861" s="75"/>
      <c r="N861" s="70"/>
      <c r="O861" s="77" t="s">
        <v>179</v>
      </c>
      <c r="P861" s="79">
        <v>44944.743773148148</v>
      </c>
      <c r="Q861" s="77" t="s">
        <v>1803</v>
      </c>
      <c r="R861" s="77">
        <v>0</v>
      </c>
      <c r="S861" s="77">
        <v>0</v>
      </c>
      <c r="T861" s="77">
        <v>0</v>
      </c>
      <c r="U861" s="77">
        <v>0</v>
      </c>
      <c r="V861" s="77">
        <v>39</v>
      </c>
      <c r="W861" s="81" t="s">
        <v>3415</v>
      </c>
      <c r="X861" s="77"/>
      <c r="Y861" s="77"/>
      <c r="Z861" s="77"/>
      <c r="AA861" s="77" t="s">
        <v>5070</v>
      </c>
      <c r="AB861" s="77" t="s">
        <v>5794</v>
      </c>
      <c r="AC861" s="81" t="s">
        <v>5805</v>
      </c>
      <c r="AD861" s="77" t="s">
        <v>5850</v>
      </c>
      <c r="AE861" s="83" t="str">
        <f>HYPERLINK("https://twitter.com/elcaph/status/1615768744520810496")</f>
        <v>https://twitter.com/elcaph/status/1615768744520810496</v>
      </c>
      <c r="AF861" s="79">
        <v>44944.743773148148</v>
      </c>
      <c r="AG861" s="85">
        <v>44944</v>
      </c>
      <c r="AH861" s="81" t="s">
        <v>6673</v>
      </c>
      <c r="AI861" s="77" t="b">
        <v>0</v>
      </c>
      <c r="AJ861" s="77"/>
      <c r="AK861" s="77"/>
      <c r="AL861" s="77"/>
      <c r="AM861" s="77"/>
      <c r="AN861" s="77"/>
      <c r="AO861" s="77"/>
      <c r="AP861" s="77"/>
      <c r="AQ861" s="77" t="s">
        <v>8573</v>
      </c>
      <c r="AR861" s="77"/>
      <c r="AS861" s="77"/>
      <c r="AT861" s="77"/>
      <c r="AU861" s="77"/>
      <c r="AV861" s="83" t="str">
        <f>HYPERLINK("https://pbs.twimg.com/media/FmxdGabaUAAt2TN.jpg")</f>
        <v>https://pbs.twimg.com/media/FmxdGabaUAAt2TN.jpg</v>
      </c>
      <c r="AW861" s="81" t="s">
        <v>10125</v>
      </c>
      <c r="AX861" s="81" t="s">
        <v>10125</v>
      </c>
      <c r="AY861" s="77"/>
      <c r="AZ861" s="81" t="s">
        <v>11359</v>
      </c>
      <c r="BA861" s="81" t="s">
        <v>11359</v>
      </c>
      <c r="BB861" s="81" t="s">
        <v>11359</v>
      </c>
      <c r="BC861" s="81" t="s">
        <v>10125</v>
      </c>
      <c r="BD861" s="81" t="s">
        <v>11514</v>
      </c>
      <c r="BE861" s="77"/>
      <c r="BF861" s="77"/>
      <c r="BG861" s="77"/>
      <c r="BH861" s="77"/>
      <c r="BI861" s="77"/>
    </row>
    <row r="862" spans="1:61" x14ac:dyDescent="0.25">
      <c r="A862" s="62" t="s">
        <v>439</v>
      </c>
      <c r="B862" s="62" t="s">
        <v>439</v>
      </c>
      <c r="C862" s="63"/>
      <c r="D862" s="64"/>
      <c r="E862" s="65"/>
      <c r="F862" s="66"/>
      <c r="G862" s="63"/>
      <c r="H862" s="67"/>
      <c r="I862" s="68"/>
      <c r="J862" s="68"/>
      <c r="K862" s="32"/>
      <c r="L862" s="75">
        <v>862</v>
      </c>
      <c r="M862" s="75"/>
      <c r="N862" s="70"/>
      <c r="O862" s="77" t="s">
        <v>179</v>
      </c>
      <c r="P862" s="79">
        <v>44943.898182870369</v>
      </c>
      <c r="Q862" s="77" t="s">
        <v>1804</v>
      </c>
      <c r="R862" s="77">
        <v>0</v>
      </c>
      <c r="S862" s="77">
        <v>0</v>
      </c>
      <c r="T862" s="77">
        <v>0</v>
      </c>
      <c r="U862" s="77">
        <v>0</v>
      </c>
      <c r="V862" s="77">
        <v>53</v>
      </c>
      <c r="W862" s="81" t="s">
        <v>3415</v>
      </c>
      <c r="X862" s="77"/>
      <c r="Y862" s="77"/>
      <c r="Z862" s="77"/>
      <c r="AA862" s="77" t="s">
        <v>5071</v>
      </c>
      <c r="AB862" s="77" t="s">
        <v>5794</v>
      </c>
      <c r="AC862" s="81" t="s">
        <v>5805</v>
      </c>
      <c r="AD862" s="77" t="s">
        <v>5850</v>
      </c>
      <c r="AE862" s="83" t="str">
        <f>HYPERLINK("https://twitter.com/elcaph/status/1615462312781185024")</f>
        <v>https://twitter.com/elcaph/status/1615462312781185024</v>
      </c>
      <c r="AF862" s="79">
        <v>44943.898182870369</v>
      </c>
      <c r="AG862" s="85">
        <v>44943</v>
      </c>
      <c r="AH862" s="81" t="s">
        <v>6674</v>
      </c>
      <c r="AI862" s="77" t="b">
        <v>0</v>
      </c>
      <c r="AJ862" s="77"/>
      <c r="AK862" s="77"/>
      <c r="AL862" s="77"/>
      <c r="AM862" s="77"/>
      <c r="AN862" s="77"/>
      <c r="AO862" s="77"/>
      <c r="AP862" s="77"/>
      <c r="AQ862" s="77" t="s">
        <v>8574</v>
      </c>
      <c r="AR862" s="77"/>
      <c r="AS862" s="77"/>
      <c r="AT862" s="77"/>
      <c r="AU862" s="77"/>
      <c r="AV862" s="83" t="str">
        <f>HYPERLINK("https://pbs.twimg.com/media/FmtGUtcaUAEn7u_.jpg")</f>
        <v>https://pbs.twimg.com/media/FmtGUtcaUAEn7u_.jpg</v>
      </c>
      <c r="AW862" s="81" t="s">
        <v>10126</v>
      </c>
      <c r="AX862" s="81" t="s">
        <v>10126</v>
      </c>
      <c r="AY862" s="77"/>
      <c r="AZ862" s="81" t="s">
        <v>11359</v>
      </c>
      <c r="BA862" s="81" t="s">
        <v>11359</v>
      </c>
      <c r="BB862" s="81" t="s">
        <v>11359</v>
      </c>
      <c r="BC862" s="81" t="s">
        <v>10126</v>
      </c>
      <c r="BD862" s="81" t="s">
        <v>11514</v>
      </c>
      <c r="BE862" s="77"/>
      <c r="BF862" s="77"/>
      <c r="BG862" s="77"/>
      <c r="BH862" s="77"/>
      <c r="BI862" s="77"/>
    </row>
    <row r="863" spans="1:61" x14ac:dyDescent="0.25">
      <c r="A863" s="62" t="s">
        <v>439</v>
      </c>
      <c r="B863" s="62" t="s">
        <v>439</v>
      </c>
      <c r="C863" s="63"/>
      <c r="D863" s="64"/>
      <c r="E863" s="65"/>
      <c r="F863" s="66"/>
      <c r="G863" s="63"/>
      <c r="H863" s="67"/>
      <c r="I863" s="68"/>
      <c r="J863" s="68"/>
      <c r="K863" s="32"/>
      <c r="L863" s="75">
        <v>863</v>
      </c>
      <c r="M863" s="75"/>
      <c r="N863" s="70"/>
      <c r="O863" s="77" t="s">
        <v>179</v>
      </c>
      <c r="P863" s="79">
        <v>44943.896840277775</v>
      </c>
      <c r="Q863" s="77" t="s">
        <v>1805</v>
      </c>
      <c r="R863" s="77">
        <v>0</v>
      </c>
      <c r="S863" s="77">
        <v>0</v>
      </c>
      <c r="T863" s="77">
        <v>0</v>
      </c>
      <c r="U863" s="77">
        <v>0</v>
      </c>
      <c r="V863" s="77">
        <v>47</v>
      </c>
      <c r="W863" s="81" t="s">
        <v>3415</v>
      </c>
      <c r="X863" s="77"/>
      <c r="Y863" s="77"/>
      <c r="Z863" s="77"/>
      <c r="AA863" s="77" t="s">
        <v>5072</v>
      </c>
      <c r="AB863" s="77" t="s">
        <v>5794</v>
      </c>
      <c r="AC863" s="81" t="s">
        <v>5805</v>
      </c>
      <c r="AD863" s="77" t="s">
        <v>5850</v>
      </c>
      <c r="AE863" s="83" t="str">
        <f>HYPERLINK("https://twitter.com/elcaph/status/1615461826086727680")</f>
        <v>https://twitter.com/elcaph/status/1615461826086727680</v>
      </c>
      <c r="AF863" s="79">
        <v>44943.896840277775</v>
      </c>
      <c r="AG863" s="85">
        <v>44943</v>
      </c>
      <c r="AH863" s="81" t="s">
        <v>6675</v>
      </c>
      <c r="AI863" s="77" t="b">
        <v>0</v>
      </c>
      <c r="AJ863" s="77"/>
      <c r="AK863" s="77"/>
      <c r="AL863" s="77"/>
      <c r="AM863" s="77"/>
      <c r="AN863" s="77"/>
      <c r="AO863" s="77"/>
      <c r="AP863" s="77"/>
      <c r="AQ863" s="77" t="s">
        <v>8575</v>
      </c>
      <c r="AR863" s="77"/>
      <c r="AS863" s="77"/>
      <c r="AT863" s="77"/>
      <c r="AU863" s="77"/>
      <c r="AV863" s="83" t="str">
        <f>HYPERLINK("https://pbs.twimg.com/media/FmtF84RakAI_cVd.jpg")</f>
        <v>https://pbs.twimg.com/media/FmtF84RakAI_cVd.jpg</v>
      </c>
      <c r="AW863" s="81" t="s">
        <v>10127</v>
      </c>
      <c r="AX863" s="81" t="s">
        <v>10127</v>
      </c>
      <c r="AY863" s="77"/>
      <c r="AZ863" s="81" t="s">
        <v>11359</v>
      </c>
      <c r="BA863" s="81" t="s">
        <v>11359</v>
      </c>
      <c r="BB863" s="81" t="s">
        <v>11359</v>
      </c>
      <c r="BC863" s="81" t="s">
        <v>10127</v>
      </c>
      <c r="BD863" s="81" t="s">
        <v>11514</v>
      </c>
      <c r="BE863" s="77"/>
      <c r="BF863" s="77"/>
      <c r="BG863" s="77"/>
      <c r="BH863" s="77"/>
      <c r="BI863" s="77"/>
    </row>
    <row r="864" spans="1:61" x14ac:dyDescent="0.25">
      <c r="A864" s="62" t="s">
        <v>439</v>
      </c>
      <c r="B864" s="62" t="s">
        <v>439</v>
      </c>
      <c r="C864" s="63"/>
      <c r="D864" s="64"/>
      <c r="E864" s="65"/>
      <c r="F864" s="66"/>
      <c r="G864" s="63"/>
      <c r="H864" s="67"/>
      <c r="I864" s="68"/>
      <c r="J864" s="68"/>
      <c r="K864" s="32"/>
      <c r="L864" s="75">
        <v>864</v>
      </c>
      <c r="M864" s="75"/>
      <c r="N864" s="70"/>
      <c r="O864" s="77" t="s">
        <v>179</v>
      </c>
      <c r="P864" s="79">
        <v>44984.814733796295</v>
      </c>
      <c r="Q864" s="77" t="s">
        <v>1806</v>
      </c>
      <c r="R864" s="77">
        <v>0</v>
      </c>
      <c r="S864" s="77">
        <v>0</v>
      </c>
      <c r="T864" s="77">
        <v>0</v>
      </c>
      <c r="U864" s="77">
        <v>0</v>
      </c>
      <c r="V864" s="77">
        <v>69</v>
      </c>
      <c r="W864" s="81" t="s">
        <v>3415</v>
      </c>
      <c r="X864" s="77"/>
      <c r="Y864" s="77"/>
      <c r="Z864" s="77"/>
      <c r="AA864" s="77" t="s">
        <v>5073</v>
      </c>
      <c r="AB864" s="77" t="s">
        <v>5794</v>
      </c>
      <c r="AC864" s="81" t="s">
        <v>5805</v>
      </c>
      <c r="AD864" s="77" t="s">
        <v>5850</v>
      </c>
      <c r="AE864" s="83" t="str">
        <f>HYPERLINK("https://twitter.com/elcaph/status/1630289973881585664")</f>
        <v>https://twitter.com/elcaph/status/1630289973881585664</v>
      </c>
      <c r="AF864" s="79">
        <v>44984.814733796295</v>
      </c>
      <c r="AG864" s="85">
        <v>44984</v>
      </c>
      <c r="AH864" s="81" t="s">
        <v>6676</v>
      </c>
      <c r="AI864" s="77" t="b">
        <v>0</v>
      </c>
      <c r="AJ864" s="77"/>
      <c r="AK864" s="77"/>
      <c r="AL864" s="77"/>
      <c r="AM864" s="77"/>
      <c r="AN864" s="77"/>
      <c r="AO864" s="77"/>
      <c r="AP864" s="77"/>
      <c r="AQ864" s="77" t="s">
        <v>8576</v>
      </c>
      <c r="AR864" s="77"/>
      <c r="AS864" s="77"/>
      <c r="AT864" s="77"/>
      <c r="AU864" s="77"/>
      <c r="AV864" s="83" t="str">
        <f>HYPERLINK("https://pbs.twimg.com/media/Fp_0E-9aAAEBSRD.jpg")</f>
        <v>https://pbs.twimg.com/media/Fp_0E-9aAAEBSRD.jpg</v>
      </c>
      <c r="AW864" s="81" t="s">
        <v>10128</v>
      </c>
      <c r="AX864" s="81" t="s">
        <v>10128</v>
      </c>
      <c r="AY864" s="77"/>
      <c r="AZ864" s="81" t="s">
        <v>11359</v>
      </c>
      <c r="BA864" s="81" t="s">
        <v>11359</v>
      </c>
      <c r="BB864" s="81" t="s">
        <v>11359</v>
      </c>
      <c r="BC864" s="81" t="s">
        <v>10128</v>
      </c>
      <c r="BD864" s="81" t="s">
        <v>11514</v>
      </c>
      <c r="BE864" s="77"/>
      <c r="BF864" s="77"/>
      <c r="BG864" s="77"/>
      <c r="BH864" s="77"/>
      <c r="BI864" s="77"/>
    </row>
    <row r="865" spans="1:61" x14ac:dyDescent="0.25">
      <c r="A865" s="62" t="s">
        <v>439</v>
      </c>
      <c r="B865" s="62" t="s">
        <v>439</v>
      </c>
      <c r="C865" s="63"/>
      <c r="D865" s="64"/>
      <c r="E865" s="65"/>
      <c r="F865" s="66"/>
      <c r="G865" s="63"/>
      <c r="H865" s="67"/>
      <c r="I865" s="68"/>
      <c r="J865" s="68"/>
      <c r="K865" s="32"/>
      <c r="L865" s="75">
        <v>865</v>
      </c>
      <c r="M865" s="75"/>
      <c r="N865" s="70"/>
      <c r="O865" s="77" t="s">
        <v>179</v>
      </c>
      <c r="P865" s="79">
        <v>44958.682129629633</v>
      </c>
      <c r="Q865" s="77" t="s">
        <v>1807</v>
      </c>
      <c r="R865" s="77">
        <v>0</v>
      </c>
      <c r="S865" s="77">
        <v>0</v>
      </c>
      <c r="T865" s="77">
        <v>0</v>
      </c>
      <c r="U865" s="77">
        <v>0</v>
      </c>
      <c r="V865" s="77">
        <v>58</v>
      </c>
      <c r="W865" s="81" t="s">
        <v>3415</v>
      </c>
      <c r="X865" s="77"/>
      <c r="Y865" s="77"/>
      <c r="Z865" s="77"/>
      <c r="AA865" s="77" t="s">
        <v>5074</v>
      </c>
      <c r="AB865" s="77" t="s">
        <v>5794</v>
      </c>
      <c r="AC865" s="81" t="s">
        <v>5805</v>
      </c>
      <c r="AD865" s="77" t="s">
        <v>5850</v>
      </c>
      <c r="AE865" s="83" t="str">
        <f>HYPERLINK("https://twitter.com/elcaph/status/1620819835734347776")</f>
        <v>https://twitter.com/elcaph/status/1620819835734347776</v>
      </c>
      <c r="AF865" s="79">
        <v>44958.682129629633</v>
      </c>
      <c r="AG865" s="85">
        <v>44958</v>
      </c>
      <c r="AH865" s="81" t="s">
        <v>6677</v>
      </c>
      <c r="AI865" s="77" t="b">
        <v>0</v>
      </c>
      <c r="AJ865" s="77"/>
      <c r="AK865" s="77"/>
      <c r="AL865" s="77"/>
      <c r="AM865" s="77"/>
      <c r="AN865" s="77"/>
      <c r="AO865" s="77"/>
      <c r="AP865" s="77"/>
      <c r="AQ865" s="77" t="s">
        <v>8577</v>
      </c>
      <c r="AR865" s="77"/>
      <c r="AS865" s="77"/>
      <c r="AT865" s="77"/>
      <c r="AU865" s="77"/>
      <c r="AV865" s="83" t="str">
        <f>HYPERLINK("https://pbs.twimg.com/media/Fn5PCiLaAAA6qGs.jpg")</f>
        <v>https://pbs.twimg.com/media/Fn5PCiLaAAA6qGs.jpg</v>
      </c>
      <c r="AW865" s="81" t="s">
        <v>10129</v>
      </c>
      <c r="AX865" s="81" t="s">
        <v>10129</v>
      </c>
      <c r="AY865" s="77"/>
      <c r="AZ865" s="81" t="s">
        <v>11359</v>
      </c>
      <c r="BA865" s="81" t="s">
        <v>11359</v>
      </c>
      <c r="BB865" s="81" t="s">
        <v>11359</v>
      </c>
      <c r="BC865" s="81" t="s">
        <v>10129</v>
      </c>
      <c r="BD865" s="81" t="s">
        <v>11514</v>
      </c>
      <c r="BE865" s="77"/>
      <c r="BF865" s="77"/>
      <c r="BG865" s="77"/>
      <c r="BH865" s="77"/>
      <c r="BI865" s="77"/>
    </row>
    <row r="866" spans="1:61" x14ac:dyDescent="0.25">
      <c r="A866" s="62" t="s">
        <v>439</v>
      </c>
      <c r="B866" s="62" t="s">
        <v>439</v>
      </c>
      <c r="C866" s="63"/>
      <c r="D866" s="64"/>
      <c r="E866" s="65"/>
      <c r="F866" s="66"/>
      <c r="G866" s="63"/>
      <c r="H866" s="67"/>
      <c r="I866" s="68"/>
      <c r="J866" s="68"/>
      <c r="K866" s="32"/>
      <c r="L866" s="75">
        <v>866</v>
      </c>
      <c r="M866" s="75"/>
      <c r="N866" s="70"/>
      <c r="O866" s="77" t="s">
        <v>179</v>
      </c>
      <c r="P866" s="79">
        <v>44957.854398148149</v>
      </c>
      <c r="Q866" s="77" t="s">
        <v>1808</v>
      </c>
      <c r="R866" s="77">
        <v>0</v>
      </c>
      <c r="S866" s="77">
        <v>0</v>
      </c>
      <c r="T866" s="77">
        <v>0</v>
      </c>
      <c r="U866" s="77">
        <v>0</v>
      </c>
      <c r="V866" s="77">
        <v>66</v>
      </c>
      <c r="W866" s="81" t="s">
        <v>3415</v>
      </c>
      <c r="X866" s="77"/>
      <c r="Y866" s="77"/>
      <c r="Z866" s="77"/>
      <c r="AA866" s="77" t="s">
        <v>5075</v>
      </c>
      <c r="AB866" s="77" t="s">
        <v>5794</v>
      </c>
      <c r="AC866" s="81" t="s">
        <v>5805</v>
      </c>
      <c r="AD866" s="77" t="s">
        <v>5850</v>
      </c>
      <c r="AE866" s="83" t="str">
        <f>HYPERLINK("https://twitter.com/elcaph/status/1620519874522136577")</f>
        <v>https://twitter.com/elcaph/status/1620519874522136577</v>
      </c>
      <c r="AF866" s="79">
        <v>44957.854398148149</v>
      </c>
      <c r="AG866" s="85">
        <v>44957</v>
      </c>
      <c r="AH866" s="81" t="s">
        <v>6678</v>
      </c>
      <c r="AI866" s="77" t="b">
        <v>0</v>
      </c>
      <c r="AJ866" s="77"/>
      <c r="AK866" s="77"/>
      <c r="AL866" s="77"/>
      <c r="AM866" s="77"/>
      <c r="AN866" s="77"/>
      <c r="AO866" s="77"/>
      <c r="AP866" s="77"/>
      <c r="AQ866" s="77" t="s">
        <v>8578</v>
      </c>
      <c r="AR866" s="77"/>
      <c r="AS866" s="77"/>
      <c r="AT866" s="77"/>
      <c r="AU866" s="77"/>
      <c r="AV866" s="83" t="str">
        <f>HYPERLINK("https://pbs.twimg.com/media/Fn0-KMOakAACvQK.jpg")</f>
        <v>https://pbs.twimg.com/media/Fn0-KMOakAACvQK.jpg</v>
      </c>
      <c r="AW866" s="81" t="s">
        <v>10130</v>
      </c>
      <c r="AX866" s="81" t="s">
        <v>10130</v>
      </c>
      <c r="AY866" s="77"/>
      <c r="AZ866" s="81" t="s">
        <v>11359</v>
      </c>
      <c r="BA866" s="81" t="s">
        <v>11359</v>
      </c>
      <c r="BB866" s="81" t="s">
        <v>11359</v>
      </c>
      <c r="BC866" s="81" t="s">
        <v>10130</v>
      </c>
      <c r="BD866" s="81" t="s">
        <v>11514</v>
      </c>
      <c r="BE866" s="77"/>
      <c r="BF866" s="77"/>
      <c r="BG866" s="77"/>
      <c r="BH866" s="77"/>
      <c r="BI866" s="77"/>
    </row>
    <row r="867" spans="1:61" x14ac:dyDescent="0.25">
      <c r="A867" s="62" t="s">
        <v>440</v>
      </c>
      <c r="B867" s="62" t="s">
        <v>440</v>
      </c>
      <c r="C867" s="63"/>
      <c r="D867" s="64"/>
      <c r="E867" s="65"/>
      <c r="F867" s="66"/>
      <c r="G867" s="63"/>
      <c r="H867" s="67"/>
      <c r="I867" s="68"/>
      <c r="J867" s="68"/>
      <c r="K867" s="32"/>
      <c r="L867" s="75">
        <v>867</v>
      </c>
      <c r="M867" s="75"/>
      <c r="N867" s="70"/>
      <c r="O867" s="77" t="s">
        <v>179</v>
      </c>
      <c r="P867" s="79">
        <v>44998.597962962966</v>
      </c>
      <c r="Q867" s="77" t="s">
        <v>1809</v>
      </c>
      <c r="R867" s="77">
        <v>1</v>
      </c>
      <c r="S867" s="77">
        <v>0</v>
      </c>
      <c r="T867" s="77">
        <v>2</v>
      </c>
      <c r="U867" s="77">
        <v>0</v>
      </c>
      <c r="V867" s="77">
        <v>64</v>
      </c>
      <c r="W867" s="81" t="s">
        <v>3417</v>
      </c>
      <c r="X867" s="83" t="str">
        <f>HYPERLINK("https://lnkd.in/ej8Wk9-6")</f>
        <v>https://lnkd.in/ej8Wk9-6</v>
      </c>
      <c r="Y867" s="77" t="s">
        <v>4221</v>
      </c>
      <c r="Z867" s="77"/>
      <c r="AA867" s="77"/>
      <c r="AB867" s="77"/>
      <c r="AC867" s="81" t="s">
        <v>5810</v>
      </c>
      <c r="AD867" s="77" t="s">
        <v>5850</v>
      </c>
      <c r="AE867" s="83" t="str">
        <f>HYPERLINK("https://twitter.com/vivicolme/status/1635284845780951046")</f>
        <v>https://twitter.com/vivicolme/status/1635284845780951046</v>
      </c>
      <c r="AF867" s="79">
        <v>44998.597962962966</v>
      </c>
      <c r="AG867" s="85">
        <v>44998</v>
      </c>
      <c r="AH867" s="81" t="s">
        <v>6679</v>
      </c>
      <c r="AI867" s="77" t="b">
        <v>0</v>
      </c>
      <c r="AJ867" s="77"/>
      <c r="AK867" s="77"/>
      <c r="AL867" s="77"/>
      <c r="AM867" s="77"/>
      <c r="AN867" s="77"/>
      <c r="AO867" s="77"/>
      <c r="AP867" s="77"/>
      <c r="AQ867" s="77"/>
      <c r="AR867" s="77"/>
      <c r="AS867" s="77"/>
      <c r="AT867" s="77"/>
      <c r="AU867" s="77"/>
      <c r="AV867" s="83" t="str">
        <f>HYPERLINK("https://pbs.twimg.com/profile_images/947876552724840449/c0pRoAq6_normal.jpg")</f>
        <v>https://pbs.twimg.com/profile_images/947876552724840449/c0pRoAq6_normal.jpg</v>
      </c>
      <c r="AW867" s="81" t="s">
        <v>10131</v>
      </c>
      <c r="AX867" s="81" t="s">
        <v>10131</v>
      </c>
      <c r="AY867" s="77"/>
      <c r="AZ867" s="81" t="s">
        <v>11359</v>
      </c>
      <c r="BA867" s="81" t="s">
        <v>11359</v>
      </c>
      <c r="BB867" s="81" t="s">
        <v>11359</v>
      </c>
      <c r="BC867" s="81" t="s">
        <v>10131</v>
      </c>
      <c r="BD867" s="77">
        <v>138063234</v>
      </c>
      <c r="BE867" s="77"/>
      <c r="BF867" s="77"/>
      <c r="BG867" s="77"/>
      <c r="BH867" s="77"/>
      <c r="BI867" s="77"/>
    </row>
    <row r="868" spans="1:61" x14ac:dyDescent="0.25">
      <c r="A868" s="62" t="s">
        <v>441</v>
      </c>
      <c r="B868" s="62" t="s">
        <v>441</v>
      </c>
      <c r="C868" s="63"/>
      <c r="D868" s="64"/>
      <c r="E868" s="65"/>
      <c r="F868" s="66"/>
      <c r="G868" s="63"/>
      <c r="H868" s="67"/>
      <c r="I868" s="68"/>
      <c r="J868" s="68"/>
      <c r="K868" s="32"/>
      <c r="L868" s="75">
        <v>868</v>
      </c>
      <c r="M868" s="75"/>
      <c r="N868" s="70"/>
      <c r="O868" s="77" t="s">
        <v>969</v>
      </c>
      <c r="P868" s="79">
        <v>44928.821840277778</v>
      </c>
      <c r="Q868" s="77" t="s">
        <v>1810</v>
      </c>
      <c r="R868" s="77">
        <v>0</v>
      </c>
      <c r="S868" s="77">
        <v>0</v>
      </c>
      <c r="T868" s="77">
        <v>1</v>
      </c>
      <c r="U868" s="77">
        <v>0</v>
      </c>
      <c r="V868" s="77">
        <v>30</v>
      </c>
      <c r="W868" s="81" t="s">
        <v>3418</v>
      </c>
      <c r="X868" s="77"/>
      <c r="Y868" s="77"/>
      <c r="Z868" s="77"/>
      <c r="AA868" s="77"/>
      <c r="AB868" s="77"/>
      <c r="AC868" s="81" t="s">
        <v>5801</v>
      </c>
      <c r="AD868" s="77" t="s">
        <v>5850</v>
      </c>
      <c r="AE868" s="83" t="str">
        <f>HYPERLINK("https://twitter.com/inconfor_mista/status/1609998825598369794")</f>
        <v>https://twitter.com/inconfor_mista/status/1609998825598369794</v>
      </c>
      <c r="AF868" s="79">
        <v>44928.821840277778</v>
      </c>
      <c r="AG868" s="85">
        <v>44928</v>
      </c>
      <c r="AH868" s="81" t="s">
        <v>6680</v>
      </c>
      <c r="AI868" s="77"/>
      <c r="AJ868" s="77"/>
      <c r="AK868" s="77"/>
      <c r="AL868" s="77"/>
      <c r="AM868" s="77"/>
      <c r="AN868" s="77"/>
      <c r="AO868" s="77"/>
      <c r="AP868" s="77"/>
      <c r="AQ868" s="77"/>
      <c r="AR868" s="77"/>
      <c r="AS868" s="77"/>
      <c r="AT868" s="77"/>
      <c r="AU868" s="77"/>
      <c r="AV868" s="83" t="str">
        <f>HYPERLINK("https://pbs.twimg.com/profile_images/1673425751138238464/-FqaQKM3_normal.jpg")</f>
        <v>https://pbs.twimg.com/profile_images/1673425751138238464/-FqaQKM3_normal.jpg</v>
      </c>
      <c r="AW868" s="81" t="s">
        <v>10132</v>
      </c>
      <c r="AX868" s="81" t="s">
        <v>11264</v>
      </c>
      <c r="AY868" s="81" t="s">
        <v>11332</v>
      </c>
      <c r="AZ868" s="81" t="s">
        <v>11264</v>
      </c>
      <c r="BA868" s="81" t="s">
        <v>11359</v>
      </c>
      <c r="BB868" s="81" t="s">
        <v>11359</v>
      </c>
      <c r="BC868" s="81" t="s">
        <v>11264</v>
      </c>
      <c r="BD868" s="77">
        <v>196647466</v>
      </c>
      <c r="BE868" s="77"/>
      <c r="BF868" s="77"/>
      <c r="BG868" s="77"/>
      <c r="BH868" s="77"/>
      <c r="BI868" s="77"/>
    </row>
    <row r="869" spans="1:61" x14ac:dyDescent="0.25">
      <c r="A869" s="62" t="s">
        <v>442</v>
      </c>
      <c r="B869" s="62" t="s">
        <v>442</v>
      </c>
      <c r="C869" s="63"/>
      <c r="D869" s="64"/>
      <c r="E869" s="65"/>
      <c r="F869" s="66"/>
      <c r="G869" s="63"/>
      <c r="H869" s="67"/>
      <c r="I869" s="68"/>
      <c r="J869" s="68"/>
      <c r="K869" s="32"/>
      <c r="L869" s="75">
        <v>869</v>
      </c>
      <c r="M869" s="75"/>
      <c r="N869" s="70"/>
      <c r="O869" s="77" t="s">
        <v>179</v>
      </c>
      <c r="P869" s="79">
        <v>44936.402245370373</v>
      </c>
      <c r="Q869" s="77" t="s">
        <v>1811</v>
      </c>
      <c r="R869" s="77">
        <v>0</v>
      </c>
      <c r="S869" s="77">
        <v>0</v>
      </c>
      <c r="T869" s="77">
        <v>0</v>
      </c>
      <c r="U869" s="77">
        <v>0</v>
      </c>
      <c r="V869" s="77">
        <v>32</v>
      </c>
      <c r="W869" s="81" t="s">
        <v>3419</v>
      </c>
      <c r="X869" s="83" t="str">
        <f>HYPERLINK("https://www.growz-consultants.com/blog")</f>
        <v>https://www.growz-consultants.com/blog</v>
      </c>
      <c r="Y869" s="77" t="s">
        <v>4276</v>
      </c>
      <c r="Z869" s="77"/>
      <c r="AA869" s="77" t="s">
        <v>5076</v>
      </c>
      <c r="AB869" s="77" t="s">
        <v>5794</v>
      </c>
      <c r="AC869" s="81" t="s">
        <v>5812</v>
      </c>
      <c r="AD869" s="77" t="s">
        <v>5850</v>
      </c>
      <c r="AE869" s="83" t="str">
        <f>HYPERLINK("https://twitter.com/sergiramo/status/1612745873254907904")</f>
        <v>https://twitter.com/sergiramo/status/1612745873254907904</v>
      </c>
      <c r="AF869" s="79">
        <v>44936.402245370373</v>
      </c>
      <c r="AG869" s="85">
        <v>44936</v>
      </c>
      <c r="AH869" s="81" t="s">
        <v>6681</v>
      </c>
      <c r="AI869" s="77" t="b">
        <v>0</v>
      </c>
      <c r="AJ869" s="77"/>
      <c r="AK869" s="77"/>
      <c r="AL869" s="77"/>
      <c r="AM869" s="77"/>
      <c r="AN869" s="77"/>
      <c r="AO869" s="77"/>
      <c r="AP869" s="77"/>
      <c r="AQ869" s="77" t="s">
        <v>8579</v>
      </c>
      <c r="AR869" s="77"/>
      <c r="AS869" s="77"/>
      <c r="AT869" s="77"/>
      <c r="AU869" s="77"/>
      <c r="AV869" s="83" t="str">
        <f>HYPERLINK("https://pbs.twimg.com/media/FmGf0o1XEAAVacS.jpg")</f>
        <v>https://pbs.twimg.com/media/FmGf0o1XEAAVacS.jpg</v>
      </c>
      <c r="AW869" s="81" t="s">
        <v>10133</v>
      </c>
      <c r="AX869" s="81" t="s">
        <v>10133</v>
      </c>
      <c r="AY869" s="77"/>
      <c r="AZ869" s="81" t="s">
        <v>11359</v>
      </c>
      <c r="BA869" s="81" t="s">
        <v>11359</v>
      </c>
      <c r="BB869" s="81" t="s">
        <v>11359</v>
      </c>
      <c r="BC869" s="81" t="s">
        <v>10133</v>
      </c>
      <c r="BD869" s="77">
        <v>56373582</v>
      </c>
      <c r="BE869" s="77"/>
      <c r="BF869" s="77"/>
      <c r="BG869" s="77"/>
      <c r="BH869" s="77"/>
      <c r="BI869" s="77"/>
    </row>
    <row r="870" spans="1:61" x14ac:dyDescent="0.25">
      <c r="A870" s="62" t="s">
        <v>442</v>
      </c>
      <c r="B870" s="62" t="s">
        <v>442</v>
      </c>
      <c r="C870" s="63"/>
      <c r="D870" s="64"/>
      <c r="E870" s="65"/>
      <c r="F870" s="66"/>
      <c r="G870" s="63"/>
      <c r="H870" s="67"/>
      <c r="I870" s="68"/>
      <c r="J870" s="68"/>
      <c r="K870" s="32"/>
      <c r="L870" s="75">
        <v>870</v>
      </c>
      <c r="M870" s="75"/>
      <c r="N870" s="70"/>
      <c r="O870" s="77" t="s">
        <v>179</v>
      </c>
      <c r="P870" s="79">
        <v>44935.39875</v>
      </c>
      <c r="Q870" s="77" t="s">
        <v>1812</v>
      </c>
      <c r="R870" s="77">
        <v>0</v>
      </c>
      <c r="S870" s="77">
        <v>2</v>
      </c>
      <c r="T870" s="77">
        <v>0</v>
      </c>
      <c r="U870" s="77">
        <v>0</v>
      </c>
      <c r="V870" s="77">
        <v>92</v>
      </c>
      <c r="W870" s="81" t="s">
        <v>3420</v>
      </c>
      <c r="X870" s="77"/>
      <c r="Y870" s="77"/>
      <c r="Z870" s="77"/>
      <c r="AA870" s="77" t="s">
        <v>5077</v>
      </c>
      <c r="AB870" s="77" t="s">
        <v>5794</v>
      </c>
      <c r="AC870" s="81" t="s">
        <v>5812</v>
      </c>
      <c r="AD870" s="77" t="s">
        <v>5850</v>
      </c>
      <c r="AE870" s="83" t="str">
        <f>HYPERLINK("https://twitter.com/sergiramo/status/1612382219204497408")</f>
        <v>https://twitter.com/sergiramo/status/1612382219204497408</v>
      </c>
      <c r="AF870" s="79">
        <v>44935.39875</v>
      </c>
      <c r="AG870" s="85">
        <v>44935</v>
      </c>
      <c r="AH870" s="81" t="s">
        <v>6682</v>
      </c>
      <c r="AI870" s="77" t="b">
        <v>0</v>
      </c>
      <c r="AJ870" s="77"/>
      <c r="AK870" s="77"/>
      <c r="AL870" s="77"/>
      <c r="AM870" s="77"/>
      <c r="AN870" s="77"/>
      <c r="AO870" s="77"/>
      <c r="AP870" s="77"/>
      <c r="AQ870" s="77" t="s">
        <v>8580</v>
      </c>
      <c r="AR870" s="77"/>
      <c r="AS870" s="77"/>
      <c r="AT870" s="77"/>
      <c r="AU870" s="77"/>
      <c r="AV870" s="83" t="str">
        <f>HYPERLINK("https://pbs.twimg.com/media/FmBVFR4XoAAAS_d.jpg")</f>
        <v>https://pbs.twimg.com/media/FmBVFR4XoAAAS_d.jpg</v>
      </c>
      <c r="AW870" s="81" t="s">
        <v>10134</v>
      </c>
      <c r="AX870" s="81" t="s">
        <v>10134</v>
      </c>
      <c r="AY870" s="77"/>
      <c r="AZ870" s="81" t="s">
        <v>11359</v>
      </c>
      <c r="BA870" s="81" t="s">
        <v>11359</v>
      </c>
      <c r="BB870" s="81" t="s">
        <v>11359</v>
      </c>
      <c r="BC870" s="81" t="s">
        <v>10134</v>
      </c>
      <c r="BD870" s="77">
        <v>56373582</v>
      </c>
      <c r="BE870" s="77"/>
      <c r="BF870" s="77"/>
      <c r="BG870" s="77"/>
      <c r="BH870" s="77"/>
      <c r="BI870" s="77"/>
    </row>
    <row r="871" spans="1:61" x14ac:dyDescent="0.25">
      <c r="A871" s="62" t="s">
        <v>442</v>
      </c>
      <c r="B871" s="62" t="s">
        <v>442</v>
      </c>
      <c r="C871" s="63"/>
      <c r="D871" s="64"/>
      <c r="E871" s="65"/>
      <c r="F871" s="66"/>
      <c r="G871" s="63"/>
      <c r="H871" s="67"/>
      <c r="I871" s="68"/>
      <c r="J871" s="68"/>
      <c r="K871" s="32"/>
      <c r="L871" s="75">
        <v>871</v>
      </c>
      <c r="M871" s="75"/>
      <c r="N871" s="70"/>
      <c r="O871" s="77" t="s">
        <v>179</v>
      </c>
      <c r="P871" s="79">
        <v>44985.393923611111</v>
      </c>
      <c r="Q871" s="77" t="s">
        <v>1813</v>
      </c>
      <c r="R871" s="77">
        <v>0</v>
      </c>
      <c r="S871" s="77">
        <v>0</v>
      </c>
      <c r="T871" s="77">
        <v>0</v>
      </c>
      <c r="U871" s="77">
        <v>0</v>
      </c>
      <c r="V871" s="77">
        <v>27</v>
      </c>
      <c r="W871" s="81" t="s">
        <v>3421</v>
      </c>
      <c r="X871" s="83" t="str">
        <f>HYPERLINK("https://www.linkedin.com/pulse/la-mentalidad-ganadora-del-vendedor-h%25C3%25ADbrido-sergi-ramo/?trackingId=ZJ88Ie0YStaScHx6814rGg%3D%3D")</f>
        <v>https://www.linkedin.com/pulse/la-mentalidad-ganadora-del-vendedor-h%25C3%25ADbrido-sergi-ramo/?trackingId=ZJ88Ie0YStaScHx6814rGg%3D%3D</v>
      </c>
      <c r="Y871" s="77" t="s">
        <v>4218</v>
      </c>
      <c r="Z871" s="77"/>
      <c r="AA871" s="77" t="s">
        <v>5078</v>
      </c>
      <c r="AB871" s="77" t="s">
        <v>5794</v>
      </c>
      <c r="AC871" s="81" t="s">
        <v>5812</v>
      </c>
      <c r="AD871" s="77" t="s">
        <v>5850</v>
      </c>
      <c r="AE871" s="83" t="str">
        <f>HYPERLINK("https://twitter.com/sergiramo/status/1630499865745563648")</f>
        <v>https://twitter.com/sergiramo/status/1630499865745563648</v>
      </c>
      <c r="AF871" s="79">
        <v>44985.393923611111</v>
      </c>
      <c r="AG871" s="85">
        <v>44985</v>
      </c>
      <c r="AH871" s="81" t="s">
        <v>6683</v>
      </c>
      <c r="AI871" s="77" t="b">
        <v>0</v>
      </c>
      <c r="AJ871" s="77"/>
      <c r="AK871" s="77"/>
      <c r="AL871" s="77"/>
      <c r="AM871" s="77"/>
      <c r="AN871" s="77"/>
      <c r="AO871" s="77"/>
      <c r="AP871" s="77"/>
      <c r="AQ871" s="77" t="s">
        <v>8581</v>
      </c>
      <c r="AR871" s="77"/>
      <c r="AS871" s="77"/>
      <c r="AT871" s="77"/>
      <c r="AU871" s="77"/>
      <c r="AV871" s="83" t="str">
        <f>HYPERLINK("https://pbs.twimg.com/media/FqCy-4GX0AAqUNO.jpg")</f>
        <v>https://pbs.twimg.com/media/FqCy-4GX0AAqUNO.jpg</v>
      </c>
      <c r="AW871" s="81" t="s">
        <v>10135</v>
      </c>
      <c r="AX871" s="81" t="s">
        <v>10135</v>
      </c>
      <c r="AY871" s="77"/>
      <c r="AZ871" s="81" t="s">
        <v>11359</v>
      </c>
      <c r="BA871" s="81" t="s">
        <v>11359</v>
      </c>
      <c r="BB871" s="81" t="s">
        <v>11359</v>
      </c>
      <c r="BC871" s="81" t="s">
        <v>10135</v>
      </c>
      <c r="BD871" s="77">
        <v>56373582</v>
      </c>
      <c r="BE871" s="77"/>
      <c r="BF871" s="77"/>
      <c r="BG871" s="77"/>
      <c r="BH871" s="77"/>
      <c r="BI871" s="77"/>
    </row>
    <row r="872" spans="1:61" x14ac:dyDescent="0.25">
      <c r="A872" s="62" t="s">
        <v>442</v>
      </c>
      <c r="B872" s="62" t="s">
        <v>442</v>
      </c>
      <c r="C872" s="63"/>
      <c r="D872" s="64"/>
      <c r="E872" s="65"/>
      <c r="F872" s="66"/>
      <c r="G872" s="63"/>
      <c r="H872" s="67"/>
      <c r="I872" s="68"/>
      <c r="J872" s="68"/>
      <c r="K872" s="32"/>
      <c r="L872" s="75">
        <v>872</v>
      </c>
      <c r="M872" s="75"/>
      <c r="N872" s="70"/>
      <c r="O872" s="77" t="s">
        <v>179</v>
      </c>
      <c r="P872" s="79">
        <v>45068.328182870369</v>
      </c>
      <c r="Q872" s="77" t="s">
        <v>1814</v>
      </c>
      <c r="R872" s="77">
        <v>0</v>
      </c>
      <c r="S872" s="77">
        <v>1</v>
      </c>
      <c r="T872" s="77">
        <v>0</v>
      </c>
      <c r="U872" s="77">
        <v>0</v>
      </c>
      <c r="V872" s="77">
        <v>62</v>
      </c>
      <c r="W872" s="81" t="s">
        <v>3422</v>
      </c>
      <c r="X872" s="77"/>
      <c r="Y872" s="77"/>
      <c r="Z872" s="77"/>
      <c r="AA872" s="77" t="s">
        <v>5079</v>
      </c>
      <c r="AB872" s="77" t="s">
        <v>5794</v>
      </c>
      <c r="AC872" s="81" t="s">
        <v>5812</v>
      </c>
      <c r="AD872" s="77" t="s">
        <v>5850</v>
      </c>
      <c r="AE872" s="83" t="str">
        <f>HYPERLINK("https://twitter.com/sergiramo/status/1660554232221646854")</f>
        <v>https://twitter.com/sergiramo/status/1660554232221646854</v>
      </c>
      <c r="AF872" s="79">
        <v>45068.328182870369</v>
      </c>
      <c r="AG872" s="85">
        <v>45068</v>
      </c>
      <c r="AH872" s="81" t="s">
        <v>6684</v>
      </c>
      <c r="AI872" s="77" t="b">
        <v>0</v>
      </c>
      <c r="AJ872" s="77"/>
      <c r="AK872" s="77"/>
      <c r="AL872" s="77"/>
      <c r="AM872" s="77"/>
      <c r="AN872" s="77"/>
      <c r="AO872" s="77"/>
      <c r="AP872" s="77"/>
      <c r="AQ872" s="77" t="s">
        <v>8582</v>
      </c>
      <c r="AR872" s="77"/>
      <c r="AS872" s="77"/>
      <c r="AT872" s="77"/>
      <c r="AU872" s="77"/>
      <c r="AV872" s="83" t="str">
        <f>HYPERLINK("https://pbs.twimg.com/media/Fwt5RWOXoAA9T6N.jpg")</f>
        <v>https://pbs.twimg.com/media/Fwt5RWOXoAA9T6N.jpg</v>
      </c>
      <c r="AW872" s="81" t="s">
        <v>10136</v>
      </c>
      <c r="AX872" s="81" t="s">
        <v>10136</v>
      </c>
      <c r="AY872" s="77"/>
      <c r="AZ872" s="81" t="s">
        <v>11359</v>
      </c>
      <c r="BA872" s="81" t="s">
        <v>11359</v>
      </c>
      <c r="BB872" s="81" t="s">
        <v>11359</v>
      </c>
      <c r="BC872" s="81" t="s">
        <v>10136</v>
      </c>
      <c r="BD872" s="77">
        <v>56373582</v>
      </c>
      <c r="BE872" s="77"/>
      <c r="BF872" s="77"/>
      <c r="BG872" s="77"/>
      <c r="BH872" s="77"/>
      <c r="BI872" s="77"/>
    </row>
    <row r="873" spans="1:61" x14ac:dyDescent="0.25">
      <c r="A873" s="62" t="s">
        <v>442</v>
      </c>
      <c r="B873" s="62" t="s">
        <v>442</v>
      </c>
      <c r="C873" s="63"/>
      <c r="D873" s="64"/>
      <c r="E873" s="65"/>
      <c r="F873" s="66"/>
      <c r="G873" s="63"/>
      <c r="H873" s="67"/>
      <c r="I873" s="68"/>
      <c r="J873" s="68"/>
      <c r="K873" s="32"/>
      <c r="L873" s="75">
        <v>873</v>
      </c>
      <c r="M873" s="75"/>
      <c r="N873" s="70"/>
      <c r="O873" s="77" t="s">
        <v>179</v>
      </c>
      <c r="P873" s="79">
        <v>45174.44604166667</v>
      </c>
      <c r="Q873" s="77" t="s">
        <v>1815</v>
      </c>
      <c r="R873" s="77">
        <v>0</v>
      </c>
      <c r="S873" s="77">
        <v>0</v>
      </c>
      <c r="T873" s="77">
        <v>0</v>
      </c>
      <c r="U873" s="77">
        <v>0</v>
      </c>
      <c r="V873" s="77">
        <v>16</v>
      </c>
      <c r="W873" s="81" t="s">
        <v>3423</v>
      </c>
      <c r="X873" s="83" t="str">
        <f>HYPERLINK("https://www.linkedin.com/feed/update/urn:li:activity:7104697177804808192/")</f>
        <v>https://www.linkedin.com/feed/update/urn:li:activity:7104697177804808192/</v>
      </c>
      <c r="Y873" s="77" t="s">
        <v>4218</v>
      </c>
      <c r="Z873" s="77"/>
      <c r="AA873" s="77"/>
      <c r="AB873" s="77"/>
      <c r="AC873" s="81" t="s">
        <v>5812</v>
      </c>
      <c r="AD873" s="77" t="s">
        <v>5850</v>
      </c>
      <c r="AE873" s="83" t="str">
        <f>HYPERLINK("https://twitter.com/sergiramo/status/1699010057084531191")</f>
        <v>https://twitter.com/sergiramo/status/1699010057084531191</v>
      </c>
      <c r="AF873" s="79">
        <v>45174.44604166667</v>
      </c>
      <c r="AG873" s="85">
        <v>45174</v>
      </c>
      <c r="AH873" s="81" t="s">
        <v>6685</v>
      </c>
      <c r="AI873" s="77" t="b">
        <v>0</v>
      </c>
      <c r="AJ873" s="77"/>
      <c r="AK873" s="77"/>
      <c r="AL873" s="77"/>
      <c r="AM873" s="77"/>
      <c r="AN873" s="77"/>
      <c r="AO873" s="77"/>
      <c r="AP873" s="77"/>
      <c r="AQ873" s="77"/>
      <c r="AR873" s="77"/>
      <c r="AS873" s="77"/>
      <c r="AT873" s="77"/>
      <c r="AU873" s="77"/>
      <c r="AV873" s="83" t="str">
        <f>HYPERLINK("https://pbs.twimg.com/profile_images/1043816482042499072/g86ZwsoS_normal.jpg")</f>
        <v>https://pbs.twimg.com/profile_images/1043816482042499072/g86ZwsoS_normal.jpg</v>
      </c>
      <c r="AW873" s="81" t="s">
        <v>10137</v>
      </c>
      <c r="AX873" s="81" t="s">
        <v>10137</v>
      </c>
      <c r="AY873" s="77"/>
      <c r="AZ873" s="81" t="s">
        <v>11359</v>
      </c>
      <c r="BA873" s="81" t="s">
        <v>11359</v>
      </c>
      <c r="BB873" s="81" t="s">
        <v>11359</v>
      </c>
      <c r="BC873" s="81" t="s">
        <v>10137</v>
      </c>
      <c r="BD873" s="77">
        <v>56373582</v>
      </c>
      <c r="BE873" s="77"/>
      <c r="BF873" s="77"/>
      <c r="BG873" s="77"/>
      <c r="BH873" s="77"/>
      <c r="BI873" s="77"/>
    </row>
    <row r="874" spans="1:61" x14ac:dyDescent="0.25">
      <c r="A874" s="62" t="s">
        <v>442</v>
      </c>
      <c r="B874" s="62" t="s">
        <v>442</v>
      </c>
      <c r="C874" s="63"/>
      <c r="D874" s="64"/>
      <c r="E874" s="65"/>
      <c r="F874" s="66"/>
      <c r="G874" s="63"/>
      <c r="H874" s="67"/>
      <c r="I874" s="68"/>
      <c r="J874" s="68"/>
      <c r="K874" s="32"/>
      <c r="L874" s="75">
        <v>874</v>
      </c>
      <c r="M874" s="75"/>
      <c r="N874" s="70"/>
      <c r="O874" s="77" t="s">
        <v>179</v>
      </c>
      <c r="P874" s="79">
        <v>44978.392604166664</v>
      </c>
      <c r="Q874" s="77" t="s">
        <v>1816</v>
      </c>
      <c r="R874" s="77">
        <v>0</v>
      </c>
      <c r="S874" s="77">
        <v>0</v>
      </c>
      <c r="T874" s="77">
        <v>0</v>
      </c>
      <c r="U874" s="77">
        <v>0</v>
      </c>
      <c r="V874" s="77">
        <v>19</v>
      </c>
      <c r="W874" s="81" t="s">
        <v>2947</v>
      </c>
      <c r="X874" s="83" t="str">
        <f>HYPERLINK("https://www.linkedin.com/pulse/el-trampol%25C3%25ADn-para-saltar-de-errores-oportunidades-en-la-sergi-ramo/?trackingId=stLxc2R2RjeH%2F9HMuohV%2FQ%3D%3D")</f>
        <v>https://www.linkedin.com/pulse/el-trampol%25C3%25ADn-para-saltar-de-errores-oportunidades-en-la-sergi-ramo/?trackingId=stLxc2R2RjeH%2F9HMuohV%2FQ%3D%3D</v>
      </c>
      <c r="Y874" s="77" t="s">
        <v>4218</v>
      </c>
      <c r="Z874" s="77"/>
      <c r="AA874" s="77"/>
      <c r="AB874" s="77"/>
      <c r="AC874" s="81" t="s">
        <v>5812</v>
      </c>
      <c r="AD874" s="77" t="s">
        <v>5850</v>
      </c>
      <c r="AE874" s="83" t="str">
        <f>HYPERLINK("https://twitter.com/sergiramo/status/1627962671025758213")</f>
        <v>https://twitter.com/sergiramo/status/1627962671025758213</v>
      </c>
      <c r="AF874" s="79">
        <v>44978.392604166664</v>
      </c>
      <c r="AG874" s="85">
        <v>44978</v>
      </c>
      <c r="AH874" s="81" t="s">
        <v>6686</v>
      </c>
      <c r="AI874" s="77" t="b">
        <v>0</v>
      </c>
      <c r="AJ874" s="77"/>
      <c r="AK874" s="77"/>
      <c r="AL874" s="77"/>
      <c r="AM874" s="77"/>
      <c r="AN874" s="77"/>
      <c r="AO874" s="77"/>
      <c r="AP874" s="77"/>
      <c r="AQ874" s="77"/>
      <c r="AR874" s="77"/>
      <c r="AS874" s="77"/>
      <c r="AT874" s="77"/>
      <c r="AU874" s="77"/>
      <c r="AV874" s="83" t="str">
        <f>HYPERLINK("https://pbs.twimg.com/profile_images/1043816482042499072/g86ZwsoS_normal.jpg")</f>
        <v>https://pbs.twimg.com/profile_images/1043816482042499072/g86ZwsoS_normal.jpg</v>
      </c>
      <c r="AW874" s="81" t="s">
        <v>10138</v>
      </c>
      <c r="AX874" s="81" t="s">
        <v>10138</v>
      </c>
      <c r="AY874" s="77"/>
      <c r="AZ874" s="81" t="s">
        <v>11359</v>
      </c>
      <c r="BA874" s="81" t="s">
        <v>11359</v>
      </c>
      <c r="BB874" s="81" t="s">
        <v>11359</v>
      </c>
      <c r="BC874" s="81" t="s">
        <v>10138</v>
      </c>
      <c r="BD874" s="77">
        <v>56373582</v>
      </c>
      <c r="BE874" s="77"/>
      <c r="BF874" s="77"/>
      <c r="BG874" s="77"/>
      <c r="BH874" s="77"/>
      <c r="BI874" s="77"/>
    </row>
    <row r="875" spans="1:61" x14ac:dyDescent="0.25">
      <c r="A875" s="62" t="s">
        <v>443</v>
      </c>
      <c r="B875" s="62" t="s">
        <v>566</v>
      </c>
      <c r="C875" s="63"/>
      <c r="D875" s="64"/>
      <c r="E875" s="65"/>
      <c r="F875" s="66"/>
      <c r="G875" s="63"/>
      <c r="H875" s="67"/>
      <c r="I875" s="68"/>
      <c r="J875" s="68"/>
      <c r="K875" s="32"/>
      <c r="L875" s="75">
        <v>875</v>
      </c>
      <c r="M875" s="75"/>
      <c r="N875" s="70"/>
      <c r="O875" s="77" t="s">
        <v>971</v>
      </c>
      <c r="P875" s="79">
        <v>45091.803587962961</v>
      </c>
      <c r="Q875" s="77" t="s">
        <v>1817</v>
      </c>
      <c r="R875" s="77">
        <v>0</v>
      </c>
      <c r="S875" s="77">
        <v>2</v>
      </c>
      <c r="T875" s="77">
        <v>0</v>
      </c>
      <c r="U875" s="77">
        <v>0</v>
      </c>
      <c r="V875" s="77">
        <v>69</v>
      </c>
      <c r="W875" s="81" t="s">
        <v>3424</v>
      </c>
      <c r="X875" s="77"/>
      <c r="Y875" s="77"/>
      <c r="Z875" s="77"/>
      <c r="AA875" s="77"/>
      <c r="AB875" s="77"/>
      <c r="AC875" s="81" t="s">
        <v>5805</v>
      </c>
      <c r="AD875" s="77" t="s">
        <v>5854</v>
      </c>
      <c r="AE875" s="83" t="str">
        <f>HYPERLINK("https://twitter.com/vacantesmx/status/1669061437040525312")</f>
        <v>https://twitter.com/vacantesmx/status/1669061437040525312</v>
      </c>
      <c r="AF875" s="79">
        <v>45091.803587962961</v>
      </c>
      <c r="AG875" s="85">
        <v>45091</v>
      </c>
      <c r="AH875" s="81" t="s">
        <v>6687</v>
      </c>
      <c r="AI875" s="77"/>
      <c r="AJ875" s="77"/>
      <c r="AK875" s="77"/>
      <c r="AL875" s="77"/>
      <c r="AM875" s="77"/>
      <c r="AN875" s="77"/>
      <c r="AO875" s="77"/>
      <c r="AP875" s="77"/>
      <c r="AQ875" s="77"/>
      <c r="AR875" s="77"/>
      <c r="AS875" s="77"/>
      <c r="AT875" s="77"/>
      <c r="AU875" s="77"/>
      <c r="AV875" s="83" t="str">
        <f>HYPERLINK("https://pbs.twimg.com/profile_images/1659306498806394880/kUzqHuw8_normal.jpg")</f>
        <v>https://pbs.twimg.com/profile_images/1659306498806394880/kUzqHuw8_normal.jpg</v>
      </c>
      <c r="AW875" s="81" t="s">
        <v>10139</v>
      </c>
      <c r="AX875" s="81" t="s">
        <v>10139</v>
      </c>
      <c r="AY875" s="77"/>
      <c r="AZ875" s="81" t="s">
        <v>11359</v>
      </c>
      <c r="BA875" s="81" t="s">
        <v>10643</v>
      </c>
      <c r="BB875" s="81" t="s">
        <v>11359</v>
      </c>
      <c r="BC875" s="81" t="s">
        <v>10643</v>
      </c>
      <c r="BD875" s="81" t="s">
        <v>11515</v>
      </c>
      <c r="BE875" s="77"/>
      <c r="BF875" s="77"/>
      <c r="BG875" s="77"/>
      <c r="BH875" s="77"/>
      <c r="BI875" s="77"/>
    </row>
    <row r="876" spans="1:61" x14ac:dyDescent="0.25">
      <c r="A876" s="62" t="s">
        <v>444</v>
      </c>
      <c r="B876" s="62" t="s">
        <v>913</v>
      </c>
      <c r="C876" s="63"/>
      <c r="D876" s="64"/>
      <c r="E876" s="65"/>
      <c r="F876" s="66"/>
      <c r="G876" s="63"/>
      <c r="H876" s="67"/>
      <c r="I876" s="68"/>
      <c r="J876" s="68"/>
      <c r="K876" s="32"/>
      <c r="L876" s="75">
        <v>876</v>
      </c>
      <c r="M876" s="75"/>
      <c r="N876" s="70"/>
      <c r="O876" s="77" t="s">
        <v>967</v>
      </c>
      <c r="P876" s="79">
        <v>44980.315972222219</v>
      </c>
      <c r="Q876" s="77" t="s">
        <v>1818</v>
      </c>
      <c r="R876" s="77">
        <v>1</v>
      </c>
      <c r="S876" s="77">
        <v>1</v>
      </c>
      <c r="T876" s="77">
        <v>0</v>
      </c>
      <c r="U876" s="77">
        <v>0</v>
      </c>
      <c r="V876" s="77">
        <v>111</v>
      </c>
      <c r="W876" s="81" t="s">
        <v>3425</v>
      </c>
      <c r="X876" s="83" t="str">
        <f>HYPERLINK("https://buscaempleomadrid.com/2023/02/22/se-buscan-vendedores-de-muebles-en-zona-centro-de-madrid-a-jornada-completa/")</f>
        <v>https://buscaempleomadrid.com/2023/02/22/se-buscan-vendedores-de-muebles-en-zona-centro-de-madrid-a-jornada-completa/</v>
      </c>
      <c r="Y876" s="77" t="s">
        <v>4277</v>
      </c>
      <c r="Z876" s="77" t="s">
        <v>4374</v>
      </c>
      <c r="AA876" s="77"/>
      <c r="AB876" s="77"/>
      <c r="AC876" s="81" t="s">
        <v>5811</v>
      </c>
      <c r="AD876" s="77" t="s">
        <v>5850</v>
      </c>
      <c r="AE876" s="83" t="str">
        <f>HYPERLINK("https://twitter.com/gacetinmadrid/status/1628659675037331459")</f>
        <v>https://twitter.com/gacetinmadrid/status/1628659675037331459</v>
      </c>
      <c r="AF876" s="79">
        <v>44980.315972222219</v>
      </c>
      <c r="AG876" s="85">
        <v>44980</v>
      </c>
      <c r="AH876" s="81" t="s">
        <v>6688</v>
      </c>
      <c r="AI876" s="77" t="b">
        <v>0</v>
      </c>
      <c r="AJ876" s="77"/>
      <c r="AK876" s="77"/>
      <c r="AL876" s="77"/>
      <c r="AM876" s="77"/>
      <c r="AN876" s="77"/>
      <c r="AO876" s="77"/>
      <c r="AP876" s="77"/>
      <c r="AQ876" s="77"/>
      <c r="AR876" s="77"/>
      <c r="AS876" s="77"/>
      <c r="AT876" s="77"/>
      <c r="AU876" s="77"/>
      <c r="AV876" s="83" t="str">
        <f>HYPERLINK("https://pbs.twimg.com/profile_images/851123807649714177/RCQQwbT1_normal.jpg")</f>
        <v>https://pbs.twimg.com/profile_images/851123807649714177/RCQQwbT1_normal.jpg</v>
      </c>
      <c r="AW876" s="81" t="s">
        <v>10140</v>
      </c>
      <c r="AX876" s="81" t="s">
        <v>10140</v>
      </c>
      <c r="AY876" s="77"/>
      <c r="AZ876" s="81" t="s">
        <v>11359</v>
      </c>
      <c r="BA876" s="81" t="s">
        <v>11359</v>
      </c>
      <c r="BB876" s="81" t="s">
        <v>11359</v>
      </c>
      <c r="BC876" s="81" t="s">
        <v>10140</v>
      </c>
      <c r="BD876" s="81" t="s">
        <v>11516</v>
      </c>
      <c r="BE876" s="77"/>
      <c r="BF876" s="77"/>
      <c r="BG876" s="77"/>
      <c r="BH876" s="77"/>
      <c r="BI876" s="77"/>
    </row>
    <row r="877" spans="1:61" x14ac:dyDescent="0.25">
      <c r="A877" s="62" t="s">
        <v>445</v>
      </c>
      <c r="B877" s="62" t="s">
        <v>445</v>
      </c>
      <c r="C877" s="63"/>
      <c r="D877" s="64"/>
      <c r="E877" s="65"/>
      <c r="F877" s="66"/>
      <c r="G877" s="63"/>
      <c r="H877" s="67"/>
      <c r="I877" s="68"/>
      <c r="J877" s="68"/>
      <c r="K877" s="32"/>
      <c r="L877" s="75">
        <v>877</v>
      </c>
      <c r="M877" s="75"/>
      <c r="N877" s="70"/>
      <c r="O877" s="77" t="s">
        <v>967</v>
      </c>
      <c r="P877" s="79">
        <v>44943.073113425926</v>
      </c>
      <c r="Q877" s="77" t="s">
        <v>1819</v>
      </c>
      <c r="R877" s="77">
        <v>2</v>
      </c>
      <c r="S877" s="77">
        <v>1</v>
      </c>
      <c r="T877" s="77">
        <v>0</v>
      </c>
      <c r="U877" s="77">
        <v>0</v>
      </c>
      <c r="V877" s="77">
        <v>96</v>
      </c>
      <c r="W877" s="81" t="s">
        <v>3426</v>
      </c>
      <c r="X877" s="83" t="str">
        <f>HYPERLINK("https://buscaempleomadrid.com/2023/01/17/tienda-de-telefonia-en-madrid-busca-5-vendedores-con-contrato-indefinido-1-700-euros-al-mes/")</f>
        <v>https://buscaempleomadrid.com/2023/01/17/tienda-de-telefonia-en-madrid-busca-5-vendedores-con-contrato-indefinido-1-700-euros-al-mes/</v>
      </c>
      <c r="Y877" s="77" t="s">
        <v>4277</v>
      </c>
      <c r="Z877" s="77" t="s">
        <v>445</v>
      </c>
      <c r="AA877" s="77"/>
      <c r="AB877" s="77"/>
      <c r="AC877" s="81" t="s">
        <v>5805</v>
      </c>
      <c r="AD877" s="77" t="s">
        <v>5850</v>
      </c>
      <c r="AE877" s="83" t="str">
        <f>HYPERLINK("https://twitter.com/buscaempleomad/status/1615163317441515520")</f>
        <v>https://twitter.com/buscaempleomad/status/1615163317441515520</v>
      </c>
      <c r="AF877" s="79">
        <v>44943.073113425926</v>
      </c>
      <c r="AG877" s="85">
        <v>44943</v>
      </c>
      <c r="AH877" s="81" t="s">
        <v>6689</v>
      </c>
      <c r="AI877" s="77" t="b">
        <v>0</v>
      </c>
      <c r="AJ877" s="77"/>
      <c r="AK877" s="77"/>
      <c r="AL877" s="77"/>
      <c r="AM877" s="77"/>
      <c r="AN877" s="77"/>
      <c r="AO877" s="77"/>
      <c r="AP877" s="77"/>
      <c r="AQ877" s="77"/>
      <c r="AR877" s="77"/>
      <c r="AS877" s="77"/>
      <c r="AT877" s="77"/>
      <c r="AU877" s="77"/>
      <c r="AV877" s="83" t="str">
        <f>HYPERLINK("https://pbs.twimg.com/profile_images/1401339639928176642/y1RfMEog_normal.jpg")</f>
        <v>https://pbs.twimg.com/profile_images/1401339639928176642/y1RfMEog_normal.jpg</v>
      </c>
      <c r="AW877" s="81" t="s">
        <v>10141</v>
      </c>
      <c r="AX877" s="81" t="s">
        <v>10141</v>
      </c>
      <c r="AY877" s="77"/>
      <c r="AZ877" s="81" t="s">
        <v>11359</v>
      </c>
      <c r="BA877" s="81" t="s">
        <v>11359</v>
      </c>
      <c r="BB877" s="81" t="s">
        <v>11359</v>
      </c>
      <c r="BC877" s="81" t="s">
        <v>10141</v>
      </c>
      <c r="BD877" s="81" t="s">
        <v>11517</v>
      </c>
      <c r="BE877" s="77"/>
      <c r="BF877" s="77"/>
      <c r="BG877" s="77"/>
      <c r="BH877" s="77"/>
      <c r="BI877" s="77"/>
    </row>
    <row r="878" spans="1:61" x14ac:dyDescent="0.25">
      <c r="A878" s="62" t="s">
        <v>445</v>
      </c>
      <c r="B878" s="62" t="s">
        <v>445</v>
      </c>
      <c r="C878" s="63"/>
      <c r="D878" s="64"/>
      <c r="E878" s="65"/>
      <c r="F878" s="66"/>
      <c r="G878" s="63"/>
      <c r="H878" s="67"/>
      <c r="I878" s="68"/>
      <c r="J878" s="68"/>
      <c r="K878" s="32"/>
      <c r="L878" s="75">
        <v>878</v>
      </c>
      <c r="M878" s="75"/>
      <c r="N878" s="70"/>
      <c r="O878" s="77" t="s">
        <v>967</v>
      </c>
      <c r="P878" s="79">
        <v>44980.718240740738</v>
      </c>
      <c r="Q878" s="77" t="s">
        <v>1820</v>
      </c>
      <c r="R878" s="77">
        <v>1</v>
      </c>
      <c r="S878" s="77">
        <v>0</v>
      </c>
      <c r="T878" s="77">
        <v>0</v>
      </c>
      <c r="U878" s="77">
        <v>0</v>
      </c>
      <c r="V878" s="77">
        <v>42</v>
      </c>
      <c r="W878" s="81" t="s">
        <v>3427</v>
      </c>
      <c r="X878" s="83" t="str">
        <f>HYPERLINK("https://buscaempleomadrid.com/2023/02/23/se-buscan-vendedores-de-muebles-y-colchones-al-sur-de-madrid-contrato-indefinido-y-no-necesaria-experiencia/")</f>
        <v>https://buscaempleomadrid.com/2023/02/23/se-buscan-vendedores-de-muebles-y-colchones-al-sur-de-madrid-contrato-indefinido-y-no-necesaria-experiencia/</v>
      </c>
      <c r="Y878" s="77" t="s">
        <v>4277</v>
      </c>
      <c r="Z878" s="77" t="s">
        <v>445</v>
      </c>
      <c r="AA878" s="77"/>
      <c r="AB878" s="77"/>
      <c r="AC878" s="81" t="s">
        <v>5805</v>
      </c>
      <c r="AD878" s="77" t="s">
        <v>5850</v>
      </c>
      <c r="AE878" s="83" t="str">
        <f>HYPERLINK("https://twitter.com/buscaempleomad/status/1628805453432991746")</f>
        <v>https://twitter.com/buscaempleomad/status/1628805453432991746</v>
      </c>
      <c r="AF878" s="79">
        <v>44980.718240740738</v>
      </c>
      <c r="AG878" s="85">
        <v>44980</v>
      </c>
      <c r="AH878" s="81" t="s">
        <v>6690</v>
      </c>
      <c r="AI878" s="77" t="b">
        <v>0</v>
      </c>
      <c r="AJ878" s="77"/>
      <c r="AK878" s="77"/>
      <c r="AL878" s="77"/>
      <c r="AM878" s="77"/>
      <c r="AN878" s="77"/>
      <c r="AO878" s="77"/>
      <c r="AP878" s="77"/>
      <c r="AQ878" s="77"/>
      <c r="AR878" s="77"/>
      <c r="AS878" s="77"/>
      <c r="AT878" s="77"/>
      <c r="AU878" s="77"/>
      <c r="AV878" s="83" t="str">
        <f>HYPERLINK("https://pbs.twimg.com/profile_images/1401339639928176642/y1RfMEog_normal.jpg")</f>
        <v>https://pbs.twimg.com/profile_images/1401339639928176642/y1RfMEog_normal.jpg</v>
      </c>
      <c r="AW878" s="81" t="s">
        <v>10142</v>
      </c>
      <c r="AX878" s="81" t="s">
        <v>10142</v>
      </c>
      <c r="AY878" s="77"/>
      <c r="AZ878" s="81" t="s">
        <v>11359</v>
      </c>
      <c r="BA878" s="81" t="s">
        <v>11359</v>
      </c>
      <c r="BB878" s="81" t="s">
        <v>11359</v>
      </c>
      <c r="BC878" s="81" t="s">
        <v>10142</v>
      </c>
      <c r="BD878" s="81" t="s">
        <v>11517</v>
      </c>
      <c r="BE878" s="77"/>
      <c r="BF878" s="77"/>
      <c r="BG878" s="77"/>
      <c r="BH878" s="77"/>
      <c r="BI878" s="77"/>
    </row>
    <row r="879" spans="1:61" x14ac:dyDescent="0.25">
      <c r="A879" s="62" t="s">
        <v>445</v>
      </c>
      <c r="B879" s="62" t="s">
        <v>445</v>
      </c>
      <c r="C879" s="63"/>
      <c r="D879" s="64"/>
      <c r="E879" s="65"/>
      <c r="F879" s="66"/>
      <c r="G879" s="63"/>
      <c r="H879" s="67"/>
      <c r="I879" s="68"/>
      <c r="J879" s="68"/>
      <c r="K879" s="32"/>
      <c r="L879" s="75">
        <v>879</v>
      </c>
      <c r="M879" s="75"/>
      <c r="N879" s="70"/>
      <c r="O879" s="77" t="s">
        <v>967</v>
      </c>
      <c r="P879" s="79">
        <v>44979.939016203702</v>
      </c>
      <c r="Q879" s="77" t="s">
        <v>1821</v>
      </c>
      <c r="R879" s="77">
        <v>1</v>
      </c>
      <c r="S879" s="77">
        <v>1</v>
      </c>
      <c r="T879" s="77">
        <v>0</v>
      </c>
      <c r="U879" s="77">
        <v>0</v>
      </c>
      <c r="V879" s="77">
        <v>86</v>
      </c>
      <c r="W879" s="81" t="s">
        <v>3425</v>
      </c>
      <c r="X879" s="83" t="str">
        <f>HYPERLINK("https://buscaempleomadrid.com/2023/02/22/se-buscan-vendedores-de-muebles-en-zona-centro-de-madrid-a-jornada-completa/")</f>
        <v>https://buscaempleomadrid.com/2023/02/22/se-buscan-vendedores-de-muebles-en-zona-centro-de-madrid-a-jornada-completa/</v>
      </c>
      <c r="Y879" s="77" t="s">
        <v>4277</v>
      </c>
      <c r="Z879" s="77" t="s">
        <v>445</v>
      </c>
      <c r="AA879" s="77"/>
      <c r="AB879" s="77"/>
      <c r="AC879" s="81" t="s">
        <v>5805</v>
      </c>
      <c r="AD879" s="77" t="s">
        <v>5850</v>
      </c>
      <c r="AE879" s="83" t="str">
        <f>HYPERLINK("https://twitter.com/buscaempleomad/status/1628523072675278849")</f>
        <v>https://twitter.com/buscaempleomad/status/1628523072675278849</v>
      </c>
      <c r="AF879" s="79">
        <v>44979.939016203702</v>
      </c>
      <c r="AG879" s="85">
        <v>44979</v>
      </c>
      <c r="AH879" s="81" t="s">
        <v>6691</v>
      </c>
      <c r="AI879" s="77" t="b">
        <v>0</v>
      </c>
      <c r="AJ879" s="77"/>
      <c r="AK879" s="77"/>
      <c r="AL879" s="77"/>
      <c r="AM879" s="77"/>
      <c r="AN879" s="77"/>
      <c r="AO879" s="77"/>
      <c r="AP879" s="77"/>
      <c r="AQ879" s="77"/>
      <c r="AR879" s="77"/>
      <c r="AS879" s="77"/>
      <c r="AT879" s="77"/>
      <c r="AU879" s="77"/>
      <c r="AV879" s="83" t="str">
        <f>HYPERLINK("https://pbs.twimg.com/profile_images/1401339639928176642/y1RfMEog_normal.jpg")</f>
        <v>https://pbs.twimg.com/profile_images/1401339639928176642/y1RfMEog_normal.jpg</v>
      </c>
      <c r="AW879" s="81" t="s">
        <v>10143</v>
      </c>
      <c r="AX879" s="81" t="s">
        <v>10143</v>
      </c>
      <c r="AY879" s="77"/>
      <c r="AZ879" s="81" t="s">
        <v>11359</v>
      </c>
      <c r="BA879" s="81" t="s">
        <v>11359</v>
      </c>
      <c r="BB879" s="81" t="s">
        <v>11359</v>
      </c>
      <c r="BC879" s="81" t="s">
        <v>10143</v>
      </c>
      <c r="BD879" s="81" t="s">
        <v>11517</v>
      </c>
      <c r="BE879" s="77"/>
      <c r="BF879" s="77"/>
      <c r="BG879" s="77"/>
      <c r="BH879" s="77"/>
      <c r="BI879" s="77"/>
    </row>
    <row r="880" spans="1:61" x14ac:dyDescent="0.25">
      <c r="A880" s="62" t="s">
        <v>445</v>
      </c>
      <c r="B880" s="62" t="s">
        <v>445</v>
      </c>
      <c r="C880" s="63"/>
      <c r="D880" s="64"/>
      <c r="E880" s="65"/>
      <c r="F880" s="66"/>
      <c r="G880" s="63"/>
      <c r="H880" s="67"/>
      <c r="I880" s="68"/>
      <c r="J880" s="68"/>
      <c r="K880" s="32"/>
      <c r="L880" s="75">
        <v>880</v>
      </c>
      <c r="M880" s="75"/>
      <c r="N880" s="70"/>
      <c r="O880" s="77" t="s">
        <v>967</v>
      </c>
      <c r="P880" s="79">
        <v>45033.969895833332</v>
      </c>
      <c r="Q880" s="77" t="s">
        <v>1822</v>
      </c>
      <c r="R880" s="77">
        <v>2</v>
      </c>
      <c r="S880" s="77">
        <v>1</v>
      </c>
      <c r="T880" s="77">
        <v>0</v>
      </c>
      <c r="U880" s="77">
        <v>0</v>
      </c>
      <c r="V880" s="77">
        <v>113</v>
      </c>
      <c r="W880" s="81" t="s">
        <v>3428</v>
      </c>
      <c r="X880" s="83" t="str">
        <f>HYPERLINK("https://buscaempleomadrid.com/2023/04/18/se-buscan-vendedores-para-la-primera-tienda-del-barca-en-madrid-contrato-indefinido/")</f>
        <v>https://buscaempleomadrid.com/2023/04/18/se-buscan-vendedores-para-la-primera-tienda-del-barca-en-madrid-contrato-indefinido/</v>
      </c>
      <c r="Y880" s="77" t="s">
        <v>4277</v>
      </c>
      <c r="Z880" s="77" t="s">
        <v>445</v>
      </c>
      <c r="AA880" s="77"/>
      <c r="AB880" s="77"/>
      <c r="AC880" s="81" t="s">
        <v>5805</v>
      </c>
      <c r="AD880" s="77" t="s">
        <v>5850</v>
      </c>
      <c r="AE880" s="83" t="str">
        <f>HYPERLINK("https://twitter.com/buscaempleomad/status/1648103209066479616")</f>
        <v>https://twitter.com/buscaempleomad/status/1648103209066479616</v>
      </c>
      <c r="AF880" s="79">
        <v>45033.969895833332</v>
      </c>
      <c r="AG880" s="85">
        <v>45033</v>
      </c>
      <c r="AH880" s="81" t="s">
        <v>6692</v>
      </c>
      <c r="AI880" s="77" t="b">
        <v>0</v>
      </c>
      <c r="AJ880" s="77"/>
      <c r="AK880" s="77"/>
      <c r="AL880" s="77"/>
      <c r="AM880" s="77"/>
      <c r="AN880" s="77"/>
      <c r="AO880" s="77"/>
      <c r="AP880" s="77"/>
      <c r="AQ880" s="77"/>
      <c r="AR880" s="77"/>
      <c r="AS880" s="77"/>
      <c r="AT880" s="77"/>
      <c r="AU880" s="77"/>
      <c r="AV880" s="83" t="str">
        <f>HYPERLINK("https://pbs.twimg.com/profile_images/1401339639928176642/y1RfMEog_normal.jpg")</f>
        <v>https://pbs.twimg.com/profile_images/1401339639928176642/y1RfMEog_normal.jpg</v>
      </c>
      <c r="AW880" s="81" t="s">
        <v>10144</v>
      </c>
      <c r="AX880" s="81" t="s">
        <v>10144</v>
      </c>
      <c r="AY880" s="77"/>
      <c r="AZ880" s="81" t="s">
        <v>11359</v>
      </c>
      <c r="BA880" s="81" t="s">
        <v>11359</v>
      </c>
      <c r="BB880" s="81" t="s">
        <v>11359</v>
      </c>
      <c r="BC880" s="81" t="s">
        <v>10144</v>
      </c>
      <c r="BD880" s="81" t="s">
        <v>11517</v>
      </c>
      <c r="BE880" s="77"/>
      <c r="BF880" s="77"/>
      <c r="BG880" s="77"/>
      <c r="BH880" s="77"/>
      <c r="BI880" s="77"/>
    </row>
    <row r="881" spans="1:61" x14ac:dyDescent="0.25">
      <c r="A881" s="62" t="s">
        <v>445</v>
      </c>
      <c r="B881" s="62" t="s">
        <v>445</v>
      </c>
      <c r="C881" s="63"/>
      <c r="D881" s="64"/>
      <c r="E881" s="65"/>
      <c r="F881" s="66"/>
      <c r="G881" s="63"/>
      <c r="H881" s="67"/>
      <c r="I881" s="68"/>
      <c r="J881" s="68"/>
      <c r="K881" s="32"/>
      <c r="L881" s="75">
        <v>881</v>
      </c>
      <c r="M881" s="75"/>
      <c r="N881" s="70"/>
      <c r="O881" s="77" t="s">
        <v>967</v>
      </c>
      <c r="P881" s="79">
        <v>45068.938750000001</v>
      </c>
      <c r="Q881" s="77" t="s">
        <v>1823</v>
      </c>
      <c r="R881" s="77">
        <v>2</v>
      </c>
      <c r="S881" s="77">
        <v>1</v>
      </c>
      <c r="T881" s="77">
        <v>0</v>
      </c>
      <c r="U881" s="77">
        <v>0</v>
      </c>
      <c r="V881" s="77">
        <v>142</v>
      </c>
      <c r="W881" s="81" t="s">
        <v>3429</v>
      </c>
      <c r="X881" s="83" t="str">
        <f>HYPERLINK("https://buscaempleomadrid.com/2023/05/23/se-buscan-vendedores-para-la-primera-tienda-del-barca-en-madrid-contrato-indefinido-2/")</f>
        <v>https://buscaempleomadrid.com/2023/05/23/se-buscan-vendedores-para-la-primera-tienda-del-barca-en-madrid-contrato-indefinido-2/</v>
      </c>
      <c r="Y881" s="77" t="s">
        <v>4277</v>
      </c>
      <c r="Z881" s="77" t="s">
        <v>445</v>
      </c>
      <c r="AA881" s="77"/>
      <c r="AB881" s="77"/>
      <c r="AC881" s="81" t="s">
        <v>5805</v>
      </c>
      <c r="AD881" s="77" t="s">
        <v>5850</v>
      </c>
      <c r="AE881" s="83" t="str">
        <f>HYPERLINK("https://twitter.com/buscaempleomad/status/1660775496769060865")</f>
        <v>https://twitter.com/buscaempleomad/status/1660775496769060865</v>
      </c>
      <c r="AF881" s="79">
        <v>45068.938750000001</v>
      </c>
      <c r="AG881" s="85">
        <v>45068</v>
      </c>
      <c r="AH881" s="81" t="s">
        <v>6693</v>
      </c>
      <c r="AI881" s="77" t="b">
        <v>0</v>
      </c>
      <c r="AJ881" s="77"/>
      <c r="AK881" s="77"/>
      <c r="AL881" s="77"/>
      <c r="AM881" s="77"/>
      <c r="AN881" s="77"/>
      <c r="AO881" s="77"/>
      <c r="AP881" s="77"/>
      <c r="AQ881" s="77"/>
      <c r="AR881" s="77"/>
      <c r="AS881" s="77"/>
      <c r="AT881" s="77"/>
      <c r="AU881" s="77"/>
      <c r="AV881" s="83" t="str">
        <f>HYPERLINK("https://pbs.twimg.com/profile_images/1401339639928176642/y1RfMEog_normal.jpg")</f>
        <v>https://pbs.twimg.com/profile_images/1401339639928176642/y1RfMEog_normal.jpg</v>
      </c>
      <c r="AW881" s="81" t="s">
        <v>10145</v>
      </c>
      <c r="AX881" s="81" t="s">
        <v>10145</v>
      </c>
      <c r="AY881" s="77"/>
      <c r="AZ881" s="81" t="s">
        <v>11359</v>
      </c>
      <c r="BA881" s="81" t="s">
        <v>11359</v>
      </c>
      <c r="BB881" s="81" t="s">
        <v>11359</v>
      </c>
      <c r="BC881" s="81" t="s">
        <v>10145</v>
      </c>
      <c r="BD881" s="81" t="s">
        <v>11517</v>
      </c>
      <c r="BE881" s="77"/>
      <c r="BF881" s="77"/>
      <c r="BG881" s="77"/>
      <c r="BH881" s="77"/>
      <c r="BI881" s="77"/>
    </row>
    <row r="882" spans="1:61" x14ac:dyDescent="0.25">
      <c r="A882" s="62" t="s">
        <v>444</v>
      </c>
      <c r="B882" s="62" t="s">
        <v>445</v>
      </c>
      <c r="C882" s="63"/>
      <c r="D882" s="64"/>
      <c r="E882" s="65"/>
      <c r="F882" s="66"/>
      <c r="G882" s="63"/>
      <c r="H882" s="67"/>
      <c r="I882" s="68"/>
      <c r="J882" s="68"/>
      <c r="K882" s="32"/>
      <c r="L882" s="75">
        <v>882</v>
      </c>
      <c r="M882" s="75"/>
      <c r="N882" s="70"/>
      <c r="O882" s="77" t="s">
        <v>967</v>
      </c>
      <c r="P882" s="79">
        <v>44986.329861111109</v>
      </c>
      <c r="Q882" s="77" t="s">
        <v>1824</v>
      </c>
      <c r="R882" s="77">
        <v>4</v>
      </c>
      <c r="S882" s="77">
        <v>3</v>
      </c>
      <c r="T882" s="77">
        <v>0</v>
      </c>
      <c r="U882" s="77">
        <v>0</v>
      </c>
      <c r="V882" s="77">
        <v>173</v>
      </c>
      <c r="W882" s="81" t="s">
        <v>3430</v>
      </c>
      <c r="X882" s="83" t="str">
        <f>HYPERLINK("https://buscaempleomadrid.com/2023/02/23/se-buscan-vendedores-de-muebles-y-colchones-al-sur-de-madrid-contrato-indefinido-y-no-necesaria-experiencia/")</f>
        <v>https://buscaempleomadrid.com/2023/02/23/se-buscan-vendedores-de-muebles-y-colchones-al-sur-de-madrid-contrato-indefinido-y-no-necesaria-experiencia/</v>
      </c>
      <c r="Y882" s="77" t="s">
        <v>4277</v>
      </c>
      <c r="Z882" s="77" t="s">
        <v>445</v>
      </c>
      <c r="AA882" s="77"/>
      <c r="AB882" s="77"/>
      <c r="AC882" s="81" t="s">
        <v>5811</v>
      </c>
      <c r="AD882" s="77" t="s">
        <v>5850</v>
      </c>
      <c r="AE882" s="83" t="str">
        <f>HYPERLINK("https://twitter.com/gacetinmadrid/status/1630839035139866625")</f>
        <v>https://twitter.com/gacetinmadrid/status/1630839035139866625</v>
      </c>
      <c r="AF882" s="79">
        <v>44986.329861111109</v>
      </c>
      <c r="AG882" s="85">
        <v>44986</v>
      </c>
      <c r="AH882" s="81" t="s">
        <v>6694</v>
      </c>
      <c r="AI882" s="77" t="b">
        <v>0</v>
      </c>
      <c r="AJ882" s="77"/>
      <c r="AK882" s="77"/>
      <c r="AL882" s="77"/>
      <c r="AM882" s="77"/>
      <c r="AN882" s="77"/>
      <c r="AO882" s="77"/>
      <c r="AP882" s="77"/>
      <c r="AQ882" s="77"/>
      <c r="AR882" s="77"/>
      <c r="AS882" s="77"/>
      <c r="AT882" s="77"/>
      <c r="AU882" s="77"/>
      <c r="AV882" s="83" t="str">
        <f>HYPERLINK("https://pbs.twimg.com/profile_images/851123807649714177/RCQQwbT1_normal.jpg")</f>
        <v>https://pbs.twimg.com/profile_images/851123807649714177/RCQQwbT1_normal.jpg</v>
      </c>
      <c r="AW882" s="81" t="s">
        <v>10146</v>
      </c>
      <c r="AX882" s="81" t="s">
        <v>10146</v>
      </c>
      <c r="AY882" s="77"/>
      <c r="AZ882" s="81" t="s">
        <v>11359</v>
      </c>
      <c r="BA882" s="81" t="s">
        <v>11359</v>
      </c>
      <c r="BB882" s="81" t="s">
        <v>11359</v>
      </c>
      <c r="BC882" s="81" t="s">
        <v>10146</v>
      </c>
      <c r="BD882" s="81" t="s">
        <v>11516</v>
      </c>
      <c r="BE882" s="77"/>
      <c r="BF882" s="77"/>
      <c r="BG882" s="77"/>
      <c r="BH882" s="77"/>
      <c r="BI882" s="77"/>
    </row>
    <row r="883" spans="1:61" x14ac:dyDescent="0.25">
      <c r="A883" s="62" t="s">
        <v>444</v>
      </c>
      <c r="B883" s="62" t="s">
        <v>445</v>
      </c>
      <c r="C883" s="63"/>
      <c r="D883" s="64"/>
      <c r="E883" s="65"/>
      <c r="F883" s="66"/>
      <c r="G883" s="63"/>
      <c r="H883" s="67"/>
      <c r="I883" s="68"/>
      <c r="J883" s="68"/>
      <c r="K883" s="32"/>
      <c r="L883" s="75">
        <v>883</v>
      </c>
      <c r="M883" s="75"/>
      <c r="N883" s="70"/>
      <c r="O883" s="77" t="s">
        <v>967</v>
      </c>
      <c r="P883" s="79">
        <v>44943.323263888888</v>
      </c>
      <c r="Q883" s="77" t="s">
        <v>1825</v>
      </c>
      <c r="R883" s="77">
        <v>4</v>
      </c>
      <c r="S883" s="77">
        <v>4</v>
      </c>
      <c r="T883" s="77">
        <v>0</v>
      </c>
      <c r="U883" s="77">
        <v>0</v>
      </c>
      <c r="V883" s="77">
        <v>280</v>
      </c>
      <c r="W883" s="81" t="s">
        <v>3431</v>
      </c>
      <c r="X883" s="83" t="str">
        <f>HYPERLINK("https://buscaempleomadrid.com/2023/01/17/tienda-de-telefonia-en-madrid-busca-5-vendedores-con-contrato-indefinido-1-700-euros-al-mes/")</f>
        <v>https://buscaempleomadrid.com/2023/01/17/tienda-de-telefonia-en-madrid-busca-5-vendedores-con-contrato-indefinido-1-700-euros-al-mes/</v>
      </c>
      <c r="Y883" s="77" t="s">
        <v>4277</v>
      </c>
      <c r="Z883" s="77" t="s">
        <v>445</v>
      </c>
      <c r="AA883" s="77"/>
      <c r="AB883" s="77"/>
      <c r="AC883" s="81" t="s">
        <v>5811</v>
      </c>
      <c r="AD883" s="77" t="s">
        <v>5850</v>
      </c>
      <c r="AE883" s="83" t="str">
        <f>HYPERLINK("https://twitter.com/gacetinmadrid/status/1615253966626988032")</f>
        <v>https://twitter.com/gacetinmadrid/status/1615253966626988032</v>
      </c>
      <c r="AF883" s="79">
        <v>44943.323263888888</v>
      </c>
      <c r="AG883" s="85">
        <v>44943</v>
      </c>
      <c r="AH883" s="81" t="s">
        <v>6695</v>
      </c>
      <c r="AI883" s="77" t="b">
        <v>0</v>
      </c>
      <c r="AJ883" s="77"/>
      <c r="AK883" s="77"/>
      <c r="AL883" s="77"/>
      <c r="AM883" s="77"/>
      <c r="AN883" s="77"/>
      <c r="AO883" s="77"/>
      <c r="AP883" s="77"/>
      <c r="AQ883" s="77"/>
      <c r="AR883" s="77"/>
      <c r="AS883" s="77"/>
      <c r="AT883" s="77"/>
      <c r="AU883" s="77"/>
      <c r="AV883" s="83" t="str">
        <f>HYPERLINK("https://pbs.twimg.com/profile_images/851123807649714177/RCQQwbT1_normal.jpg")</f>
        <v>https://pbs.twimg.com/profile_images/851123807649714177/RCQQwbT1_normal.jpg</v>
      </c>
      <c r="AW883" s="81" t="s">
        <v>10147</v>
      </c>
      <c r="AX883" s="81" t="s">
        <v>10147</v>
      </c>
      <c r="AY883" s="77"/>
      <c r="AZ883" s="81" t="s">
        <v>11359</v>
      </c>
      <c r="BA883" s="81" t="s">
        <v>11359</v>
      </c>
      <c r="BB883" s="81" t="s">
        <v>11359</v>
      </c>
      <c r="BC883" s="81" t="s">
        <v>10147</v>
      </c>
      <c r="BD883" s="81" t="s">
        <v>11516</v>
      </c>
      <c r="BE883" s="77"/>
      <c r="BF883" s="77"/>
      <c r="BG883" s="77"/>
      <c r="BH883" s="77"/>
      <c r="BI883" s="77"/>
    </row>
    <row r="884" spans="1:61" x14ac:dyDescent="0.25">
      <c r="A884" s="62" t="s">
        <v>444</v>
      </c>
      <c r="B884" s="62" t="s">
        <v>445</v>
      </c>
      <c r="C884" s="63"/>
      <c r="D884" s="64"/>
      <c r="E884" s="65"/>
      <c r="F884" s="66"/>
      <c r="G884" s="63"/>
      <c r="H884" s="67"/>
      <c r="I884" s="68"/>
      <c r="J884" s="68"/>
      <c r="K884" s="32"/>
      <c r="L884" s="75">
        <v>884</v>
      </c>
      <c r="M884" s="75"/>
      <c r="N884" s="70"/>
      <c r="O884" s="77" t="s">
        <v>967</v>
      </c>
      <c r="P884" s="79">
        <v>44980.315972222219</v>
      </c>
      <c r="Q884" s="77" t="s">
        <v>1818</v>
      </c>
      <c r="R884" s="77">
        <v>1</v>
      </c>
      <c r="S884" s="77">
        <v>1</v>
      </c>
      <c r="T884" s="77">
        <v>0</v>
      </c>
      <c r="U884" s="77">
        <v>0</v>
      </c>
      <c r="V884" s="77">
        <v>111</v>
      </c>
      <c r="W884" s="81" t="s">
        <v>3425</v>
      </c>
      <c r="X884" s="83" t="str">
        <f>HYPERLINK("https://buscaempleomadrid.com/2023/02/22/se-buscan-vendedores-de-muebles-en-zona-centro-de-madrid-a-jornada-completa/")</f>
        <v>https://buscaempleomadrid.com/2023/02/22/se-buscan-vendedores-de-muebles-en-zona-centro-de-madrid-a-jornada-completa/</v>
      </c>
      <c r="Y884" s="77" t="s">
        <v>4277</v>
      </c>
      <c r="Z884" s="77" t="s">
        <v>4374</v>
      </c>
      <c r="AA884" s="77"/>
      <c r="AB884" s="77"/>
      <c r="AC884" s="81" t="s">
        <v>5811</v>
      </c>
      <c r="AD884" s="77" t="s">
        <v>5850</v>
      </c>
      <c r="AE884" s="83" t="str">
        <f>HYPERLINK("https://twitter.com/gacetinmadrid/status/1628659675037331459")</f>
        <v>https://twitter.com/gacetinmadrid/status/1628659675037331459</v>
      </c>
      <c r="AF884" s="79">
        <v>44980.315972222219</v>
      </c>
      <c r="AG884" s="85">
        <v>44980</v>
      </c>
      <c r="AH884" s="81" t="s">
        <v>6688</v>
      </c>
      <c r="AI884" s="77" t="b">
        <v>0</v>
      </c>
      <c r="AJ884" s="77"/>
      <c r="AK884" s="77"/>
      <c r="AL884" s="77"/>
      <c r="AM884" s="77"/>
      <c r="AN884" s="77"/>
      <c r="AO884" s="77"/>
      <c r="AP884" s="77"/>
      <c r="AQ884" s="77"/>
      <c r="AR884" s="77"/>
      <c r="AS884" s="77"/>
      <c r="AT884" s="77"/>
      <c r="AU884" s="77"/>
      <c r="AV884" s="83" t="str">
        <f>HYPERLINK("https://pbs.twimg.com/profile_images/851123807649714177/RCQQwbT1_normal.jpg")</f>
        <v>https://pbs.twimg.com/profile_images/851123807649714177/RCQQwbT1_normal.jpg</v>
      </c>
      <c r="AW884" s="81" t="s">
        <v>10140</v>
      </c>
      <c r="AX884" s="81" t="s">
        <v>10140</v>
      </c>
      <c r="AY884" s="77"/>
      <c r="AZ884" s="81" t="s">
        <v>11359</v>
      </c>
      <c r="BA884" s="81" t="s">
        <v>11359</v>
      </c>
      <c r="BB884" s="81" t="s">
        <v>11359</v>
      </c>
      <c r="BC884" s="81" t="s">
        <v>10140</v>
      </c>
      <c r="BD884" s="81" t="s">
        <v>11516</v>
      </c>
      <c r="BE884" s="77"/>
      <c r="BF884" s="77"/>
      <c r="BG884" s="77"/>
      <c r="BH884" s="77"/>
      <c r="BI884" s="77"/>
    </row>
    <row r="885" spans="1:61" x14ac:dyDescent="0.25">
      <c r="A885" s="62" t="s">
        <v>444</v>
      </c>
      <c r="B885" s="62" t="s">
        <v>445</v>
      </c>
      <c r="C885" s="63"/>
      <c r="D885" s="64"/>
      <c r="E885" s="65"/>
      <c r="F885" s="66"/>
      <c r="G885" s="63"/>
      <c r="H885" s="67"/>
      <c r="I885" s="68"/>
      <c r="J885" s="68"/>
      <c r="K885" s="32"/>
      <c r="L885" s="75">
        <v>885</v>
      </c>
      <c r="M885" s="75"/>
      <c r="N885" s="70"/>
      <c r="O885" s="77" t="s">
        <v>967</v>
      </c>
      <c r="P885" s="79">
        <v>44984.315972222219</v>
      </c>
      <c r="Q885" s="77" t="s">
        <v>1826</v>
      </c>
      <c r="R885" s="77">
        <v>2</v>
      </c>
      <c r="S885" s="77">
        <v>1</v>
      </c>
      <c r="T885" s="77">
        <v>0</v>
      </c>
      <c r="U885" s="77">
        <v>0</v>
      </c>
      <c r="V885" s="77">
        <v>122</v>
      </c>
      <c r="W885" s="81" t="s">
        <v>3432</v>
      </c>
      <c r="X885" s="83" t="str">
        <f>HYPERLINK("https://buscaempleomadrid.com/2023/02/23/se-buscan-vendedores-de-muebles-y-colchones-al-sur-de-madrid-contrato-indefinido-y-no-necesaria-experiencia/")</f>
        <v>https://buscaempleomadrid.com/2023/02/23/se-buscan-vendedores-de-muebles-y-colchones-al-sur-de-madrid-contrato-indefinido-y-no-necesaria-experiencia/</v>
      </c>
      <c r="Y885" s="77" t="s">
        <v>4277</v>
      </c>
      <c r="Z885" s="77" t="s">
        <v>445</v>
      </c>
      <c r="AA885" s="77"/>
      <c r="AB885" s="77"/>
      <c r="AC885" s="81" t="s">
        <v>5811</v>
      </c>
      <c r="AD885" s="77" t="s">
        <v>5850</v>
      </c>
      <c r="AE885" s="83" t="str">
        <f>HYPERLINK("https://twitter.com/gacetinmadrid/status/1630109226604572672")</f>
        <v>https://twitter.com/gacetinmadrid/status/1630109226604572672</v>
      </c>
      <c r="AF885" s="79">
        <v>44984.315972222219</v>
      </c>
      <c r="AG885" s="85">
        <v>44984</v>
      </c>
      <c r="AH885" s="81" t="s">
        <v>6688</v>
      </c>
      <c r="AI885" s="77" t="b">
        <v>0</v>
      </c>
      <c r="AJ885" s="77"/>
      <c r="AK885" s="77"/>
      <c r="AL885" s="77"/>
      <c r="AM885" s="77"/>
      <c r="AN885" s="77"/>
      <c r="AO885" s="77"/>
      <c r="AP885" s="77"/>
      <c r="AQ885" s="77"/>
      <c r="AR885" s="77"/>
      <c r="AS885" s="77"/>
      <c r="AT885" s="77"/>
      <c r="AU885" s="77"/>
      <c r="AV885" s="83" t="str">
        <f>HYPERLINK("https://pbs.twimg.com/profile_images/851123807649714177/RCQQwbT1_normal.jpg")</f>
        <v>https://pbs.twimg.com/profile_images/851123807649714177/RCQQwbT1_normal.jpg</v>
      </c>
      <c r="AW885" s="81" t="s">
        <v>10148</v>
      </c>
      <c r="AX885" s="81" t="s">
        <v>10148</v>
      </c>
      <c r="AY885" s="77"/>
      <c r="AZ885" s="81" t="s">
        <v>11359</v>
      </c>
      <c r="BA885" s="81" t="s">
        <v>11359</v>
      </c>
      <c r="BB885" s="81" t="s">
        <v>11359</v>
      </c>
      <c r="BC885" s="81" t="s">
        <v>10148</v>
      </c>
      <c r="BD885" s="81" t="s">
        <v>11516</v>
      </c>
      <c r="BE885" s="77"/>
      <c r="BF885" s="77"/>
      <c r="BG885" s="77"/>
      <c r="BH885" s="77"/>
      <c r="BI885" s="77"/>
    </row>
    <row r="886" spans="1:61" x14ac:dyDescent="0.25">
      <c r="A886" s="62" t="s">
        <v>444</v>
      </c>
      <c r="B886" s="62" t="s">
        <v>445</v>
      </c>
      <c r="C886" s="63"/>
      <c r="D886" s="64"/>
      <c r="E886" s="65"/>
      <c r="F886" s="66"/>
      <c r="G886" s="63"/>
      <c r="H886" s="67"/>
      <c r="I886" s="68"/>
      <c r="J886" s="68"/>
      <c r="K886" s="32"/>
      <c r="L886" s="75">
        <v>886</v>
      </c>
      <c r="M886" s="75"/>
      <c r="N886" s="70"/>
      <c r="O886" s="77" t="s">
        <v>967</v>
      </c>
      <c r="P886" s="79">
        <v>45034.246527777781</v>
      </c>
      <c r="Q886" s="77" t="s">
        <v>1827</v>
      </c>
      <c r="R886" s="77">
        <v>1</v>
      </c>
      <c r="S886" s="77">
        <v>1</v>
      </c>
      <c r="T886" s="77">
        <v>0</v>
      </c>
      <c r="U886" s="77">
        <v>0</v>
      </c>
      <c r="V886" s="77">
        <v>209</v>
      </c>
      <c r="W886" s="81" t="s">
        <v>3433</v>
      </c>
      <c r="X886" s="83" t="str">
        <f>HYPERLINK("https://buscaempleomadrid.com/2023/04/18/se-buscan-vendedores-para-la-primera-tienda-del-barca-en-madrid-contrato-indefinido/")</f>
        <v>https://buscaempleomadrid.com/2023/04/18/se-buscan-vendedores-para-la-primera-tienda-del-barca-en-madrid-contrato-indefinido/</v>
      </c>
      <c r="Y886" s="77" t="s">
        <v>4277</v>
      </c>
      <c r="Z886" s="77" t="s">
        <v>445</v>
      </c>
      <c r="AA886" s="77"/>
      <c r="AB886" s="77"/>
      <c r="AC886" s="81" t="s">
        <v>5811</v>
      </c>
      <c r="AD886" s="77" t="s">
        <v>5850</v>
      </c>
      <c r="AE886" s="83" t="str">
        <f>HYPERLINK("https://twitter.com/gacetinmadrid/status/1648203453905391619")</f>
        <v>https://twitter.com/gacetinmadrid/status/1648203453905391619</v>
      </c>
      <c r="AF886" s="79">
        <v>45034.246527777781</v>
      </c>
      <c r="AG886" s="85">
        <v>45034</v>
      </c>
      <c r="AH886" s="81" t="s">
        <v>6696</v>
      </c>
      <c r="AI886" s="77" t="b">
        <v>0</v>
      </c>
      <c r="AJ886" s="77"/>
      <c r="AK886" s="77"/>
      <c r="AL886" s="77"/>
      <c r="AM886" s="77"/>
      <c r="AN886" s="77"/>
      <c r="AO886" s="77"/>
      <c r="AP886" s="77"/>
      <c r="AQ886" s="77"/>
      <c r="AR886" s="77"/>
      <c r="AS886" s="77"/>
      <c r="AT886" s="77"/>
      <c r="AU886" s="77"/>
      <c r="AV886" s="83" t="str">
        <f>HYPERLINK("https://pbs.twimg.com/profile_images/851123807649714177/RCQQwbT1_normal.jpg")</f>
        <v>https://pbs.twimg.com/profile_images/851123807649714177/RCQQwbT1_normal.jpg</v>
      </c>
      <c r="AW886" s="81" t="s">
        <v>10149</v>
      </c>
      <c r="AX886" s="81" t="s">
        <v>10149</v>
      </c>
      <c r="AY886" s="77"/>
      <c r="AZ886" s="81" t="s">
        <v>11359</v>
      </c>
      <c r="BA886" s="81" t="s">
        <v>11359</v>
      </c>
      <c r="BB886" s="81" t="s">
        <v>11359</v>
      </c>
      <c r="BC886" s="81" t="s">
        <v>10149</v>
      </c>
      <c r="BD886" s="81" t="s">
        <v>11516</v>
      </c>
      <c r="BE886" s="77"/>
      <c r="BF886" s="77"/>
      <c r="BG886" s="77"/>
      <c r="BH886" s="77"/>
      <c r="BI886" s="77"/>
    </row>
    <row r="887" spans="1:61" x14ac:dyDescent="0.25">
      <c r="A887" s="62" t="s">
        <v>446</v>
      </c>
      <c r="B887" s="62" t="s">
        <v>446</v>
      </c>
      <c r="C887" s="63"/>
      <c r="D887" s="64"/>
      <c r="E887" s="65"/>
      <c r="F887" s="66"/>
      <c r="G887" s="63"/>
      <c r="H887" s="67"/>
      <c r="I887" s="68"/>
      <c r="J887" s="68"/>
      <c r="K887" s="32"/>
      <c r="L887" s="75">
        <v>887</v>
      </c>
      <c r="M887" s="75"/>
      <c r="N887" s="70"/>
      <c r="O887" s="77" t="s">
        <v>179</v>
      </c>
      <c r="P887" s="79">
        <v>45086.492974537039</v>
      </c>
      <c r="Q887" s="77" t="s">
        <v>1828</v>
      </c>
      <c r="R887" s="77">
        <v>0</v>
      </c>
      <c r="S887" s="77">
        <v>0</v>
      </c>
      <c r="T887" s="77">
        <v>0</v>
      </c>
      <c r="U887" s="77">
        <v>0</v>
      </c>
      <c r="V887" s="77">
        <v>275</v>
      </c>
      <c r="W887" s="81" t="s">
        <v>3434</v>
      </c>
      <c r="X887" s="77"/>
      <c r="Y887" s="77"/>
      <c r="Z887" s="77"/>
      <c r="AA887" s="77" t="s">
        <v>5080</v>
      </c>
      <c r="AB887" s="77" t="s">
        <v>5795</v>
      </c>
      <c r="AC887" s="81" t="s">
        <v>5803</v>
      </c>
      <c r="AD887" s="77" t="s">
        <v>5851</v>
      </c>
      <c r="AE887" s="83" t="str">
        <f>HYPERLINK("https://twitter.com/thefernandolour/status/1667136932134940675")</f>
        <v>https://twitter.com/thefernandolour/status/1667136932134940675</v>
      </c>
      <c r="AF887" s="79">
        <v>45086.492974537039</v>
      </c>
      <c r="AG887" s="85">
        <v>45086</v>
      </c>
      <c r="AH887" s="81" t="s">
        <v>6697</v>
      </c>
      <c r="AI887" s="77" t="b">
        <v>0</v>
      </c>
      <c r="AJ887" s="77"/>
      <c r="AK887" s="77"/>
      <c r="AL887" s="77"/>
      <c r="AM887" s="77"/>
      <c r="AN887" s="77"/>
      <c r="AO887" s="77"/>
      <c r="AP887" s="77"/>
      <c r="AQ887" s="77" t="s">
        <v>8583</v>
      </c>
      <c r="AR887" s="77">
        <v>50516</v>
      </c>
      <c r="AS887" s="77"/>
      <c r="AT887" s="77"/>
      <c r="AU887" s="77"/>
      <c r="AV887" s="83" t="str">
        <f>HYPERLINK("https://pbs.twimg.com/ext_tw_video_thumb/1667136770918477824/pu/img/ymSJ3JO5-u4u-DD_.jpg")</f>
        <v>https://pbs.twimg.com/ext_tw_video_thumb/1667136770918477824/pu/img/ymSJ3JO5-u4u-DD_.jpg</v>
      </c>
      <c r="AW887" s="81" t="s">
        <v>10150</v>
      </c>
      <c r="AX887" s="81" t="s">
        <v>10150</v>
      </c>
      <c r="AY887" s="77"/>
      <c r="AZ887" s="81" t="s">
        <v>11359</v>
      </c>
      <c r="BA887" s="81" t="s">
        <v>11359</v>
      </c>
      <c r="BB887" s="81" t="s">
        <v>11359</v>
      </c>
      <c r="BC887" s="81" t="s">
        <v>10150</v>
      </c>
      <c r="BD887" s="81" t="s">
        <v>11518</v>
      </c>
      <c r="BE887" s="77"/>
      <c r="BF887" s="77"/>
      <c r="BG887" s="77"/>
      <c r="BH887" s="77"/>
      <c r="BI887" s="77"/>
    </row>
    <row r="888" spans="1:61" x14ac:dyDescent="0.25">
      <c r="A888" s="62" t="s">
        <v>446</v>
      </c>
      <c r="B888" s="62" t="s">
        <v>446</v>
      </c>
      <c r="C888" s="63"/>
      <c r="D888" s="64"/>
      <c r="E888" s="65"/>
      <c r="F888" s="66"/>
      <c r="G888" s="63"/>
      <c r="H888" s="67"/>
      <c r="I888" s="68"/>
      <c r="J888" s="68"/>
      <c r="K888" s="32"/>
      <c r="L888" s="75">
        <v>888</v>
      </c>
      <c r="M888" s="75"/>
      <c r="N888" s="70"/>
      <c r="O888" s="77" t="s">
        <v>179</v>
      </c>
      <c r="P888" s="79">
        <v>45097.033668981479</v>
      </c>
      <c r="Q888" s="77" t="s">
        <v>1829</v>
      </c>
      <c r="R888" s="77">
        <v>0</v>
      </c>
      <c r="S888" s="77">
        <v>0</v>
      </c>
      <c r="T888" s="77">
        <v>0</v>
      </c>
      <c r="U888" s="77">
        <v>0</v>
      </c>
      <c r="V888" s="77">
        <v>115</v>
      </c>
      <c r="W888" s="81" t="s">
        <v>3435</v>
      </c>
      <c r="X888" s="77"/>
      <c r="Y888" s="77"/>
      <c r="Z888" s="77"/>
      <c r="AA888" s="77" t="s">
        <v>5081</v>
      </c>
      <c r="AB888" s="77" t="s">
        <v>5795</v>
      </c>
      <c r="AC888" s="81" t="s">
        <v>5803</v>
      </c>
      <c r="AD888" s="77" t="s">
        <v>5851</v>
      </c>
      <c r="AE888" s="83" t="str">
        <f>HYPERLINK("https://twitter.com/thefernandolour/status/1670956751594704896")</f>
        <v>https://twitter.com/thefernandolour/status/1670956751594704896</v>
      </c>
      <c r="AF888" s="79">
        <v>45097.033668981479</v>
      </c>
      <c r="AG888" s="85">
        <v>45097</v>
      </c>
      <c r="AH888" s="81" t="s">
        <v>6698</v>
      </c>
      <c r="AI888" s="77" t="b">
        <v>0</v>
      </c>
      <c r="AJ888" s="77"/>
      <c r="AK888" s="77"/>
      <c r="AL888" s="77"/>
      <c r="AM888" s="77"/>
      <c r="AN888" s="77"/>
      <c r="AO888" s="77"/>
      <c r="AP888" s="77"/>
      <c r="AQ888" s="77" t="s">
        <v>8584</v>
      </c>
      <c r="AR888" s="77">
        <v>17433</v>
      </c>
      <c r="AS888" s="77"/>
      <c r="AT888" s="77"/>
      <c r="AU888" s="77"/>
      <c r="AV888" s="83" t="str">
        <f>HYPERLINK("https://pbs.twimg.com/ext_tw_video_thumb/1670956670841769985/pu/img/K35vlkRdklhL0MTj.jpg")</f>
        <v>https://pbs.twimg.com/ext_tw_video_thumb/1670956670841769985/pu/img/K35vlkRdklhL0MTj.jpg</v>
      </c>
      <c r="AW888" s="81" t="s">
        <v>10151</v>
      </c>
      <c r="AX888" s="81" t="s">
        <v>10151</v>
      </c>
      <c r="AY888" s="77"/>
      <c r="AZ888" s="81" t="s">
        <v>11359</v>
      </c>
      <c r="BA888" s="81" t="s">
        <v>11359</v>
      </c>
      <c r="BB888" s="81" t="s">
        <v>11359</v>
      </c>
      <c r="BC888" s="81" t="s">
        <v>10151</v>
      </c>
      <c r="BD888" s="81" t="s">
        <v>11518</v>
      </c>
      <c r="BE888" s="77"/>
      <c r="BF888" s="77"/>
      <c r="BG888" s="77"/>
      <c r="BH888" s="77"/>
      <c r="BI888" s="77"/>
    </row>
    <row r="889" spans="1:61" x14ac:dyDescent="0.25">
      <c r="A889" s="62" t="s">
        <v>447</v>
      </c>
      <c r="B889" s="62" t="s">
        <v>447</v>
      </c>
      <c r="C889" s="63"/>
      <c r="D889" s="64"/>
      <c r="E889" s="65"/>
      <c r="F889" s="66"/>
      <c r="G889" s="63"/>
      <c r="H889" s="67"/>
      <c r="I889" s="68"/>
      <c r="J889" s="68"/>
      <c r="K889" s="32"/>
      <c r="L889" s="75">
        <v>889</v>
      </c>
      <c r="M889" s="75"/>
      <c r="N889" s="70"/>
      <c r="O889" s="77" t="s">
        <v>179</v>
      </c>
      <c r="P889" s="79">
        <v>45000.90425925926</v>
      </c>
      <c r="Q889" s="77" t="s">
        <v>1830</v>
      </c>
      <c r="R889" s="77">
        <v>0</v>
      </c>
      <c r="S889" s="77">
        <v>0</v>
      </c>
      <c r="T889" s="77">
        <v>0</v>
      </c>
      <c r="U889" s="77">
        <v>0</v>
      </c>
      <c r="V889" s="77">
        <v>14</v>
      </c>
      <c r="W889" s="81" t="s">
        <v>3436</v>
      </c>
      <c r="X889" s="77"/>
      <c r="Y889" s="77"/>
      <c r="Z889" s="77"/>
      <c r="AA889" s="77" t="s">
        <v>5082</v>
      </c>
      <c r="AB889" s="77" t="s">
        <v>5794</v>
      </c>
      <c r="AC889" s="81" t="s">
        <v>5805</v>
      </c>
      <c r="AD889" s="77" t="s">
        <v>5850</v>
      </c>
      <c r="AE889" s="83" t="str">
        <f>HYPERLINK("https://twitter.com/aliatecla/status/1636120623398408193")</f>
        <v>https://twitter.com/aliatecla/status/1636120623398408193</v>
      </c>
      <c r="AF889" s="79">
        <v>45000.90425925926</v>
      </c>
      <c r="AG889" s="85">
        <v>45000</v>
      </c>
      <c r="AH889" s="81" t="s">
        <v>6699</v>
      </c>
      <c r="AI889" s="77" t="b">
        <v>0</v>
      </c>
      <c r="AJ889" s="77"/>
      <c r="AK889" s="77"/>
      <c r="AL889" s="77"/>
      <c r="AM889" s="77"/>
      <c r="AN889" s="77"/>
      <c r="AO889" s="77"/>
      <c r="AP889" s="77"/>
      <c r="AQ889" s="77" t="s">
        <v>8585</v>
      </c>
      <c r="AR889" s="77"/>
      <c r="AS889" s="77"/>
      <c r="AT889" s="77"/>
      <c r="AU889" s="77"/>
      <c r="AV889" s="83" t="str">
        <f>HYPERLINK("https://pbs.twimg.com/media/FrSrA-NaIAAxTKK.jpg")</f>
        <v>https://pbs.twimg.com/media/FrSrA-NaIAAxTKK.jpg</v>
      </c>
      <c r="AW889" s="81" t="s">
        <v>10152</v>
      </c>
      <c r="AX889" s="81" t="s">
        <v>10152</v>
      </c>
      <c r="AY889" s="77"/>
      <c r="AZ889" s="81" t="s">
        <v>11359</v>
      </c>
      <c r="BA889" s="81" t="s">
        <v>11359</v>
      </c>
      <c r="BB889" s="81" t="s">
        <v>11359</v>
      </c>
      <c r="BC889" s="81" t="s">
        <v>10152</v>
      </c>
      <c r="BD889" s="81" t="s">
        <v>11519</v>
      </c>
      <c r="BE889" s="77"/>
      <c r="BF889" s="77"/>
      <c r="BG889" s="77"/>
      <c r="BH889" s="77"/>
      <c r="BI889" s="77"/>
    </row>
    <row r="890" spans="1:61" x14ac:dyDescent="0.25">
      <c r="A890" s="62" t="s">
        <v>448</v>
      </c>
      <c r="B890" s="62" t="s">
        <v>448</v>
      </c>
      <c r="C890" s="63"/>
      <c r="D890" s="64"/>
      <c r="E890" s="65"/>
      <c r="F890" s="66"/>
      <c r="G890" s="63"/>
      <c r="H890" s="67"/>
      <c r="I890" s="68"/>
      <c r="J890" s="68"/>
      <c r="K890" s="32"/>
      <c r="L890" s="75">
        <v>890</v>
      </c>
      <c r="M890" s="75"/>
      <c r="N890" s="70"/>
      <c r="O890" s="77" t="s">
        <v>179</v>
      </c>
      <c r="P890" s="79">
        <v>44971.125972222224</v>
      </c>
      <c r="Q890" s="77" t="s">
        <v>1831</v>
      </c>
      <c r="R890" s="77">
        <v>1</v>
      </c>
      <c r="S890" s="77">
        <v>0</v>
      </c>
      <c r="T890" s="77">
        <v>0</v>
      </c>
      <c r="U890" s="77">
        <v>0</v>
      </c>
      <c r="V890" s="77">
        <v>372</v>
      </c>
      <c r="W890" s="81" t="s">
        <v>3437</v>
      </c>
      <c r="X890" s="83" t="str">
        <f>HYPERLINK("http://bit.ly/3lhwlFO")</f>
        <v>http://bit.ly/3lhwlFO</v>
      </c>
      <c r="Y890" s="77" t="s">
        <v>4213</v>
      </c>
      <c r="Z890" s="77"/>
      <c r="AA890" s="77" t="s">
        <v>5083</v>
      </c>
      <c r="AB890" s="77" t="s">
        <v>5794</v>
      </c>
      <c r="AC890" s="81" t="s">
        <v>5812</v>
      </c>
      <c r="AD890" s="77" t="s">
        <v>5850</v>
      </c>
      <c r="AE890" s="83" t="str">
        <f>HYPERLINK("https://twitter.com/canal11hn/status/1625329329772142593")</f>
        <v>https://twitter.com/canal11hn/status/1625329329772142593</v>
      </c>
      <c r="AF890" s="79">
        <v>44971.125972222224</v>
      </c>
      <c r="AG890" s="85">
        <v>44971</v>
      </c>
      <c r="AH890" s="81" t="s">
        <v>6700</v>
      </c>
      <c r="AI890" s="77" t="b">
        <v>0</v>
      </c>
      <c r="AJ890" s="77"/>
      <c r="AK890" s="77"/>
      <c r="AL890" s="77"/>
      <c r="AM890" s="77"/>
      <c r="AN890" s="77"/>
      <c r="AO890" s="77"/>
      <c r="AP890" s="77"/>
      <c r="AQ890" s="77" t="s">
        <v>8586</v>
      </c>
      <c r="AR890" s="77"/>
      <c r="AS890" s="77"/>
      <c r="AT890" s="77"/>
      <c r="AU890" s="77"/>
      <c r="AV890" s="83" t="str">
        <f>HYPERLINK("https://pbs.twimg.com/media/Fo5UaI7X0AMn4JP.jpg")</f>
        <v>https://pbs.twimg.com/media/Fo5UaI7X0AMn4JP.jpg</v>
      </c>
      <c r="AW890" s="81" t="s">
        <v>10153</v>
      </c>
      <c r="AX890" s="81" t="s">
        <v>10153</v>
      </c>
      <c r="AY890" s="77"/>
      <c r="AZ890" s="81" t="s">
        <v>11359</v>
      </c>
      <c r="BA890" s="81" t="s">
        <v>11359</v>
      </c>
      <c r="BB890" s="81" t="s">
        <v>11359</v>
      </c>
      <c r="BC890" s="81" t="s">
        <v>10153</v>
      </c>
      <c r="BD890" s="77">
        <v>142793710</v>
      </c>
      <c r="BE890" s="77"/>
      <c r="BF890" s="77"/>
      <c r="BG890" s="77"/>
      <c r="BH890" s="77"/>
      <c r="BI890" s="77"/>
    </row>
    <row r="891" spans="1:61" x14ac:dyDescent="0.25">
      <c r="A891" s="62" t="s">
        <v>448</v>
      </c>
      <c r="B891" s="62" t="s">
        <v>448</v>
      </c>
      <c r="C891" s="63"/>
      <c r="D891" s="64"/>
      <c r="E891" s="65"/>
      <c r="F891" s="66"/>
      <c r="G891" s="63"/>
      <c r="H891" s="67"/>
      <c r="I891" s="68"/>
      <c r="J891" s="68"/>
      <c r="K891" s="32"/>
      <c r="L891" s="75">
        <v>891</v>
      </c>
      <c r="M891" s="75"/>
      <c r="N891" s="70"/>
      <c r="O891" s="77" t="s">
        <v>179</v>
      </c>
      <c r="P891" s="79">
        <v>44938.853275462963</v>
      </c>
      <c r="Q891" s="77" t="s">
        <v>1832</v>
      </c>
      <c r="R891" s="77">
        <v>0</v>
      </c>
      <c r="S891" s="77">
        <v>4</v>
      </c>
      <c r="T891" s="77">
        <v>0</v>
      </c>
      <c r="U891" s="77">
        <v>0</v>
      </c>
      <c r="V891" s="77">
        <v>418</v>
      </c>
      <c r="W891" s="81" t="s">
        <v>3438</v>
      </c>
      <c r="X891" s="83" t="str">
        <f>HYPERLINK("https://bit.ly/3IJOOVb")</f>
        <v>https://bit.ly/3IJOOVb</v>
      </c>
      <c r="Y891" s="77" t="s">
        <v>4213</v>
      </c>
      <c r="Z891" s="77"/>
      <c r="AA891" s="77" t="s">
        <v>5084</v>
      </c>
      <c r="AB891" s="77" t="s">
        <v>5794</v>
      </c>
      <c r="AC891" s="81" t="s">
        <v>5805</v>
      </c>
      <c r="AD891" s="77" t="s">
        <v>5850</v>
      </c>
      <c r="AE891" s="83" t="str">
        <f>HYPERLINK("https://twitter.com/canal11hn/status/1613634099062706189")</f>
        <v>https://twitter.com/canal11hn/status/1613634099062706189</v>
      </c>
      <c r="AF891" s="79">
        <v>44938.853275462963</v>
      </c>
      <c r="AG891" s="85">
        <v>44938</v>
      </c>
      <c r="AH891" s="81" t="s">
        <v>6701</v>
      </c>
      <c r="AI891" s="77" t="b">
        <v>0</v>
      </c>
      <c r="AJ891" s="77"/>
      <c r="AK891" s="77"/>
      <c r="AL891" s="77"/>
      <c r="AM891" s="77"/>
      <c r="AN891" s="77"/>
      <c r="AO891" s="77"/>
      <c r="AP891" s="77"/>
      <c r="AQ891" s="77" t="s">
        <v>8587</v>
      </c>
      <c r="AR891" s="77"/>
      <c r="AS891" s="77"/>
      <c r="AT891" s="77"/>
      <c r="AU891" s="77"/>
      <c r="AV891" s="83" t="str">
        <f>HYPERLINK("https://pbs.twimg.com/media/FmTHotxXgAAw745.jpg")</f>
        <v>https://pbs.twimg.com/media/FmTHotxXgAAw745.jpg</v>
      </c>
      <c r="AW891" s="81" t="s">
        <v>10154</v>
      </c>
      <c r="AX891" s="81" t="s">
        <v>10154</v>
      </c>
      <c r="AY891" s="77"/>
      <c r="AZ891" s="81" t="s">
        <v>11359</v>
      </c>
      <c r="BA891" s="81" t="s">
        <v>11359</v>
      </c>
      <c r="BB891" s="81" t="s">
        <v>11359</v>
      </c>
      <c r="BC891" s="81" t="s">
        <v>10154</v>
      </c>
      <c r="BD891" s="77">
        <v>142793710</v>
      </c>
      <c r="BE891" s="77"/>
      <c r="BF891" s="77"/>
      <c r="BG891" s="77"/>
      <c r="BH891" s="77"/>
      <c r="BI891" s="77"/>
    </row>
    <row r="892" spans="1:61" x14ac:dyDescent="0.25">
      <c r="A892" s="62" t="s">
        <v>449</v>
      </c>
      <c r="B892" s="62" t="s">
        <v>449</v>
      </c>
      <c r="C892" s="63"/>
      <c r="D892" s="64"/>
      <c r="E892" s="65"/>
      <c r="F892" s="66"/>
      <c r="G892" s="63"/>
      <c r="H892" s="67"/>
      <c r="I892" s="68"/>
      <c r="J892" s="68"/>
      <c r="K892" s="32"/>
      <c r="L892" s="75">
        <v>892</v>
      </c>
      <c r="M892" s="75"/>
      <c r="N892" s="70"/>
      <c r="O892" s="77" t="s">
        <v>179</v>
      </c>
      <c r="P892" s="79">
        <v>45162.835856481484</v>
      </c>
      <c r="Q892" s="77" t="s">
        <v>1833</v>
      </c>
      <c r="R892" s="77">
        <v>3</v>
      </c>
      <c r="S892" s="77">
        <v>3</v>
      </c>
      <c r="T892" s="77">
        <v>1</v>
      </c>
      <c r="U892" s="77">
        <v>1</v>
      </c>
      <c r="V892" s="77">
        <v>561</v>
      </c>
      <c r="W892" s="81" t="s">
        <v>3439</v>
      </c>
      <c r="X892" s="83" t="str">
        <f>HYPERLINK("https://laley.pe/art/14860/indecopi-restaurantes-cargo-vendedor-ambulante-ingresa-consumidor")</f>
        <v>https://laley.pe/art/14860/indecopi-restaurantes-cargo-vendedor-ambulante-ingresa-consumidor</v>
      </c>
      <c r="Y892" s="77" t="s">
        <v>4278</v>
      </c>
      <c r="Z892" s="77"/>
      <c r="AA892" s="77"/>
      <c r="AB892" s="77"/>
      <c r="AC892" s="81" t="s">
        <v>5805</v>
      </c>
      <c r="AD892" s="77" t="s">
        <v>5850</v>
      </c>
      <c r="AE892" s="83" t="str">
        <f>HYPERLINK("https://twitter.com/laleype/status/1694802667665523031")</f>
        <v>https://twitter.com/laleype/status/1694802667665523031</v>
      </c>
      <c r="AF892" s="79">
        <v>45162.835856481484</v>
      </c>
      <c r="AG892" s="85">
        <v>45162</v>
      </c>
      <c r="AH892" s="81" t="s">
        <v>6702</v>
      </c>
      <c r="AI892" s="77" t="b">
        <v>0</v>
      </c>
      <c r="AJ892" s="77"/>
      <c r="AK892" s="77"/>
      <c r="AL892" s="77"/>
      <c r="AM892" s="77"/>
      <c r="AN892" s="77"/>
      <c r="AO892" s="77"/>
      <c r="AP892" s="77"/>
      <c r="AQ892" s="77"/>
      <c r="AR892" s="77"/>
      <c r="AS892" s="77"/>
      <c r="AT892" s="77"/>
      <c r="AU892" s="77"/>
      <c r="AV892" s="83" t="str">
        <f>HYPERLINK("https://pbs.twimg.com/profile_images/1611005808501833729/A0rbCFro_normal.jpg")</f>
        <v>https://pbs.twimg.com/profile_images/1611005808501833729/A0rbCFro_normal.jpg</v>
      </c>
      <c r="AW892" s="81" t="s">
        <v>10155</v>
      </c>
      <c r="AX892" s="81" t="s">
        <v>10155</v>
      </c>
      <c r="AY892" s="77"/>
      <c r="AZ892" s="81" t="s">
        <v>11359</v>
      </c>
      <c r="BA892" s="81" t="s">
        <v>11359</v>
      </c>
      <c r="BB892" s="81" t="s">
        <v>11359</v>
      </c>
      <c r="BC892" s="81" t="s">
        <v>10155</v>
      </c>
      <c r="BD892" s="77">
        <v>1921207146</v>
      </c>
      <c r="BE892" s="77"/>
      <c r="BF892" s="77"/>
      <c r="BG892" s="77"/>
      <c r="BH892" s="77"/>
      <c r="BI892" s="77"/>
    </row>
    <row r="893" spans="1:61" x14ac:dyDescent="0.25">
      <c r="A893" s="62" t="s">
        <v>450</v>
      </c>
      <c r="B893" s="62" t="s">
        <v>450</v>
      </c>
      <c r="C893" s="63"/>
      <c r="D893" s="64"/>
      <c r="E893" s="65"/>
      <c r="F893" s="66"/>
      <c r="G893" s="63"/>
      <c r="H893" s="67"/>
      <c r="I893" s="68"/>
      <c r="J893" s="68"/>
      <c r="K893" s="32"/>
      <c r="L893" s="75">
        <v>893</v>
      </c>
      <c r="M893" s="75"/>
      <c r="N893" s="70"/>
      <c r="O893" s="77" t="s">
        <v>179</v>
      </c>
      <c r="P893" s="79">
        <v>45006.786435185182</v>
      </c>
      <c r="Q893" s="77" t="s">
        <v>1834</v>
      </c>
      <c r="R893" s="77">
        <v>0</v>
      </c>
      <c r="S893" s="77">
        <v>0</v>
      </c>
      <c r="T893" s="77">
        <v>0</v>
      </c>
      <c r="U893" s="77">
        <v>0</v>
      </c>
      <c r="V893" s="77">
        <v>16</v>
      </c>
      <c r="W893" s="81" t="s">
        <v>3440</v>
      </c>
      <c r="X893" s="83" t="str">
        <f>HYPERLINK("https://bit.ly/3LHy7v8")</f>
        <v>https://bit.ly/3LHy7v8</v>
      </c>
      <c r="Y893" s="77" t="s">
        <v>4213</v>
      </c>
      <c r="Z893" s="77"/>
      <c r="AA893" s="77"/>
      <c r="AB893" s="77"/>
      <c r="AC893" s="81" t="s">
        <v>5807</v>
      </c>
      <c r="AD893" s="77" t="s">
        <v>5851</v>
      </c>
      <c r="AE893" s="83" t="str">
        <f>HYPERLINK("https://twitter.com/gravitycombr/status/1638252252325462016")</f>
        <v>https://twitter.com/gravitycombr/status/1638252252325462016</v>
      </c>
      <c r="AF893" s="79">
        <v>45006.786435185182</v>
      </c>
      <c r="AG893" s="85">
        <v>45006</v>
      </c>
      <c r="AH893" s="81" t="s">
        <v>6703</v>
      </c>
      <c r="AI893" s="77" t="b">
        <v>0</v>
      </c>
      <c r="AJ893" s="77"/>
      <c r="AK893" s="77"/>
      <c r="AL893" s="77"/>
      <c r="AM893" s="77"/>
      <c r="AN893" s="77"/>
      <c r="AO893" s="77"/>
      <c r="AP893" s="77"/>
      <c r="AQ893" s="77"/>
      <c r="AR893" s="77"/>
      <c r="AS893" s="77"/>
      <c r="AT893" s="77"/>
      <c r="AU893" s="77"/>
      <c r="AV893" s="83" t="str">
        <f>HYPERLINK("https://pbs.twimg.com/profile_images/1125544797/logo_ma___m_dio_normal.png")</f>
        <v>https://pbs.twimg.com/profile_images/1125544797/logo_ma___m_dio_normal.png</v>
      </c>
      <c r="AW893" s="81" t="s">
        <v>10156</v>
      </c>
      <c r="AX893" s="81" t="s">
        <v>10156</v>
      </c>
      <c r="AY893" s="77"/>
      <c r="AZ893" s="81" t="s">
        <v>11359</v>
      </c>
      <c r="BA893" s="81" t="s">
        <v>11359</v>
      </c>
      <c r="BB893" s="81" t="s">
        <v>11359</v>
      </c>
      <c r="BC893" s="81" t="s">
        <v>10156</v>
      </c>
      <c r="BD893" s="77">
        <v>110128937</v>
      </c>
      <c r="BE893" s="77"/>
      <c r="BF893" s="77"/>
      <c r="BG893" s="77"/>
      <c r="BH893" s="77"/>
      <c r="BI893" s="77"/>
    </row>
    <row r="894" spans="1:61" x14ac:dyDescent="0.25">
      <c r="A894" s="62" t="s">
        <v>450</v>
      </c>
      <c r="B894" s="62" t="s">
        <v>450</v>
      </c>
      <c r="C894" s="63"/>
      <c r="D894" s="64"/>
      <c r="E894" s="65"/>
      <c r="F894" s="66"/>
      <c r="G894" s="63"/>
      <c r="H894" s="67"/>
      <c r="I894" s="68"/>
      <c r="J894" s="68"/>
      <c r="K894" s="32"/>
      <c r="L894" s="75">
        <v>894</v>
      </c>
      <c r="M894" s="75"/>
      <c r="N894" s="70"/>
      <c r="O894" s="77" t="s">
        <v>179</v>
      </c>
      <c r="P894" s="79">
        <v>45079.631284722222</v>
      </c>
      <c r="Q894" s="77" t="s">
        <v>1835</v>
      </c>
      <c r="R894" s="77">
        <v>0</v>
      </c>
      <c r="S894" s="77">
        <v>0</v>
      </c>
      <c r="T894" s="77">
        <v>0</v>
      </c>
      <c r="U894" s="77">
        <v>0</v>
      </c>
      <c r="V894" s="77">
        <v>10</v>
      </c>
      <c r="W894" s="81" t="s">
        <v>3441</v>
      </c>
      <c r="X894" s="83" t="str">
        <f>HYPERLINK("https://bit.ly/3N9TmpK")</f>
        <v>https://bit.ly/3N9TmpK</v>
      </c>
      <c r="Y894" s="77" t="s">
        <v>4213</v>
      </c>
      <c r="Z894" s="77"/>
      <c r="AA894" s="77"/>
      <c r="AB894" s="77"/>
      <c r="AC894" s="81" t="s">
        <v>5807</v>
      </c>
      <c r="AD894" s="77" t="s">
        <v>5851</v>
      </c>
      <c r="AE894" s="83" t="str">
        <f>HYPERLINK("https://twitter.com/gravitycombr/status/1664650340455546884")</f>
        <v>https://twitter.com/gravitycombr/status/1664650340455546884</v>
      </c>
      <c r="AF894" s="79">
        <v>45079.631284722222</v>
      </c>
      <c r="AG894" s="85">
        <v>45079</v>
      </c>
      <c r="AH894" s="81" t="s">
        <v>6704</v>
      </c>
      <c r="AI894" s="77" t="b">
        <v>0</v>
      </c>
      <c r="AJ894" s="77"/>
      <c r="AK894" s="77"/>
      <c r="AL894" s="77"/>
      <c r="AM894" s="77"/>
      <c r="AN894" s="77"/>
      <c r="AO894" s="77"/>
      <c r="AP894" s="77"/>
      <c r="AQ894" s="77"/>
      <c r="AR894" s="77"/>
      <c r="AS894" s="77"/>
      <c r="AT894" s="77"/>
      <c r="AU894" s="77"/>
      <c r="AV894" s="83" t="str">
        <f>HYPERLINK("https://pbs.twimg.com/profile_images/1125544797/logo_ma___m_dio_normal.png")</f>
        <v>https://pbs.twimg.com/profile_images/1125544797/logo_ma___m_dio_normal.png</v>
      </c>
      <c r="AW894" s="81" t="s">
        <v>10157</v>
      </c>
      <c r="AX894" s="81" t="s">
        <v>10157</v>
      </c>
      <c r="AY894" s="77"/>
      <c r="AZ894" s="81" t="s">
        <v>11359</v>
      </c>
      <c r="BA894" s="81" t="s">
        <v>11359</v>
      </c>
      <c r="BB894" s="81" t="s">
        <v>11359</v>
      </c>
      <c r="BC894" s="81" t="s">
        <v>10157</v>
      </c>
      <c r="BD894" s="77">
        <v>110128937</v>
      </c>
      <c r="BE894" s="77"/>
      <c r="BF894" s="77"/>
      <c r="BG894" s="77"/>
      <c r="BH894" s="77"/>
      <c r="BI894" s="77"/>
    </row>
    <row r="895" spans="1:61" x14ac:dyDescent="0.25">
      <c r="A895" s="62" t="s">
        <v>451</v>
      </c>
      <c r="B895" s="62" t="s">
        <v>451</v>
      </c>
      <c r="C895" s="63"/>
      <c r="D895" s="64"/>
      <c r="E895" s="65"/>
      <c r="F895" s="66"/>
      <c r="G895" s="63"/>
      <c r="H895" s="67"/>
      <c r="I895" s="68"/>
      <c r="J895" s="68"/>
      <c r="K895" s="32"/>
      <c r="L895" s="75">
        <v>895</v>
      </c>
      <c r="M895" s="75"/>
      <c r="N895" s="70"/>
      <c r="O895" s="77" t="s">
        <v>179</v>
      </c>
      <c r="P895" s="79">
        <v>45012.883333333331</v>
      </c>
      <c r="Q895" s="77" t="s">
        <v>1836</v>
      </c>
      <c r="R895" s="77">
        <v>0</v>
      </c>
      <c r="S895" s="77">
        <v>0</v>
      </c>
      <c r="T895" s="77">
        <v>0</v>
      </c>
      <c r="U895" s="77">
        <v>0</v>
      </c>
      <c r="V895" s="77">
        <v>11</v>
      </c>
      <c r="W895" s="81" t="s">
        <v>3442</v>
      </c>
      <c r="X895" s="83" t="str">
        <f>HYPERLINK("https://lnkd.in/eKJ9jNwY")</f>
        <v>https://lnkd.in/eKJ9jNwY</v>
      </c>
      <c r="Y895" s="77" t="s">
        <v>4221</v>
      </c>
      <c r="Z895" s="77"/>
      <c r="AA895" s="77"/>
      <c r="AB895" s="77"/>
      <c r="AC895" s="81" t="s">
        <v>5810</v>
      </c>
      <c r="AD895" s="77" t="s">
        <v>5850</v>
      </c>
      <c r="AE895" s="83" t="str">
        <f>HYPERLINK("https://twitter.com/valdiviamarlon/status/1640461693934518272")</f>
        <v>https://twitter.com/valdiviamarlon/status/1640461693934518272</v>
      </c>
      <c r="AF895" s="79">
        <v>45012.883333333331</v>
      </c>
      <c r="AG895" s="85">
        <v>45012</v>
      </c>
      <c r="AH895" s="81" t="s">
        <v>6705</v>
      </c>
      <c r="AI895" s="77" t="b">
        <v>0</v>
      </c>
      <c r="AJ895" s="77"/>
      <c r="AK895" s="77"/>
      <c r="AL895" s="77"/>
      <c r="AM895" s="77"/>
      <c r="AN895" s="77"/>
      <c r="AO895" s="77"/>
      <c r="AP895" s="77"/>
      <c r="AQ895" s="77"/>
      <c r="AR895" s="77"/>
      <c r="AS895" s="77"/>
      <c r="AT895" s="77"/>
      <c r="AU895" s="77"/>
      <c r="AV895" s="83" t="str">
        <f>HYPERLINK("https://pbs.twimg.com/profile_images/1411346781108121605/EO37P-7m_normal.jpg")</f>
        <v>https://pbs.twimg.com/profile_images/1411346781108121605/EO37P-7m_normal.jpg</v>
      </c>
      <c r="AW895" s="81" t="s">
        <v>10158</v>
      </c>
      <c r="AX895" s="81" t="s">
        <v>10158</v>
      </c>
      <c r="AY895" s="77"/>
      <c r="AZ895" s="81" t="s">
        <v>11359</v>
      </c>
      <c r="BA895" s="81" t="s">
        <v>11359</v>
      </c>
      <c r="BB895" s="81" t="s">
        <v>11359</v>
      </c>
      <c r="BC895" s="81" t="s">
        <v>10158</v>
      </c>
      <c r="BD895" s="77">
        <v>93685241</v>
      </c>
      <c r="BE895" s="77"/>
      <c r="BF895" s="77"/>
      <c r="BG895" s="77"/>
      <c r="BH895" s="77"/>
      <c r="BI895" s="77"/>
    </row>
    <row r="896" spans="1:61" x14ac:dyDescent="0.25">
      <c r="A896" s="62" t="s">
        <v>451</v>
      </c>
      <c r="B896" s="62" t="s">
        <v>451</v>
      </c>
      <c r="C896" s="63"/>
      <c r="D896" s="64"/>
      <c r="E896" s="65"/>
      <c r="F896" s="66"/>
      <c r="G896" s="63"/>
      <c r="H896" s="67"/>
      <c r="I896" s="68"/>
      <c r="J896" s="68"/>
      <c r="K896" s="32"/>
      <c r="L896" s="75">
        <v>896</v>
      </c>
      <c r="M896" s="75"/>
      <c r="N896" s="70"/>
      <c r="O896" s="77" t="s">
        <v>179</v>
      </c>
      <c r="P896" s="79">
        <v>45030.950740740744</v>
      </c>
      <c r="Q896" s="77" t="s">
        <v>1837</v>
      </c>
      <c r="R896" s="77">
        <v>0</v>
      </c>
      <c r="S896" s="77">
        <v>0</v>
      </c>
      <c r="T896" s="77">
        <v>0</v>
      </c>
      <c r="U896" s="77">
        <v>0</v>
      </c>
      <c r="V896" s="77">
        <v>18</v>
      </c>
      <c r="W896" s="81" t="s">
        <v>3443</v>
      </c>
      <c r="X896" s="83" t="str">
        <f>HYPERLINK("https://lnkd.in/e4J23Czb")</f>
        <v>https://lnkd.in/e4J23Czb</v>
      </c>
      <c r="Y896" s="77" t="s">
        <v>4221</v>
      </c>
      <c r="Z896" s="77"/>
      <c r="AA896" s="77"/>
      <c r="AB896" s="77"/>
      <c r="AC896" s="81" t="s">
        <v>5810</v>
      </c>
      <c r="AD896" s="77" t="s">
        <v>5850</v>
      </c>
      <c r="AE896" s="83" t="str">
        <f>HYPERLINK("https://twitter.com/valdiviamarlon/status/1647009103833694213")</f>
        <v>https://twitter.com/valdiviamarlon/status/1647009103833694213</v>
      </c>
      <c r="AF896" s="79">
        <v>45030.950740740744</v>
      </c>
      <c r="AG896" s="85">
        <v>45030</v>
      </c>
      <c r="AH896" s="81" t="s">
        <v>6706</v>
      </c>
      <c r="AI896" s="77" t="b">
        <v>0</v>
      </c>
      <c r="AJ896" s="77"/>
      <c r="AK896" s="77"/>
      <c r="AL896" s="77"/>
      <c r="AM896" s="77"/>
      <c r="AN896" s="77"/>
      <c r="AO896" s="77"/>
      <c r="AP896" s="77"/>
      <c r="AQ896" s="77"/>
      <c r="AR896" s="77"/>
      <c r="AS896" s="77"/>
      <c r="AT896" s="77"/>
      <c r="AU896" s="77"/>
      <c r="AV896" s="83" t="str">
        <f>HYPERLINK("https://pbs.twimg.com/profile_images/1411346781108121605/EO37P-7m_normal.jpg")</f>
        <v>https://pbs.twimg.com/profile_images/1411346781108121605/EO37P-7m_normal.jpg</v>
      </c>
      <c r="AW896" s="81" t="s">
        <v>10159</v>
      </c>
      <c r="AX896" s="81" t="s">
        <v>10159</v>
      </c>
      <c r="AY896" s="77"/>
      <c r="AZ896" s="81" t="s">
        <v>11359</v>
      </c>
      <c r="BA896" s="81" t="s">
        <v>11359</v>
      </c>
      <c r="BB896" s="81" t="s">
        <v>11359</v>
      </c>
      <c r="BC896" s="81" t="s">
        <v>10159</v>
      </c>
      <c r="BD896" s="77">
        <v>93685241</v>
      </c>
      <c r="BE896" s="77"/>
      <c r="BF896" s="77"/>
      <c r="BG896" s="77"/>
      <c r="BH896" s="77"/>
      <c r="BI896" s="77"/>
    </row>
    <row r="897" spans="1:61" x14ac:dyDescent="0.25">
      <c r="A897" s="62" t="s">
        <v>452</v>
      </c>
      <c r="B897" s="62" t="s">
        <v>452</v>
      </c>
      <c r="C897" s="63"/>
      <c r="D897" s="64"/>
      <c r="E897" s="65"/>
      <c r="F897" s="66"/>
      <c r="G897" s="63"/>
      <c r="H897" s="67"/>
      <c r="I897" s="68"/>
      <c r="J897" s="68"/>
      <c r="K897" s="32"/>
      <c r="L897" s="75">
        <v>897</v>
      </c>
      <c r="M897" s="75"/>
      <c r="N897" s="70"/>
      <c r="O897" s="77" t="s">
        <v>179</v>
      </c>
      <c r="P897" s="79">
        <v>45113.051134259258</v>
      </c>
      <c r="Q897" s="77" t="s">
        <v>1838</v>
      </c>
      <c r="R897" s="77">
        <v>0</v>
      </c>
      <c r="S897" s="77">
        <v>0</v>
      </c>
      <c r="T897" s="77">
        <v>0</v>
      </c>
      <c r="U897" s="77">
        <v>0</v>
      </c>
      <c r="V897" s="77">
        <v>4</v>
      </c>
      <c r="W897" s="81" t="s">
        <v>2947</v>
      </c>
      <c r="X897" s="77"/>
      <c r="Y897" s="77"/>
      <c r="Z897" s="77"/>
      <c r="AA897" s="77"/>
      <c r="AB897" s="77"/>
      <c r="AC897" s="81" t="s">
        <v>5803</v>
      </c>
      <c r="AD897" s="77" t="s">
        <v>5851</v>
      </c>
      <c r="AE897" s="83" t="str">
        <f>HYPERLINK("https://twitter.com/umviajante/status/1676761287362002946")</f>
        <v>https://twitter.com/umviajante/status/1676761287362002946</v>
      </c>
      <c r="AF897" s="79">
        <v>45113.051134259258</v>
      </c>
      <c r="AG897" s="85">
        <v>45113</v>
      </c>
      <c r="AH897" s="81" t="s">
        <v>6707</v>
      </c>
      <c r="AI897" s="77"/>
      <c r="AJ897" s="77"/>
      <c r="AK897" s="77"/>
      <c r="AL897" s="77"/>
      <c r="AM897" s="77"/>
      <c r="AN897" s="77"/>
      <c r="AO897" s="77"/>
      <c r="AP897" s="77"/>
      <c r="AQ897" s="77"/>
      <c r="AR897" s="77"/>
      <c r="AS897" s="77"/>
      <c r="AT897" s="77"/>
      <c r="AU897" s="77"/>
      <c r="AV897" s="83" t="str">
        <f>HYPERLINK("https://pbs.twimg.com/profile_images/1675092564351893506/6Di6bBhd_normal.jpg")</f>
        <v>https://pbs.twimg.com/profile_images/1675092564351893506/6Di6bBhd_normal.jpg</v>
      </c>
      <c r="AW897" s="81" t="s">
        <v>10160</v>
      </c>
      <c r="AX897" s="81" t="s">
        <v>10160</v>
      </c>
      <c r="AY897" s="77"/>
      <c r="AZ897" s="81" t="s">
        <v>11359</v>
      </c>
      <c r="BA897" s="81" t="s">
        <v>11359</v>
      </c>
      <c r="BB897" s="81" t="s">
        <v>11359</v>
      </c>
      <c r="BC897" s="81" t="s">
        <v>10160</v>
      </c>
      <c r="BD897" s="77">
        <v>222234533</v>
      </c>
      <c r="BE897" s="77"/>
      <c r="BF897" s="77"/>
      <c r="BG897" s="77"/>
      <c r="BH897" s="77"/>
      <c r="BI897" s="77"/>
    </row>
    <row r="898" spans="1:61" x14ac:dyDescent="0.25">
      <c r="A898" s="62" t="s">
        <v>453</v>
      </c>
      <c r="B898" s="62" t="s">
        <v>453</v>
      </c>
      <c r="C898" s="63"/>
      <c r="D898" s="64"/>
      <c r="E898" s="65"/>
      <c r="F898" s="66"/>
      <c r="G898" s="63"/>
      <c r="H898" s="67"/>
      <c r="I898" s="68"/>
      <c r="J898" s="68"/>
      <c r="K898" s="32"/>
      <c r="L898" s="75">
        <v>898</v>
      </c>
      <c r="M898" s="75"/>
      <c r="N898" s="70"/>
      <c r="O898" s="77" t="s">
        <v>179</v>
      </c>
      <c r="P898" s="79">
        <v>45081.611215277779</v>
      </c>
      <c r="Q898" s="77" t="s">
        <v>1839</v>
      </c>
      <c r="R898" s="77">
        <v>1</v>
      </c>
      <c r="S898" s="77">
        <v>0</v>
      </c>
      <c r="T898" s="77">
        <v>0</v>
      </c>
      <c r="U898" s="77">
        <v>0</v>
      </c>
      <c r="V898" s="77">
        <v>476</v>
      </c>
      <c r="W898" s="81" t="s">
        <v>3444</v>
      </c>
      <c r="X898" s="77"/>
      <c r="Y898" s="77"/>
      <c r="Z898" s="77"/>
      <c r="AA898" s="77" t="s">
        <v>5085</v>
      </c>
      <c r="AB898" s="77" t="s">
        <v>5794</v>
      </c>
      <c r="AC898" s="81" t="s">
        <v>5802</v>
      </c>
      <c r="AD898" s="77" t="s">
        <v>5850</v>
      </c>
      <c r="AE898" s="83" t="str">
        <f>HYPERLINK("https://twitter.com/retenchiriqui/status/1665367843049799685")</f>
        <v>https://twitter.com/retenchiriqui/status/1665367843049799685</v>
      </c>
      <c r="AF898" s="79">
        <v>45081.611215277779</v>
      </c>
      <c r="AG898" s="85">
        <v>45081</v>
      </c>
      <c r="AH898" s="81" t="s">
        <v>6708</v>
      </c>
      <c r="AI898" s="77" t="b">
        <v>0</v>
      </c>
      <c r="AJ898" s="77"/>
      <c r="AK898" s="77"/>
      <c r="AL898" s="77"/>
      <c r="AM898" s="77"/>
      <c r="AN898" s="77"/>
      <c r="AO898" s="77"/>
      <c r="AP898" s="77"/>
      <c r="AQ898" s="77" t="s">
        <v>8588</v>
      </c>
      <c r="AR898" s="77"/>
      <c r="AS898" s="77"/>
      <c r="AT898" s="77"/>
      <c r="AU898" s="77"/>
      <c r="AV898" s="83" t="str">
        <f>HYPERLINK("https://pbs.twimg.com/media/FxyTOnXWwAAhB_0.jpg")</f>
        <v>https://pbs.twimg.com/media/FxyTOnXWwAAhB_0.jpg</v>
      </c>
      <c r="AW898" s="81" t="s">
        <v>10161</v>
      </c>
      <c r="AX898" s="81" t="s">
        <v>10161</v>
      </c>
      <c r="AY898" s="77"/>
      <c r="AZ898" s="81" t="s">
        <v>11359</v>
      </c>
      <c r="BA898" s="81" t="s">
        <v>11359</v>
      </c>
      <c r="BB898" s="81" t="s">
        <v>11359</v>
      </c>
      <c r="BC898" s="81" t="s">
        <v>10161</v>
      </c>
      <c r="BD898" s="77">
        <v>1148574218</v>
      </c>
      <c r="BE898" s="77"/>
      <c r="BF898" s="77"/>
      <c r="BG898" s="77"/>
      <c r="BH898" s="77"/>
      <c r="BI898" s="77"/>
    </row>
    <row r="899" spans="1:61" x14ac:dyDescent="0.25">
      <c r="A899" s="62" t="s">
        <v>453</v>
      </c>
      <c r="B899" s="62" t="s">
        <v>453</v>
      </c>
      <c r="C899" s="63"/>
      <c r="D899" s="64"/>
      <c r="E899" s="65"/>
      <c r="F899" s="66"/>
      <c r="G899" s="63"/>
      <c r="H899" s="67"/>
      <c r="I899" s="68"/>
      <c r="J899" s="68"/>
      <c r="K899" s="32"/>
      <c r="L899" s="75">
        <v>899</v>
      </c>
      <c r="M899" s="75"/>
      <c r="N899" s="70"/>
      <c r="O899" s="77" t="s">
        <v>179</v>
      </c>
      <c r="P899" s="79">
        <v>45078.611250000002</v>
      </c>
      <c r="Q899" s="77" t="s">
        <v>1840</v>
      </c>
      <c r="R899" s="77">
        <v>0</v>
      </c>
      <c r="S899" s="77">
        <v>0</v>
      </c>
      <c r="T899" s="77">
        <v>0</v>
      </c>
      <c r="U899" s="77">
        <v>0</v>
      </c>
      <c r="V899" s="77">
        <v>374</v>
      </c>
      <c r="W899" s="81" t="s">
        <v>3445</v>
      </c>
      <c r="X899" s="77"/>
      <c r="Y899" s="77"/>
      <c r="Z899" s="77"/>
      <c r="AA899" s="77" t="s">
        <v>5086</v>
      </c>
      <c r="AB899" s="77" t="s">
        <v>5794</v>
      </c>
      <c r="AC899" s="81" t="s">
        <v>5802</v>
      </c>
      <c r="AD899" s="77" t="s">
        <v>5850</v>
      </c>
      <c r="AE899" s="83" t="str">
        <f>HYPERLINK("https://twitter.com/retenchiriqui/status/1664280692900118535")</f>
        <v>https://twitter.com/retenchiriqui/status/1664280692900118535</v>
      </c>
      <c r="AF899" s="79">
        <v>45078.611250000002</v>
      </c>
      <c r="AG899" s="85">
        <v>45078</v>
      </c>
      <c r="AH899" s="81" t="s">
        <v>6709</v>
      </c>
      <c r="AI899" s="77" t="b">
        <v>0</v>
      </c>
      <c r="AJ899" s="77"/>
      <c r="AK899" s="77"/>
      <c r="AL899" s="77"/>
      <c r="AM899" s="77"/>
      <c r="AN899" s="77"/>
      <c r="AO899" s="77"/>
      <c r="AP899" s="77"/>
      <c r="AQ899" s="77" t="s">
        <v>8589</v>
      </c>
      <c r="AR899" s="77"/>
      <c r="AS899" s="77"/>
      <c r="AT899" s="77"/>
      <c r="AU899" s="77"/>
      <c r="AV899" s="83" t="str">
        <f>HYPERLINK("https://pbs.twimg.com/media/Fxi2eIzacAEWnIg.jpg")</f>
        <v>https://pbs.twimg.com/media/Fxi2eIzacAEWnIg.jpg</v>
      </c>
      <c r="AW899" s="81" t="s">
        <v>10162</v>
      </c>
      <c r="AX899" s="81" t="s">
        <v>10162</v>
      </c>
      <c r="AY899" s="77"/>
      <c r="AZ899" s="81" t="s">
        <v>11359</v>
      </c>
      <c r="BA899" s="81" t="s">
        <v>11359</v>
      </c>
      <c r="BB899" s="81" t="s">
        <v>11359</v>
      </c>
      <c r="BC899" s="81" t="s">
        <v>10162</v>
      </c>
      <c r="BD899" s="77">
        <v>1148574218</v>
      </c>
      <c r="BE899" s="77"/>
      <c r="BF899" s="77"/>
      <c r="BG899" s="77"/>
      <c r="BH899" s="77"/>
      <c r="BI899" s="77"/>
    </row>
    <row r="900" spans="1:61" x14ac:dyDescent="0.25">
      <c r="A900" s="62" t="s">
        <v>453</v>
      </c>
      <c r="B900" s="62" t="s">
        <v>453</v>
      </c>
      <c r="C900" s="63"/>
      <c r="D900" s="64"/>
      <c r="E900" s="65"/>
      <c r="F900" s="66"/>
      <c r="G900" s="63"/>
      <c r="H900" s="67"/>
      <c r="I900" s="68"/>
      <c r="J900" s="68"/>
      <c r="K900" s="32"/>
      <c r="L900" s="75">
        <v>900</v>
      </c>
      <c r="M900" s="75"/>
      <c r="N900" s="70"/>
      <c r="O900" s="77" t="s">
        <v>179</v>
      </c>
      <c r="P900" s="79">
        <v>45080.611226851855</v>
      </c>
      <c r="Q900" s="77" t="s">
        <v>1841</v>
      </c>
      <c r="R900" s="77">
        <v>0</v>
      </c>
      <c r="S900" s="77">
        <v>0</v>
      </c>
      <c r="T900" s="77">
        <v>0</v>
      </c>
      <c r="U900" s="77">
        <v>0</v>
      </c>
      <c r="V900" s="77">
        <v>414</v>
      </c>
      <c r="W900" s="81" t="s">
        <v>3444</v>
      </c>
      <c r="X900" s="77"/>
      <c r="Y900" s="77"/>
      <c r="Z900" s="77"/>
      <c r="AA900" s="77" t="s">
        <v>5087</v>
      </c>
      <c r="AB900" s="77" t="s">
        <v>5794</v>
      </c>
      <c r="AC900" s="81" t="s">
        <v>5802</v>
      </c>
      <c r="AD900" s="77" t="s">
        <v>5850</v>
      </c>
      <c r="AE900" s="83" t="str">
        <f>HYPERLINK("https://twitter.com/retenchiriqui/status/1665005460942991363")</f>
        <v>https://twitter.com/retenchiriqui/status/1665005460942991363</v>
      </c>
      <c r="AF900" s="79">
        <v>45080.611226851855</v>
      </c>
      <c r="AG900" s="85">
        <v>45080</v>
      </c>
      <c r="AH900" s="81" t="s">
        <v>6710</v>
      </c>
      <c r="AI900" s="77" t="b">
        <v>0</v>
      </c>
      <c r="AJ900" s="77"/>
      <c r="AK900" s="77"/>
      <c r="AL900" s="77"/>
      <c r="AM900" s="77"/>
      <c r="AN900" s="77"/>
      <c r="AO900" s="77"/>
      <c r="AP900" s="77"/>
      <c r="AQ900" s="77" t="s">
        <v>8590</v>
      </c>
      <c r="AR900" s="77"/>
      <c r="AS900" s="77"/>
      <c r="AT900" s="77"/>
      <c r="AU900" s="77"/>
      <c r="AV900" s="83" t="str">
        <f>HYPERLINK("https://pbs.twimg.com/media/FxtJpNnX0AAJB6Y.jpg")</f>
        <v>https://pbs.twimg.com/media/FxtJpNnX0AAJB6Y.jpg</v>
      </c>
      <c r="AW900" s="81" t="s">
        <v>10163</v>
      </c>
      <c r="AX900" s="81" t="s">
        <v>10163</v>
      </c>
      <c r="AY900" s="77"/>
      <c r="AZ900" s="81" t="s">
        <v>11359</v>
      </c>
      <c r="BA900" s="81" t="s">
        <v>11359</v>
      </c>
      <c r="BB900" s="81" t="s">
        <v>11359</v>
      </c>
      <c r="BC900" s="81" t="s">
        <v>10163</v>
      </c>
      <c r="BD900" s="77">
        <v>1148574218</v>
      </c>
      <c r="BE900" s="77"/>
      <c r="BF900" s="77"/>
      <c r="BG900" s="77"/>
      <c r="BH900" s="77"/>
      <c r="BI900" s="77"/>
    </row>
    <row r="901" spans="1:61" x14ac:dyDescent="0.25">
      <c r="A901" s="62" t="s">
        <v>453</v>
      </c>
      <c r="B901" s="62" t="s">
        <v>453</v>
      </c>
      <c r="C901" s="63"/>
      <c r="D901" s="64"/>
      <c r="E901" s="65"/>
      <c r="F901" s="66"/>
      <c r="G901" s="63"/>
      <c r="H901" s="67"/>
      <c r="I901" s="68"/>
      <c r="J901" s="68"/>
      <c r="K901" s="32"/>
      <c r="L901" s="75">
        <v>901</v>
      </c>
      <c r="M901" s="75"/>
      <c r="N901" s="70"/>
      <c r="O901" s="77" t="s">
        <v>179</v>
      </c>
      <c r="P901" s="79">
        <v>45079.611250000002</v>
      </c>
      <c r="Q901" s="77" t="s">
        <v>1842</v>
      </c>
      <c r="R901" s="77">
        <v>0</v>
      </c>
      <c r="S901" s="77">
        <v>0</v>
      </c>
      <c r="T901" s="77">
        <v>0</v>
      </c>
      <c r="U901" s="77">
        <v>0</v>
      </c>
      <c r="V901" s="77">
        <v>343</v>
      </c>
      <c r="W901" s="81" t="s">
        <v>3444</v>
      </c>
      <c r="X901" s="77"/>
      <c r="Y901" s="77"/>
      <c r="Z901" s="77"/>
      <c r="AA901" s="77" t="s">
        <v>5088</v>
      </c>
      <c r="AB901" s="77" t="s">
        <v>5794</v>
      </c>
      <c r="AC901" s="81" t="s">
        <v>5802</v>
      </c>
      <c r="AD901" s="77" t="s">
        <v>5850</v>
      </c>
      <c r="AE901" s="83" t="str">
        <f>HYPERLINK("https://twitter.com/retenchiriqui/status/1664643081776381955")</f>
        <v>https://twitter.com/retenchiriqui/status/1664643081776381955</v>
      </c>
      <c r="AF901" s="79">
        <v>45079.611250000002</v>
      </c>
      <c r="AG901" s="85">
        <v>45079</v>
      </c>
      <c r="AH901" s="81" t="s">
        <v>6709</v>
      </c>
      <c r="AI901" s="77" t="b">
        <v>0</v>
      </c>
      <c r="AJ901" s="77"/>
      <c r="AK901" s="77"/>
      <c r="AL901" s="77"/>
      <c r="AM901" s="77"/>
      <c r="AN901" s="77"/>
      <c r="AO901" s="77"/>
      <c r="AP901" s="77"/>
      <c r="AQ901" s="77" t="s">
        <v>8591</v>
      </c>
      <c r="AR901" s="77"/>
      <c r="AS901" s="77"/>
      <c r="AT901" s="77"/>
      <c r="AU901" s="77"/>
      <c r="AV901" s="83" t="str">
        <f>HYPERLINK("https://pbs.twimg.com/media/FxoAD9aWYAML2Vc.jpg")</f>
        <v>https://pbs.twimg.com/media/FxoAD9aWYAML2Vc.jpg</v>
      </c>
      <c r="AW901" s="81" t="s">
        <v>10164</v>
      </c>
      <c r="AX901" s="81" t="s">
        <v>10164</v>
      </c>
      <c r="AY901" s="77"/>
      <c r="AZ901" s="81" t="s">
        <v>11359</v>
      </c>
      <c r="BA901" s="81" t="s">
        <v>11359</v>
      </c>
      <c r="BB901" s="81" t="s">
        <v>11359</v>
      </c>
      <c r="BC901" s="81" t="s">
        <v>10164</v>
      </c>
      <c r="BD901" s="77">
        <v>1148574218</v>
      </c>
      <c r="BE901" s="77"/>
      <c r="BF901" s="77"/>
      <c r="BG901" s="77"/>
      <c r="BH901" s="77"/>
      <c r="BI901" s="77"/>
    </row>
    <row r="902" spans="1:61" x14ac:dyDescent="0.25">
      <c r="A902" s="62" t="s">
        <v>454</v>
      </c>
      <c r="B902" s="62" t="s">
        <v>454</v>
      </c>
      <c r="C902" s="63"/>
      <c r="D902" s="64"/>
      <c r="E902" s="65"/>
      <c r="F902" s="66"/>
      <c r="G902" s="63"/>
      <c r="H902" s="67"/>
      <c r="I902" s="68"/>
      <c r="J902" s="68"/>
      <c r="K902" s="32"/>
      <c r="L902" s="75">
        <v>902</v>
      </c>
      <c r="M902" s="75"/>
      <c r="N902" s="70"/>
      <c r="O902" s="77" t="s">
        <v>969</v>
      </c>
      <c r="P902" s="79">
        <v>45019.871493055558</v>
      </c>
      <c r="Q902" s="77" t="s">
        <v>1843</v>
      </c>
      <c r="R902" s="77">
        <v>1</v>
      </c>
      <c r="S902" s="77">
        <v>3</v>
      </c>
      <c r="T902" s="77">
        <v>0</v>
      </c>
      <c r="U902" s="77">
        <v>0</v>
      </c>
      <c r="V902" s="77">
        <v>59</v>
      </c>
      <c r="W902" s="81" t="s">
        <v>3446</v>
      </c>
      <c r="X902" s="83" t="str">
        <f>HYPERLINK("https://hub.neogrid.com/neogrid-summit-2023?utm_source=twitter&amp;utm_medium=social&amp;utm_campaign=neogrid_summit_save_the_date_twitter_neogrid")</f>
        <v>https://hub.neogrid.com/neogrid-summit-2023?utm_source=twitter&amp;utm_medium=social&amp;utm_campaign=neogrid_summit_save_the_date_twitter_neogrid</v>
      </c>
      <c r="Y902" s="77" t="s">
        <v>4279</v>
      </c>
      <c r="Z902" s="77"/>
      <c r="AA902" s="77"/>
      <c r="AB902" s="77"/>
      <c r="AC902" s="81" t="s">
        <v>5805</v>
      </c>
      <c r="AD902" s="77" t="s">
        <v>5851</v>
      </c>
      <c r="AE902" s="83" t="str">
        <f>HYPERLINK("https://twitter.com/neogrid/status/1642994117490925569")</f>
        <v>https://twitter.com/neogrid/status/1642994117490925569</v>
      </c>
      <c r="AF902" s="79">
        <v>45019.871493055558</v>
      </c>
      <c r="AG902" s="85">
        <v>45019</v>
      </c>
      <c r="AH902" s="81" t="s">
        <v>6711</v>
      </c>
      <c r="AI902" s="77" t="b">
        <v>0</v>
      </c>
      <c r="AJ902" s="77"/>
      <c r="AK902" s="77"/>
      <c r="AL902" s="77"/>
      <c r="AM902" s="77"/>
      <c r="AN902" s="77"/>
      <c r="AO902" s="77"/>
      <c r="AP902" s="77"/>
      <c r="AQ902" s="77"/>
      <c r="AR902" s="77"/>
      <c r="AS902" s="77"/>
      <c r="AT902" s="77"/>
      <c r="AU902" s="77"/>
      <c r="AV902" s="83" t="str">
        <f>HYPERLINK("https://pbs.twimg.com/profile_images/909704949390602240/n2v0MD9x_normal.jpg")</f>
        <v>https://pbs.twimg.com/profile_images/909704949390602240/n2v0MD9x_normal.jpg</v>
      </c>
      <c r="AW902" s="81" t="s">
        <v>10165</v>
      </c>
      <c r="AX902" s="81" t="s">
        <v>11265</v>
      </c>
      <c r="AY902" s="81" t="s">
        <v>11333</v>
      </c>
      <c r="AZ902" s="81" t="s">
        <v>11265</v>
      </c>
      <c r="BA902" s="81" t="s">
        <v>11359</v>
      </c>
      <c r="BB902" s="81" t="s">
        <v>11359</v>
      </c>
      <c r="BC902" s="81" t="s">
        <v>11265</v>
      </c>
      <c r="BD902" s="77">
        <v>36146846</v>
      </c>
      <c r="BE902" s="77"/>
      <c r="BF902" s="77"/>
      <c r="BG902" s="77"/>
      <c r="BH902" s="77"/>
      <c r="BI902" s="77"/>
    </row>
    <row r="903" spans="1:61" x14ac:dyDescent="0.25">
      <c r="A903" s="62" t="s">
        <v>454</v>
      </c>
      <c r="B903" s="62" t="s">
        <v>454</v>
      </c>
      <c r="C903" s="63"/>
      <c r="D903" s="64"/>
      <c r="E903" s="65"/>
      <c r="F903" s="66"/>
      <c r="G903" s="63"/>
      <c r="H903" s="67"/>
      <c r="I903" s="68"/>
      <c r="J903" s="68"/>
      <c r="K903" s="32"/>
      <c r="L903" s="75">
        <v>903</v>
      </c>
      <c r="M903" s="75"/>
      <c r="N903" s="70"/>
      <c r="O903" s="77" t="s">
        <v>969</v>
      </c>
      <c r="P903" s="79">
        <v>45055.85429398148</v>
      </c>
      <c r="Q903" s="77" t="s">
        <v>1844</v>
      </c>
      <c r="R903" s="77">
        <v>1</v>
      </c>
      <c r="S903" s="77">
        <v>2</v>
      </c>
      <c r="T903" s="77">
        <v>0</v>
      </c>
      <c r="U903" s="77">
        <v>0</v>
      </c>
      <c r="V903" s="77">
        <v>39</v>
      </c>
      <c r="W903" s="81" t="s">
        <v>3447</v>
      </c>
      <c r="X903" s="83" t="str">
        <f>HYPERLINK("https://neogrid.com/br/blog/o-que-e-consumidor-omnichannel?utm_source=twitter&amp;utm_campaign=blog_omnicahnnel_twitter&amp;utm_medium=social")</f>
        <v>https://neogrid.com/br/blog/o-que-e-consumidor-omnichannel?utm_source=twitter&amp;utm_campaign=blog_omnicahnnel_twitter&amp;utm_medium=social</v>
      </c>
      <c r="Y903" s="77" t="s">
        <v>4279</v>
      </c>
      <c r="Z903" s="77"/>
      <c r="AA903" s="77"/>
      <c r="AB903" s="77"/>
      <c r="AC903" s="81" t="s">
        <v>5805</v>
      </c>
      <c r="AD903" s="77" t="s">
        <v>5851</v>
      </c>
      <c r="AE903" s="83" t="str">
        <f>HYPERLINK("https://twitter.com/neogrid/status/1656033848050819072")</f>
        <v>https://twitter.com/neogrid/status/1656033848050819072</v>
      </c>
      <c r="AF903" s="79">
        <v>45055.85429398148</v>
      </c>
      <c r="AG903" s="85">
        <v>45055</v>
      </c>
      <c r="AH903" s="81" t="s">
        <v>6712</v>
      </c>
      <c r="AI903" s="77" t="b">
        <v>0</v>
      </c>
      <c r="AJ903" s="77"/>
      <c r="AK903" s="77"/>
      <c r="AL903" s="77"/>
      <c r="AM903" s="77"/>
      <c r="AN903" s="77"/>
      <c r="AO903" s="77"/>
      <c r="AP903" s="77"/>
      <c r="AQ903" s="77"/>
      <c r="AR903" s="77"/>
      <c r="AS903" s="77"/>
      <c r="AT903" s="77"/>
      <c r="AU903" s="77"/>
      <c r="AV903" s="83" t="str">
        <f>HYPERLINK("https://pbs.twimg.com/profile_images/909704949390602240/n2v0MD9x_normal.jpg")</f>
        <v>https://pbs.twimg.com/profile_images/909704949390602240/n2v0MD9x_normal.jpg</v>
      </c>
      <c r="AW903" s="81" t="s">
        <v>10166</v>
      </c>
      <c r="AX903" s="81" t="s">
        <v>11266</v>
      </c>
      <c r="AY903" s="81" t="s">
        <v>11333</v>
      </c>
      <c r="AZ903" s="81" t="s">
        <v>11266</v>
      </c>
      <c r="BA903" s="81" t="s">
        <v>11359</v>
      </c>
      <c r="BB903" s="81" t="s">
        <v>11359</v>
      </c>
      <c r="BC903" s="81" t="s">
        <v>11266</v>
      </c>
      <c r="BD903" s="77">
        <v>36146846</v>
      </c>
      <c r="BE903" s="77"/>
      <c r="BF903" s="77"/>
      <c r="BG903" s="77"/>
      <c r="BH903" s="77"/>
      <c r="BI903" s="77"/>
    </row>
    <row r="904" spans="1:61" x14ac:dyDescent="0.25">
      <c r="A904" s="62" t="s">
        <v>454</v>
      </c>
      <c r="B904" s="62" t="s">
        <v>454</v>
      </c>
      <c r="C904" s="63"/>
      <c r="D904" s="64"/>
      <c r="E904" s="65"/>
      <c r="F904" s="66"/>
      <c r="G904" s="63"/>
      <c r="H904" s="67"/>
      <c r="I904" s="68"/>
      <c r="J904" s="68"/>
      <c r="K904" s="32"/>
      <c r="L904" s="75">
        <v>904</v>
      </c>
      <c r="M904" s="75"/>
      <c r="N904" s="70"/>
      <c r="O904" s="77" t="s">
        <v>969</v>
      </c>
      <c r="P904" s="79">
        <v>45036.833287037036</v>
      </c>
      <c r="Q904" s="77" t="s">
        <v>1845</v>
      </c>
      <c r="R904" s="77">
        <v>1</v>
      </c>
      <c r="S904" s="77">
        <v>1</v>
      </c>
      <c r="T904" s="77">
        <v>0</v>
      </c>
      <c r="U904" s="77">
        <v>0</v>
      </c>
      <c r="V904" s="77">
        <v>41</v>
      </c>
      <c r="W904" s="81" t="s">
        <v>3448</v>
      </c>
      <c r="X904" s="83" t="str">
        <f>HYPERLINK("https://hub.neogrid.com/neogrid-summit-2023?utm_source=twitter&amp;utm_campaign=summit_tbt_twitter&amp;utm_medium=social")</f>
        <v>https://hub.neogrid.com/neogrid-summit-2023?utm_source=twitter&amp;utm_campaign=summit_tbt_twitter&amp;utm_medium=social</v>
      </c>
      <c r="Y904" s="77" t="s">
        <v>4279</v>
      </c>
      <c r="Z904" s="77"/>
      <c r="AA904" s="77"/>
      <c r="AB904" s="77"/>
      <c r="AC904" s="81" t="s">
        <v>5805</v>
      </c>
      <c r="AD904" s="77" t="s">
        <v>5851</v>
      </c>
      <c r="AE904" s="83" t="str">
        <f>HYPERLINK("https://twitter.com/neogrid/status/1649140863597965323")</f>
        <v>https://twitter.com/neogrid/status/1649140863597965323</v>
      </c>
      <c r="AF904" s="79">
        <v>45036.833287037036</v>
      </c>
      <c r="AG904" s="85">
        <v>45036</v>
      </c>
      <c r="AH904" s="81" t="s">
        <v>6713</v>
      </c>
      <c r="AI904" s="77" t="b">
        <v>0</v>
      </c>
      <c r="AJ904" s="77"/>
      <c r="AK904" s="77"/>
      <c r="AL904" s="77"/>
      <c r="AM904" s="77"/>
      <c r="AN904" s="77"/>
      <c r="AO904" s="77"/>
      <c r="AP904" s="77"/>
      <c r="AQ904" s="77"/>
      <c r="AR904" s="77"/>
      <c r="AS904" s="77"/>
      <c r="AT904" s="77"/>
      <c r="AU904" s="77"/>
      <c r="AV904" s="83" t="str">
        <f>HYPERLINK("https://pbs.twimg.com/profile_images/909704949390602240/n2v0MD9x_normal.jpg")</f>
        <v>https://pbs.twimg.com/profile_images/909704949390602240/n2v0MD9x_normal.jpg</v>
      </c>
      <c r="AW904" s="81" t="s">
        <v>10167</v>
      </c>
      <c r="AX904" s="81" t="s">
        <v>11267</v>
      </c>
      <c r="AY904" s="81" t="s">
        <v>11333</v>
      </c>
      <c r="AZ904" s="81" t="s">
        <v>11267</v>
      </c>
      <c r="BA904" s="81" t="s">
        <v>11359</v>
      </c>
      <c r="BB904" s="81" t="s">
        <v>11359</v>
      </c>
      <c r="BC904" s="81" t="s">
        <v>11267</v>
      </c>
      <c r="BD904" s="77">
        <v>36146846</v>
      </c>
      <c r="BE904" s="77"/>
      <c r="BF904" s="77"/>
      <c r="BG904" s="77"/>
      <c r="BH904" s="77"/>
      <c r="BI904" s="77"/>
    </row>
    <row r="905" spans="1:61" x14ac:dyDescent="0.25">
      <c r="A905" s="62" t="s">
        <v>455</v>
      </c>
      <c r="B905" s="62" t="s">
        <v>455</v>
      </c>
      <c r="C905" s="63"/>
      <c r="D905" s="64"/>
      <c r="E905" s="65"/>
      <c r="F905" s="66"/>
      <c r="G905" s="63"/>
      <c r="H905" s="67"/>
      <c r="I905" s="68"/>
      <c r="J905" s="68"/>
      <c r="K905" s="32"/>
      <c r="L905" s="75">
        <v>905</v>
      </c>
      <c r="M905" s="75"/>
      <c r="N905" s="70"/>
      <c r="O905" s="77" t="s">
        <v>179</v>
      </c>
      <c r="P905" s="79">
        <v>45146.125057870369</v>
      </c>
      <c r="Q905" s="77" t="s">
        <v>1846</v>
      </c>
      <c r="R905" s="77">
        <v>0</v>
      </c>
      <c r="S905" s="77">
        <v>0</v>
      </c>
      <c r="T905" s="77">
        <v>1</v>
      </c>
      <c r="U905" s="77">
        <v>0</v>
      </c>
      <c r="V905" s="77">
        <v>163</v>
      </c>
      <c r="W905" s="81" t="s">
        <v>3449</v>
      </c>
      <c r="X905" s="83" t="str">
        <f>HYPERLINK("https://bit.ly/3KwFlkf")</f>
        <v>https://bit.ly/3KwFlkf</v>
      </c>
      <c r="Y905" s="77" t="s">
        <v>4213</v>
      </c>
      <c r="Z905" s="77"/>
      <c r="AA905" s="77" t="s">
        <v>5089</v>
      </c>
      <c r="AB905" s="77" t="s">
        <v>5794</v>
      </c>
      <c r="AC905" s="81" t="s">
        <v>5829</v>
      </c>
      <c r="AD905" s="77" t="s">
        <v>5850</v>
      </c>
      <c r="AE905" s="83" t="str">
        <f>HYPERLINK("https://twitter.com/elsolucionario/status/1688746876646854656")</f>
        <v>https://twitter.com/elsolucionario/status/1688746876646854656</v>
      </c>
      <c r="AF905" s="79">
        <v>45146.125057870369</v>
      </c>
      <c r="AG905" s="85">
        <v>45146</v>
      </c>
      <c r="AH905" s="81" t="s">
        <v>6714</v>
      </c>
      <c r="AI905" s="77" t="b">
        <v>0</v>
      </c>
      <c r="AJ905" s="77"/>
      <c r="AK905" s="77"/>
      <c r="AL905" s="77"/>
      <c r="AM905" s="77"/>
      <c r="AN905" s="77"/>
      <c r="AO905" s="77"/>
      <c r="AP905" s="77"/>
      <c r="AQ905" s="77" t="s">
        <v>8592</v>
      </c>
      <c r="AR905" s="77"/>
      <c r="AS905" s="77"/>
      <c r="AT905" s="77"/>
      <c r="AU905" s="77"/>
      <c r="AV905" s="83" t="str">
        <f>HYPERLINK("https://pbs.twimg.com/media/F2-iVL0WUAEZA4L.jpg")</f>
        <v>https://pbs.twimg.com/media/F2-iVL0WUAEZA4L.jpg</v>
      </c>
      <c r="AW905" s="81" t="s">
        <v>10168</v>
      </c>
      <c r="AX905" s="81" t="s">
        <v>10168</v>
      </c>
      <c r="AY905" s="77"/>
      <c r="AZ905" s="81" t="s">
        <v>11359</v>
      </c>
      <c r="BA905" s="81" t="s">
        <v>11359</v>
      </c>
      <c r="BB905" s="81" t="s">
        <v>11359</v>
      </c>
      <c r="BC905" s="81" t="s">
        <v>10168</v>
      </c>
      <c r="BD905" s="81" t="s">
        <v>11520</v>
      </c>
      <c r="BE905" s="77"/>
      <c r="BF905" s="77"/>
      <c r="BG905" s="77"/>
      <c r="BH905" s="77"/>
      <c r="BI905" s="77"/>
    </row>
    <row r="906" spans="1:61" x14ac:dyDescent="0.25">
      <c r="A906" s="62" t="s">
        <v>455</v>
      </c>
      <c r="B906" s="62" t="s">
        <v>455</v>
      </c>
      <c r="C906" s="63"/>
      <c r="D906" s="64"/>
      <c r="E906" s="65"/>
      <c r="F906" s="66"/>
      <c r="G906" s="63"/>
      <c r="H906" s="67"/>
      <c r="I906" s="68"/>
      <c r="J906" s="68"/>
      <c r="K906" s="32"/>
      <c r="L906" s="75">
        <v>906</v>
      </c>
      <c r="M906" s="75"/>
      <c r="N906" s="70"/>
      <c r="O906" s="77" t="s">
        <v>179</v>
      </c>
      <c r="P906" s="79">
        <v>45180.229212962964</v>
      </c>
      <c r="Q906" s="77" t="s">
        <v>1847</v>
      </c>
      <c r="R906" s="77">
        <v>0</v>
      </c>
      <c r="S906" s="77">
        <v>0</v>
      </c>
      <c r="T906" s="77">
        <v>1</v>
      </c>
      <c r="U906" s="77">
        <v>0</v>
      </c>
      <c r="V906" s="77">
        <v>119</v>
      </c>
      <c r="W906" s="81" t="s">
        <v>3449</v>
      </c>
      <c r="X906" s="83" t="str">
        <f>HYPERLINK("https://bit.ly/3PxSfkM")</f>
        <v>https://bit.ly/3PxSfkM</v>
      </c>
      <c r="Y906" s="77" t="s">
        <v>4213</v>
      </c>
      <c r="Z906" s="77"/>
      <c r="AA906" s="77" t="s">
        <v>5090</v>
      </c>
      <c r="AB906" s="77" t="s">
        <v>5794</v>
      </c>
      <c r="AC906" s="81" t="s">
        <v>5829</v>
      </c>
      <c r="AD906" s="77" t="s">
        <v>5850</v>
      </c>
      <c r="AE906" s="83" t="str">
        <f>HYPERLINK("https://twitter.com/elsolucionario/status/1701105809071931728")</f>
        <v>https://twitter.com/elsolucionario/status/1701105809071931728</v>
      </c>
      <c r="AF906" s="79">
        <v>45180.229212962964</v>
      </c>
      <c r="AG906" s="85">
        <v>45180</v>
      </c>
      <c r="AH906" s="81" t="s">
        <v>6715</v>
      </c>
      <c r="AI906" s="77" t="b">
        <v>0</v>
      </c>
      <c r="AJ906" s="77"/>
      <c r="AK906" s="77"/>
      <c r="AL906" s="77"/>
      <c r="AM906" s="77"/>
      <c r="AN906" s="77"/>
      <c r="AO906" s="77"/>
      <c r="AP906" s="77"/>
      <c r="AQ906" s="77" t="s">
        <v>8593</v>
      </c>
      <c r="AR906" s="77"/>
      <c r="AS906" s="77"/>
      <c r="AT906" s="77"/>
      <c r="AU906" s="77"/>
      <c r="AV906" s="83" t="str">
        <f>HYPERLINK("https://pbs.twimg.com/media/F5uKtv3W8AAwZxG.jpg")</f>
        <v>https://pbs.twimg.com/media/F5uKtv3W8AAwZxG.jpg</v>
      </c>
      <c r="AW906" s="81" t="s">
        <v>10169</v>
      </c>
      <c r="AX906" s="81" t="s">
        <v>10169</v>
      </c>
      <c r="AY906" s="77"/>
      <c r="AZ906" s="81" t="s">
        <v>11359</v>
      </c>
      <c r="BA906" s="81" t="s">
        <v>11359</v>
      </c>
      <c r="BB906" s="81" t="s">
        <v>11359</v>
      </c>
      <c r="BC906" s="81" t="s">
        <v>10169</v>
      </c>
      <c r="BD906" s="81" t="s">
        <v>11520</v>
      </c>
      <c r="BE906" s="77"/>
      <c r="BF906" s="77"/>
      <c r="BG906" s="77"/>
      <c r="BH906" s="77"/>
      <c r="BI906" s="77"/>
    </row>
    <row r="907" spans="1:61" x14ac:dyDescent="0.25">
      <c r="A907" s="62" t="s">
        <v>456</v>
      </c>
      <c r="B907" s="62" t="s">
        <v>456</v>
      </c>
      <c r="C907" s="63"/>
      <c r="D907" s="64"/>
      <c r="E907" s="65"/>
      <c r="F907" s="66"/>
      <c r="G907" s="63"/>
      <c r="H907" s="67"/>
      <c r="I907" s="68"/>
      <c r="J907" s="68"/>
      <c r="K907" s="32"/>
      <c r="L907" s="75">
        <v>907</v>
      </c>
      <c r="M907" s="75"/>
      <c r="N907" s="70"/>
      <c r="O907" s="77" t="s">
        <v>179</v>
      </c>
      <c r="P907" s="79">
        <v>44988.594756944447</v>
      </c>
      <c r="Q907" s="77" t="s">
        <v>1848</v>
      </c>
      <c r="R907" s="77">
        <v>0</v>
      </c>
      <c r="S907" s="77">
        <v>0</v>
      </c>
      <c r="T907" s="77">
        <v>0</v>
      </c>
      <c r="U907" s="77">
        <v>0</v>
      </c>
      <c r="V907" s="77">
        <v>11</v>
      </c>
      <c r="W907" s="81" t="s">
        <v>3450</v>
      </c>
      <c r="X907" s="83" t="str">
        <f>HYPERLINK("https://cybersecuritynews.es/cuales-son-los-beneficios-de-la-debida-diligencia/")</f>
        <v>https://cybersecuritynews.es/cuales-son-los-beneficios-de-la-debida-diligencia/</v>
      </c>
      <c r="Y907" s="77" t="s">
        <v>4265</v>
      </c>
      <c r="Z907" s="77"/>
      <c r="AA907" s="77"/>
      <c r="AB907" s="77"/>
      <c r="AC907" s="81" t="s">
        <v>5830</v>
      </c>
      <c r="AD907" s="77" t="s">
        <v>5850</v>
      </c>
      <c r="AE907" s="83" t="str">
        <f>HYPERLINK("https://twitter.com/hacktivos/status/1631659806321680384")</f>
        <v>https://twitter.com/hacktivos/status/1631659806321680384</v>
      </c>
      <c r="AF907" s="79">
        <v>44988.594756944447</v>
      </c>
      <c r="AG907" s="85">
        <v>44988</v>
      </c>
      <c r="AH907" s="81" t="s">
        <v>6716</v>
      </c>
      <c r="AI907" s="77" t="b">
        <v>1</v>
      </c>
      <c r="AJ907" s="77"/>
      <c r="AK907" s="77"/>
      <c r="AL907" s="77"/>
      <c r="AM907" s="77"/>
      <c r="AN907" s="77"/>
      <c r="AO907" s="77"/>
      <c r="AP907" s="77"/>
      <c r="AQ907" s="77"/>
      <c r="AR907" s="77"/>
      <c r="AS907" s="77"/>
      <c r="AT907" s="77"/>
      <c r="AU907" s="77"/>
      <c r="AV907" s="83" t="str">
        <f>HYPERLINK("https://pbs.twimg.com/profile_images/1616100390365282306/_0cTUVSD_normal.jpg")</f>
        <v>https://pbs.twimg.com/profile_images/1616100390365282306/_0cTUVSD_normal.jpg</v>
      </c>
      <c r="AW907" s="81" t="s">
        <v>10170</v>
      </c>
      <c r="AX907" s="81" t="s">
        <v>10170</v>
      </c>
      <c r="AY907" s="77"/>
      <c r="AZ907" s="81" t="s">
        <v>11359</v>
      </c>
      <c r="BA907" s="81" t="s">
        <v>11359</v>
      </c>
      <c r="BB907" s="81" t="s">
        <v>11359</v>
      </c>
      <c r="BC907" s="81" t="s">
        <v>10170</v>
      </c>
      <c r="BD907" s="81" t="s">
        <v>11521</v>
      </c>
      <c r="BE907" s="77"/>
      <c r="BF907" s="77"/>
      <c r="BG907" s="77"/>
      <c r="BH907" s="77"/>
      <c r="BI907" s="77"/>
    </row>
    <row r="908" spans="1:61" x14ac:dyDescent="0.25">
      <c r="A908" s="62" t="s">
        <v>457</v>
      </c>
      <c r="B908" s="62" t="s">
        <v>457</v>
      </c>
      <c r="C908" s="63"/>
      <c r="D908" s="64"/>
      <c r="E908" s="65"/>
      <c r="F908" s="66"/>
      <c r="G908" s="63"/>
      <c r="H908" s="67"/>
      <c r="I908" s="68"/>
      <c r="J908" s="68"/>
      <c r="K908" s="32"/>
      <c r="L908" s="75">
        <v>908</v>
      </c>
      <c r="M908" s="75"/>
      <c r="N908" s="70"/>
      <c r="O908" s="77" t="s">
        <v>179</v>
      </c>
      <c r="P908" s="79">
        <v>45142.60429398148</v>
      </c>
      <c r="Q908" s="77" t="s">
        <v>1849</v>
      </c>
      <c r="R908" s="77">
        <v>6</v>
      </c>
      <c r="S908" s="77">
        <v>40</v>
      </c>
      <c r="T908" s="77">
        <v>1</v>
      </c>
      <c r="U908" s="77">
        <v>0</v>
      </c>
      <c r="V908" s="77">
        <v>2788</v>
      </c>
      <c r="W908" s="81" t="s">
        <v>3451</v>
      </c>
      <c r="X908" s="77"/>
      <c r="Y908" s="77"/>
      <c r="Z908" s="77"/>
      <c r="AA908" s="77" t="s">
        <v>5091</v>
      </c>
      <c r="AB908" s="77" t="s">
        <v>5795</v>
      </c>
      <c r="AC908" s="81" t="s">
        <v>5801</v>
      </c>
      <c r="AD908" s="77" t="s">
        <v>5851</v>
      </c>
      <c r="AE908" s="83" t="str">
        <f>HYPERLINK("https://twitter.com/radiorock89/status/1687470994707947520")</f>
        <v>https://twitter.com/radiorock89/status/1687470994707947520</v>
      </c>
      <c r="AF908" s="79">
        <v>45142.60429398148</v>
      </c>
      <c r="AG908" s="85">
        <v>45142</v>
      </c>
      <c r="AH908" s="81" t="s">
        <v>6717</v>
      </c>
      <c r="AI908" s="77" t="b">
        <v>0</v>
      </c>
      <c r="AJ908" s="77"/>
      <c r="AK908" s="77"/>
      <c r="AL908" s="77"/>
      <c r="AM908" s="77"/>
      <c r="AN908" s="77"/>
      <c r="AO908" s="77"/>
      <c r="AP908" s="77"/>
      <c r="AQ908" s="77" t="s">
        <v>8594</v>
      </c>
      <c r="AR908" s="77">
        <v>12875</v>
      </c>
      <c r="AS908" s="77"/>
      <c r="AT908" s="77"/>
      <c r="AU908" s="77"/>
      <c r="AV908" s="83" t="str">
        <f>HYPERLINK("https://pbs.twimg.com/ext_tw_video_thumb/1687470950760038401/pu/img/5LdMoAxnNi9J9xfW.jpg")</f>
        <v>https://pbs.twimg.com/ext_tw_video_thumb/1687470950760038401/pu/img/5LdMoAxnNi9J9xfW.jpg</v>
      </c>
      <c r="AW908" s="81" t="s">
        <v>10171</v>
      </c>
      <c r="AX908" s="81" t="s">
        <v>10171</v>
      </c>
      <c r="AY908" s="77"/>
      <c r="AZ908" s="81" t="s">
        <v>11359</v>
      </c>
      <c r="BA908" s="81" t="s">
        <v>11359</v>
      </c>
      <c r="BB908" s="81" t="s">
        <v>11359</v>
      </c>
      <c r="BC908" s="81" t="s">
        <v>10171</v>
      </c>
      <c r="BD908" s="77">
        <v>908917442</v>
      </c>
      <c r="BE908" s="77"/>
      <c r="BF908" s="77"/>
      <c r="BG908" s="77"/>
      <c r="BH908" s="77"/>
      <c r="BI908" s="77"/>
    </row>
    <row r="909" spans="1:61" x14ac:dyDescent="0.25">
      <c r="A909" s="62" t="s">
        <v>458</v>
      </c>
      <c r="B909" s="62" t="s">
        <v>914</v>
      </c>
      <c r="C909" s="63"/>
      <c r="D909" s="64"/>
      <c r="E909" s="65"/>
      <c r="F909" s="66"/>
      <c r="G909" s="63"/>
      <c r="H909" s="67"/>
      <c r="I909" s="68"/>
      <c r="J909" s="68"/>
      <c r="K909" s="32"/>
      <c r="L909" s="75">
        <v>909</v>
      </c>
      <c r="M909" s="75"/>
      <c r="N909" s="70"/>
      <c r="O909" s="77" t="s">
        <v>967</v>
      </c>
      <c r="P909" s="79">
        <v>44973.580868055556</v>
      </c>
      <c r="Q909" s="77" t="s">
        <v>1850</v>
      </c>
      <c r="R909" s="77">
        <v>0</v>
      </c>
      <c r="S909" s="77">
        <v>0</v>
      </c>
      <c r="T909" s="77">
        <v>0</v>
      </c>
      <c r="U909" s="77">
        <v>0</v>
      </c>
      <c r="V909" s="77">
        <v>2</v>
      </c>
      <c r="W909" s="81" t="s">
        <v>3452</v>
      </c>
      <c r="X909" s="83" t="str">
        <f>HYPERLINK("https://ciaderesultados.solides.jobs")</f>
        <v>https://ciaderesultados.solides.jobs</v>
      </c>
      <c r="Y909" s="77" t="s">
        <v>4280</v>
      </c>
      <c r="Z909" s="77" t="s">
        <v>914</v>
      </c>
      <c r="AA909" s="77"/>
      <c r="AB909" s="77"/>
      <c r="AC909" s="81" t="s">
        <v>5805</v>
      </c>
      <c r="AD909" s="77" t="s">
        <v>5851</v>
      </c>
      <c r="AE909" s="83" t="str">
        <f>HYPERLINK("https://twitter.com/resultadoscia/status/1626218958004301831")</f>
        <v>https://twitter.com/resultadoscia/status/1626218958004301831</v>
      </c>
      <c r="AF909" s="79">
        <v>44973.580868055556</v>
      </c>
      <c r="AG909" s="85">
        <v>44973</v>
      </c>
      <c r="AH909" s="81" t="s">
        <v>6718</v>
      </c>
      <c r="AI909" s="77" t="b">
        <v>0</v>
      </c>
      <c r="AJ909" s="77"/>
      <c r="AK909" s="77"/>
      <c r="AL909" s="77"/>
      <c r="AM909" s="77"/>
      <c r="AN909" s="77"/>
      <c r="AO909" s="77"/>
      <c r="AP909" s="77"/>
      <c r="AQ909" s="77"/>
      <c r="AR909" s="77"/>
      <c r="AS909" s="77"/>
      <c r="AT909" s="77"/>
      <c r="AU909" s="77"/>
      <c r="AV909" s="83" t="str">
        <f>HYPERLINK("https://pbs.twimg.com/profile_images/1547314113201770496/LmGLBlzd_normal.png")</f>
        <v>https://pbs.twimg.com/profile_images/1547314113201770496/LmGLBlzd_normal.png</v>
      </c>
      <c r="AW909" s="81" t="s">
        <v>10172</v>
      </c>
      <c r="AX909" s="81" t="s">
        <v>10172</v>
      </c>
      <c r="AY909" s="77"/>
      <c r="AZ909" s="81" t="s">
        <v>11359</v>
      </c>
      <c r="BA909" s="81" t="s">
        <v>11359</v>
      </c>
      <c r="BB909" s="81" t="s">
        <v>11359</v>
      </c>
      <c r="BC909" s="81" t="s">
        <v>10172</v>
      </c>
      <c r="BD909" s="81" t="s">
        <v>11522</v>
      </c>
      <c r="BE909" s="77"/>
      <c r="BF909" s="77"/>
      <c r="BG909" s="77"/>
      <c r="BH909" s="77"/>
      <c r="BI909" s="77"/>
    </row>
    <row r="910" spans="1:61" x14ac:dyDescent="0.25">
      <c r="A910" s="62" t="s">
        <v>459</v>
      </c>
      <c r="B910" s="62" t="s">
        <v>459</v>
      </c>
      <c r="C910" s="63"/>
      <c r="D910" s="64"/>
      <c r="E910" s="65"/>
      <c r="F910" s="66"/>
      <c r="G910" s="63"/>
      <c r="H910" s="67"/>
      <c r="I910" s="68"/>
      <c r="J910" s="68"/>
      <c r="K910" s="32"/>
      <c r="L910" s="75">
        <v>910</v>
      </c>
      <c r="M910" s="75"/>
      <c r="N910" s="70"/>
      <c r="O910" s="77" t="s">
        <v>179</v>
      </c>
      <c r="P910" s="79">
        <v>44928.723946759259</v>
      </c>
      <c r="Q910" s="77" t="s">
        <v>1851</v>
      </c>
      <c r="R910" s="77">
        <v>0</v>
      </c>
      <c r="S910" s="77">
        <v>0</v>
      </c>
      <c r="T910" s="77">
        <v>0</v>
      </c>
      <c r="U910" s="77">
        <v>0</v>
      </c>
      <c r="V910" s="77">
        <v>2</v>
      </c>
      <c r="W910" s="81" t="s">
        <v>2947</v>
      </c>
      <c r="X910" s="83" t="str">
        <f>HYPERLINK("https://lnkd.in/d7-3EP5P")</f>
        <v>https://lnkd.in/d7-3EP5P</v>
      </c>
      <c r="Y910" s="77" t="s">
        <v>4221</v>
      </c>
      <c r="Z910" s="77"/>
      <c r="AA910" s="77"/>
      <c r="AB910" s="77"/>
      <c r="AC910" s="81" t="s">
        <v>5810</v>
      </c>
      <c r="AD910" s="77" t="s">
        <v>5850</v>
      </c>
      <c r="AE910" s="83" t="str">
        <f>HYPERLINK("https://twitter.com/nacho_asprella/status/1609963351253127170")</f>
        <v>https://twitter.com/nacho_asprella/status/1609963351253127170</v>
      </c>
      <c r="AF910" s="79">
        <v>44928.723946759259</v>
      </c>
      <c r="AG910" s="85">
        <v>44928</v>
      </c>
      <c r="AH910" s="81" t="s">
        <v>6719</v>
      </c>
      <c r="AI910" s="77" t="b">
        <v>0</v>
      </c>
      <c r="AJ910" s="77"/>
      <c r="AK910" s="77"/>
      <c r="AL910" s="77"/>
      <c r="AM910" s="77"/>
      <c r="AN910" s="77"/>
      <c r="AO910" s="77"/>
      <c r="AP910" s="77"/>
      <c r="AQ910" s="77"/>
      <c r="AR910" s="77"/>
      <c r="AS910" s="77"/>
      <c r="AT910" s="77"/>
      <c r="AU910" s="77"/>
      <c r="AV910" s="83" t="str">
        <f>HYPERLINK("https://pbs.twimg.com/profile_images/1636389477433344001/r9N473Dc_normal.jpg")</f>
        <v>https://pbs.twimg.com/profile_images/1636389477433344001/r9N473Dc_normal.jpg</v>
      </c>
      <c r="AW910" s="81" t="s">
        <v>10173</v>
      </c>
      <c r="AX910" s="81" t="s">
        <v>10173</v>
      </c>
      <c r="AY910" s="77"/>
      <c r="AZ910" s="81" t="s">
        <v>11359</v>
      </c>
      <c r="BA910" s="81" t="s">
        <v>11359</v>
      </c>
      <c r="BB910" s="81" t="s">
        <v>11359</v>
      </c>
      <c r="BC910" s="81" t="s">
        <v>10173</v>
      </c>
      <c r="BD910" s="77">
        <v>178038914</v>
      </c>
      <c r="BE910" s="77"/>
      <c r="BF910" s="77"/>
      <c r="BG910" s="77"/>
      <c r="BH910" s="77"/>
      <c r="BI910" s="77"/>
    </row>
    <row r="911" spans="1:61" x14ac:dyDescent="0.25">
      <c r="A911" s="62" t="s">
        <v>459</v>
      </c>
      <c r="B911" s="62" t="s">
        <v>459</v>
      </c>
      <c r="C911" s="63"/>
      <c r="D911" s="64"/>
      <c r="E911" s="65"/>
      <c r="F911" s="66"/>
      <c r="G911" s="63"/>
      <c r="H911" s="67"/>
      <c r="I911" s="68"/>
      <c r="J911" s="68"/>
      <c r="K911" s="32"/>
      <c r="L911" s="75">
        <v>911</v>
      </c>
      <c r="M911" s="75"/>
      <c r="N911" s="70"/>
      <c r="O911" s="77" t="s">
        <v>179</v>
      </c>
      <c r="P911" s="79">
        <v>45071.646064814813</v>
      </c>
      <c r="Q911" s="77" t="s">
        <v>1852</v>
      </c>
      <c r="R911" s="77">
        <v>0</v>
      </c>
      <c r="S911" s="77">
        <v>0</v>
      </c>
      <c r="T911" s="77">
        <v>0</v>
      </c>
      <c r="U911" s="77">
        <v>0</v>
      </c>
      <c r="V911" s="77"/>
      <c r="W911" s="81" t="s">
        <v>2947</v>
      </c>
      <c r="X911" s="83" t="str">
        <f>HYPERLINK("https://lnkd.in/dcuPea7S")</f>
        <v>https://lnkd.in/dcuPea7S</v>
      </c>
      <c r="Y911" s="77" t="s">
        <v>4221</v>
      </c>
      <c r="Z911" s="77"/>
      <c r="AA911" s="77"/>
      <c r="AB911" s="77"/>
      <c r="AC911" s="81" t="s">
        <v>5810</v>
      </c>
      <c r="AD911" s="77" t="s">
        <v>5850</v>
      </c>
      <c r="AE911" s="83" t="str">
        <f>HYPERLINK("https://twitter.com/nacho_asprella/status/1661756591497007104")</f>
        <v>https://twitter.com/nacho_asprella/status/1661756591497007104</v>
      </c>
      <c r="AF911" s="79">
        <v>45071.646064814813</v>
      </c>
      <c r="AG911" s="85">
        <v>45071</v>
      </c>
      <c r="AH911" s="81" t="s">
        <v>6273</v>
      </c>
      <c r="AI911" s="77" t="b">
        <v>0</v>
      </c>
      <c r="AJ911" s="77"/>
      <c r="AK911" s="77"/>
      <c r="AL911" s="77"/>
      <c r="AM911" s="77"/>
      <c r="AN911" s="77"/>
      <c r="AO911" s="77"/>
      <c r="AP911" s="77"/>
      <c r="AQ911" s="77"/>
      <c r="AR911" s="77"/>
      <c r="AS911" s="77"/>
      <c r="AT911" s="77"/>
      <c r="AU911" s="77"/>
      <c r="AV911" s="83" t="str">
        <f>HYPERLINK("https://pbs.twimg.com/profile_images/1636389477433344001/r9N473Dc_normal.jpg")</f>
        <v>https://pbs.twimg.com/profile_images/1636389477433344001/r9N473Dc_normal.jpg</v>
      </c>
      <c r="AW911" s="81" t="s">
        <v>10174</v>
      </c>
      <c r="AX911" s="81" t="s">
        <v>10174</v>
      </c>
      <c r="AY911" s="77"/>
      <c r="AZ911" s="81" t="s">
        <v>11359</v>
      </c>
      <c r="BA911" s="81" t="s">
        <v>11359</v>
      </c>
      <c r="BB911" s="81" t="s">
        <v>11359</v>
      </c>
      <c r="BC911" s="81" t="s">
        <v>10174</v>
      </c>
      <c r="BD911" s="77">
        <v>178038914</v>
      </c>
      <c r="BE911" s="77"/>
      <c r="BF911" s="77"/>
      <c r="BG911" s="77"/>
      <c r="BH911" s="77"/>
      <c r="BI911" s="77"/>
    </row>
    <row r="912" spans="1:61" x14ac:dyDescent="0.25">
      <c r="A912" s="62" t="s">
        <v>460</v>
      </c>
      <c r="B912" s="62" t="s">
        <v>915</v>
      </c>
      <c r="C912" s="63"/>
      <c r="D912" s="64"/>
      <c r="E912" s="65"/>
      <c r="F912" s="66"/>
      <c r="G912" s="63"/>
      <c r="H912" s="67"/>
      <c r="I912" s="68"/>
      <c r="J912" s="68"/>
      <c r="K912" s="32"/>
      <c r="L912" s="75">
        <v>912</v>
      </c>
      <c r="M912" s="75"/>
      <c r="N912" s="70"/>
      <c r="O912" s="77" t="s">
        <v>970</v>
      </c>
      <c r="P912" s="79">
        <v>45015.185902777775</v>
      </c>
      <c r="Q912" s="77" t="s">
        <v>1853</v>
      </c>
      <c r="R912" s="77">
        <v>0</v>
      </c>
      <c r="S912" s="77">
        <v>0</v>
      </c>
      <c r="T912" s="77">
        <v>0</v>
      </c>
      <c r="U912" s="77">
        <v>0</v>
      </c>
      <c r="V912" s="77">
        <v>14</v>
      </c>
      <c r="W912" s="81" t="s">
        <v>3453</v>
      </c>
      <c r="X912" s="77"/>
      <c r="Y912" s="77"/>
      <c r="Z912" s="77" t="s">
        <v>4375</v>
      </c>
      <c r="AA912" s="77"/>
      <c r="AB912" s="77"/>
      <c r="AC912" s="81" t="s">
        <v>5803</v>
      </c>
      <c r="AD912" s="77" t="s">
        <v>5850</v>
      </c>
      <c r="AE912" s="83" t="str">
        <f>HYPERLINK("https://twitter.com/mariana64692094/status/1641296114933440518")</f>
        <v>https://twitter.com/mariana64692094/status/1641296114933440518</v>
      </c>
      <c r="AF912" s="79">
        <v>45015.185902777775</v>
      </c>
      <c r="AG912" s="85">
        <v>45015</v>
      </c>
      <c r="AH912" s="81" t="s">
        <v>6720</v>
      </c>
      <c r="AI912" s="77"/>
      <c r="AJ912" s="77"/>
      <c r="AK912" s="77"/>
      <c r="AL912" s="77"/>
      <c r="AM912" s="77"/>
      <c r="AN912" s="77"/>
      <c r="AO912" s="77"/>
      <c r="AP912" s="77"/>
      <c r="AQ912" s="77"/>
      <c r="AR912" s="77"/>
      <c r="AS912" s="77"/>
      <c r="AT912" s="77"/>
      <c r="AU912" s="77"/>
      <c r="AV912" s="83" t="str">
        <f>HYPERLINK("https://pbs.twimg.com/profile_images/1554626465731383298/9KudSdu0_normal.jpg")</f>
        <v>https://pbs.twimg.com/profile_images/1554626465731383298/9KudSdu0_normal.jpg</v>
      </c>
      <c r="AW912" s="81" t="s">
        <v>10175</v>
      </c>
      <c r="AX912" s="81" t="s">
        <v>11268</v>
      </c>
      <c r="AY912" s="81" t="s">
        <v>11334</v>
      </c>
      <c r="AZ912" s="81" t="s">
        <v>11268</v>
      </c>
      <c r="BA912" s="81" t="s">
        <v>11359</v>
      </c>
      <c r="BB912" s="81" t="s">
        <v>11359</v>
      </c>
      <c r="BC912" s="81" t="s">
        <v>11268</v>
      </c>
      <c r="BD912" s="81" t="s">
        <v>11523</v>
      </c>
      <c r="BE912" s="77"/>
      <c r="BF912" s="77"/>
      <c r="BG912" s="77"/>
      <c r="BH912" s="77"/>
      <c r="BI912" s="77"/>
    </row>
    <row r="913" spans="1:61" x14ac:dyDescent="0.25">
      <c r="A913" s="62" t="s">
        <v>460</v>
      </c>
      <c r="B913" s="62" t="s">
        <v>915</v>
      </c>
      <c r="C913" s="63"/>
      <c r="D913" s="64"/>
      <c r="E913" s="65"/>
      <c r="F913" s="66"/>
      <c r="G913" s="63"/>
      <c r="H913" s="67"/>
      <c r="I913" s="68"/>
      <c r="J913" s="68"/>
      <c r="K913" s="32"/>
      <c r="L913" s="75">
        <v>913</v>
      </c>
      <c r="M913" s="75"/>
      <c r="N913" s="70"/>
      <c r="O913" s="77" t="s">
        <v>970</v>
      </c>
      <c r="P913" s="79">
        <v>45026.270208333335</v>
      </c>
      <c r="Q913" s="77" t="s">
        <v>1854</v>
      </c>
      <c r="R913" s="77">
        <v>0</v>
      </c>
      <c r="S913" s="77">
        <v>0</v>
      </c>
      <c r="T913" s="77">
        <v>0</v>
      </c>
      <c r="U913" s="77">
        <v>0</v>
      </c>
      <c r="V913" s="77">
        <v>47</v>
      </c>
      <c r="W913" s="81" t="s">
        <v>3454</v>
      </c>
      <c r="X913" s="77"/>
      <c r="Y913" s="77"/>
      <c r="Z913" s="77" t="s">
        <v>4375</v>
      </c>
      <c r="AA913" s="77"/>
      <c r="AB913" s="77"/>
      <c r="AC913" s="81" t="s">
        <v>5803</v>
      </c>
      <c r="AD913" s="77" t="s">
        <v>5850</v>
      </c>
      <c r="AE913" s="83" t="str">
        <f>HYPERLINK("https://twitter.com/mariana64692094/status/1645312935554588672")</f>
        <v>https://twitter.com/mariana64692094/status/1645312935554588672</v>
      </c>
      <c r="AF913" s="79">
        <v>45026.270208333335</v>
      </c>
      <c r="AG913" s="85">
        <v>45026</v>
      </c>
      <c r="AH913" s="81" t="s">
        <v>6721</v>
      </c>
      <c r="AI913" s="77"/>
      <c r="AJ913" s="77"/>
      <c r="AK913" s="77"/>
      <c r="AL913" s="77"/>
      <c r="AM913" s="77"/>
      <c r="AN913" s="77"/>
      <c r="AO913" s="77"/>
      <c r="AP913" s="77"/>
      <c r="AQ913" s="77"/>
      <c r="AR913" s="77"/>
      <c r="AS913" s="77"/>
      <c r="AT913" s="77"/>
      <c r="AU913" s="77"/>
      <c r="AV913" s="83" t="str">
        <f>HYPERLINK("https://pbs.twimg.com/profile_images/1554626465731383298/9KudSdu0_normal.jpg")</f>
        <v>https://pbs.twimg.com/profile_images/1554626465731383298/9KudSdu0_normal.jpg</v>
      </c>
      <c r="AW913" s="81" t="s">
        <v>10176</v>
      </c>
      <c r="AX913" s="81" t="s">
        <v>11269</v>
      </c>
      <c r="AY913" s="81" t="s">
        <v>11334</v>
      </c>
      <c r="AZ913" s="81" t="s">
        <v>11269</v>
      </c>
      <c r="BA913" s="81" t="s">
        <v>11359</v>
      </c>
      <c r="BB913" s="81" t="s">
        <v>11359</v>
      </c>
      <c r="BC913" s="81" t="s">
        <v>11269</v>
      </c>
      <c r="BD913" s="81" t="s">
        <v>11523</v>
      </c>
      <c r="BE913" s="77"/>
      <c r="BF913" s="77"/>
      <c r="BG913" s="77"/>
      <c r="BH913" s="77"/>
      <c r="BI913" s="77"/>
    </row>
    <row r="914" spans="1:61" x14ac:dyDescent="0.25">
      <c r="A914" s="62" t="s">
        <v>460</v>
      </c>
      <c r="B914" s="62" t="s">
        <v>915</v>
      </c>
      <c r="C914" s="63"/>
      <c r="D914" s="64"/>
      <c r="E914" s="65"/>
      <c r="F914" s="66"/>
      <c r="G914" s="63"/>
      <c r="H914" s="67"/>
      <c r="I914" s="68"/>
      <c r="J914" s="68"/>
      <c r="K914" s="32"/>
      <c r="L914" s="75">
        <v>914</v>
      </c>
      <c r="M914" s="75"/>
      <c r="N914" s="70"/>
      <c r="O914" s="77" t="s">
        <v>970</v>
      </c>
      <c r="P914" s="79">
        <v>45026.269224537034</v>
      </c>
      <c r="Q914" s="77" t="s">
        <v>1855</v>
      </c>
      <c r="R914" s="77">
        <v>0</v>
      </c>
      <c r="S914" s="77">
        <v>0</v>
      </c>
      <c r="T914" s="77">
        <v>0</v>
      </c>
      <c r="U914" s="77">
        <v>0</v>
      </c>
      <c r="V914" s="77">
        <v>48</v>
      </c>
      <c r="W914" s="81" t="s">
        <v>3455</v>
      </c>
      <c r="X914" s="77"/>
      <c r="Y914" s="77"/>
      <c r="Z914" s="77" t="s">
        <v>4375</v>
      </c>
      <c r="AA914" s="77"/>
      <c r="AB914" s="77"/>
      <c r="AC914" s="81" t="s">
        <v>5803</v>
      </c>
      <c r="AD914" s="77" t="s">
        <v>5850</v>
      </c>
      <c r="AE914" s="83" t="str">
        <f>HYPERLINK("https://twitter.com/mariana64692094/status/1645312576350302209")</f>
        <v>https://twitter.com/mariana64692094/status/1645312576350302209</v>
      </c>
      <c r="AF914" s="79">
        <v>45026.269224537034</v>
      </c>
      <c r="AG914" s="85">
        <v>45026</v>
      </c>
      <c r="AH914" s="81" t="s">
        <v>6722</v>
      </c>
      <c r="AI914" s="77"/>
      <c r="AJ914" s="77"/>
      <c r="AK914" s="77"/>
      <c r="AL914" s="77"/>
      <c r="AM914" s="77"/>
      <c r="AN914" s="77"/>
      <c r="AO914" s="77"/>
      <c r="AP914" s="77"/>
      <c r="AQ914" s="77"/>
      <c r="AR914" s="77"/>
      <c r="AS914" s="77"/>
      <c r="AT914" s="77"/>
      <c r="AU914" s="77"/>
      <c r="AV914" s="83" t="str">
        <f>HYPERLINK("https://pbs.twimg.com/profile_images/1554626465731383298/9KudSdu0_normal.jpg")</f>
        <v>https://pbs.twimg.com/profile_images/1554626465731383298/9KudSdu0_normal.jpg</v>
      </c>
      <c r="AW914" s="81" t="s">
        <v>10177</v>
      </c>
      <c r="AX914" s="81" t="s">
        <v>11270</v>
      </c>
      <c r="AY914" s="81" t="s">
        <v>11334</v>
      </c>
      <c r="AZ914" s="81" t="s">
        <v>11270</v>
      </c>
      <c r="BA914" s="81" t="s">
        <v>11359</v>
      </c>
      <c r="BB914" s="81" t="s">
        <v>11359</v>
      </c>
      <c r="BC914" s="81" t="s">
        <v>11270</v>
      </c>
      <c r="BD914" s="81" t="s">
        <v>11523</v>
      </c>
      <c r="BE914" s="77"/>
      <c r="BF914" s="77"/>
      <c r="BG914" s="77"/>
      <c r="BH914" s="77"/>
      <c r="BI914" s="77"/>
    </row>
    <row r="915" spans="1:61" x14ac:dyDescent="0.25">
      <c r="A915" s="62" t="s">
        <v>460</v>
      </c>
      <c r="B915" s="62" t="s">
        <v>915</v>
      </c>
      <c r="C915" s="63"/>
      <c r="D915" s="64"/>
      <c r="E915" s="65"/>
      <c r="F915" s="66"/>
      <c r="G915" s="63"/>
      <c r="H915" s="67"/>
      <c r="I915" s="68"/>
      <c r="J915" s="68"/>
      <c r="K915" s="32"/>
      <c r="L915" s="75">
        <v>915</v>
      </c>
      <c r="M915" s="75"/>
      <c r="N915" s="70"/>
      <c r="O915" s="77" t="s">
        <v>970</v>
      </c>
      <c r="P915" s="79">
        <v>45024.010347222225</v>
      </c>
      <c r="Q915" s="77" t="s">
        <v>1856</v>
      </c>
      <c r="R915" s="77">
        <v>0</v>
      </c>
      <c r="S915" s="77">
        <v>0</v>
      </c>
      <c r="T915" s="77">
        <v>0</v>
      </c>
      <c r="U915" s="77">
        <v>0</v>
      </c>
      <c r="V915" s="77">
        <v>27</v>
      </c>
      <c r="W915" s="81" t="s">
        <v>3456</v>
      </c>
      <c r="X915" s="77"/>
      <c r="Y915" s="77"/>
      <c r="Z915" s="77" t="s">
        <v>4375</v>
      </c>
      <c r="AA915" s="77"/>
      <c r="AB915" s="77"/>
      <c r="AC915" s="81" t="s">
        <v>5803</v>
      </c>
      <c r="AD915" s="77" t="s">
        <v>5850</v>
      </c>
      <c r="AE915" s="83" t="str">
        <f>HYPERLINK("https://twitter.com/mariana64692094/status/1644493987582205952")</f>
        <v>https://twitter.com/mariana64692094/status/1644493987582205952</v>
      </c>
      <c r="AF915" s="79">
        <v>45024.010347222225</v>
      </c>
      <c r="AG915" s="85">
        <v>45024</v>
      </c>
      <c r="AH915" s="81" t="s">
        <v>6723</v>
      </c>
      <c r="AI915" s="77"/>
      <c r="AJ915" s="77"/>
      <c r="AK915" s="77"/>
      <c r="AL915" s="77"/>
      <c r="AM915" s="77"/>
      <c r="AN915" s="77"/>
      <c r="AO915" s="77"/>
      <c r="AP915" s="77"/>
      <c r="AQ915" s="77"/>
      <c r="AR915" s="77"/>
      <c r="AS915" s="77"/>
      <c r="AT915" s="77"/>
      <c r="AU915" s="77"/>
      <c r="AV915" s="83" t="str">
        <f>HYPERLINK("https://pbs.twimg.com/profile_images/1554626465731383298/9KudSdu0_normal.jpg")</f>
        <v>https://pbs.twimg.com/profile_images/1554626465731383298/9KudSdu0_normal.jpg</v>
      </c>
      <c r="AW915" s="81" t="s">
        <v>10178</v>
      </c>
      <c r="AX915" s="81" t="s">
        <v>11271</v>
      </c>
      <c r="AY915" s="81" t="s">
        <v>11334</v>
      </c>
      <c r="AZ915" s="81" t="s">
        <v>11271</v>
      </c>
      <c r="BA915" s="81" t="s">
        <v>11359</v>
      </c>
      <c r="BB915" s="81" t="s">
        <v>11359</v>
      </c>
      <c r="BC915" s="81" t="s">
        <v>11271</v>
      </c>
      <c r="BD915" s="81" t="s">
        <v>11523</v>
      </c>
      <c r="BE915" s="77"/>
      <c r="BF915" s="77"/>
      <c r="BG915" s="77"/>
      <c r="BH915" s="77"/>
      <c r="BI915" s="77"/>
    </row>
    <row r="916" spans="1:61" x14ac:dyDescent="0.25">
      <c r="A916" s="62" t="s">
        <v>460</v>
      </c>
      <c r="B916" s="62" t="s">
        <v>915</v>
      </c>
      <c r="C916" s="63"/>
      <c r="D916" s="64"/>
      <c r="E916" s="65"/>
      <c r="F916" s="66"/>
      <c r="G916" s="63"/>
      <c r="H916" s="67"/>
      <c r="I916" s="68"/>
      <c r="J916" s="68"/>
      <c r="K916" s="32"/>
      <c r="L916" s="75">
        <v>916</v>
      </c>
      <c r="M916" s="75"/>
      <c r="N916" s="70"/>
      <c r="O916" s="77" t="s">
        <v>970</v>
      </c>
      <c r="P916" s="79">
        <v>45020.107187499998</v>
      </c>
      <c r="Q916" s="77" t="s">
        <v>1857</v>
      </c>
      <c r="R916" s="77">
        <v>0</v>
      </c>
      <c r="S916" s="77">
        <v>0</v>
      </c>
      <c r="T916" s="77">
        <v>0</v>
      </c>
      <c r="U916" s="77">
        <v>0</v>
      </c>
      <c r="V916" s="77">
        <v>16</v>
      </c>
      <c r="W916" s="81" t="s">
        <v>3457</v>
      </c>
      <c r="X916" s="77"/>
      <c r="Y916" s="77"/>
      <c r="Z916" s="77" t="s">
        <v>4375</v>
      </c>
      <c r="AA916" s="77"/>
      <c r="AB916" s="77"/>
      <c r="AC916" s="81" t="s">
        <v>5803</v>
      </c>
      <c r="AD916" s="77" t="s">
        <v>5850</v>
      </c>
      <c r="AE916" s="83" t="str">
        <f>HYPERLINK("https://twitter.com/mariana64692094/status/1643079528548368387")</f>
        <v>https://twitter.com/mariana64692094/status/1643079528548368387</v>
      </c>
      <c r="AF916" s="79">
        <v>45020.107187499998</v>
      </c>
      <c r="AG916" s="85">
        <v>45020</v>
      </c>
      <c r="AH916" s="81" t="s">
        <v>6724</v>
      </c>
      <c r="AI916" s="77"/>
      <c r="AJ916" s="77"/>
      <c r="AK916" s="77"/>
      <c r="AL916" s="77"/>
      <c r="AM916" s="77"/>
      <c r="AN916" s="77"/>
      <c r="AO916" s="77"/>
      <c r="AP916" s="77"/>
      <c r="AQ916" s="77"/>
      <c r="AR916" s="77"/>
      <c r="AS916" s="77"/>
      <c r="AT916" s="77"/>
      <c r="AU916" s="77"/>
      <c r="AV916" s="83" t="str">
        <f>HYPERLINK("https://pbs.twimg.com/profile_images/1554626465731383298/9KudSdu0_normal.jpg")</f>
        <v>https://pbs.twimg.com/profile_images/1554626465731383298/9KudSdu0_normal.jpg</v>
      </c>
      <c r="AW916" s="81" t="s">
        <v>10179</v>
      </c>
      <c r="AX916" s="81" t="s">
        <v>11272</v>
      </c>
      <c r="AY916" s="81" t="s">
        <v>11334</v>
      </c>
      <c r="AZ916" s="81" t="s">
        <v>11272</v>
      </c>
      <c r="BA916" s="81" t="s">
        <v>11359</v>
      </c>
      <c r="BB916" s="81" t="s">
        <v>11359</v>
      </c>
      <c r="BC916" s="81" t="s">
        <v>11272</v>
      </c>
      <c r="BD916" s="81" t="s">
        <v>11523</v>
      </c>
      <c r="BE916" s="77"/>
      <c r="BF916" s="77"/>
      <c r="BG916" s="77"/>
      <c r="BH916" s="77"/>
      <c r="BI916" s="77"/>
    </row>
    <row r="917" spans="1:61" x14ac:dyDescent="0.25">
      <c r="A917" s="62" t="s">
        <v>460</v>
      </c>
      <c r="B917" s="62" t="s">
        <v>915</v>
      </c>
      <c r="C917" s="63"/>
      <c r="D917" s="64"/>
      <c r="E917" s="65"/>
      <c r="F917" s="66"/>
      <c r="G917" s="63"/>
      <c r="H917" s="67"/>
      <c r="I917" s="68"/>
      <c r="J917" s="68"/>
      <c r="K917" s="32"/>
      <c r="L917" s="75">
        <v>917</v>
      </c>
      <c r="M917" s="75"/>
      <c r="N917" s="70"/>
      <c r="O917" s="77" t="s">
        <v>970</v>
      </c>
      <c r="P917" s="79">
        <v>45041.24554398148</v>
      </c>
      <c r="Q917" s="77" t="s">
        <v>1858</v>
      </c>
      <c r="R917" s="77">
        <v>0</v>
      </c>
      <c r="S917" s="77">
        <v>0</v>
      </c>
      <c r="T917" s="77">
        <v>0</v>
      </c>
      <c r="U917" s="77">
        <v>0</v>
      </c>
      <c r="V917" s="77">
        <v>23</v>
      </c>
      <c r="W917" s="81" t="s">
        <v>3458</v>
      </c>
      <c r="X917" s="77"/>
      <c r="Y917" s="77"/>
      <c r="Z917" s="77" t="s">
        <v>4375</v>
      </c>
      <c r="AA917" s="77"/>
      <c r="AB917" s="77"/>
      <c r="AC917" s="81" t="s">
        <v>5803</v>
      </c>
      <c r="AD917" s="77" t="s">
        <v>5850</v>
      </c>
      <c r="AE917" s="83" t="str">
        <f>HYPERLINK("https://twitter.com/mariana64692094/status/1650739811584540673")</f>
        <v>https://twitter.com/mariana64692094/status/1650739811584540673</v>
      </c>
      <c r="AF917" s="79">
        <v>45041.24554398148</v>
      </c>
      <c r="AG917" s="85">
        <v>45041</v>
      </c>
      <c r="AH917" s="81" t="s">
        <v>6725</v>
      </c>
      <c r="AI917" s="77"/>
      <c r="AJ917" s="77"/>
      <c r="AK917" s="77"/>
      <c r="AL917" s="77"/>
      <c r="AM917" s="77"/>
      <c r="AN917" s="77"/>
      <c r="AO917" s="77"/>
      <c r="AP917" s="77"/>
      <c r="AQ917" s="77"/>
      <c r="AR917" s="77"/>
      <c r="AS917" s="77"/>
      <c r="AT917" s="77"/>
      <c r="AU917" s="77"/>
      <c r="AV917" s="83" t="str">
        <f>HYPERLINK("https://pbs.twimg.com/profile_images/1554626465731383298/9KudSdu0_normal.jpg")</f>
        <v>https://pbs.twimg.com/profile_images/1554626465731383298/9KudSdu0_normal.jpg</v>
      </c>
      <c r="AW917" s="81" t="s">
        <v>10180</v>
      </c>
      <c r="AX917" s="81" t="s">
        <v>11273</v>
      </c>
      <c r="AY917" s="81" t="s">
        <v>11334</v>
      </c>
      <c r="AZ917" s="81" t="s">
        <v>11273</v>
      </c>
      <c r="BA917" s="81" t="s">
        <v>11359</v>
      </c>
      <c r="BB917" s="81" t="s">
        <v>11359</v>
      </c>
      <c r="BC917" s="81" t="s">
        <v>11273</v>
      </c>
      <c r="BD917" s="81" t="s">
        <v>11523</v>
      </c>
      <c r="BE917" s="77"/>
      <c r="BF917" s="77"/>
      <c r="BG917" s="77"/>
      <c r="BH917" s="77"/>
      <c r="BI917" s="77"/>
    </row>
    <row r="918" spans="1:61" x14ac:dyDescent="0.25">
      <c r="A918" s="62" t="s">
        <v>460</v>
      </c>
      <c r="B918" s="62" t="s">
        <v>915</v>
      </c>
      <c r="C918" s="63"/>
      <c r="D918" s="64"/>
      <c r="E918" s="65"/>
      <c r="F918" s="66"/>
      <c r="G918" s="63"/>
      <c r="H918" s="67"/>
      <c r="I918" s="68"/>
      <c r="J918" s="68"/>
      <c r="K918" s="32"/>
      <c r="L918" s="75">
        <v>918</v>
      </c>
      <c r="M918" s="75"/>
      <c r="N918" s="70"/>
      <c r="O918" s="77" t="s">
        <v>970</v>
      </c>
      <c r="P918" s="79">
        <v>45041.243460648147</v>
      </c>
      <c r="Q918" s="77" t="s">
        <v>1859</v>
      </c>
      <c r="R918" s="77">
        <v>0</v>
      </c>
      <c r="S918" s="77">
        <v>0</v>
      </c>
      <c r="T918" s="77">
        <v>0</v>
      </c>
      <c r="U918" s="77">
        <v>0</v>
      </c>
      <c r="V918" s="77">
        <v>26</v>
      </c>
      <c r="W918" s="81" t="s">
        <v>3455</v>
      </c>
      <c r="X918" s="77"/>
      <c r="Y918" s="77"/>
      <c r="Z918" s="77" t="s">
        <v>4375</v>
      </c>
      <c r="AA918" s="77"/>
      <c r="AB918" s="77"/>
      <c r="AC918" s="81" t="s">
        <v>5803</v>
      </c>
      <c r="AD918" s="77" t="s">
        <v>5850</v>
      </c>
      <c r="AE918" s="83" t="str">
        <f>HYPERLINK("https://twitter.com/mariana64692094/status/1650739059294187520")</f>
        <v>https://twitter.com/mariana64692094/status/1650739059294187520</v>
      </c>
      <c r="AF918" s="79">
        <v>45041.243460648147</v>
      </c>
      <c r="AG918" s="85">
        <v>45041</v>
      </c>
      <c r="AH918" s="81" t="s">
        <v>6726</v>
      </c>
      <c r="AI918" s="77"/>
      <c r="AJ918" s="77"/>
      <c r="AK918" s="77"/>
      <c r="AL918" s="77"/>
      <c r="AM918" s="77"/>
      <c r="AN918" s="77"/>
      <c r="AO918" s="77"/>
      <c r="AP918" s="77"/>
      <c r="AQ918" s="77"/>
      <c r="AR918" s="77"/>
      <c r="AS918" s="77"/>
      <c r="AT918" s="77"/>
      <c r="AU918" s="77"/>
      <c r="AV918" s="83" t="str">
        <f>HYPERLINK("https://pbs.twimg.com/profile_images/1554626465731383298/9KudSdu0_normal.jpg")</f>
        <v>https://pbs.twimg.com/profile_images/1554626465731383298/9KudSdu0_normal.jpg</v>
      </c>
      <c r="AW918" s="81" t="s">
        <v>10181</v>
      </c>
      <c r="AX918" s="81" t="s">
        <v>11274</v>
      </c>
      <c r="AY918" s="81" t="s">
        <v>11334</v>
      </c>
      <c r="AZ918" s="81" t="s">
        <v>11274</v>
      </c>
      <c r="BA918" s="81" t="s">
        <v>11359</v>
      </c>
      <c r="BB918" s="81" t="s">
        <v>11359</v>
      </c>
      <c r="BC918" s="81" t="s">
        <v>11274</v>
      </c>
      <c r="BD918" s="81" t="s">
        <v>11523</v>
      </c>
      <c r="BE918" s="77"/>
      <c r="BF918" s="77"/>
      <c r="BG918" s="77"/>
      <c r="BH918" s="77"/>
      <c r="BI918" s="77"/>
    </row>
    <row r="919" spans="1:61" x14ac:dyDescent="0.25">
      <c r="A919" s="62" t="s">
        <v>460</v>
      </c>
      <c r="B919" s="62" t="s">
        <v>915</v>
      </c>
      <c r="C919" s="63"/>
      <c r="D919" s="64"/>
      <c r="E919" s="65"/>
      <c r="F919" s="66"/>
      <c r="G919" s="63"/>
      <c r="H919" s="67"/>
      <c r="I919" s="68"/>
      <c r="J919" s="68"/>
      <c r="K919" s="32"/>
      <c r="L919" s="75">
        <v>919</v>
      </c>
      <c r="M919" s="75"/>
      <c r="N919" s="70"/>
      <c r="O919" s="77" t="s">
        <v>970</v>
      </c>
      <c r="P919" s="79">
        <v>45039.068622685183</v>
      </c>
      <c r="Q919" s="77" t="s">
        <v>1860</v>
      </c>
      <c r="R919" s="77">
        <v>0</v>
      </c>
      <c r="S919" s="77">
        <v>0</v>
      </c>
      <c r="T919" s="77">
        <v>0</v>
      </c>
      <c r="U919" s="77">
        <v>0</v>
      </c>
      <c r="V919" s="77">
        <v>17</v>
      </c>
      <c r="W919" s="81" t="s">
        <v>3454</v>
      </c>
      <c r="X919" s="77"/>
      <c r="Y919" s="77"/>
      <c r="Z919" s="77" t="s">
        <v>4375</v>
      </c>
      <c r="AA919" s="77"/>
      <c r="AB919" s="77"/>
      <c r="AC919" s="81" t="s">
        <v>5803</v>
      </c>
      <c r="AD919" s="77" t="s">
        <v>5850</v>
      </c>
      <c r="AE919" s="83" t="str">
        <f>HYPERLINK("https://twitter.com/mariana64692094/status/1649950925241368577")</f>
        <v>https://twitter.com/mariana64692094/status/1649950925241368577</v>
      </c>
      <c r="AF919" s="79">
        <v>45039.068622685183</v>
      </c>
      <c r="AG919" s="85">
        <v>45039</v>
      </c>
      <c r="AH919" s="81" t="s">
        <v>6727</v>
      </c>
      <c r="AI919" s="77"/>
      <c r="AJ919" s="77"/>
      <c r="AK919" s="77"/>
      <c r="AL919" s="77"/>
      <c r="AM919" s="77"/>
      <c r="AN919" s="77"/>
      <c r="AO919" s="77"/>
      <c r="AP919" s="77"/>
      <c r="AQ919" s="77"/>
      <c r="AR919" s="77"/>
      <c r="AS919" s="77"/>
      <c r="AT919" s="77"/>
      <c r="AU919" s="77"/>
      <c r="AV919" s="83" t="str">
        <f>HYPERLINK("https://pbs.twimg.com/profile_images/1554626465731383298/9KudSdu0_normal.jpg")</f>
        <v>https://pbs.twimg.com/profile_images/1554626465731383298/9KudSdu0_normal.jpg</v>
      </c>
      <c r="AW919" s="81" t="s">
        <v>10182</v>
      </c>
      <c r="AX919" s="81" t="s">
        <v>11275</v>
      </c>
      <c r="AY919" s="81" t="s">
        <v>11334</v>
      </c>
      <c r="AZ919" s="81" t="s">
        <v>11275</v>
      </c>
      <c r="BA919" s="81" t="s">
        <v>11359</v>
      </c>
      <c r="BB919" s="81" t="s">
        <v>11359</v>
      </c>
      <c r="BC919" s="81" t="s">
        <v>11275</v>
      </c>
      <c r="BD919" s="81" t="s">
        <v>11523</v>
      </c>
      <c r="BE919" s="77"/>
      <c r="BF919" s="77"/>
      <c r="BG919" s="77"/>
      <c r="BH919" s="77"/>
      <c r="BI919" s="77"/>
    </row>
    <row r="920" spans="1:61" x14ac:dyDescent="0.25">
      <c r="A920" s="62" t="s">
        <v>460</v>
      </c>
      <c r="B920" s="62" t="s">
        <v>915</v>
      </c>
      <c r="C920" s="63"/>
      <c r="D920" s="64"/>
      <c r="E920" s="65"/>
      <c r="F920" s="66"/>
      <c r="G920" s="63"/>
      <c r="H920" s="67"/>
      <c r="I920" s="68"/>
      <c r="J920" s="68"/>
      <c r="K920" s="32"/>
      <c r="L920" s="75">
        <v>920</v>
      </c>
      <c r="M920" s="75"/>
      <c r="N920" s="70"/>
      <c r="O920" s="77" t="s">
        <v>970</v>
      </c>
      <c r="P920" s="79">
        <v>45048.088692129626</v>
      </c>
      <c r="Q920" s="77" t="s">
        <v>1861</v>
      </c>
      <c r="R920" s="77">
        <v>0</v>
      </c>
      <c r="S920" s="77">
        <v>0</v>
      </c>
      <c r="T920" s="77">
        <v>0</v>
      </c>
      <c r="U920" s="77">
        <v>0</v>
      </c>
      <c r="V920" s="77">
        <v>24</v>
      </c>
      <c r="W920" s="81" t="s">
        <v>3459</v>
      </c>
      <c r="X920" s="77"/>
      <c r="Y920" s="77"/>
      <c r="Z920" s="77" t="s">
        <v>4375</v>
      </c>
      <c r="AA920" s="77"/>
      <c r="AB920" s="77"/>
      <c r="AC920" s="81" t="s">
        <v>5803</v>
      </c>
      <c r="AD920" s="77" t="s">
        <v>5850</v>
      </c>
      <c r="AE920" s="83" t="str">
        <f>HYPERLINK("https://twitter.com/mariana64692094/status/1653219687285628929")</f>
        <v>https://twitter.com/mariana64692094/status/1653219687285628929</v>
      </c>
      <c r="AF920" s="79">
        <v>45048.088692129626</v>
      </c>
      <c r="AG920" s="85">
        <v>45048</v>
      </c>
      <c r="AH920" s="81" t="s">
        <v>6493</v>
      </c>
      <c r="AI920" s="77"/>
      <c r="AJ920" s="77"/>
      <c r="AK920" s="77"/>
      <c r="AL920" s="77"/>
      <c r="AM920" s="77"/>
      <c r="AN920" s="77"/>
      <c r="AO920" s="77"/>
      <c r="AP920" s="77"/>
      <c r="AQ920" s="77"/>
      <c r="AR920" s="77"/>
      <c r="AS920" s="77"/>
      <c r="AT920" s="77"/>
      <c r="AU920" s="77"/>
      <c r="AV920" s="83" t="str">
        <f>HYPERLINK("https://pbs.twimg.com/profile_images/1554626465731383298/9KudSdu0_normal.jpg")</f>
        <v>https://pbs.twimg.com/profile_images/1554626465731383298/9KudSdu0_normal.jpg</v>
      </c>
      <c r="AW920" s="81" t="s">
        <v>10183</v>
      </c>
      <c r="AX920" s="81" t="s">
        <v>11276</v>
      </c>
      <c r="AY920" s="81" t="s">
        <v>11334</v>
      </c>
      <c r="AZ920" s="81" t="s">
        <v>11276</v>
      </c>
      <c r="BA920" s="81" t="s">
        <v>11359</v>
      </c>
      <c r="BB920" s="81" t="s">
        <v>11359</v>
      </c>
      <c r="BC920" s="81" t="s">
        <v>11276</v>
      </c>
      <c r="BD920" s="81" t="s">
        <v>11523</v>
      </c>
      <c r="BE920" s="77"/>
      <c r="BF920" s="77"/>
      <c r="BG920" s="77"/>
      <c r="BH920" s="77"/>
      <c r="BI920" s="77"/>
    </row>
    <row r="921" spans="1:61" x14ac:dyDescent="0.25">
      <c r="A921" s="62" t="s">
        <v>460</v>
      </c>
      <c r="B921" s="62" t="s">
        <v>915</v>
      </c>
      <c r="C921" s="63"/>
      <c r="D921" s="64"/>
      <c r="E921" s="65"/>
      <c r="F921" s="66"/>
      <c r="G921" s="63"/>
      <c r="H921" s="67"/>
      <c r="I921" s="68"/>
      <c r="J921" s="68"/>
      <c r="K921" s="32"/>
      <c r="L921" s="75">
        <v>921</v>
      </c>
      <c r="M921" s="75"/>
      <c r="N921" s="70"/>
      <c r="O921" s="77" t="s">
        <v>970</v>
      </c>
      <c r="P921" s="79">
        <v>45046.123553240737</v>
      </c>
      <c r="Q921" s="77" t="s">
        <v>1862</v>
      </c>
      <c r="R921" s="77">
        <v>0</v>
      </c>
      <c r="S921" s="77">
        <v>0</v>
      </c>
      <c r="T921" s="77">
        <v>0</v>
      </c>
      <c r="U921" s="77">
        <v>0</v>
      </c>
      <c r="V921" s="77">
        <v>33</v>
      </c>
      <c r="W921" s="81" t="s">
        <v>3453</v>
      </c>
      <c r="X921" s="77"/>
      <c r="Y921" s="77"/>
      <c r="Z921" s="77" t="s">
        <v>4375</v>
      </c>
      <c r="AA921" s="77"/>
      <c r="AB921" s="77"/>
      <c r="AC921" s="81" t="s">
        <v>5803</v>
      </c>
      <c r="AD921" s="77" t="s">
        <v>5850</v>
      </c>
      <c r="AE921" s="83" t="str">
        <f>HYPERLINK("https://twitter.com/mariana64692094/status/1652507543720148992")</f>
        <v>https://twitter.com/mariana64692094/status/1652507543720148992</v>
      </c>
      <c r="AF921" s="79">
        <v>45046.123553240737</v>
      </c>
      <c r="AG921" s="85">
        <v>45046</v>
      </c>
      <c r="AH921" s="81" t="s">
        <v>6728</v>
      </c>
      <c r="AI921" s="77"/>
      <c r="AJ921" s="77"/>
      <c r="AK921" s="77"/>
      <c r="AL921" s="77"/>
      <c r="AM921" s="77"/>
      <c r="AN921" s="77"/>
      <c r="AO921" s="77"/>
      <c r="AP921" s="77"/>
      <c r="AQ921" s="77"/>
      <c r="AR921" s="77"/>
      <c r="AS921" s="77"/>
      <c r="AT921" s="77"/>
      <c r="AU921" s="77"/>
      <c r="AV921" s="83" t="str">
        <f>HYPERLINK("https://pbs.twimg.com/profile_images/1554626465731383298/9KudSdu0_normal.jpg")</f>
        <v>https://pbs.twimg.com/profile_images/1554626465731383298/9KudSdu0_normal.jpg</v>
      </c>
      <c r="AW921" s="81" t="s">
        <v>10184</v>
      </c>
      <c r="AX921" s="81" t="s">
        <v>11277</v>
      </c>
      <c r="AY921" s="81" t="s">
        <v>11334</v>
      </c>
      <c r="AZ921" s="81" t="s">
        <v>11277</v>
      </c>
      <c r="BA921" s="81" t="s">
        <v>11359</v>
      </c>
      <c r="BB921" s="81" t="s">
        <v>11359</v>
      </c>
      <c r="BC921" s="81" t="s">
        <v>11277</v>
      </c>
      <c r="BD921" s="81" t="s">
        <v>11523</v>
      </c>
      <c r="BE921" s="77"/>
      <c r="BF921" s="77"/>
      <c r="BG921" s="77"/>
      <c r="BH921" s="77"/>
      <c r="BI921" s="77"/>
    </row>
    <row r="922" spans="1:61" x14ac:dyDescent="0.25">
      <c r="A922" s="62" t="s">
        <v>460</v>
      </c>
      <c r="B922" s="62" t="s">
        <v>915</v>
      </c>
      <c r="C922" s="63"/>
      <c r="D922" s="64"/>
      <c r="E922" s="65"/>
      <c r="F922" s="66"/>
      <c r="G922" s="63"/>
      <c r="H922" s="67"/>
      <c r="I922" s="68"/>
      <c r="J922" s="68"/>
      <c r="K922" s="32"/>
      <c r="L922" s="75">
        <v>922</v>
      </c>
      <c r="M922" s="75"/>
      <c r="N922" s="70"/>
      <c r="O922" s="77" t="s">
        <v>970</v>
      </c>
      <c r="P922" s="79">
        <v>45044.241956018515</v>
      </c>
      <c r="Q922" s="77" t="s">
        <v>1863</v>
      </c>
      <c r="R922" s="77">
        <v>0</v>
      </c>
      <c r="S922" s="77">
        <v>0</v>
      </c>
      <c r="T922" s="77">
        <v>0</v>
      </c>
      <c r="U922" s="77">
        <v>0</v>
      </c>
      <c r="V922" s="77">
        <v>22</v>
      </c>
      <c r="W922" s="81" t="s">
        <v>3453</v>
      </c>
      <c r="X922" s="77"/>
      <c r="Y922" s="77"/>
      <c r="Z922" s="77" t="s">
        <v>4375</v>
      </c>
      <c r="AA922" s="77"/>
      <c r="AB922" s="77"/>
      <c r="AC922" s="81" t="s">
        <v>5803</v>
      </c>
      <c r="AD922" s="77" t="s">
        <v>5850</v>
      </c>
      <c r="AE922" s="83" t="str">
        <f>HYPERLINK("https://twitter.com/mariana64692094/status/1651825678495502336")</f>
        <v>https://twitter.com/mariana64692094/status/1651825678495502336</v>
      </c>
      <c r="AF922" s="79">
        <v>45044.241956018515</v>
      </c>
      <c r="AG922" s="85">
        <v>45044</v>
      </c>
      <c r="AH922" s="81" t="s">
        <v>6729</v>
      </c>
      <c r="AI922" s="77"/>
      <c r="AJ922" s="77"/>
      <c r="AK922" s="77"/>
      <c r="AL922" s="77"/>
      <c r="AM922" s="77"/>
      <c r="AN922" s="77"/>
      <c r="AO922" s="77"/>
      <c r="AP922" s="77"/>
      <c r="AQ922" s="77"/>
      <c r="AR922" s="77"/>
      <c r="AS922" s="77"/>
      <c r="AT922" s="77"/>
      <c r="AU922" s="77"/>
      <c r="AV922" s="83" t="str">
        <f>HYPERLINK("https://pbs.twimg.com/profile_images/1554626465731383298/9KudSdu0_normal.jpg")</f>
        <v>https://pbs.twimg.com/profile_images/1554626465731383298/9KudSdu0_normal.jpg</v>
      </c>
      <c r="AW922" s="81" t="s">
        <v>10185</v>
      </c>
      <c r="AX922" s="81" t="s">
        <v>11278</v>
      </c>
      <c r="AY922" s="81" t="s">
        <v>11334</v>
      </c>
      <c r="AZ922" s="81" t="s">
        <v>11278</v>
      </c>
      <c r="BA922" s="81" t="s">
        <v>11359</v>
      </c>
      <c r="BB922" s="81" t="s">
        <v>11359</v>
      </c>
      <c r="BC922" s="81" t="s">
        <v>11278</v>
      </c>
      <c r="BD922" s="81" t="s">
        <v>11523</v>
      </c>
      <c r="BE922" s="77"/>
      <c r="BF922" s="77"/>
      <c r="BG922" s="77"/>
      <c r="BH922" s="77"/>
      <c r="BI922" s="77"/>
    </row>
    <row r="923" spans="1:61" x14ac:dyDescent="0.25">
      <c r="A923" s="62" t="s">
        <v>460</v>
      </c>
      <c r="B923" s="62" t="s">
        <v>915</v>
      </c>
      <c r="C923" s="63"/>
      <c r="D923" s="64"/>
      <c r="E923" s="65"/>
      <c r="F923" s="66"/>
      <c r="G923" s="63"/>
      <c r="H923" s="67"/>
      <c r="I923" s="68"/>
      <c r="J923" s="68"/>
      <c r="K923" s="32"/>
      <c r="L923" s="75">
        <v>923</v>
      </c>
      <c r="M923" s="75"/>
      <c r="N923" s="70"/>
      <c r="O923" s="77" t="s">
        <v>970</v>
      </c>
      <c r="P923" s="79">
        <v>45004.147870370369</v>
      </c>
      <c r="Q923" s="77" t="s">
        <v>1864</v>
      </c>
      <c r="R923" s="77">
        <v>0</v>
      </c>
      <c r="S923" s="77">
        <v>0</v>
      </c>
      <c r="T923" s="77">
        <v>0</v>
      </c>
      <c r="U923" s="77">
        <v>0</v>
      </c>
      <c r="V923" s="77">
        <v>27</v>
      </c>
      <c r="W923" s="81" t="s">
        <v>3460</v>
      </c>
      <c r="X923" s="77"/>
      <c r="Y923" s="77"/>
      <c r="Z923" s="77" t="s">
        <v>4375</v>
      </c>
      <c r="AA923" s="77"/>
      <c r="AB923" s="77"/>
      <c r="AC923" s="81" t="s">
        <v>5803</v>
      </c>
      <c r="AD923" s="77" t="s">
        <v>5850</v>
      </c>
      <c r="AE923" s="83" t="str">
        <f>HYPERLINK("https://twitter.com/mariana64692094/status/1637296065215885315")</f>
        <v>https://twitter.com/mariana64692094/status/1637296065215885315</v>
      </c>
      <c r="AF923" s="79">
        <v>45004.147870370369</v>
      </c>
      <c r="AG923" s="85">
        <v>45004</v>
      </c>
      <c r="AH923" s="81" t="s">
        <v>6730</v>
      </c>
      <c r="AI923" s="77"/>
      <c r="AJ923" s="77"/>
      <c r="AK923" s="77"/>
      <c r="AL923" s="77"/>
      <c r="AM923" s="77"/>
      <c r="AN923" s="77"/>
      <c r="AO923" s="77"/>
      <c r="AP923" s="77"/>
      <c r="AQ923" s="77"/>
      <c r="AR923" s="77"/>
      <c r="AS923" s="77"/>
      <c r="AT923" s="77"/>
      <c r="AU923" s="77"/>
      <c r="AV923" s="83" t="str">
        <f>HYPERLINK("https://pbs.twimg.com/profile_images/1554626465731383298/9KudSdu0_normal.jpg")</f>
        <v>https://pbs.twimg.com/profile_images/1554626465731383298/9KudSdu0_normal.jpg</v>
      </c>
      <c r="AW923" s="81" t="s">
        <v>10186</v>
      </c>
      <c r="AX923" s="81" t="s">
        <v>11279</v>
      </c>
      <c r="AY923" s="81" t="s">
        <v>11334</v>
      </c>
      <c r="AZ923" s="81" t="s">
        <v>11279</v>
      </c>
      <c r="BA923" s="81" t="s">
        <v>11359</v>
      </c>
      <c r="BB923" s="81" t="s">
        <v>11359</v>
      </c>
      <c r="BC923" s="81" t="s">
        <v>11279</v>
      </c>
      <c r="BD923" s="81" t="s">
        <v>11523</v>
      </c>
      <c r="BE923" s="77"/>
      <c r="BF923" s="77"/>
      <c r="BG923" s="77"/>
      <c r="BH923" s="77"/>
      <c r="BI923" s="77"/>
    </row>
    <row r="924" spans="1:61" x14ac:dyDescent="0.25">
      <c r="A924" s="62" t="s">
        <v>460</v>
      </c>
      <c r="B924" s="62" t="s">
        <v>915</v>
      </c>
      <c r="C924" s="63"/>
      <c r="D924" s="64"/>
      <c r="E924" s="65"/>
      <c r="F924" s="66"/>
      <c r="G924" s="63"/>
      <c r="H924" s="67"/>
      <c r="I924" s="68"/>
      <c r="J924" s="68"/>
      <c r="K924" s="32"/>
      <c r="L924" s="75">
        <v>924</v>
      </c>
      <c r="M924" s="75"/>
      <c r="N924" s="70"/>
      <c r="O924" s="77" t="s">
        <v>970</v>
      </c>
      <c r="P924" s="79">
        <v>45057.135324074072</v>
      </c>
      <c r="Q924" s="77" t="s">
        <v>1865</v>
      </c>
      <c r="R924" s="77">
        <v>0</v>
      </c>
      <c r="S924" s="77">
        <v>0</v>
      </c>
      <c r="T924" s="77">
        <v>0</v>
      </c>
      <c r="U924" s="77">
        <v>0</v>
      </c>
      <c r="V924" s="77">
        <v>24</v>
      </c>
      <c r="W924" s="81" t="s">
        <v>3453</v>
      </c>
      <c r="X924" s="77"/>
      <c r="Y924" s="77"/>
      <c r="Z924" s="77" t="s">
        <v>4375</v>
      </c>
      <c r="AA924" s="77"/>
      <c r="AB924" s="77"/>
      <c r="AC924" s="81" t="s">
        <v>5803</v>
      </c>
      <c r="AD924" s="77" t="s">
        <v>5850</v>
      </c>
      <c r="AE924" s="83" t="str">
        <f>HYPERLINK("https://twitter.com/mariana64692094/status/1656498077530824706")</f>
        <v>https://twitter.com/mariana64692094/status/1656498077530824706</v>
      </c>
      <c r="AF924" s="79">
        <v>45057.135324074072</v>
      </c>
      <c r="AG924" s="85">
        <v>45057</v>
      </c>
      <c r="AH924" s="81" t="s">
        <v>6731</v>
      </c>
      <c r="AI924" s="77"/>
      <c r="AJ924" s="77"/>
      <c r="AK924" s="77"/>
      <c r="AL924" s="77"/>
      <c r="AM924" s="77"/>
      <c r="AN924" s="77"/>
      <c r="AO924" s="77"/>
      <c r="AP924" s="77"/>
      <c r="AQ924" s="77"/>
      <c r="AR924" s="77"/>
      <c r="AS924" s="77"/>
      <c r="AT924" s="77"/>
      <c r="AU924" s="77"/>
      <c r="AV924" s="83" t="str">
        <f>HYPERLINK("https://pbs.twimg.com/profile_images/1554626465731383298/9KudSdu0_normal.jpg")</f>
        <v>https://pbs.twimg.com/profile_images/1554626465731383298/9KudSdu0_normal.jpg</v>
      </c>
      <c r="AW924" s="81" t="s">
        <v>10187</v>
      </c>
      <c r="AX924" s="81" t="s">
        <v>11280</v>
      </c>
      <c r="AY924" s="81" t="s">
        <v>11334</v>
      </c>
      <c r="AZ924" s="81" t="s">
        <v>11280</v>
      </c>
      <c r="BA924" s="81" t="s">
        <v>11359</v>
      </c>
      <c r="BB924" s="81" t="s">
        <v>11359</v>
      </c>
      <c r="BC924" s="81" t="s">
        <v>11280</v>
      </c>
      <c r="BD924" s="81" t="s">
        <v>11523</v>
      </c>
      <c r="BE924" s="77"/>
      <c r="BF924" s="77"/>
      <c r="BG924" s="77"/>
      <c r="BH924" s="77"/>
      <c r="BI924" s="77"/>
    </row>
    <row r="925" spans="1:61" x14ac:dyDescent="0.25">
      <c r="A925" s="62" t="s">
        <v>460</v>
      </c>
      <c r="B925" s="62" t="s">
        <v>915</v>
      </c>
      <c r="C925" s="63"/>
      <c r="D925" s="64"/>
      <c r="E925" s="65"/>
      <c r="F925" s="66"/>
      <c r="G925" s="63"/>
      <c r="H925" s="67"/>
      <c r="I925" s="68"/>
      <c r="J925" s="68"/>
      <c r="K925" s="32"/>
      <c r="L925" s="75">
        <v>925</v>
      </c>
      <c r="M925" s="75"/>
      <c r="N925" s="70"/>
      <c r="O925" s="77" t="s">
        <v>970</v>
      </c>
      <c r="P925" s="79">
        <v>45056.25409722222</v>
      </c>
      <c r="Q925" s="77" t="s">
        <v>1866</v>
      </c>
      <c r="R925" s="77">
        <v>0</v>
      </c>
      <c r="S925" s="77">
        <v>0</v>
      </c>
      <c r="T925" s="77">
        <v>0</v>
      </c>
      <c r="U925" s="77">
        <v>0</v>
      </c>
      <c r="V925" s="77">
        <v>23</v>
      </c>
      <c r="W925" s="81" t="s">
        <v>3461</v>
      </c>
      <c r="X925" s="77"/>
      <c r="Y925" s="77"/>
      <c r="Z925" s="77" t="s">
        <v>4375</v>
      </c>
      <c r="AA925" s="77"/>
      <c r="AB925" s="77"/>
      <c r="AC925" s="81" t="s">
        <v>5803</v>
      </c>
      <c r="AD925" s="77" t="s">
        <v>5850</v>
      </c>
      <c r="AE925" s="83" t="str">
        <f>HYPERLINK("https://twitter.com/mariana64692094/status/1656178731075923969")</f>
        <v>https://twitter.com/mariana64692094/status/1656178731075923969</v>
      </c>
      <c r="AF925" s="79">
        <v>45056.25409722222</v>
      </c>
      <c r="AG925" s="85">
        <v>45056</v>
      </c>
      <c r="AH925" s="81" t="s">
        <v>6732</v>
      </c>
      <c r="AI925" s="77"/>
      <c r="AJ925" s="77"/>
      <c r="AK925" s="77"/>
      <c r="AL925" s="77"/>
      <c r="AM925" s="77"/>
      <c r="AN925" s="77"/>
      <c r="AO925" s="77"/>
      <c r="AP925" s="77"/>
      <c r="AQ925" s="77"/>
      <c r="AR925" s="77"/>
      <c r="AS925" s="77"/>
      <c r="AT925" s="77"/>
      <c r="AU925" s="77"/>
      <c r="AV925" s="83" t="str">
        <f>HYPERLINK("https://pbs.twimg.com/profile_images/1554626465731383298/9KudSdu0_normal.jpg")</f>
        <v>https://pbs.twimg.com/profile_images/1554626465731383298/9KudSdu0_normal.jpg</v>
      </c>
      <c r="AW925" s="81" t="s">
        <v>10188</v>
      </c>
      <c r="AX925" s="81" t="s">
        <v>11281</v>
      </c>
      <c r="AY925" s="81" t="s">
        <v>11334</v>
      </c>
      <c r="AZ925" s="81" t="s">
        <v>11281</v>
      </c>
      <c r="BA925" s="81" t="s">
        <v>11359</v>
      </c>
      <c r="BB925" s="81" t="s">
        <v>11359</v>
      </c>
      <c r="BC925" s="81" t="s">
        <v>11281</v>
      </c>
      <c r="BD925" s="81" t="s">
        <v>11523</v>
      </c>
      <c r="BE925" s="77"/>
      <c r="BF925" s="77"/>
      <c r="BG925" s="77"/>
      <c r="BH925" s="77"/>
      <c r="BI925" s="77"/>
    </row>
    <row r="926" spans="1:61" x14ac:dyDescent="0.25">
      <c r="A926" s="62" t="s">
        <v>460</v>
      </c>
      <c r="B926" s="62" t="s">
        <v>915</v>
      </c>
      <c r="C926" s="63"/>
      <c r="D926" s="64"/>
      <c r="E926" s="65"/>
      <c r="F926" s="66"/>
      <c r="G926" s="63"/>
      <c r="H926" s="67"/>
      <c r="I926" s="68"/>
      <c r="J926" s="68"/>
      <c r="K926" s="32"/>
      <c r="L926" s="75">
        <v>926</v>
      </c>
      <c r="M926" s="75"/>
      <c r="N926" s="70"/>
      <c r="O926" s="77" t="s">
        <v>970</v>
      </c>
      <c r="P926" s="79">
        <v>45036.143252314818</v>
      </c>
      <c r="Q926" s="77" t="s">
        <v>1867</v>
      </c>
      <c r="R926" s="77">
        <v>0</v>
      </c>
      <c r="S926" s="77">
        <v>0</v>
      </c>
      <c r="T926" s="77">
        <v>0</v>
      </c>
      <c r="U926" s="77">
        <v>0</v>
      </c>
      <c r="V926" s="77">
        <v>17</v>
      </c>
      <c r="W926" s="81" t="s">
        <v>3455</v>
      </c>
      <c r="X926" s="77"/>
      <c r="Y926" s="77"/>
      <c r="Z926" s="77" t="s">
        <v>4375</v>
      </c>
      <c r="AA926" s="77"/>
      <c r="AB926" s="77"/>
      <c r="AC926" s="81" t="s">
        <v>5803</v>
      </c>
      <c r="AD926" s="77" t="s">
        <v>5850</v>
      </c>
      <c r="AE926" s="83" t="str">
        <f>HYPERLINK("https://twitter.com/mariana64692094/status/1648890804755111937")</f>
        <v>https://twitter.com/mariana64692094/status/1648890804755111937</v>
      </c>
      <c r="AF926" s="79">
        <v>45036.143252314818</v>
      </c>
      <c r="AG926" s="85">
        <v>45036</v>
      </c>
      <c r="AH926" s="81" t="s">
        <v>6733</v>
      </c>
      <c r="AI926" s="77"/>
      <c r="AJ926" s="77"/>
      <c r="AK926" s="77"/>
      <c r="AL926" s="77"/>
      <c r="AM926" s="77"/>
      <c r="AN926" s="77"/>
      <c r="AO926" s="77"/>
      <c r="AP926" s="77"/>
      <c r="AQ926" s="77"/>
      <c r="AR926" s="77"/>
      <c r="AS926" s="77"/>
      <c r="AT926" s="77"/>
      <c r="AU926" s="77"/>
      <c r="AV926" s="83" t="str">
        <f>HYPERLINK("https://pbs.twimg.com/profile_images/1554626465731383298/9KudSdu0_normal.jpg")</f>
        <v>https://pbs.twimg.com/profile_images/1554626465731383298/9KudSdu0_normal.jpg</v>
      </c>
      <c r="AW926" s="81" t="s">
        <v>10189</v>
      </c>
      <c r="AX926" s="81" t="s">
        <v>11282</v>
      </c>
      <c r="AY926" s="81" t="s">
        <v>11334</v>
      </c>
      <c r="AZ926" s="81" t="s">
        <v>11282</v>
      </c>
      <c r="BA926" s="81" t="s">
        <v>11359</v>
      </c>
      <c r="BB926" s="81" t="s">
        <v>11359</v>
      </c>
      <c r="BC926" s="81" t="s">
        <v>11282</v>
      </c>
      <c r="BD926" s="81" t="s">
        <v>11523</v>
      </c>
      <c r="BE926" s="77"/>
      <c r="BF926" s="77"/>
      <c r="BG926" s="77"/>
      <c r="BH926" s="77"/>
      <c r="BI926" s="77"/>
    </row>
    <row r="927" spans="1:61" x14ac:dyDescent="0.25">
      <c r="A927" s="62" t="s">
        <v>460</v>
      </c>
      <c r="B927" s="62" t="s">
        <v>915</v>
      </c>
      <c r="C927" s="63"/>
      <c r="D927" s="64"/>
      <c r="E927" s="65"/>
      <c r="F927" s="66"/>
      <c r="G927" s="63"/>
      <c r="H927" s="67"/>
      <c r="I927" s="68"/>
      <c r="J927" s="68"/>
      <c r="K927" s="32"/>
      <c r="L927" s="75">
        <v>927</v>
      </c>
      <c r="M927" s="75"/>
      <c r="N927" s="70"/>
      <c r="O927" s="77" t="s">
        <v>970</v>
      </c>
      <c r="P927" s="79">
        <v>45035.200162037036</v>
      </c>
      <c r="Q927" s="77" t="s">
        <v>1868</v>
      </c>
      <c r="R927" s="77">
        <v>0</v>
      </c>
      <c r="S927" s="77">
        <v>0</v>
      </c>
      <c r="T927" s="77">
        <v>0</v>
      </c>
      <c r="U927" s="77">
        <v>0</v>
      </c>
      <c r="V927" s="77">
        <v>9</v>
      </c>
      <c r="W927" s="81" t="s">
        <v>3455</v>
      </c>
      <c r="X927" s="77"/>
      <c r="Y927" s="77"/>
      <c r="Z927" s="77" t="s">
        <v>4375</v>
      </c>
      <c r="AA927" s="77"/>
      <c r="AB927" s="77"/>
      <c r="AC927" s="81" t="s">
        <v>5803</v>
      </c>
      <c r="AD927" s="77" t="s">
        <v>5850</v>
      </c>
      <c r="AE927" s="83" t="str">
        <f>HYPERLINK("https://twitter.com/mariana64692094/status/1648549040961777666")</f>
        <v>https://twitter.com/mariana64692094/status/1648549040961777666</v>
      </c>
      <c r="AF927" s="79">
        <v>45035.200162037036</v>
      </c>
      <c r="AG927" s="85">
        <v>45035</v>
      </c>
      <c r="AH927" s="81" t="s">
        <v>6734</v>
      </c>
      <c r="AI927" s="77"/>
      <c r="AJ927" s="77"/>
      <c r="AK927" s="77"/>
      <c r="AL927" s="77"/>
      <c r="AM927" s="77"/>
      <c r="AN927" s="77"/>
      <c r="AO927" s="77"/>
      <c r="AP927" s="77"/>
      <c r="AQ927" s="77"/>
      <c r="AR927" s="77"/>
      <c r="AS927" s="77"/>
      <c r="AT927" s="77"/>
      <c r="AU927" s="77"/>
      <c r="AV927" s="83" t="str">
        <f>HYPERLINK("https://pbs.twimg.com/profile_images/1554626465731383298/9KudSdu0_normal.jpg")</f>
        <v>https://pbs.twimg.com/profile_images/1554626465731383298/9KudSdu0_normal.jpg</v>
      </c>
      <c r="AW927" s="81" t="s">
        <v>10190</v>
      </c>
      <c r="AX927" s="81" t="s">
        <v>11283</v>
      </c>
      <c r="AY927" s="81" t="s">
        <v>11334</v>
      </c>
      <c r="AZ927" s="81" t="s">
        <v>11283</v>
      </c>
      <c r="BA927" s="81" t="s">
        <v>11359</v>
      </c>
      <c r="BB927" s="81" t="s">
        <v>11359</v>
      </c>
      <c r="BC927" s="81" t="s">
        <v>11283</v>
      </c>
      <c r="BD927" s="81" t="s">
        <v>11523</v>
      </c>
      <c r="BE927" s="77"/>
      <c r="BF927" s="77"/>
      <c r="BG927" s="77"/>
      <c r="BH927" s="77"/>
      <c r="BI927" s="77"/>
    </row>
    <row r="928" spans="1:61" x14ac:dyDescent="0.25">
      <c r="A928" s="62" t="s">
        <v>460</v>
      </c>
      <c r="B928" s="62" t="s">
        <v>915</v>
      </c>
      <c r="C928" s="63"/>
      <c r="D928" s="64"/>
      <c r="E928" s="65"/>
      <c r="F928" s="66"/>
      <c r="G928" s="63"/>
      <c r="H928" s="67"/>
      <c r="I928" s="68"/>
      <c r="J928" s="68"/>
      <c r="K928" s="32"/>
      <c r="L928" s="75">
        <v>928</v>
      </c>
      <c r="M928" s="75"/>
      <c r="N928" s="70"/>
      <c r="O928" s="77" t="s">
        <v>970</v>
      </c>
      <c r="P928" s="79">
        <v>44997.055717592593</v>
      </c>
      <c r="Q928" s="77" t="s">
        <v>1869</v>
      </c>
      <c r="R928" s="77">
        <v>0</v>
      </c>
      <c r="S928" s="77">
        <v>0</v>
      </c>
      <c r="T928" s="77">
        <v>0</v>
      </c>
      <c r="U928" s="77">
        <v>0</v>
      </c>
      <c r="V928" s="77">
        <v>14</v>
      </c>
      <c r="W928" s="81" t="s">
        <v>3462</v>
      </c>
      <c r="X928" s="77"/>
      <c r="Y928" s="77"/>
      <c r="Z928" s="77" t="s">
        <v>4375</v>
      </c>
      <c r="AA928" s="77"/>
      <c r="AB928" s="77"/>
      <c r="AC928" s="81" t="s">
        <v>5803</v>
      </c>
      <c r="AD928" s="77" t="s">
        <v>5850</v>
      </c>
      <c r="AE928" s="83" t="str">
        <f>HYPERLINK("https://twitter.com/mariana64692094/status/1634725957159223296")</f>
        <v>https://twitter.com/mariana64692094/status/1634725957159223296</v>
      </c>
      <c r="AF928" s="79">
        <v>44997.055717592593</v>
      </c>
      <c r="AG928" s="85">
        <v>44997</v>
      </c>
      <c r="AH928" s="81" t="s">
        <v>6735</v>
      </c>
      <c r="AI928" s="77"/>
      <c r="AJ928" s="77"/>
      <c r="AK928" s="77"/>
      <c r="AL928" s="77"/>
      <c r="AM928" s="77"/>
      <c r="AN928" s="77"/>
      <c r="AO928" s="77"/>
      <c r="AP928" s="77"/>
      <c r="AQ928" s="77"/>
      <c r="AR928" s="77"/>
      <c r="AS928" s="77"/>
      <c r="AT928" s="77"/>
      <c r="AU928" s="77"/>
      <c r="AV928" s="83" t="str">
        <f>HYPERLINK("https://pbs.twimg.com/profile_images/1554626465731383298/9KudSdu0_normal.jpg")</f>
        <v>https://pbs.twimg.com/profile_images/1554626465731383298/9KudSdu0_normal.jpg</v>
      </c>
      <c r="AW928" s="81" t="s">
        <v>10191</v>
      </c>
      <c r="AX928" s="81" t="s">
        <v>11284</v>
      </c>
      <c r="AY928" s="81" t="s">
        <v>11334</v>
      </c>
      <c r="AZ928" s="81" t="s">
        <v>11284</v>
      </c>
      <c r="BA928" s="81" t="s">
        <v>11359</v>
      </c>
      <c r="BB928" s="81" t="s">
        <v>11359</v>
      </c>
      <c r="BC928" s="81" t="s">
        <v>11284</v>
      </c>
      <c r="BD928" s="81" t="s">
        <v>11523</v>
      </c>
      <c r="BE928" s="77"/>
      <c r="BF928" s="77"/>
      <c r="BG928" s="77"/>
      <c r="BH928" s="77"/>
      <c r="BI928" s="77"/>
    </row>
    <row r="929" spans="1:61" x14ac:dyDescent="0.25">
      <c r="A929" s="62" t="s">
        <v>460</v>
      </c>
      <c r="B929" s="62" t="s">
        <v>916</v>
      </c>
      <c r="C929" s="63"/>
      <c r="D929" s="64"/>
      <c r="E929" s="65"/>
      <c r="F929" s="66"/>
      <c r="G929" s="63"/>
      <c r="H929" s="67"/>
      <c r="I929" s="68"/>
      <c r="J929" s="68"/>
      <c r="K929" s="32"/>
      <c r="L929" s="75">
        <v>929</v>
      </c>
      <c r="M929" s="75"/>
      <c r="N929" s="70"/>
      <c r="O929" s="77" t="s">
        <v>970</v>
      </c>
      <c r="P929" s="79">
        <v>45015.185902777775</v>
      </c>
      <c r="Q929" s="77" t="s">
        <v>1853</v>
      </c>
      <c r="R929" s="77">
        <v>0</v>
      </c>
      <c r="S929" s="77">
        <v>0</v>
      </c>
      <c r="T929" s="77">
        <v>0</v>
      </c>
      <c r="U929" s="77">
        <v>0</v>
      </c>
      <c r="V929" s="77">
        <v>14</v>
      </c>
      <c r="W929" s="81" t="s">
        <v>3453</v>
      </c>
      <c r="X929" s="77"/>
      <c r="Y929" s="77"/>
      <c r="Z929" s="77" t="s">
        <v>4375</v>
      </c>
      <c r="AA929" s="77"/>
      <c r="AB929" s="77"/>
      <c r="AC929" s="81" t="s">
        <v>5803</v>
      </c>
      <c r="AD929" s="77" t="s">
        <v>5850</v>
      </c>
      <c r="AE929" s="83" t="str">
        <f>HYPERLINK("https://twitter.com/mariana64692094/status/1641296114933440518")</f>
        <v>https://twitter.com/mariana64692094/status/1641296114933440518</v>
      </c>
      <c r="AF929" s="79">
        <v>45015.185902777775</v>
      </c>
      <c r="AG929" s="85">
        <v>45015</v>
      </c>
      <c r="AH929" s="81" t="s">
        <v>6720</v>
      </c>
      <c r="AI929" s="77"/>
      <c r="AJ929" s="77"/>
      <c r="AK929" s="77"/>
      <c r="AL929" s="77"/>
      <c r="AM929" s="77"/>
      <c r="AN929" s="77"/>
      <c r="AO929" s="77"/>
      <c r="AP929" s="77"/>
      <c r="AQ929" s="77"/>
      <c r="AR929" s="77"/>
      <c r="AS929" s="77"/>
      <c r="AT929" s="77"/>
      <c r="AU929" s="77"/>
      <c r="AV929" s="83" t="str">
        <f>HYPERLINK("https://pbs.twimg.com/profile_images/1554626465731383298/9KudSdu0_normal.jpg")</f>
        <v>https://pbs.twimg.com/profile_images/1554626465731383298/9KudSdu0_normal.jpg</v>
      </c>
      <c r="AW929" s="81" t="s">
        <v>10175</v>
      </c>
      <c r="AX929" s="81" t="s">
        <v>11268</v>
      </c>
      <c r="AY929" s="81" t="s">
        <v>11334</v>
      </c>
      <c r="AZ929" s="81" t="s">
        <v>11268</v>
      </c>
      <c r="BA929" s="81" t="s">
        <v>11359</v>
      </c>
      <c r="BB929" s="81" t="s">
        <v>11359</v>
      </c>
      <c r="BC929" s="81" t="s">
        <v>11268</v>
      </c>
      <c r="BD929" s="81" t="s">
        <v>11523</v>
      </c>
      <c r="BE929" s="77"/>
      <c r="BF929" s="77"/>
      <c r="BG929" s="77"/>
      <c r="BH929" s="77"/>
      <c r="BI929" s="77"/>
    </row>
    <row r="930" spans="1:61" x14ac:dyDescent="0.25">
      <c r="A930" s="62" t="s">
        <v>460</v>
      </c>
      <c r="B930" s="62" t="s">
        <v>916</v>
      </c>
      <c r="C930" s="63"/>
      <c r="D930" s="64"/>
      <c r="E930" s="65"/>
      <c r="F930" s="66"/>
      <c r="G930" s="63"/>
      <c r="H930" s="67"/>
      <c r="I930" s="68"/>
      <c r="J930" s="68"/>
      <c r="K930" s="32"/>
      <c r="L930" s="75">
        <v>930</v>
      </c>
      <c r="M930" s="75"/>
      <c r="N930" s="70"/>
      <c r="O930" s="77" t="s">
        <v>970</v>
      </c>
      <c r="P930" s="79">
        <v>45026.270208333335</v>
      </c>
      <c r="Q930" s="77" t="s">
        <v>1854</v>
      </c>
      <c r="R930" s="77">
        <v>0</v>
      </c>
      <c r="S930" s="77">
        <v>0</v>
      </c>
      <c r="T930" s="77">
        <v>0</v>
      </c>
      <c r="U930" s="77">
        <v>0</v>
      </c>
      <c r="V930" s="77">
        <v>47</v>
      </c>
      <c r="W930" s="81" t="s">
        <v>3454</v>
      </c>
      <c r="X930" s="77"/>
      <c r="Y930" s="77"/>
      <c r="Z930" s="77" t="s">
        <v>4375</v>
      </c>
      <c r="AA930" s="77"/>
      <c r="AB930" s="77"/>
      <c r="AC930" s="81" t="s">
        <v>5803</v>
      </c>
      <c r="AD930" s="77" t="s">
        <v>5850</v>
      </c>
      <c r="AE930" s="83" t="str">
        <f>HYPERLINK("https://twitter.com/mariana64692094/status/1645312935554588672")</f>
        <v>https://twitter.com/mariana64692094/status/1645312935554588672</v>
      </c>
      <c r="AF930" s="79">
        <v>45026.270208333335</v>
      </c>
      <c r="AG930" s="85">
        <v>45026</v>
      </c>
      <c r="AH930" s="81" t="s">
        <v>6721</v>
      </c>
      <c r="AI930" s="77"/>
      <c r="AJ930" s="77"/>
      <c r="AK930" s="77"/>
      <c r="AL930" s="77"/>
      <c r="AM930" s="77"/>
      <c r="AN930" s="77"/>
      <c r="AO930" s="77"/>
      <c r="AP930" s="77"/>
      <c r="AQ930" s="77"/>
      <c r="AR930" s="77"/>
      <c r="AS930" s="77"/>
      <c r="AT930" s="77"/>
      <c r="AU930" s="77"/>
      <c r="AV930" s="83" t="str">
        <f>HYPERLINK("https://pbs.twimg.com/profile_images/1554626465731383298/9KudSdu0_normal.jpg")</f>
        <v>https://pbs.twimg.com/profile_images/1554626465731383298/9KudSdu0_normal.jpg</v>
      </c>
      <c r="AW930" s="81" t="s">
        <v>10176</v>
      </c>
      <c r="AX930" s="81" t="s">
        <v>11269</v>
      </c>
      <c r="AY930" s="81" t="s">
        <v>11334</v>
      </c>
      <c r="AZ930" s="81" t="s">
        <v>11269</v>
      </c>
      <c r="BA930" s="81" t="s">
        <v>11359</v>
      </c>
      <c r="BB930" s="81" t="s">
        <v>11359</v>
      </c>
      <c r="BC930" s="81" t="s">
        <v>11269</v>
      </c>
      <c r="BD930" s="81" t="s">
        <v>11523</v>
      </c>
      <c r="BE930" s="77"/>
      <c r="BF930" s="77"/>
      <c r="BG930" s="77"/>
      <c r="BH930" s="77"/>
      <c r="BI930" s="77"/>
    </row>
    <row r="931" spans="1:61" x14ac:dyDescent="0.25">
      <c r="A931" s="62" t="s">
        <v>460</v>
      </c>
      <c r="B931" s="62" t="s">
        <v>916</v>
      </c>
      <c r="C931" s="63"/>
      <c r="D931" s="64"/>
      <c r="E931" s="65"/>
      <c r="F931" s="66"/>
      <c r="G931" s="63"/>
      <c r="H931" s="67"/>
      <c r="I931" s="68"/>
      <c r="J931" s="68"/>
      <c r="K931" s="32"/>
      <c r="L931" s="75">
        <v>931</v>
      </c>
      <c r="M931" s="75"/>
      <c r="N931" s="70"/>
      <c r="O931" s="77" t="s">
        <v>970</v>
      </c>
      <c r="P931" s="79">
        <v>45026.269224537034</v>
      </c>
      <c r="Q931" s="77" t="s">
        <v>1855</v>
      </c>
      <c r="R931" s="77">
        <v>0</v>
      </c>
      <c r="S931" s="77">
        <v>0</v>
      </c>
      <c r="T931" s="77">
        <v>0</v>
      </c>
      <c r="U931" s="77">
        <v>0</v>
      </c>
      <c r="V931" s="77">
        <v>48</v>
      </c>
      <c r="W931" s="81" t="s">
        <v>3455</v>
      </c>
      <c r="X931" s="77"/>
      <c r="Y931" s="77"/>
      <c r="Z931" s="77" t="s">
        <v>4375</v>
      </c>
      <c r="AA931" s="77"/>
      <c r="AB931" s="77"/>
      <c r="AC931" s="81" t="s">
        <v>5803</v>
      </c>
      <c r="AD931" s="77" t="s">
        <v>5850</v>
      </c>
      <c r="AE931" s="83" t="str">
        <f>HYPERLINK("https://twitter.com/mariana64692094/status/1645312576350302209")</f>
        <v>https://twitter.com/mariana64692094/status/1645312576350302209</v>
      </c>
      <c r="AF931" s="79">
        <v>45026.269224537034</v>
      </c>
      <c r="AG931" s="85">
        <v>45026</v>
      </c>
      <c r="AH931" s="81" t="s">
        <v>6722</v>
      </c>
      <c r="AI931" s="77"/>
      <c r="AJ931" s="77"/>
      <c r="AK931" s="77"/>
      <c r="AL931" s="77"/>
      <c r="AM931" s="77"/>
      <c r="AN931" s="77"/>
      <c r="AO931" s="77"/>
      <c r="AP931" s="77"/>
      <c r="AQ931" s="77"/>
      <c r="AR931" s="77"/>
      <c r="AS931" s="77"/>
      <c r="AT931" s="77"/>
      <c r="AU931" s="77"/>
      <c r="AV931" s="83" t="str">
        <f>HYPERLINK("https://pbs.twimg.com/profile_images/1554626465731383298/9KudSdu0_normal.jpg")</f>
        <v>https://pbs.twimg.com/profile_images/1554626465731383298/9KudSdu0_normal.jpg</v>
      </c>
      <c r="AW931" s="81" t="s">
        <v>10177</v>
      </c>
      <c r="AX931" s="81" t="s">
        <v>11270</v>
      </c>
      <c r="AY931" s="81" t="s">
        <v>11334</v>
      </c>
      <c r="AZ931" s="81" t="s">
        <v>11270</v>
      </c>
      <c r="BA931" s="81" t="s">
        <v>11359</v>
      </c>
      <c r="BB931" s="81" t="s">
        <v>11359</v>
      </c>
      <c r="BC931" s="81" t="s">
        <v>11270</v>
      </c>
      <c r="BD931" s="81" t="s">
        <v>11523</v>
      </c>
      <c r="BE931" s="77"/>
      <c r="BF931" s="77"/>
      <c r="BG931" s="77"/>
      <c r="BH931" s="77"/>
      <c r="BI931" s="77"/>
    </row>
    <row r="932" spans="1:61" x14ac:dyDescent="0.25">
      <c r="A932" s="62" t="s">
        <v>460</v>
      </c>
      <c r="B932" s="62" t="s">
        <v>916</v>
      </c>
      <c r="C932" s="63"/>
      <c r="D932" s="64"/>
      <c r="E932" s="65"/>
      <c r="F932" s="66"/>
      <c r="G932" s="63"/>
      <c r="H932" s="67"/>
      <c r="I932" s="68"/>
      <c r="J932" s="68"/>
      <c r="K932" s="32"/>
      <c r="L932" s="75">
        <v>932</v>
      </c>
      <c r="M932" s="75"/>
      <c r="N932" s="70"/>
      <c r="O932" s="77" t="s">
        <v>970</v>
      </c>
      <c r="P932" s="79">
        <v>45024.010347222225</v>
      </c>
      <c r="Q932" s="77" t="s">
        <v>1856</v>
      </c>
      <c r="R932" s="77">
        <v>0</v>
      </c>
      <c r="S932" s="77">
        <v>0</v>
      </c>
      <c r="T932" s="77">
        <v>0</v>
      </c>
      <c r="U932" s="77">
        <v>0</v>
      </c>
      <c r="V932" s="77">
        <v>27</v>
      </c>
      <c r="W932" s="81" t="s">
        <v>3456</v>
      </c>
      <c r="X932" s="77"/>
      <c r="Y932" s="77"/>
      <c r="Z932" s="77" t="s">
        <v>4375</v>
      </c>
      <c r="AA932" s="77"/>
      <c r="AB932" s="77"/>
      <c r="AC932" s="81" t="s">
        <v>5803</v>
      </c>
      <c r="AD932" s="77" t="s">
        <v>5850</v>
      </c>
      <c r="AE932" s="83" t="str">
        <f>HYPERLINK("https://twitter.com/mariana64692094/status/1644493987582205952")</f>
        <v>https://twitter.com/mariana64692094/status/1644493987582205952</v>
      </c>
      <c r="AF932" s="79">
        <v>45024.010347222225</v>
      </c>
      <c r="AG932" s="85">
        <v>45024</v>
      </c>
      <c r="AH932" s="81" t="s">
        <v>6723</v>
      </c>
      <c r="AI932" s="77"/>
      <c r="AJ932" s="77"/>
      <c r="AK932" s="77"/>
      <c r="AL932" s="77"/>
      <c r="AM932" s="77"/>
      <c r="AN932" s="77"/>
      <c r="AO932" s="77"/>
      <c r="AP932" s="77"/>
      <c r="AQ932" s="77"/>
      <c r="AR932" s="77"/>
      <c r="AS932" s="77"/>
      <c r="AT932" s="77"/>
      <c r="AU932" s="77"/>
      <c r="AV932" s="83" t="str">
        <f>HYPERLINK("https://pbs.twimg.com/profile_images/1554626465731383298/9KudSdu0_normal.jpg")</f>
        <v>https://pbs.twimg.com/profile_images/1554626465731383298/9KudSdu0_normal.jpg</v>
      </c>
      <c r="AW932" s="81" t="s">
        <v>10178</v>
      </c>
      <c r="AX932" s="81" t="s">
        <v>11271</v>
      </c>
      <c r="AY932" s="81" t="s">
        <v>11334</v>
      </c>
      <c r="AZ932" s="81" t="s">
        <v>11271</v>
      </c>
      <c r="BA932" s="81" t="s">
        <v>11359</v>
      </c>
      <c r="BB932" s="81" t="s">
        <v>11359</v>
      </c>
      <c r="BC932" s="81" t="s">
        <v>11271</v>
      </c>
      <c r="BD932" s="81" t="s">
        <v>11523</v>
      </c>
      <c r="BE932" s="77"/>
      <c r="BF932" s="77"/>
      <c r="BG932" s="77"/>
      <c r="BH932" s="77"/>
      <c r="BI932" s="77"/>
    </row>
    <row r="933" spans="1:61" x14ac:dyDescent="0.25">
      <c r="A933" s="62" t="s">
        <v>460</v>
      </c>
      <c r="B933" s="62" t="s">
        <v>916</v>
      </c>
      <c r="C933" s="63"/>
      <c r="D933" s="64"/>
      <c r="E933" s="65"/>
      <c r="F933" s="66"/>
      <c r="G933" s="63"/>
      <c r="H933" s="67"/>
      <c r="I933" s="68"/>
      <c r="J933" s="68"/>
      <c r="K933" s="32"/>
      <c r="L933" s="75">
        <v>933</v>
      </c>
      <c r="M933" s="75"/>
      <c r="N933" s="70"/>
      <c r="O933" s="77" t="s">
        <v>970</v>
      </c>
      <c r="P933" s="79">
        <v>45020.107187499998</v>
      </c>
      <c r="Q933" s="77" t="s">
        <v>1857</v>
      </c>
      <c r="R933" s="77">
        <v>0</v>
      </c>
      <c r="S933" s="77">
        <v>0</v>
      </c>
      <c r="T933" s="77">
        <v>0</v>
      </c>
      <c r="U933" s="77">
        <v>0</v>
      </c>
      <c r="V933" s="77">
        <v>16</v>
      </c>
      <c r="W933" s="81" t="s">
        <v>3457</v>
      </c>
      <c r="X933" s="77"/>
      <c r="Y933" s="77"/>
      <c r="Z933" s="77" t="s">
        <v>4375</v>
      </c>
      <c r="AA933" s="77"/>
      <c r="AB933" s="77"/>
      <c r="AC933" s="81" t="s">
        <v>5803</v>
      </c>
      <c r="AD933" s="77" t="s">
        <v>5850</v>
      </c>
      <c r="AE933" s="83" t="str">
        <f>HYPERLINK("https://twitter.com/mariana64692094/status/1643079528548368387")</f>
        <v>https://twitter.com/mariana64692094/status/1643079528548368387</v>
      </c>
      <c r="AF933" s="79">
        <v>45020.107187499998</v>
      </c>
      <c r="AG933" s="85">
        <v>45020</v>
      </c>
      <c r="AH933" s="81" t="s">
        <v>6724</v>
      </c>
      <c r="AI933" s="77"/>
      <c r="AJ933" s="77"/>
      <c r="AK933" s="77"/>
      <c r="AL933" s="77"/>
      <c r="AM933" s="77"/>
      <c r="AN933" s="77"/>
      <c r="AO933" s="77"/>
      <c r="AP933" s="77"/>
      <c r="AQ933" s="77"/>
      <c r="AR933" s="77"/>
      <c r="AS933" s="77"/>
      <c r="AT933" s="77"/>
      <c r="AU933" s="77"/>
      <c r="AV933" s="83" t="str">
        <f>HYPERLINK("https://pbs.twimg.com/profile_images/1554626465731383298/9KudSdu0_normal.jpg")</f>
        <v>https://pbs.twimg.com/profile_images/1554626465731383298/9KudSdu0_normal.jpg</v>
      </c>
      <c r="AW933" s="81" t="s">
        <v>10179</v>
      </c>
      <c r="AX933" s="81" t="s">
        <v>11272</v>
      </c>
      <c r="AY933" s="81" t="s">
        <v>11334</v>
      </c>
      <c r="AZ933" s="81" t="s">
        <v>11272</v>
      </c>
      <c r="BA933" s="81" t="s">
        <v>11359</v>
      </c>
      <c r="BB933" s="81" t="s">
        <v>11359</v>
      </c>
      <c r="BC933" s="81" t="s">
        <v>11272</v>
      </c>
      <c r="BD933" s="81" t="s">
        <v>11523</v>
      </c>
      <c r="BE933" s="77"/>
      <c r="BF933" s="77"/>
      <c r="BG933" s="77"/>
      <c r="BH933" s="77"/>
      <c r="BI933" s="77"/>
    </row>
    <row r="934" spans="1:61" x14ac:dyDescent="0.25">
      <c r="A934" s="62" t="s">
        <v>460</v>
      </c>
      <c r="B934" s="62" t="s">
        <v>916</v>
      </c>
      <c r="C934" s="63"/>
      <c r="D934" s="64"/>
      <c r="E934" s="65"/>
      <c r="F934" s="66"/>
      <c r="G934" s="63"/>
      <c r="H934" s="67"/>
      <c r="I934" s="68"/>
      <c r="J934" s="68"/>
      <c r="K934" s="32"/>
      <c r="L934" s="75">
        <v>934</v>
      </c>
      <c r="M934" s="75"/>
      <c r="N934" s="70"/>
      <c r="O934" s="77" t="s">
        <v>970</v>
      </c>
      <c r="P934" s="79">
        <v>45041.24554398148</v>
      </c>
      <c r="Q934" s="77" t="s">
        <v>1858</v>
      </c>
      <c r="R934" s="77">
        <v>0</v>
      </c>
      <c r="S934" s="77">
        <v>0</v>
      </c>
      <c r="T934" s="77">
        <v>0</v>
      </c>
      <c r="U934" s="77">
        <v>0</v>
      </c>
      <c r="V934" s="77">
        <v>23</v>
      </c>
      <c r="W934" s="81" t="s">
        <v>3458</v>
      </c>
      <c r="X934" s="77"/>
      <c r="Y934" s="77"/>
      <c r="Z934" s="77" t="s">
        <v>4375</v>
      </c>
      <c r="AA934" s="77"/>
      <c r="AB934" s="77"/>
      <c r="AC934" s="81" t="s">
        <v>5803</v>
      </c>
      <c r="AD934" s="77" t="s">
        <v>5850</v>
      </c>
      <c r="AE934" s="83" t="str">
        <f>HYPERLINK("https://twitter.com/mariana64692094/status/1650739811584540673")</f>
        <v>https://twitter.com/mariana64692094/status/1650739811584540673</v>
      </c>
      <c r="AF934" s="79">
        <v>45041.24554398148</v>
      </c>
      <c r="AG934" s="85">
        <v>45041</v>
      </c>
      <c r="AH934" s="81" t="s">
        <v>6725</v>
      </c>
      <c r="AI934" s="77"/>
      <c r="AJ934" s="77"/>
      <c r="AK934" s="77"/>
      <c r="AL934" s="77"/>
      <c r="AM934" s="77"/>
      <c r="AN934" s="77"/>
      <c r="AO934" s="77"/>
      <c r="AP934" s="77"/>
      <c r="AQ934" s="77"/>
      <c r="AR934" s="77"/>
      <c r="AS934" s="77"/>
      <c r="AT934" s="77"/>
      <c r="AU934" s="77"/>
      <c r="AV934" s="83" t="str">
        <f>HYPERLINK("https://pbs.twimg.com/profile_images/1554626465731383298/9KudSdu0_normal.jpg")</f>
        <v>https://pbs.twimg.com/profile_images/1554626465731383298/9KudSdu0_normal.jpg</v>
      </c>
      <c r="AW934" s="81" t="s">
        <v>10180</v>
      </c>
      <c r="AX934" s="81" t="s">
        <v>11273</v>
      </c>
      <c r="AY934" s="81" t="s">
        <v>11334</v>
      </c>
      <c r="AZ934" s="81" t="s">
        <v>11273</v>
      </c>
      <c r="BA934" s="81" t="s">
        <v>11359</v>
      </c>
      <c r="BB934" s="81" t="s">
        <v>11359</v>
      </c>
      <c r="BC934" s="81" t="s">
        <v>11273</v>
      </c>
      <c r="BD934" s="81" t="s">
        <v>11523</v>
      </c>
      <c r="BE934" s="77"/>
      <c r="BF934" s="77"/>
      <c r="BG934" s="77"/>
      <c r="BH934" s="77"/>
      <c r="BI934" s="77"/>
    </row>
    <row r="935" spans="1:61" x14ac:dyDescent="0.25">
      <c r="A935" s="62" t="s">
        <v>460</v>
      </c>
      <c r="B935" s="62" t="s">
        <v>916</v>
      </c>
      <c r="C935" s="63"/>
      <c r="D935" s="64"/>
      <c r="E935" s="65"/>
      <c r="F935" s="66"/>
      <c r="G935" s="63"/>
      <c r="H935" s="67"/>
      <c r="I935" s="68"/>
      <c r="J935" s="68"/>
      <c r="K935" s="32"/>
      <c r="L935" s="75">
        <v>935</v>
      </c>
      <c r="M935" s="75"/>
      <c r="N935" s="70"/>
      <c r="O935" s="77" t="s">
        <v>970</v>
      </c>
      <c r="P935" s="79">
        <v>45041.243460648147</v>
      </c>
      <c r="Q935" s="77" t="s">
        <v>1859</v>
      </c>
      <c r="R935" s="77">
        <v>0</v>
      </c>
      <c r="S935" s="77">
        <v>0</v>
      </c>
      <c r="T935" s="77">
        <v>0</v>
      </c>
      <c r="U935" s="77">
        <v>0</v>
      </c>
      <c r="V935" s="77">
        <v>26</v>
      </c>
      <c r="W935" s="81" t="s">
        <v>3455</v>
      </c>
      <c r="X935" s="77"/>
      <c r="Y935" s="77"/>
      <c r="Z935" s="77" t="s">
        <v>4375</v>
      </c>
      <c r="AA935" s="77"/>
      <c r="AB935" s="77"/>
      <c r="AC935" s="81" t="s">
        <v>5803</v>
      </c>
      <c r="AD935" s="77" t="s">
        <v>5850</v>
      </c>
      <c r="AE935" s="83" t="str">
        <f>HYPERLINK("https://twitter.com/mariana64692094/status/1650739059294187520")</f>
        <v>https://twitter.com/mariana64692094/status/1650739059294187520</v>
      </c>
      <c r="AF935" s="79">
        <v>45041.243460648147</v>
      </c>
      <c r="AG935" s="85">
        <v>45041</v>
      </c>
      <c r="AH935" s="81" t="s">
        <v>6726</v>
      </c>
      <c r="AI935" s="77"/>
      <c r="AJ935" s="77"/>
      <c r="AK935" s="77"/>
      <c r="AL935" s="77"/>
      <c r="AM935" s="77"/>
      <c r="AN935" s="77"/>
      <c r="AO935" s="77"/>
      <c r="AP935" s="77"/>
      <c r="AQ935" s="77"/>
      <c r="AR935" s="77"/>
      <c r="AS935" s="77"/>
      <c r="AT935" s="77"/>
      <c r="AU935" s="77"/>
      <c r="AV935" s="83" t="str">
        <f>HYPERLINK("https://pbs.twimg.com/profile_images/1554626465731383298/9KudSdu0_normal.jpg")</f>
        <v>https://pbs.twimg.com/profile_images/1554626465731383298/9KudSdu0_normal.jpg</v>
      </c>
      <c r="AW935" s="81" t="s">
        <v>10181</v>
      </c>
      <c r="AX935" s="81" t="s">
        <v>11274</v>
      </c>
      <c r="AY935" s="81" t="s">
        <v>11334</v>
      </c>
      <c r="AZ935" s="81" t="s">
        <v>11274</v>
      </c>
      <c r="BA935" s="81" t="s">
        <v>11359</v>
      </c>
      <c r="BB935" s="81" t="s">
        <v>11359</v>
      </c>
      <c r="BC935" s="81" t="s">
        <v>11274</v>
      </c>
      <c r="BD935" s="81" t="s">
        <v>11523</v>
      </c>
      <c r="BE935" s="77"/>
      <c r="BF935" s="77"/>
      <c r="BG935" s="77"/>
      <c r="BH935" s="77"/>
      <c r="BI935" s="77"/>
    </row>
    <row r="936" spans="1:61" x14ac:dyDescent="0.25">
      <c r="A936" s="62" t="s">
        <v>460</v>
      </c>
      <c r="B936" s="62" t="s">
        <v>916</v>
      </c>
      <c r="C936" s="63"/>
      <c r="D936" s="64"/>
      <c r="E936" s="65"/>
      <c r="F936" s="66"/>
      <c r="G936" s="63"/>
      <c r="H936" s="67"/>
      <c r="I936" s="68"/>
      <c r="J936" s="68"/>
      <c r="K936" s="32"/>
      <c r="L936" s="75">
        <v>936</v>
      </c>
      <c r="M936" s="75"/>
      <c r="N936" s="70"/>
      <c r="O936" s="77" t="s">
        <v>970</v>
      </c>
      <c r="P936" s="79">
        <v>45039.068622685183</v>
      </c>
      <c r="Q936" s="77" t="s">
        <v>1860</v>
      </c>
      <c r="R936" s="77">
        <v>0</v>
      </c>
      <c r="S936" s="77">
        <v>0</v>
      </c>
      <c r="T936" s="77">
        <v>0</v>
      </c>
      <c r="U936" s="77">
        <v>0</v>
      </c>
      <c r="V936" s="77">
        <v>17</v>
      </c>
      <c r="W936" s="81" t="s">
        <v>3454</v>
      </c>
      <c r="X936" s="77"/>
      <c r="Y936" s="77"/>
      <c r="Z936" s="77" t="s">
        <v>4375</v>
      </c>
      <c r="AA936" s="77"/>
      <c r="AB936" s="77"/>
      <c r="AC936" s="81" t="s">
        <v>5803</v>
      </c>
      <c r="AD936" s="77" t="s">
        <v>5850</v>
      </c>
      <c r="AE936" s="83" t="str">
        <f>HYPERLINK("https://twitter.com/mariana64692094/status/1649950925241368577")</f>
        <v>https://twitter.com/mariana64692094/status/1649950925241368577</v>
      </c>
      <c r="AF936" s="79">
        <v>45039.068622685183</v>
      </c>
      <c r="AG936" s="85">
        <v>45039</v>
      </c>
      <c r="AH936" s="81" t="s">
        <v>6727</v>
      </c>
      <c r="AI936" s="77"/>
      <c r="AJ936" s="77"/>
      <c r="AK936" s="77"/>
      <c r="AL936" s="77"/>
      <c r="AM936" s="77"/>
      <c r="AN936" s="77"/>
      <c r="AO936" s="77"/>
      <c r="AP936" s="77"/>
      <c r="AQ936" s="77"/>
      <c r="AR936" s="77"/>
      <c r="AS936" s="77"/>
      <c r="AT936" s="77"/>
      <c r="AU936" s="77"/>
      <c r="AV936" s="83" t="str">
        <f>HYPERLINK("https://pbs.twimg.com/profile_images/1554626465731383298/9KudSdu0_normal.jpg")</f>
        <v>https://pbs.twimg.com/profile_images/1554626465731383298/9KudSdu0_normal.jpg</v>
      </c>
      <c r="AW936" s="81" t="s">
        <v>10182</v>
      </c>
      <c r="AX936" s="81" t="s">
        <v>11275</v>
      </c>
      <c r="AY936" s="81" t="s">
        <v>11334</v>
      </c>
      <c r="AZ936" s="81" t="s">
        <v>11275</v>
      </c>
      <c r="BA936" s="81" t="s">
        <v>11359</v>
      </c>
      <c r="BB936" s="81" t="s">
        <v>11359</v>
      </c>
      <c r="BC936" s="81" t="s">
        <v>11275</v>
      </c>
      <c r="BD936" s="81" t="s">
        <v>11523</v>
      </c>
      <c r="BE936" s="77"/>
      <c r="BF936" s="77"/>
      <c r="BG936" s="77"/>
      <c r="BH936" s="77"/>
      <c r="BI936" s="77"/>
    </row>
    <row r="937" spans="1:61" x14ac:dyDescent="0.25">
      <c r="A937" s="62" t="s">
        <v>460</v>
      </c>
      <c r="B937" s="62" t="s">
        <v>916</v>
      </c>
      <c r="C937" s="63"/>
      <c r="D937" s="64"/>
      <c r="E937" s="65"/>
      <c r="F937" s="66"/>
      <c r="G937" s="63"/>
      <c r="H937" s="67"/>
      <c r="I937" s="68"/>
      <c r="J937" s="68"/>
      <c r="K937" s="32"/>
      <c r="L937" s="75">
        <v>937</v>
      </c>
      <c r="M937" s="75"/>
      <c r="N937" s="70"/>
      <c r="O937" s="77" t="s">
        <v>970</v>
      </c>
      <c r="P937" s="79">
        <v>45048.088692129626</v>
      </c>
      <c r="Q937" s="77" t="s">
        <v>1861</v>
      </c>
      <c r="R937" s="77">
        <v>0</v>
      </c>
      <c r="S937" s="77">
        <v>0</v>
      </c>
      <c r="T937" s="77">
        <v>0</v>
      </c>
      <c r="U937" s="77">
        <v>0</v>
      </c>
      <c r="V937" s="77">
        <v>24</v>
      </c>
      <c r="W937" s="81" t="s">
        <v>3459</v>
      </c>
      <c r="X937" s="77"/>
      <c r="Y937" s="77"/>
      <c r="Z937" s="77" t="s">
        <v>4375</v>
      </c>
      <c r="AA937" s="77"/>
      <c r="AB937" s="77"/>
      <c r="AC937" s="81" t="s">
        <v>5803</v>
      </c>
      <c r="AD937" s="77" t="s">
        <v>5850</v>
      </c>
      <c r="AE937" s="83" t="str">
        <f>HYPERLINK("https://twitter.com/mariana64692094/status/1653219687285628929")</f>
        <v>https://twitter.com/mariana64692094/status/1653219687285628929</v>
      </c>
      <c r="AF937" s="79">
        <v>45048.088692129626</v>
      </c>
      <c r="AG937" s="85">
        <v>45048</v>
      </c>
      <c r="AH937" s="81" t="s">
        <v>6493</v>
      </c>
      <c r="AI937" s="77"/>
      <c r="AJ937" s="77"/>
      <c r="AK937" s="77"/>
      <c r="AL937" s="77"/>
      <c r="AM937" s="77"/>
      <c r="AN937" s="77"/>
      <c r="AO937" s="77"/>
      <c r="AP937" s="77"/>
      <c r="AQ937" s="77"/>
      <c r="AR937" s="77"/>
      <c r="AS937" s="77"/>
      <c r="AT937" s="77"/>
      <c r="AU937" s="77"/>
      <c r="AV937" s="83" t="str">
        <f>HYPERLINK("https://pbs.twimg.com/profile_images/1554626465731383298/9KudSdu0_normal.jpg")</f>
        <v>https://pbs.twimg.com/profile_images/1554626465731383298/9KudSdu0_normal.jpg</v>
      </c>
      <c r="AW937" s="81" t="s">
        <v>10183</v>
      </c>
      <c r="AX937" s="81" t="s">
        <v>11276</v>
      </c>
      <c r="AY937" s="81" t="s">
        <v>11334</v>
      </c>
      <c r="AZ937" s="81" t="s">
        <v>11276</v>
      </c>
      <c r="BA937" s="81" t="s">
        <v>11359</v>
      </c>
      <c r="BB937" s="81" t="s">
        <v>11359</v>
      </c>
      <c r="BC937" s="81" t="s">
        <v>11276</v>
      </c>
      <c r="BD937" s="81" t="s">
        <v>11523</v>
      </c>
      <c r="BE937" s="77"/>
      <c r="BF937" s="77"/>
      <c r="BG937" s="77"/>
      <c r="BH937" s="77"/>
      <c r="BI937" s="77"/>
    </row>
    <row r="938" spans="1:61" x14ac:dyDescent="0.25">
      <c r="A938" s="62" t="s">
        <v>460</v>
      </c>
      <c r="B938" s="62" t="s">
        <v>916</v>
      </c>
      <c r="C938" s="63"/>
      <c r="D938" s="64"/>
      <c r="E938" s="65"/>
      <c r="F938" s="66"/>
      <c r="G938" s="63"/>
      <c r="H938" s="67"/>
      <c r="I938" s="68"/>
      <c r="J938" s="68"/>
      <c r="K938" s="32"/>
      <c r="L938" s="75">
        <v>938</v>
      </c>
      <c r="M938" s="75"/>
      <c r="N938" s="70"/>
      <c r="O938" s="77" t="s">
        <v>970</v>
      </c>
      <c r="P938" s="79">
        <v>45046.123553240737</v>
      </c>
      <c r="Q938" s="77" t="s">
        <v>1862</v>
      </c>
      <c r="R938" s="77">
        <v>0</v>
      </c>
      <c r="S938" s="77">
        <v>0</v>
      </c>
      <c r="T938" s="77">
        <v>0</v>
      </c>
      <c r="U938" s="77">
        <v>0</v>
      </c>
      <c r="V938" s="77">
        <v>33</v>
      </c>
      <c r="W938" s="81" t="s">
        <v>3453</v>
      </c>
      <c r="X938" s="77"/>
      <c r="Y938" s="77"/>
      <c r="Z938" s="77" t="s">
        <v>4375</v>
      </c>
      <c r="AA938" s="77"/>
      <c r="AB938" s="77"/>
      <c r="AC938" s="81" t="s">
        <v>5803</v>
      </c>
      <c r="AD938" s="77" t="s">
        <v>5850</v>
      </c>
      <c r="AE938" s="83" t="str">
        <f>HYPERLINK("https://twitter.com/mariana64692094/status/1652507543720148992")</f>
        <v>https://twitter.com/mariana64692094/status/1652507543720148992</v>
      </c>
      <c r="AF938" s="79">
        <v>45046.123553240737</v>
      </c>
      <c r="AG938" s="85">
        <v>45046</v>
      </c>
      <c r="AH938" s="81" t="s">
        <v>6728</v>
      </c>
      <c r="AI938" s="77"/>
      <c r="AJ938" s="77"/>
      <c r="AK938" s="77"/>
      <c r="AL938" s="77"/>
      <c r="AM938" s="77"/>
      <c r="AN938" s="77"/>
      <c r="AO938" s="77"/>
      <c r="AP938" s="77"/>
      <c r="AQ938" s="77"/>
      <c r="AR938" s="77"/>
      <c r="AS938" s="77"/>
      <c r="AT938" s="77"/>
      <c r="AU938" s="77"/>
      <c r="AV938" s="83" t="str">
        <f>HYPERLINK("https://pbs.twimg.com/profile_images/1554626465731383298/9KudSdu0_normal.jpg")</f>
        <v>https://pbs.twimg.com/profile_images/1554626465731383298/9KudSdu0_normal.jpg</v>
      </c>
      <c r="AW938" s="81" t="s">
        <v>10184</v>
      </c>
      <c r="AX938" s="81" t="s">
        <v>11277</v>
      </c>
      <c r="AY938" s="81" t="s">
        <v>11334</v>
      </c>
      <c r="AZ938" s="81" t="s">
        <v>11277</v>
      </c>
      <c r="BA938" s="81" t="s">
        <v>11359</v>
      </c>
      <c r="BB938" s="81" t="s">
        <v>11359</v>
      </c>
      <c r="BC938" s="81" t="s">
        <v>11277</v>
      </c>
      <c r="BD938" s="81" t="s">
        <v>11523</v>
      </c>
      <c r="BE938" s="77"/>
      <c r="BF938" s="77"/>
      <c r="BG938" s="77"/>
      <c r="BH938" s="77"/>
      <c r="BI938" s="77"/>
    </row>
    <row r="939" spans="1:61" x14ac:dyDescent="0.25">
      <c r="A939" s="62" t="s">
        <v>460</v>
      </c>
      <c r="B939" s="62" t="s">
        <v>916</v>
      </c>
      <c r="C939" s="63"/>
      <c r="D939" s="64"/>
      <c r="E939" s="65"/>
      <c r="F939" s="66"/>
      <c r="G939" s="63"/>
      <c r="H939" s="67"/>
      <c r="I939" s="68"/>
      <c r="J939" s="68"/>
      <c r="K939" s="32"/>
      <c r="L939" s="75">
        <v>939</v>
      </c>
      <c r="M939" s="75"/>
      <c r="N939" s="70"/>
      <c r="O939" s="77" t="s">
        <v>970</v>
      </c>
      <c r="P939" s="79">
        <v>45044.241956018515</v>
      </c>
      <c r="Q939" s="77" t="s">
        <v>1863</v>
      </c>
      <c r="R939" s="77">
        <v>0</v>
      </c>
      <c r="S939" s="77">
        <v>0</v>
      </c>
      <c r="T939" s="77">
        <v>0</v>
      </c>
      <c r="U939" s="77">
        <v>0</v>
      </c>
      <c r="V939" s="77">
        <v>22</v>
      </c>
      <c r="W939" s="81" t="s">
        <v>3453</v>
      </c>
      <c r="X939" s="77"/>
      <c r="Y939" s="77"/>
      <c r="Z939" s="77" t="s">
        <v>4375</v>
      </c>
      <c r="AA939" s="77"/>
      <c r="AB939" s="77"/>
      <c r="AC939" s="81" t="s">
        <v>5803</v>
      </c>
      <c r="AD939" s="77" t="s">
        <v>5850</v>
      </c>
      <c r="AE939" s="83" t="str">
        <f>HYPERLINK("https://twitter.com/mariana64692094/status/1651825678495502336")</f>
        <v>https://twitter.com/mariana64692094/status/1651825678495502336</v>
      </c>
      <c r="AF939" s="79">
        <v>45044.241956018515</v>
      </c>
      <c r="AG939" s="85">
        <v>45044</v>
      </c>
      <c r="AH939" s="81" t="s">
        <v>6729</v>
      </c>
      <c r="AI939" s="77"/>
      <c r="AJ939" s="77"/>
      <c r="AK939" s="77"/>
      <c r="AL939" s="77"/>
      <c r="AM939" s="77"/>
      <c r="AN939" s="77"/>
      <c r="AO939" s="77"/>
      <c r="AP939" s="77"/>
      <c r="AQ939" s="77"/>
      <c r="AR939" s="77"/>
      <c r="AS939" s="77"/>
      <c r="AT939" s="77"/>
      <c r="AU939" s="77"/>
      <c r="AV939" s="83" t="str">
        <f>HYPERLINK("https://pbs.twimg.com/profile_images/1554626465731383298/9KudSdu0_normal.jpg")</f>
        <v>https://pbs.twimg.com/profile_images/1554626465731383298/9KudSdu0_normal.jpg</v>
      </c>
      <c r="AW939" s="81" t="s">
        <v>10185</v>
      </c>
      <c r="AX939" s="81" t="s">
        <v>11278</v>
      </c>
      <c r="AY939" s="81" t="s">
        <v>11334</v>
      </c>
      <c r="AZ939" s="81" t="s">
        <v>11278</v>
      </c>
      <c r="BA939" s="81" t="s">
        <v>11359</v>
      </c>
      <c r="BB939" s="81" t="s">
        <v>11359</v>
      </c>
      <c r="BC939" s="81" t="s">
        <v>11278</v>
      </c>
      <c r="BD939" s="81" t="s">
        <v>11523</v>
      </c>
      <c r="BE939" s="77"/>
      <c r="BF939" s="77"/>
      <c r="BG939" s="77"/>
      <c r="BH939" s="77"/>
      <c r="BI939" s="77"/>
    </row>
    <row r="940" spans="1:61" x14ac:dyDescent="0.25">
      <c r="A940" s="62" t="s">
        <v>460</v>
      </c>
      <c r="B940" s="62" t="s">
        <v>916</v>
      </c>
      <c r="C940" s="63"/>
      <c r="D940" s="64"/>
      <c r="E940" s="65"/>
      <c r="F940" s="66"/>
      <c r="G940" s="63"/>
      <c r="H940" s="67"/>
      <c r="I940" s="68"/>
      <c r="J940" s="68"/>
      <c r="K940" s="32"/>
      <c r="L940" s="75">
        <v>940</v>
      </c>
      <c r="M940" s="75"/>
      <c r="N940" s="70"/>
      <c r="O940" s="77" t="s">
        <v>970</v>
      </c>
      <c r="P940" s="79">
        <v>45004.147870370369</v>
      </c>
      <c r="Q940" s="77" t="s">
        <v>1864</v>
      </c>
      <c r="R940" s="77">
        <v>0</v>
      </c>
      <c r="S940" s="77">
        <v>0</v>
      </c>
      <c r="T940" s="77">
        <v>0</v>
      </c>
      <c r="U940" s="77">
        <v>0</v>
      </c>
      <c r="V940" s="77">
        <v>27</v>
      </c>
      <c r="W940" s="81" t="s">
        <v>3460</v>
      </c>
      <c r="X940" s="77"/>
      <c r="Y940" s="77"/>
      <c r="Z940" s="77" t="s">
        <v>4375</v>
      </c>
      <c r="AA940" s="77"/>
      <c r="AB940" s="77"/>
      <c r="AC940" s="81" t="s">
        <v>5803</v>
      </c>
      <c r="AD940" s="77" t="s">
        <v>5850</v>
      </c>
      <c r="AE940" s="83" t="str">
        <f>HYPERLINK("https://twitter.com/mariana64692094/status/1637296065215885315")</f>
        <v>https://twitter.com/mariana64692094/status/1637296065215885315</v>
      </c>
      <c r="AF940" s="79">
        <v>45004.147870370369</v>
      </c>
      <c r="AG940" s="85">
        <v>45004</v>
      </c>
      <c r="AH940" s="81" t="s">
        <v>6730</v>
      </c>
      <c r="AI940" s="77"/>
      <c r="AJ940" s="77"/>
      <c r="AK940" s="77"/>
      <c r="AL940" s="77"/>
      <c r="AM940" s="77"/>
      <c r="AN940" s="77"/>
      <c r="AO940" s="77"/>
      <c r="AP940" s="77"/>
      <c r="AQ940" s="77"/>
      <c r="AR940" s="77"/>
      <c r="AS940" s="77"/>
      <c r="AT940" s="77"/>
      <c r="AU940" s="77"/>
      <c r="AV940" s="83" t="str">
        <f>HYPERLINK("https://pbs.twimg.com/profile_images/1554626465731383298/9KudSdu0_normal.jpg")</f>
        <v>https://pbs.twimg.com/profile_images/1554626465731383298/9KudSdu0_normal.jpg</v>
      </c>
      <c r="AW940" s="81" t="s">
        <v>10186</v>
      </c>
      <c r="AX940" s="81" t="s">
        <v>11279</v>
      </c>
      <c r="AY940" s="81" t="s">
        <v>11334</v>
      </c>
      <c r="AZ940" s="81" t="s">
        <v>11279</v>
      </c>
      <c r="BA940" s="81" t="s">
        <v>11359</v>
      </c>
      <c r="BB940" s="81" t="s">
        <v>11359</v>
      </c>
      <c r="BC940" s="81" t="s">
        <v>11279</v>
      </c>
      <c r="BD940" s="81" t="s">
        <v>11523</v>
      </c>
      <c r="BE940" s="77"/>
      <c r="BF940" s="77"/>
      <c r="BG940" s="77"/>
      <c r="BH940" s="77"/>
      <c r="BI940" s="77"/>
    </row>
    <row r="941" spans="1:61" x14ac:dyDescent="0.25">
      <c r="A941" s="62" t="s">
        <v>460</v>
      </c>
      <c r="B941" s="62" t="s">
        <v>916</v>
      </c>
      <c r="C941" s="63"/>
      <c r="D941" s="64"/>
      <c r="E941" s="65"/>
      <c r="F941" s="66"/>
      <c r="G941" s="63"/>
      <c r="H941" s="67"/>
      <c r="I941" s="68"/>
      <c r="J941" s="68"/>
      <c r="K941" s="32"/>
      <c r="L941" s="75">
        <v>941</v>
      </c>
      <c r="M941" s="75"/>
      <c r="N941" s="70"/>
      <c r="O941" s="77" t="s">
        <v>970</v>
      </c>
      <c r="P941" s="79">
        <v>45057.135324074072</v>
      </c>
      <c r="Q941" s="77" t="s">
        <v>1865</v>
      </c>
      <c r="R941" s="77">
        <v>0</v>
      </c>
      <c r="S941" s="77">
        <v>0</v>
      </c>
      <c r="T941" s="77">
        <v>0</v>
      </c>
      <c r="U941" s="77">
        <v>0</v>
      </c>
      <c r="V941" s="77">
        <v>24</v>
      </c>
      <c r="W941" s="81" t="s">
        <v>3453</v>
      </c>
      <c r="X941" s="77"/>
      <c r="Y941" s="77"/>
      <c r="Z941" s="77" t="s">
        <v>4375</v>
      </c>
      <c r="AA941" s="77"/>
      <c r="AB941" s="77"/>
      <c r="AC941" s="81" t="s">
        <v>5803</v>
      </c>
      <c r="AD941" s="77" t="s">
        <v>5850</v>
      </c>
      <c r="AE941" s="83" t="str">
        <f>HYPERLINK("https://twitter.com/mariana64692094/status/1656498077530824706")</f>
        <v>https://twitter.com/mariana64692094/status/1656498077530824706</v>
      </c>
      <c r="AF941" s="79">
        <v>45057.135324074072</v>
      </c>
      <c r="AG941" s="85">
        <v>45057</v>
      </c>
      <c r="AH941" s="81" t="s">
        <v>6731</v>
      </c>
      <c r="AI941" s="77"/>
      <c r="AJ941" s="77"/>
      <c r="AK941" s="77"/>
      <c r="AL941" s="77"/>
      <c r="AM941" s="77"/>
      <c r="AN941" s="77"/>
      <c r="AO941" s="77"/>
      <c r="AP941" s="77"/>
      <c r="AQ941" s="77"/>
      <c r="AR941" s="77"/>
      <c r="AS941" s="77"/>
      <c r="AT941" s="77"/>
      <c r="AU941" s="77"/>
      <c r="AV941" s="83" t="str">
        <f>HYPERLINK("https://pbs.twimg.com/profile_images/1554626465731383298/9KudSdu0_normal.jpg")</f>
        <v>https://pbs.twimg.com/profile_images/1554626465731383298/9KudSdu0_normal.jpg</v>
      </c>
      <c r="AW941" s="81" t="s">
        <v>10187</v>
      </c>
      <c r="AX941" s="81" t="s">
        <v>11280</v>
      </c>
      <c r="AY941" s="81" t="s">
        <v>11334</v>
      </c>
      <c r="AZ941" s="81" t="s">
        <v>11280</v>
      </c>
      <c r="BA941" s="81" t="s">
        <v>11359</v>
      </c>
      <c r="BB941" s="81" t="s">
        <v>11359</v>
      </c>
      <c r="BC941" s="81" t="s">
        <v>11280</v>
      </c>
      <c r="BD941" s="81" t="s">
        <v>11523</v>
      </c>
      <c r="BE941" s="77"/>
      <c r="BF941" s="77"/>
      <c r="BG941" s="77"/>
      <c r="BH941" s="77"/>
      <c r="BI941" s="77"/>
    </row>
    <row r="942" spans="1:61" x14ac:dyDescent="0.25">
      <c r="A942" s="62" t="s">
        <v>460</v>
      </c>
      <c r="B942" s="62" t="s">
        <v>916</v>
      </c>
      <c r="C942" s="63"/>
      <c r="D942" s="64"/>
      <c r="E942" s="65"/>
      <c r="F942" s="66"/>
      <c r="G942" s="63"/>
      <c r="H942" s="67"/>
      <c r="I942" s="68"/>
      <c r="J942" s="68"/>
      <c r="K942" s="32"/>
      <c r="L942" s="75">
        <v>942</v>
      </c>
      <c r="M942" s="75"/>
      <c r="N942" s="70"/>
      <c r="O942" s="77" t="s">
        <v>970</v>
      </c>
      <c r="P942" s="79">
        <v>45056.25409722222</v>
      </c>
      <c r="Q942" s="77" t="s">
        <v>1866</v>
      </c>
      <c r="R942" s="77">
        <v>0</v>
      </c>
      <c r="S942" s="77">
        <v>0</v>
      </c>
      <c r="T942" s="77">
        <v>0</v>
      </c>
      <c r="U942" s="77">
        <v>0</v>
      </c>
      <c r="V942" s="77">
        <v>23</v>
      </c>
      <c r="W942" s="81" t="s">
        <v>3461</v>
      </c>
      <c r="X942" s="77"/>
      <c r="Y942" s="77"/>
      <c r="Z942" s="77" t="s">
        <v>4375</v>
      </c>
      <c r="AA942" s="77"/>
      <c r="AB942" s="77"/>
      <c r="AC942" s="81" t="s">
        <v>5803</v>
      </c>
      <c r="AD942" s="77" t="s">
        <v>5850</v>
      </c>
      <c r="AE942" s="83" t="str">
        <f>HYPERLINK("https://twitter.com/mariana64692094/status/1656178731075923969")</f>
        <v>https://twitter.com/mariana64692094/status/1656178731075923969</v>
      </c>
      <c r="AF942" s="79">
        <v>45056.25409722222</v>
      </c>
      <c r="AG942" s="85">
        <v>45056</v>
      </c>
      <c r="AH942" s="81" t="s">
        <v>6732</v>
      </c>
      <c r="AI942" s="77"/>
      <c r="AJ942" s="77"/>
      <c r="AK942" s="77"/>
      <c r="AL942" s="77"/>
      <c r="AM942" s="77"/>
      <c r="AN942" s="77"/>
      <c r="AO942" s="77"/>
      <c r="AP942" s="77"/>
      <c r="AQ942" s="77"/>
      <c r="AR942" s="77"/>
      <c r="AS942" s="77"/>
      <c r="AT942" s="77"/>
      <c r="AU942" s="77"/>
      <c r="AV942" s="83" t="str">
        <f>HYPERLINK("https://pbs.twimg.com/profile_images/1554626465731383298/9KudSdu0_normal.jpg")</f>
        <v>https://pbs.twimg.com/profile_images/1554626465731383298/9KudSdu0_normal.jpg</v>
      </c>
      <c r="AW942" s="81" t="s">
        <v>10188</v>
      </c>
      <c r="AX942" s="81" t="s">
        <v>11281</v>
      </c>
      <c r="AY942" s="81" t="s">
        <v>11334</v>
      </c>
      <c r="AZ942" s="81" t="s">
        <v>11281</v>
      </c>
      <c r="BA942" s="81" t="s">
        <v>11359</v>
      </c>
      <c r="BB942" s="81" t="s">
        <v>11359</v>
      </c>
      <c r="BC942" s="81" t="s">
        <v>11281</v>
      </c>
      <c r="BD942" s="81" t="s">
        <v>11523</v>
      </c>
      <c r="BE942" s="77"/>
      <c r="BF942" s="77"/>
      <c r="BG942" s="77"/>
      <c r="BH942" s="77"/>
      <c r="BI942" s="77"/>
    </row>
    <row r="943" spans="1:61" x14ac:dyDescent="0.25">
      <c r="A943" s="62" t="s">
        <v>460</v>
      </c>
      <c r="B943" s="62" t="s">
        <v>916</v>
      </c>
      <c r="C943" s="63"/>
      <c r="D943" s="64"/>
      <c r="E943" s="65"/>
      <c r="F943" s="66"/>
      <c r="G943" s="63"/>
      <c r="H943" s="67"/>
      <c r="I943" s="68"/>
      <c r="J943" s="68"/>
      <c r="K943" s="32"/>
      <c r="L943" s="75">
        <v>943</v>
      </c>
      <c r="M943" s="75"/>
      <c r="N943" s="70"/>
      <c r="O943" s="77" t="s">
        <v>970</v>
      </c>
      <c r="P943" s="79">
        <v>45036.143252314818</v>
      </c>
      <c r="Q943" s="77" t="s">
        <v>1867</v>
      </c>
      <c r="R943" s="77">
        <v>0</v>
      </c>
      <c r="S943" s="77">
        <v>0</v>
      </c>
      <c r="T943" s="77">
        <v>0</v>
      </c>
      <c r="U943" s="77">
        <v>0</v>
      </c>
      <c r="V943" s="77">
        <v>17</v>
      </c>
      <c r="W943" s="81" t="s">
        <v>3455</v>
      </c>
      <c r="X943" s="77"/>
      <c r="Y943" s="77"/>
      <c r="Z943" s="77" t="s">
        <v>4375</v>
      </c>
      <c r="AA943" s="77"/>
      <c r="AB943" s="77"/>
      <c r="AC943" s="81" t="s">
        <v>5803</v>
      </c>
      <c r="AD943" s="77" t="s">
        <v>5850</v>
      </c>
      <c r="AE943" s="83" t="str">
        <f>HYPERLINK("https://twitter.com/mariana64692094/status/1648890804755111937")</f>
        <v>https://twitter.com/mariana64692094/status/1648890804755111937</v>
      </c>
      <c r="AF943" s="79">
        <v>45036.143252314818</v>
      </c>
      <c r="AG943" s="85">
        <v>45036</v>
      </c>
      <c r="AH943" s="81" t="s">
        <v>6733</v>
      </c>
      <c r="AI943" s="77"/>
      <c r="AJ943" s="77"/>
      <c r="AK943" s="77"/>
      <c r="AL943" s="77"/>
      <c r="AM943" s="77"/>
      <c r="AN943" s="77"/>
      <c r="AO943" s="77"/>
      <c r="AP943" s="77"/>
      <c r="AQ943" s="77"/>
      <c r="AR943" s="77"/>
      <c r="AS943" s="77"/>
      <c r="AT943" s="77"/>
      <c r="AU943" s="77"/>
      <c r="AV943" s="83" t="str">
        <f>HYPERLINK("https://pbs.twimg.com/profile_images/1554626465731383298/9KudSdu0_normal.jpg")</f>
        <v>https://pbs.twimg.com/profile_images/1554626465731383298/9KudSdu0_normal.jpg</v>
      </c>
      <c r="AW943" s="81" t="s">
        <v>10189</v>
      </c>
      <c r="AX943" s="81" t="s">
        <v>11282</v>
      </c>
      <c r="AY943" s="81" t="s">
        <v>11334</v>
      </c>
      <c r="AZ943" s="81" t="s">
        <v>11282</v>
      </c>
      <c r="BA943" s="81" t="s">
        <v>11359</v>
      </c>
      <c r="BB943" s="81" t="s">
        <v>11359</v>
      </c>
      <c r="BC943" s="81" t="s">
        <v>11282</v>
      </c>
      <c r="BD943" s="81" t="s">
        <v>11523</v>
      </c>
      <c r="BE943" s="77"/>
      <c r="BF943" s="77"/>
      <c r="BG943" s="77"/>
      <c r="BH943" s="77"/>
      <c r="BI943" s="77"/>
    </row>
    <row r="944" spans="1:61" x14ac:dyDescent="0.25">
      <c r="A944" s="62" t="s">
        <v>460</v>
      </c>
      <c r="B944" s="62" t="s">
        <v>916</v>
      </c>
      <c r="C944" s="63"/>
      <c r="D944" s="64"/>
      <c r="E944" s="65"/>
      <c r="F944" s="66"/>
      <c r="G944" s="63"/>
      <c r="H944" s="67"/>
      <c r="I944" s="68"/>
      <c r="J944" s="68"/>
      <c r="K944" s="32"/>
      <c r="L944" s="75">
        <v>944</v>
      </c>
      <c r="M944" s="75"/>
      <c r="N944" s="70"/>
      <c r="O944" s="77" t="s">
        <v>970</v>
      </c>
      <c r="P944" s="79">
        <v>45035.200162037036</v>
      </c>
      <c r="Q944" s="77" t="s">
        <v>1868</v>
      </c>
      <c r="R944" s="77">
        <v>0</v>
      </c>
      <c r="S944" s="77">
        <v>0</v>
      </c>
      <c r="T944" s="77">
        <v>0</v>
      </c>
      <c r="U944" s="77">
        <v>0</v>
      </c>
      <c r="V944" s="77">
        <v>9</v>
      </c>
      <c r="W944" s="81" t="s">
        <v>3455</v>
      </c>
      <c r="X944" s="77"/>
      <c r="Y944" s="77"/>
      <c r="Z944" s="77" t="s">
        <v>4375</v>
      </c>
      <c r="AA944" s="77"/>
      <c r="AB944" s="77"/>
      <c r="AC944" s="81" t="s">
        <v>5803</v>
      </c>
      <c r="AD944" s="77" t="s">
        <v>5850</v>
      </c>
      <c r="AE944" s="83" t="str">
        <f>HYPERLINK("https://twitter.com/mariana64692094/status/1648549040961777666")</f>
        <v>https://twitter.com/mariana64692094/status/1648549040961777666</v>
      </c>
      <c r="AF944" s="79">
        <v>45035.200162037036</v>
      </c>
      <c r="AG944" s="85">
        <v>45035</v>
      </c>
      <c r="AH944" s="81" t="s">
        <v>6734</v>
      </c>
      <c r="AI944" s="77"/>
      <c r="AJ944" s="77"/>
      <c r="AK944" s="77"/>
      <c r="AL944" s="77"/>
      <c r="AM944" s="77"/>
      <c r="AN944" s="77"/>
      <c r="AO944" s="77"/>
      <c r="AP944" s="77"/>
      <c r="AQ944" s="77"/>
      <c r="AR944" s="77"/>
      <c r="AS944" s="77"/>
      <c r="AT944" s="77"/>
      <c r="AU944" s="77"/>
      <c r="AV944" s="83" t="str">
        <f>HYPERLINK("https://pbs.twimg.com/profile_images/1554626465731383298/9KudSdu0_normal.jpg")</f>
        <v>https://pbs.twimg.com/profile_images/1554626465731383298/9KudSdu0_normal.jpg</v>
      </c>
      <c r="AW944" s="81" t="s">
        <v>10190</v>
      </c>
      <c r="AX944" s="81" t="s">
        <v>11283</v>
      </c>
      <c r="AY944" s="81" t="s">
        <v>11334</v>
      </c>
      <c r="AZ944" s="81" t="s">
        <v>11283</v>
      </c>
      <c r="BA944" s="81" t="s">
        <v>11359</v>
      </c>
      <c r="BB944" s="81" t="s">
        <v>11359</v>
      </c>
      <c r="BC944" s="81" t="s">
        <v>11283</v>
      </c>
      <c r="BD944" s="81" t="s">
        <v>11523</v>
      </c>
      <c r="BE944" s="77"/>
      <c r="BF944" s="77"/>
      <c r="BG944" s="77"/>
      <c r="BH944" s="77"/>
      <c r="BI944" s="77"/>
    </row>
    <row r="945" spans="1:61" x14ac:dyDescent="0.25">
      <c r="A945" s="62" t="s">
        <v>460</v>
      </c>
      <c r="B945" s="62" t="s">
        <v>916</v>
      </c>
      <c r="C945" s="63"/>
      <c r="D945" s="64"/>
      <c r="E945" s="65"/>
      <c r="F945" s="66"/>
      <c r="G945" s="63"/>
      <c r="H945" s="67"/>
      <c r="I945" s="68"/>
      <c r="J945" s="68"/>
      <c r="K945" s="32"/>
      <c r="L945" s="75">
        <v>945</v>
      </c>
      <c r="M945" s="75"/>
      <c r="N945" s="70"/>
      <c r="O945" s="77" t="s">
        <v>970</v>
      </c>
      <c r="P945" s="79">
        <v>44997.055717592593</v>
      </c>
      <c r="Q945" s="77" t="s">
        <v>1869</v>
      </c>
      <c r="R945" s="77">
        <v>0</v>
      </c>
      <c r="S945" s="77">
        <v>0</v>
      </c>
      <c r="T945" s="77">
        <v>0</v>
      </c>
      <c r="U945" s="77">
        <v>0</v>
      </c>
      <c r="V945" s="77">
        <v>14</v>
      </c>
      <c r="W945" s="81" t="s">
        <v>3462</v>
      </c>
      <c r="X945" s="77"/>
      <c r="Y945" s="77"/>
      <c r="Z945" s="77" t="s">
        <v>4375</v>
      </c>
      <c r="AA945" s="77"/>
      <c r="AB945" s="77"/>
      <c r="AC945" s="81" t="s">
        <v>5803</v>
      </c>
      <c r="AD945" s="77" t="s">
        <v>5850</v>
      </c>
      <c r="AE945" s="83" t="str">
        <f>HYPERLINK("https://twitter.com/mariana64692094/status/1634725957159223296")</f>
        <v>https://twitter.com/mariana64692094/status/1634725957159223296</v>
      </c>
      <c r="AF945" s="79">
        <v>44997.055717592593</v>
      </c>
      <c r="AG945" s="85">
        <v>44997</v>
      </c>
      <c r="AH945" s="81" t="s">
        <v>6735</v>
      </c>
      <c r="AI945" s="77"/>
      <c r="AJ945" s="77"/>
      <c r="AK945" s="77"/>
      <c r="AL945" s="77"/>
      <c r="AM945" s="77"/>
      <c r="AN945" s="77"/>
      <c r="AO945" s="77"/>
      <c r="AP945" s="77"/>
      <c r="AQ945" s="77"/>
      <c r="AR945" s="77"/>
      <c r="AS945" s="77"/>
      <c r="AT945" s="77"/>
      <c r="AU945" s="77"/>
      <c r="AV945" s="83" t="str">
        <f>HYPERLINK("https://pbs.twimg.com/profile_images/1554626465731383298/9KudSdu0_normal.jpg")</f>
        <v>https://pbs.twimg.com/profile_images/1554626465731383298/9KudSdu0_normal.jpg</v>
      </c>
      <c r="AW945" s="81" t="s">
        <v>10191</v>
      </c>
      <c r="AX945" s="81" t="s">
        <v>11284</v>
      </c>
      <c r="AY945" s="81" t="s">
        <v>11334</v>
      </c>
      <c r="AZ945" s="81" t="s">
        <v>11284</v>
      </c>
      <c r="BA945" s="81" t="s">
        <v>11359</v>
      </c>
      <c r="BB945" s="81" t="s">
        <v>11359</v>
      </c>
      <c r="BC945" s="81" t="s">
        <v>11284</v>
      </c>
      <c r="BD945" s="81" t="s">
        <v>11523</v>
      </c>
      <c r="BE945" s="77"/>
      <c r="BF945" s="77"/>
      <c r="BG945" s="77"/>
      <c r="BH945" s="77"/>
      <c r="BI945" s="77"/>
    </row>
    <row r="946" spans="1:61" x14ac:dyDescent="0.25">
      <c r="A946" s="62" t="s">
        <v>460</v>
      </c>
      <c r="B946" s="62" t="s">
        <v>917</v>
      </c>
      <c r="C946" s="63"/>
      <c r="D946" s="64"/>
      <c r="E946" s="65"/>
      <c r="F946" s="66"/>
      <c r="G946" s="63"/>
      <c r="H946" s="67"/>
      <c r="I946" s="68"/>
      <c r="J946" s="68"/>
      <c r="K946" s="32"/>
      <c r="L946" s="75">
        <v>946</v>
      </c>
      <c r="M946" s="75"/>
      <c r="N946" s="70"/>
      <c r="O946" s="77" t="s">
        <v>970</v>
      </c>
      <c r="P946" s="79">
        <v>45015.185902777775</v>
      </c>
      <c r="Q946" s="77" t="s">
        <v>1853</v>
      </c>
      <c r="R946" s="77">
        <v>0</v>
      </c>
      <c r="S946" s="77">
        <v>0</v>
      </c>
      <c r="T946" s="77">
        <v>0</v>
      </c>
      <c r="U946" s="77">
        <v>0</v>
      </c>
      <c r="V946" s="77">
        <v>14</v>
      </c>
      <c r="W946" s="81" t="s">
        <v>3453</v>
      </c>
      <c r="X946" s="77"/>
      <c r="Y946" s="77"/>
      <c r="Z946" s="77" t="s">
        <v>4375</v>
      </c>
      <c r="AA946" s="77"/>
      <c r="AB946" s="77"/>
      <c r="AC946" s="81" t="s">
        <v>5803</v>
      </c>
      <c r="AD946" s="77" t="s">
        <v>5850</v>
      </c>
      <c r="AE946" s="83" t="str">
        <f>HYPERLINK("https://twitter.com/mariana64692094/status/1641296114933440518")</f>
        <v>https://twitter.com/mariana64692094/status/1641296114933440518</v>
      </c>
      <c r="AF946" s="79">
        <v>45015.185902777775</v>
      </c>
      <c r="AG946" s="85">
        <v>45015</v>
      </c>
      <c r="AH946" s="81" t="s">
        <v>6720</v>
      </c>
      <c r="AI946" s="77"/>
      <c r="AJ946" s="77"/>
      <c r="AK946" s="77"/>
      <c r="AL946" s="77"/>
      <c r="AM946" s="77"/>
      <c r="AN946" s="77"/>
      <c r="AO946" s="77"/>
      <c r="AP946" s="77"/>
      <c r="AQ946" s="77"/>
      <c r="AR946" s="77"/>
      <c r="AS946" s="77"/>
      <c r="AT946" s="77"/>
      <c r="AU946" s="77"/>
      <c r="AV946" s="83" t="str">
        <f>HYPERLINK("https://pbs.twimg.com/profile_images/1554626465731383298/9KudSdu0_normal.jpg")</f>
        <v>https://pbs.twimg.com/profile_images/1554626465731383298/9KudSdu0_normal.jpg</v>
      </c>
      <c r="AW946" s="81" t="s">
        <v>10175</v>
      </c>
      <c r="AX946" s="81" t="s">
        <v>11268</v>
      </c>
      <c r="AY946" s="81" t="s">
        <v>11334</v>
      </c>
      <c r="AZ946" s="81" t="s">
        <v>11268</v>
      </c>
      <c r="BA946" s="81" t="s">
        <v>11359</v>
      </c>
      <c r="BB946" s="81" t="s">
        <v>11359</v>
      </c>
      <c r="BC946" s="81" t="s">
        <v>11268</v>
      </c>
      <c r="BD946" s="81" t="s">
        <v>11523</v>
      </c>
      <c r="BE946" s="77"/>
      <c r="BF946" s="77"/>
      <c r="BG946" s="77"/>
      <c r="BH946" s="77"/>
      <c r="BI946" s="77"/>
    </row>
    <row r="947" spans="1:61" x14ac:dyDescent="0.25">
      <c r="A947" s="62" t="s">
        <v>460</v>
      </c>
      <c r="B947" s="62" t="s">
        <v>917</v>
      </c>
      <c r="C947" s="63"/>
      <c r="D947" s="64"/>
      <c r="E947" s="65"/>
      <c r="F947" s="66"/>
      <c r="G947" s="63"/>
      <c r="H947" s="67"/>
      <c r="I947" s="68"/>
      <c r="J947" s="68"/>
      <c r="K947" s="32"/>
      <c r="L947" s="75">
        <v>947</v>
      </c>
      <c r="M947" s="75"/>
      <c r="N947" s="70"/>
      <c r="O947" s="77" t="s">
        <v>970</v>
      </c>
      <c r="P947" s="79">
        <v>45026.270208333335</v>
      </c>
      <c r="Q947" s="77" t="s">
        <v>1854</v>
      </c>
      <c r="R947" s="77">
        <v>0</v>
      </c>
      <c r="S947" s="77">
        <v>0</v>
      </c>
      <c r="T947" s="77">
        <v>0</v>
      </c>
      <c r="U947" s="77">
        <v>0</v>
      </c>
      <c r="V947" s="77">
        <v>47</v>
      </c>
      <c r="W947" s="81" t="s">
        <v>3454</v>
      </c>
      <c r="X947" s="77"/>
      <c r="Y947" s="77"/>
      <c r="Z947" s="77" t="s">
        <v>4375</v>
      </c>
      <c r="AA947" s="77"/>
      <c r="AB947" s="77"/>
      <c r="AC947" s="81" t="s">
        <v>5803</v>
      </c>
      <c r="AD947" s="77" t="s">
        <v>5850</v>
      </c>
      <c r="AE947" s="83" t="str">
        <f>HYPERLINK("https://twitter.com/mariana64692094/status/1645312935554588672")</f>
        <v>https://twitter.com/mariana64692094/status/1645312935554588672</v>
      </c>
      <c r="AF947" s="79">
        <v>45026.270208333335</v>
      </c>
      <c r="AG947" s="85">
        <v>45026</v>
      </c>
      <c r="AH947" s="81" t="s">
        <v>6721</v>
      </c>
      <c r="AI947" s="77"/>
      <c r="AJ947" s="77"/>
      <c r="AK947" s="77"/>
      <c r="AL947" s="77"/>
      <c r="AM947" s="77"/>
      <c r="AN947" s="77"/>
      <c r="AO947" s="77"/>
      <c r="AP947" s="77"/>
      <c r="AQ947" s="77"/>
      <c r="AR947" s="77"/>
      <c r="AS947" s="77"/>
      <c r="AT947" s="77"/>
      <c r="AU947" s="77"/>
      <c r="AV947" s="83" t="str">
        <f>HYPERLINK("https://pbs.twimg.com/profile_images/1554626465731383298/9KudSdu0_normal.jpg")</f>
        <v>https://pbs.twimg.com/profile_images/1554626465731383298/9KudSdu0_normal.jpg</v>
      </c>
      <c r="AW947" s="81" t="s">
        <v>10176</v>
      </c>
      <c r="AX947" s="81" t="s">
        <v>11269</v>
      </c>
      <c r="AY947" s="81" t="s">
        <v>11334</v>
      </c>
      <c r="AZ947" s="81" t="s">
        <v>11269</v>
      </c>
      <c r="BA947" s="81" t="s">
        <v>11359</v>
      </c>
      <c r="BB947" s="81" t="s">
        <v>11359</v>
      </c>
      <c r="BC947" s="81" t="s">
        <v>11269</v>
      </c>
      <c r="BD947" s="81" t="s">
        <v>11523</v>
      </c>
      <c r="BE947" s="77"/>
      <c r="BF947" s="77"/>
      <c r="BG947" s="77"/>
      <c r="BH947" s="77"/>
      <c r="BI947" s="77"/>
    </row>
    <row r="948" spans="1:61" x14ac:dyDescent="0.25">
      <c r="A948" s="62" t="s">
        <v>460</v>
      </c>
      <c r="B948" s="62" t="s">
        <v>917</v>
      </c>
      <c r="C948" s="63"/>
      <c r="D948" s="64"/>
      <c r="E948" s="65"/>
      <c r="F948" s="66"/>
      <c r="G948" s="63"/>
      <c r="H948" s="67"/>
      <c r="I948" s="68"/>
      <c r="J948" s="68"/>
      <c r="K948" s="32"/>
      <c r="L948" s="75">
        <v>948</v>
      </c>
      <c r="M948" s="75"/>
      <c r="N948" s="70"/>
      <c r="O948" s="77" t="s">
        <v>970</v>
      </c>
      <c r="P948" s="79">
        <v>45026.269224537034</v>
      </c>
      <c r="Q948" s="77" t="s">
        <v>1855</v>
      </c>
      <c r="R948" s="77">
        <v>0</v>
      </c>
      <c r="S948" s="77">
        <v>0</v>
      </c>
      <c r="T948" s="77">
        <v>0</v>
      </c>
      <c r="U948" s="77">
        <v>0</v>
      </c>
      <c r="V948" s="77">
        <v>48</v>
      </c>
      <c r="W948" s="81" t="s">
        <v>3455</v>
      </c>
      <c r="X948" s="77"/>
      <c r="Y948" s="77"/>
      <c r="Z948" s="77" t="s">
        <v>4375</v>
      </c>
      <c r="AA948" s="77"/>
      <c r="AB948" s="77"/>
      <c r="AC948" s="81" t="s">
        <v>5803</v>
      </c>
      <c r="AD948" s="77" t="s">
        <v>5850</v>
      </c>
      <c r="AE948" s="83" t="str">
        <f>HYPERLINK("https://twitter.com/mariana64692094/status/1645312576350302209")</f>
        <v>https://twitter.com/mariana64692094/status/1645312576350302209</v>
      </c>
      <c r="AF948" s="79">
        <v>45026.269224537034</v>
      </c>
      <c r="AG948" s="85">
        <v>45026</v>
      </c>
      <c r="AH948" s="81" t="s">
        <v>6722</v>
      </c>
      <c r="AI948" s="77"/>
      <c r="AJ948" s="77"/>
      <c r="AK948" s="77"/>
      <c r="AL948" s="77"/>
      <c r="AM948" s="77"/>
      <c r="AN948" s="77"/>
      <c r="AO948" s="77"/>
      <c r="AP948" s="77"/>
      <c r="AQ948" s="77"/>
      <c r="AR948" s="77"/>
      <c r="AS948" s="77"/>
      <c r="AT948" s="77"/>
      <c r="AU948" s="77"/>
      <c r="AV948" s="83" t="str">
        <f>HYPERLINK("https://pbs.twimg.com/profile_images/1554626465731383298/9KudSdu0_normal.jpg")</f>
        <v>https://pbs.twimg.com/profile_images/1554626465731383298/9KudSdu0_normal.jpg</v>
      </c>
      <c r="AW948" s="81" t="s">
        <v>10177</v>
      </c>
      <c r="AX948" s="81" t="s">
        <v>11270</v>
      </c>
      <c r="AY948" s="81" t="s">
        <v>11334</v>
      </c>
      <c r="AZ948" s="81" t="s">
        <v>11270</v>
      </c>
      <c r="BA948" s="81" t="s">
        <v>11359</v>
      </c>
      <c r="BB948" s="81" t="s">
        <v>11359</v>
      </c>
      <c r="BC948" s="81" t="s">
        <v>11270</v>
      </c>
      <c r="BD948" s="81" t="s">
        <v>11523</v>
      </c>
      <c r="BE948" s="77"/>
      <c r="BF948" s="77"/>
      <c r="BG948" s="77"/>
      <c r="BH948" s="77"/>
      <c r="BI948" s="77"/>
    </row>
    <row r="949" spans="1:61" x14ac:dyDescent="0.25">
      <c r="A949" s="62" t="s">
        <v>460</v>
      </c>
      <c r="B949" s="62" t="s">
        <v>917</v>
      </c>
      <c r="C949" s="63"/>
      <c r="D949" s="64"/>
      <c r="E949" s="65"/>
      <c r="F949" s="66"/>
      <c r="G949" s="63"/>
      <c r="H949" s="67"/>
      <c r="I949" s="68"/>
      <c r="J949" s="68"/>
      <c r="K949" s="32"/>
      <c r="L949" s="75">
        <v>949</v>
      </c>
      <c r="M949" s="75"/>
      <c r="N949" s="70"/>
      <c r="O949" s="77" t="s">
        <v>970</v>
      </c>
      <c r="P949" s="79">
        <v>45024.010347222225</v>
      </c>
      <c r="Q949" s="77" t="s">
        <v>1856</v>
      </c>
      <c r="R949" s="77">
        <v>0</v>
      </c>
      <c r="S949" s="77">
        <v>0</v>
      </c>
      <c r="T949" s="77">
        <v>0</v>
      </c>
      <c r="U949" s="77">
        <v>0</v>
      </c>
      <c r="V949" s="77">
        <v>27</v>
      </c>
      <c r="W949" s="81" t="s">
        <v>3456</v>
      </c>
      <c r="X949" s="77"/>
      <c r="Y949" s="77"/>
      <c r="Z949" s="77" t="s">
        <v>4375</v>
      </c>
      <c r="AA949" s="77"/>
      <c r="AB949" s="77"/>
      <c r="AC949" s="81" t="s">
        <v>5803</v>
      </c>
      <c r="AD949" s="77" t="s">
        <v>5850</v>
      </c>
      <c r="AE949" s="83" t="str">
        <f>HYPERLINK("https://twitter.com/mariana64692094/status/1644493987582205952")</f>
        <v>https://twitter.com/mariana64692094/status/1644493987582205952</v>
      </c>
      <c r="AF949" s="79">
        <v>45024.010347222225</v>
      </c>
      <c r="AG949" s="85">
        <v>45024</v>
      </c>
      <c r="AH949" s="81" t="s">
        <v>6723</v>
      </c>
      <c r="AI949" s="77"/>
      <c r="AJ949" s="77"/>
      <c r="AK949" s="77"/>
      <c r="AL949" s="77"/>
      <c r="AM949" s="77"/>
      <c r="AN949" s="77"/>
      <c r="AO949" s="77"/>
      <c r="AP949" s="77"/>
      <c r="AQ949" s="77"/>
      <c r="AR949" s="77"/>
      <c r="AS949" s="77"/>
      <c r="AT949" s="77"/>
      <c r="AU949" s="77"/>
      <c r="AV949" s="83" t="str">
        <f>HYPERLINK("https://pbs.twimg.com/profile_images/1554626465731383298/9KudSdu0_normal.jpg")</f>
        <v>https://pbs.twimg.com/profile_images/1554626465731383298/9KudSdu0_normal.jpg</v>
      </c>
      <c r="AW949" s="81" t="s">
        <v>10178</v>
      </c>
      <c r="AX949" s="81" t="s">
        <v>11271</v>
      </c>
      <c r="AY949" s="81" t="s">
        <v>11334</v>
      </c>
      <c r="AZ949" s="81" t="s">
        <v>11271</v>
      </c>
      <c r="BA949" s="81" t="s">
        <v>11359</v>
      </c>
      <c r="BB949" s="81" t="s">
        <v>11359</v>
      </c>
      <c r="BC949" s="81" t="s">
        <v>11271</v>
      </c>
      <c r="BD949" s="81" t="s">
        <v>11523</v>
      </c>
      <c r="BE949" s="77"/>
      <c r="BF949" s="77"/>
      <c r="BG949" s="77"/>
      <c r="BH949" s="77"/>
      <c r="BI949" s="77"/>
    </row>
    <row r="950" spans="1:61" x14ac:dyDescent="0.25">
      <c r="A950" s="62" t="s">
        <v>460</v>
      </c>
      <c r="B950" s="62" t="s">
        <v>917</v>
      </c>
      <c r="C950" s="63"/>
      <c r="D950" s="64"/>
      <c r="E950" s="65"/>
      <c r="F950" s="66"/>
      <c r="G950" s="63"/>
      <c r="H950" s="67"/>
      <c r="I950" s="68"/>
      <c r="J950" s="68"/>
      <c r="K950" s="32"/>
      <c r="L950" s="75">
        <v>950</v>
      </c>
      <c r="M950" s="75"/>
      <c r="N950" s="70"/>
      <c r="O950" s="77" t="s">
        <v>970</v>
      </c>
      <c r="P950" s="79">
        <v>45020.107187499998</v>
      </c>
      <c r="Q950" s="77" t="s">
        <v>1857</v>
      </c>
      <c r="R950" s="77">
        <v>0</v>
      </c>
      <c r="S950" s="77">
        <v>0</v>
      </c>
      <c r="T950" s="77">
        <v>0</v>
      </c>
      <c r="U950" s="77">
        <v>0</v>
      </c>
      <c r="V950" s="77">
        <v>16</v>
      </c>
      <c r="W950" s="81" t="s">
        <v>3457</v>
      </c>
      <c r="X950" s="77"/>
      <c r="Y950" s="77"/>
      <c r="Z950" s="77" t="s">
        <v>4375</v>
      </c>
      <c r="AA950" s="77"/>
      <c r="AB950" s="77"/>
      <c r="AC950" s="81" t="s">
        <v>5803</v>
      </c>
      <c r="AD950" s="77" t="s">
        <v>5850</v>
      </c>
      <c r="AE950" s="83" t="str">
        <f>HYPERLINK("https://twitter.com/mariana64692094/status/1643079528548368387")</f>
        <v>https://twitter.com/mariana64692094/status/1643079528548368387</v>
      </c>
      <c r="AF950" s="79">
        <v>45020.107187499998</v>
      </c>
      <c r="AG950" s="85">
        <v>45020</v>
      </c>
      <c r="AH950" s="81" t="s">
        <v>6724</v>
      </c>
      <c r="AI950" s="77"/>
      <c r="AJ950" s="77"/>
      <c r="AK950" s="77"/>
      <c r="AL950" s="77"/>
      <c r="AM950" s="77"/>
      <c r="AN950" s="77"/>
      <c r="AO950" s="77"/>
      <c r="AP950" s="77"/>
      <c r="AQ950" s="77"/>
      <c r="AR950" s="77"/>
      <c r="AS950" s="77"/>
      <c r="AT950" s="77"/>
      <c r="AU950" s="77"/>
      <c r="AV950" s="83" t="str">
        <f>HYPERLINK("https://pbs.twimg.com/profile_images/1554626465731383298/9KudSdu0_normal.jpg")</f>
        <v>https://pbs.twimg.com/profile_images/1554626465731383298/9KudSdu0_normal.jpg</v>
      </c>
      <c r="AW950" s="81" t="s">
        <v>10179</v>
      </c>
      <c r="AX950" s="81" t="s">
        <v>11272</v>
      </c>
      <c r="AY950" s="81" t="s">
        <v>11334</v>
      </c>
      <c r="AZ950" s="81" t="s">
        <v>11272</v>
      </c>
      <c r="BA950" s="81" t="s">
        <v>11359</v>
      </c>
      <c r="BB950" s="81" t="s">
        <v>11359</v>
      </c>
      <c r="BC950" s="81" t="s">
        <v>11272</v>
      </c>
      <c r="BD950" s="81" t="s">
        <v>11523</v>
      </c>
      <c r="BE950" s="77"/>
      <c r="BF950" s="77"/>
      <c r="BG950" s="77"/>
      <c r="BH950" s="77"/>
      <c r="BI950" s="77"/>
    </row>
    <row r="951" spans="1:61" x14ac:dyDescent="0.25">
      <c r="A951" s="62" t="s">
        <v>460</v>
      </c>
      <c r="B951" s="62" t="s">
        <v>917</v>
      </c>
      <c r="C951" s="63"/>
      <c r="D951" s="64"/>
      <c r="E951" s="65"/>
      <c r="F951" s="66"/>
      <c r="G951" s="63"/>
      <c r="H951" s="67"/>
      <c r="I951" s="68"/>
      <c r="J951" s="68"/>
      <c r="K951" s="32"/>
      <c r="L951" s="75">
        <v>951</v>
      </c>
      <c r="M951" s="75"/>
      <c r="N951" s="70"/>
      <c r="O951" s="77" t="s">
        <v>970</v>
      </c>
      <c r="P951" s="79">
        <v>45041.24554398148</v>
      </c>
      <c r="Q951" s="77" t="s">
        <v>1858</v>
      </c>
      <c r="R951" s="77">
        <v>0</v>
      </c>
      <c r="S951" s="77">
        <v>0</v>
      </c>
      <c r="T951" s="77">
        <v>0</v>
      </c>
      <c r="U951" s="77">
        <v>0</v>
      </c>
      <c r="V951" s="77">
        <v>23</v>
      </c>
      <c r="W951" s="81" t="s">
        <v>3458</v>
      </c>
      <c r="X951" s="77"/>
      <c r="Y951" s="77"/>
      <c r="Z951" s="77" t="s">
        <v>4375</v>
      </c>
      <c r="AA951" s="77"/>
      <c r="AB951" s="77"/>
      <c r="AC951" s="81" t="s">
        <v>5803</v>
      </c>
      <c r="AD951" s="77" t="s">
        <v>5850</v>
      </c>
      <c r="AE951" s="83" t="str">
        <f>HYPERLINK("https://twitter.com/mariana64692094/status/1650739811584540673")</f>
        <v>https://twitter.com/mariana64692094/status/1650739811584540673</v>
      </c>
      <c r="AF951" s="79">
        <v>45041.24554398148</v>
      </c>
      <c r="AG951" s="85">
        <v>45041</v>
      </c>
      <c r="AH951" s="81" t="s">
        <v>6725</v>
      </c>
      <c r="AI951" s="77"/>
      <c r="AJ951" s="77"/>
      <c r="AK951" s="77"/>
      <c r="AL951" s="77"/>
      <c r="AM951" s="77"/>
      <c r="AN951" s="77"/>
      <c r="AO951" s="77"/>
      <c r="AP951" s="77"/>
      <c r="AQ951" s="77"/>
      <c r="AR951" s="77"/>
      <c r="AS951" s="77"/>
      <c r="AT951" s="77"/>
      <c r="AU951" s="77"/>
      <c r="AV951" s="83" t="str">
        <f>HYPERLINK("https://pbs.twimg.com/profile_images/1554626465731383298/9KudSdu0_normal.jpg")</f>
        <v>https://pbs.twimg.com/profile_images/1554626465731383298/9KudSdu0_normal.jpg</v>
      </c>
      <c r="AW951" s="81" t="s">
        <v>10180</v>
      </c>
      <c r="AX951" s="81" t="s">
        <v>11273</v>
      </c>
      <c r="AY951" s="81" t="s">
        <v>11334</v>
      </c>
      <c r="AZ951" s="81" t="s">
        <v>11273</v>
      </c>
      <c r="BA951" s="81" t="s">
        <v>11359</v>
      </c>
      <c r="BB951" s="81" t="s">
        <v>11359</v>
      </c>
      <c r="BC951" s="81" t="s">
        <v>11273</v>
      </c>
      <c r="BD951" s="81" t="s">
        <v>11523</v>
      </c>
      <c r="BE951" s="77"/>
      <c r="BF951" s="77"/>
      <c r="BG951" s="77"/>
      <c r="BH951" s="77"/>
      <c r="BI951" s="77"/>
    </row>
    <row r="952" spans="1:61" x14ac:dyDescent="0.25">
      <c r="A952" s="62" t="s">
        <v>460</v>
      </c>
      <c r="B952" s="62" t="s">
        <v>917</v>
      </c>
      <c r="C952" s="63"/>
      <c r="D952" s="64"/>
      <c r="E952" s="65"/>
      <c r="F952" s="66"/>
      <c r="G952" s="63"/>
      <c r="H952" s="67"/>
      <c r="I952" s="68"/>
      <c r="J952" s="68"/>
      <c r="K952" s="32"/>
      <c r="L952" s="75">
        <v>952</v>
      </c>
      <c r="M952" s="75"/>
      <c r="N952" s="70"/>
      <c r="O952" s="77" t="s">
        <v>970</v>
      </c>
      <c r="P952" s="79">
        <v>45041.243460648147</v>
      </c>
      <c r="Q952" s="77" t="s">
        <v>1859</v>
      </c>
      <c r="R952" s="77">
        <v>0</v>
      </c>
      <c r="S952" s="77">
        <v>0</v>
      </c>
      <c r="T952" s="77">
        <v>0</v>
      </c>
      <c r="U952" s="77">
        <v>0</v>
      </c>
      <c r="V952" s="77">
        <v>26</v>
      </c>
      <c r="W952" s="81" t="s">
        <v>3455</v>
      </c>
      <c r="X952" s="77"/>
      <c r="Y952" s="77"/>
      <c r="Z952" s="77" t="s">
        <v>4375</v>
      </c>
      <c r="AA952" s="77"/>
      <c r="AB952" s="77"/>
      <c r="AC952" s="81" t="s">
        <v>5803</v>
      </c>
      <c r="AD952" s="77" t="s">
        <v>5850</v>
      </c>
      <c r="AE952" s="83" t="str">
        <f>HYPERLINK("https://twitter.com/mariana64692094/status/1650739059294187520")</f>
        <v>https://twitter.com/mariana64692094/status/1650739059294187520</v>
      </c>
      <c r="AF952" s="79">
        <v>45041.243460648147</v>
      </c>
      <c r="AG952" s="85">
        <v>45041</v>
      </c>
      <c r="AH952" s="81" t="s">
        <v>6726</v>
      </c>
      <c r="AI952" s="77"/>
      <c r="AJ952" s="77"/>
      <c r="AK952" s="77"/>
      <c r="AL952" s="77"/>
      <c r="AM952" s="77"/>
      <c r="AN952" s="77"/>
      <c r="AO952" s="77"/>
      <c r="AP952" s="77"/>
      <c r="AQ952" s="77"/>
      <c r="AR952" s="77"/>
      <c r="AS952" s="77"/>
      <c r="AT952" s="77"/>
      <c r="AU952" s="77"/>
      <c r="AV952" s="83" t="str">
        <f>HYPERLINK("https://pbs.twimg.com/profile_images/1554626465731383298/9KudSdu0_normal.jpg")</f>
        <v>https://pbs.twimg.com/profile_images/1554626465731383298/9KudSdu0_normal.jpg</v>
      </c>
      <c r="AW952" s="81" t="s">
        <v>10181</v>
      </c>
      <c r="AX952" s="81" t="s">
        <v>11274</v>
      </c>
      <c r="AY952" s="81" t="s">
        <v>11334</v>
      </c>
      <c r="AZ952" s="81" t="s">
        <v>11274</v>
      </c>
      <c r="BA952" s="81" t="s">
        <v>11359</v>
      </c>
      <c r="BB952" s="81" t="s">
        <v>11359</v>
      </c>
      <c r="BC952" s="81" t="s">
        <v>11274</v>
      </c>
      <c r="BD952" s="81" t="s">
        <v>11523</v>
      </c>
      <c r="BE952" s="77"/>
      <c r="BF952" s="77"/>
      <c r="BG952" s="77"/>
      <c r="BH952" s="77"/>
      <c r="BI952" s="77"/>
    </row>
    <row r="953" spans="1:61" x14ac:dyDescent="0.25">
      <c r="A953" s="62" t="s">
        <v>460</v>
      </c>
      <c r="B953" s="62" t="s">
        <v>917</v>
      </c>
      <c r="C953" s="63"/>
      <c r="D953" s="64"/>
      <c r="E953" s="65"/>
      <c r="F953" s="66"/>
      <c r="G953" s="63"/>
      <c r="H953" s="67"/>
      <c r="I953" s="68"/>
      <c r="J953" s="68"/>
      <c r="K953" s="32"/>
      <c r="L953" s="75">
        <v>953</v>
      </c>
      <c r="M953" s="75"/>
      <c r="N953" s="70"/>
      <c r="O953" s="77" t="s">
        <v>970</v>
      </c>
      <c r="P953" s="79">
        <v>45039.068622685183</v>
      </c>
      <c r="Q953" s="77" t="s">
        <v>1860</v>
      </c>
      <c r="R953" s="77">
        <v>0</v>
      </c>
      <c r="S953" s="77">
        <v>0</v>
      </c>
      <c r="T953" s="77">
        <v>0</v>
      </c>
      <c r="U953" s="77">
        <v>0</v>
      </c>
      <c r="V953" s="77">
        <v>17</v>
      </c>
      <c r="W953" s="81" t="s">
        <v>3454</v>
      </c>
      <c r="X953" s="77"/>
      <c r="Y953" s="77"/>
      <c r="Z953" s="77" t="s">
        <v>4375</v>
      </c>
      <c r="AA953" s="77"/>
      <c r="AB953" s="77"/>
      <c r="AC953" s="81" t="s">
        <v>5803</v>
      </c>
      <c r="AD953" s="77" t="s">
        <v>5850</v>
      </c>
      <c r="AE953" s="83" t="str">
        <f>HYPERLINK("https://twitter.com/mariana64692094/status/1649950925241368577")</f>
        <v>https://twitter.com/mariana64692094/status/1649950925241368577</v>
      </c>
      <c r="AF953" s="79">
        <v>45039.068622685183</v>
      </c>
      <c r="AG953" s="85">
        <v>45039</v>
      </c>
      <c r="AH953" s="81" t="s">
        <v>6727</v>
      </c>
      <c r="AI953" s="77"/>
      <c r="AJ953" s="77"/>
      <c r="AK953" s="77"/>
      <c r="AL953" s="77"/>
      <c r="AM953" s="77"/>
      <c r="AN953" s="77"/>
      <c r="AO953" s="77"/>
      <c r="AP953" s="77"/>
      <c r="AQ953" s="77"/>
      <c r="AR953" s="77"/>
      <c r="AS953" s="77"/>
      <c r="AT953" s="77"/>
      <c r="AU953" s="77"/>
      <c r="AV953" s="83" t="str">
        <f>HYPERLINK("https://pbs.twimg.com/profile_images/1554626465731383298/9KudSdu0_normal.jpg")</f>
        <v>https://pbs.twimg.com/profile_images/1554626465731383298/9KudSdu0_normal.jpg</v>
      </c>
      <c r="AW953" s="81" t="s">
        <v>10182</v>
      </c>
      <c r="AX953" s="81" t="s">
        <v>11275</v>
      </c>
      <c r="AY953" s="81" t="s">
        <v>11334</v>
      </c>
      <c r="AZ953" s="81" t="s">
        <v>11275</v>
      </c>
      <c r="BA953" s="81" t="s">
        <v>11359</v>
      </c>
      <c r="BB953" s="81" t="s">
        <v>11359</v>
      </c>
      <c r="BC953" s="81" t="s">
        <v>11275</v>
      </c>
      <c r="BD953" s="81" t="s">
        <v>11523</v>
      </c>
      <c r="BE953" s="77"/>
      <c r="BF953" s="77"/>
      <c r="BG953" s="77"/>
      <c r="BH953" s="77"/>
      <c r="BI953" s="77"/>
    </row>
    <row r="954" spans="1:61" x14ac:dyDescent="0.25">
      <c r="A954" s="62" t="s">
        <v>460</v>
      </c>
      <c r="B954" s="62" t="s">
        <v>917</v>
      </c>
      <c r="C954" s="63"/>
      <c r="D954" s="64"/>
      <c r="E954" s="65"/>
      <c r="F954" s="66"/>
      <c r="G954" s="63"/>
      <c r="H954" s="67"/>
      <c r="I954" s="68"/>
      <c r="J954" s="68"/>
      <c r="K954" s="32"/>
      <c r="L954" s="75">
        <v>954</v>
      </c>
      <c r="M954" s="75"/>
      <c r="N954" s="70"/>
      <c r="O954" s="77" t="s">
        <v>970</v>
      </c>
      <c r="P954" s="79">
        <v>45048.088692129626</v>
      </c>
      <c r="Q954" s="77" t="s">
        <v>1861</v>
      </c>
      <c r="R954" s="77">
        <v>0</v>
      </c>
      <c r="S954" s="77">
        <v>0</v>
      </c>
      <c r="T954" s="77">
        <v>0</v>
      </c>
      <c r="U954" s="77">
        <v>0</v>
      </c>
      <c r="V954" s="77">
        <v>24</v>
      </c>
      <c r="W954" s="81" t="s">
        <v>3459</v>
      </c>
      <c r="X954" s="77"/>
      <c r="Y954" s="77"/>
      <c r="Z954" s="77" t="s">
        <v>4375</v>
      </c>
      <c r="AA954" s="77"/>
      <c r="AB954" s="77"/>
      <c r="AC954" s="81" t="s">
        <v>5803</v>
      </c>
      <c r="AD954" s="77" t="s">
        <v>5850</v>
      </c>
      <c r="AE954" s="83" t="str">
        <f>HYPERLINK("https://twitter.com/mariana64692094/status/1653219687285628929")</f>
        <v>https://twitter.com/mariana64692094/status/1653219687285628929</v>
      </c>
      <c r="AF954" s="79">
        <v>45048.088692129626</v>
      </c>
      <c r="AG954" s="85">
        <v>45048</v>
      </c>
      <c r="AH954" s="81" t="s">
        <v>6493</v>
      </c>
      <c r="AI954" s="77"/>
      <c r="AJ954" s="77"/>
      <c r="AK954" s="77"/>
      <c r="AL954" s="77"/>
      <c r="AM954" s="77"/>
      <c r="AN954" s="77"/>
      <c r="AO954" s="77"/>
      <c r="AP954" s="77"/>
      <c r="AQ954" s="77"/>
      <c r="AR954" s="77"/>
      <c r="AS954" s="77"/>
      <c r="AT954" s="77"/>
      <c r="AU954" s="77"/>
      <c r="AV954" s="83" t="str">
        <f>HYPERLINK("https://pbs.twimg.com/profile_images/1554626465731383298/9KudSdu0_normal.jpg")</f>
        <v>https://pbs.twimg.com/profile_images/1554626465731383298/9KudSdu0_normal.jpg</v>
      </c>
      <c r="AW954" s="81" t="s">
        <v>10183</v>
      </c>
      <c r="AX954" s="81" t="s">
        <v>11276</v>
      </c>
      <c r="AY954" s="81" t="s">
        <v>11334</v>
      </c>
      <c r="AZ954" s="81" t="s">
        <v>11276</v>
      </c>
      <c r="BA954" s="81" t="s">
        <v>11359</v>
      </c>
      <c r="BB954" s="81" t="s">
        <v>11359</v>
      </c>
      <c r="BC954" s="81" t="s">
        <v>11276</v>
      </c>
      <c r="BD954" s="81" t="s">
        <v>11523</v>
      </c>
      <c r="BE954" s="77"/>
      <c r="BF954" s="77"/>
      <c r="BG954" s="77"/>
      <c r="BH954" s="77"/>
      <c r="BI954" s="77"/>
    </row>
    <row r="955" spans="1:61" x14ac:dyDescent="0.25">
      <c r="A955" s="62" t="s">
        <v>460</v>
      </c>
      <c r="B955" s="62" t="s">
        <v>917</v>
      </c>
      <c r="C955" s="63"/>
      <c r="D955" s="64"/>
      <c r="E955" s="65"/>
      <c r="F955" s="66"/>
      <c r="G955" s="63"/>
      <c r="H955" s="67"/>
      <c r="I955" s="68"/>
      <c r="J955" s="68"/>
      <c r="K955" s="32"/>
      <c r="L955" s="75">
        <v>955</v>
      </c>
      <c r="M955" s="75"/>
      <c r="N955" s="70"/>
      <c r="O955" s="77" t="s">
        <v>970</v>
      </c>
      <c r="P955" s="79">
        <v>45046.123553240737</v>
      </c>
      <c r="Q955" s="77" t="s">
        <v>1862</v>
      </c>
      <c r="R955" s="77">
        <v>0</v>
      </c>
      <c r="S955" s="77">
        <v>0</v>
      </c>
      <c r="T955" s="77">
        <v>0</v>
      </c>
      <c r="U955" s="77">
        <v>0</v>
      </c>
      <c r="V955" s="77">
        <v>33</v>
      </c>
      <c r="W955" s="81" t="s">
        <v>3453</v>
      </c>
      <c r="X955" s="77"/>
      <c r="Y955" s="77"/>
      <c r="Z955" s="77" t="s">
        <v>4375</v>
      </c>
      <c r="AA955" s="77"/>
      <c r="AB955" s="77"/>
      <c r="AC955" s="81" t="s">
        <v>5803</v>
      </c>
      <c r="AD955" s="77" t="s">
        <v>5850</v>
      </c>
      <c r="AE955" s="83" t="str">
        <f>HYPERLINK("https://twitter.com/mariana64692094/status/1652507543720148992")</f>
        <v>https://twitter.com/mariana64692094/status/1652507543720148992</v>
      </c>
      <c r="AF955" s="79">
        <v>45046.123553240737</v>
      </c>
      <c r="AG955" s="85">
        <v>45046</v>
      </c>
      <c r="AH955" s="81" t="s">
        <v>6728</v>
      </c>
      <c r="AI955" s="77"/>
      <c r="AJ955" s="77"/>
      <c r="AK955" s="77"/>
      <c r="AL955" s="77"/>
      <c r="AM955" s="77"/>
      <c r="AN955" s="77"/>
      <c r="AO955" s="77"/>
      <c r="AP955" s="77"/>
      <c r="AQ955" s="77"/>
      <c r="AR955" s="77"/>
      <c r="AS955" s="77"/>
      <c r="AT955" s="77"/>
      <c r="AU955" s="77"/>
      <c r="AV955" s="83" t="str">
        <f>HYPERLINK("https://pbs.twimg.com/profile_images/1554626465731383298/9KudSdu0_normal.jpg")</f>
        <v>https://pbs.twimg.com/profile_images/1554626465731383298/9KudSdu0_normal.jpg</v>
      </c>
      <c r="AW955" s="81" t="s">
        <v>10184</v>
      </c>
      <c r="AX955" s="81" t="s">
        <v>11277</v>
      </c>
      <c r="AY955" s="81" t="s">
        <v>11334</v>
      </c>
      <c r="AZ955" s="81" t="s">
        <v>11277</v>
      </c>
      <c r="BA955" s="81" t="s">
        <v>11359</v>
      </c>
      <c r="BB955" s="81" t="s">
        <v>11359</v>
      </c>
      <c r="BC955" s="81" t="s">
        <v>11277</v>
      </c>
      <c r="BD955" s="81" t="s">
        <v>11523</v>
      </c>
      <c r="BE955" s="77"/>
      <c r="BF955" s="77"/>
      <c r="BG955" s="77"/>
      <c r="BH955" s="77"/>
      <c r="BI955" s="77"/>
    </row>
    <row r="956" spans="1:61" x14ac:dyDescent="0.25">
      <c r="A956" s="62" t="s">
        <v>460</v>
      </c>
      <c r="B956" s="62" t="s">
        <v>917</v>
      </c>
      <c r="C956" s="63"/>
      <c r="D956" s="64"/>
      <c r="E956" s="65"/>
      <c r="F956" s="66"/>
      <c r="G956" s="63"/>
      <c r="H956" s="67"/>
      <c r="I956" s="68"/>
      <c r="J956" s="68"/>
      <c r="K956" s="32"/>
      <c r="L956" s="75">
        <v>956</v>
      </c>
      <c r="M956" s="75"/>
      <c r="N956" s="70"/>
      <c r="O956" s="77" t="s">
        <v>970</v>
      </c>
      <c r="P956" s="79">
        <v>45044.241956018515</v>
      </c>
      <c r="Q956" s="77" t="s">
        <v>1863</v>
      </c>
      <c r="R956" s="77">
        <v>0</v>
      </c>
      <c r="S956" s="77">
        <v>0</v>
      </c>
      <c r="T956" s="77">
        <v>0</v>
      </c>
      <c r="U956" s="77">
        <v>0</v>
      </c>
      <c r="V956" s="77">
        <v>22</v>
      </c>
      <c r="W956" s="81" t="s">
        <v>3453</v>
      </c>
      <c r="X956" s="77"/>
      <c r="Y956" s="77"/>
      <c r="Z956" s="77" t="s">
        <v>4375</v>
      </c>
      <c r="AA956" s="77"/>
      <c r="AB956" s="77"/>
      <c r="AC956" s="81" t="s">
        <v>5803</v>
      </c>
      <c r="AD956" s="77" t="s">
        <v>5850</v>
      </c>
      <c r="AE956" s="83" t="str">
        <f>HYPERLINK("https://twitter.com/mariana64692094/status/1651825678495502336")</f>
        <v>https://twitter.com/mariana64692094/status/1651825678495502336</v>
      </c>
      <c r="AF956" s="79">
        <v>45044.241956018515</v>
      </c>
      <c r="AG956" s="85">
        <v>45044</v>
      </c>
      <c r="AH956" s="81" t="s">
        <v>6729</v>
      </c>
      <c r="AI956" s="77"/>
      <c r="AJ956" s="77"/>
      <c r="AK956" s="77"/>
      <c r="AL956" s="77"/>
      <c r="AM956" s="77"/>
      <c r="AN956" s="77"/>
      <c r="AO956" s="77"/>
      <c r="AP956" s="77"/>
      <c r="AQ956" s="77"/>
      <c r="AR956" s="77"/>
      <c r="AS956" s="77"/>
      <c r="AT956" s="77"/>
      <c r="AU956" s="77"/>
      <c r="AV956" s="83" t="str">
        <f>HYPERLINK("https://pbs.twimg.com/profile_images/1554626465731383298/9KudSdu0_normal.jpg")</f>
        <v>https://pbs.twimg.com/profile_images/1554626465731383298/9KudSdu0_normal.jpg</v>
      </c>
      <c r="AW956" s="81" t="s">
        <v>10185</v>
      </c>
      <c r="AX956" s="81" t="s">
        <v>11278</v>
      </c>
      <c r="AY956" s="81" t="s">
        <v>11334</v>
      </c>
      <c r="AZ956" s="81" t="s">
        <v>11278</v>
      </c>
      <c r="BA956" s="81" t="s">
        <v>11359</v>
      </c>
      <c r="BB956" s="81" t="s">
        <v>11359</v>
      </c>
      <c r="BC956" s="81" t="s">
        <v>11278</v>
      </c>
      <c r="BD956" s="81" t="s">
        <v>11523</v>
      </c>
      <c r="BE956" s="77"/>
      <c r="BF956" s="77"/>
      <c r="BG956" s="77"/>
      <c r="BH956" s="77"/>
      <c r="BI956" s="77"/>
    </row>
    <row r="957" spans="1:61" x14ac:dyDescent="0.25">
      <c r="A957" s="62" t="s">
        <v>460</v>
      </c>
      <c r="B957" s="62" t="s">
        <v>917</v>
      </c>
      <c r="C957" s="63"/>
      <c r="D957" s="64"/>
      <c r="E957" s="65"/>
      <c r="F957" s="66"/>
      <c r="G957" s="63"/>
      <c r="H957" s="67"/>
      <c r="I957" s="68"/>
      <c r="J957" s="68"/>
      <c r="K957" s="32"/>
      <c r="L957" s="75">
        <v>957</v>
      </c>
      <c r="M957" s="75"/>
      <c r="N957" s="70"/>
      <c r="O957" s="77" t="s">
        <v>970</v>
      </c>
      <c r="P957" s="79">
        <v>45004.147870370369</v>
      </c>
      <c r="Q957" s="77" t="s">
        <v>1864</v>
      </c>
      <c r="R957" s="77">
        <v>0</v>
      </c>
      <c r="S957" s="77">
        <v>0</v>
      </c>
      <c r="T957" s="77">
        <v>0</v>
      </c>
      <c r="U957" s="77">
        <v>0</v>
      </c>
      <c r="V957" s="77">
        <v>27</v>
      </c>
      <c r="W957" s="81" t="s">
        <v>3460</v>
      </c>
      <c r="X957" s="77"/>
      <c r="Y957" s="77"/>
      <c r="Z957" s="77" t="s">
        <v>4375</v>
      </c>
      <c r="AA957" s="77"/>
      <c r="AB957" s="77"/>
      <c r="AC957" s="81" t="s">
        <v>5803</v>
      </c>
      <c r="AD957" s="77" t="s">
        <v>5850</v>
      </c>
      <c r="AE957" s="83" t="str">
        <f>HYPERLINK("https://twitter.com/mariana64692094/status/1637296065215885315")</f>
        <v>https://twitter.com/mariana64692094/status/1637296065215885315</v>
      </c>
      <c r="AF957" s="79">
        <v>45004.147870370369</v>
      </c>
      <c r="AG957" s="85">
        <v>45004</v>
      </c>
      <c r="AH957" s="81" t="s">
        <v>6730</v>
      </c>
      <c r="AI957" s="77"/>
      <c r="AJ957" s="77"/>
      <c r="AK957" s="77"/>
      <c r="AL957" s="77"/>
      <c r="AM957" s="77"/>
      <c r="AN957" s="77"/>
      <c r="AO957" s="77"/>
      <c r="AP957" s="77"/>
      <c r="AQ957" s="77"/>
      <c r="AR957" s="77"/>
      <c r="AS957" s="77"/>
      <c r="AT957" s="77"/>
      <c r="AU957" s="77"/>
      <c r="AV957" s="83" t="str">
        <f>HYPERLINK("https://pbs.twimg.com/profile_images/1554626465731383298/9KudSdu0_normal.jpg")</f>
        <v>https://pbs.twimg.com/profile_images/1554626465731383298/9KudSdu0_normal.jpg</v>
      </c>
      <c r="AW957" s="81" t="s">
        <v>10186</v>
      </c>
      <c r="AX957" s="81" t="s">
        <v>11279</v>
      </c>
      <c r="AY957" s="81" t="s">
        <v>11334</v>
      </c>
      <c r="AZ957" s="81" t="s">
        <v>11279</v>
      </c>
      <c r="BA957" s="81" t="s">
        <v>11359</v>
      </c>
      <c r="BB957" s="81" t="s">
        <v>11359</v>
      </c>
      <c r="BC957" s="81" t="s">
        <v>11279</v>
      </c>
      <c r="BD957" s="81" t="s">
        <v>11523</v>
      </c>
      <c r="BE957" s="77"/>
      <c r="BF957" s="77"/>
      <c r="BG957" s="77"/>
      <c r="BH957" s="77"/>
      <c r="BI957" s="77"/>
    </row>
    <row r="958" spans="1:61" x14ac:dyDescent="0.25">
      <c r="A958" s="62" t="s">
        <v>460</v>
      </c>
      <c r="B958" s="62" t="s">
        <v>917</v>
      </c>
      <c r="C958" s="63"/>
      <c r="D958" s="64"/>
      <c r="E958" s="65"/>
      <c r="F958" s="66"/>
      <c r="G958" s="63"/>
      <c r="H958" s="67"/>
      <c r="I958" s="68"/>
      <c r="J958" s="68"/>
      <c r="K958" s="32"/>
      <c r="L958" s="75">
        <v>958</v>
      </c>
      <c r="M958" s="75"/>
      <c r="N958" s="70"/>
      <c r="O958" s="77" t="s">
        <v>970</v>
      </c>
      <c r="P958" s="79">
        <v>45057.135324074072</v>
      </c>
      <c r="Q958" s="77" t="s">
        <v>1865</v>
      </c>
      <c r="R958" s="77">
        <v>0</v>
      </c>
      <c r="S958" s="77">
        <v>0</v>
      </c>
      <c r="T958" s="77">
        <v>0</v>
      </c>
      <c r="U958" s="77">
        <v>0</v>
      </c>
      <c r="V958" s="77">
        <v>24</v>
      </c>
      <c r="W958" s="81" t="s">
        <v>3453</v>
      </c>
      <c r="X958" s="77"/>
      <c r="Y958" s="77"/>
      <c r="Z958" s="77" t="s">
        <v>4375</v>
      </c>
      <c r="AA958" s="77"/>
      <c r="AB958" s="77"/>
      <c r="AC958" s="81" t="s">
        <v>5803</v>
      </c>
      <c r="AD958" s="77" t="s">
        <v>5850</v>
      </c>
      <c r="AE958" s="83" t="str">
        <f>HYPERLINK("https://twitter.com/mariana64692094/status/1656498077530824706")</f>
        <v>https://twitter.com/mariana64692094/status/1656498077530824706</v>
      </c>
      <c r="AF958" s="79">
        <v>45057.135324074072</v>
      </c>
      <c r="AG958" s="85">
        <v>45057</v>
      </c>
      <c r="AH958" s="81" t="s">
        <v>6731</v>
      </c>
      <c r="AI958" s="77"/>
      <c r="AJ958" s="77"/>
      <c r="AK958" s="77"/>
      <c r="AL958" s="77"/>
      <c r="AM958" s="77"/>
      <c r="AN958" s="77"/>
      <c r="AO958" s="77"/>
      <c r="AP958" s="77"/>
      <c r="AQ958" s="77"/>
      <c r="AR958" s="77"/>
      <c r="AS958" s="77"/>
      <c r="AT958" s="77"/>
      <c r="AU958" s="77"/>
      <c r="AV958" s="83" t="str">
        <f>HYPERLINK("https://pbs.twimg.com/profile_images/1554626465731383298/9KudSdu0_normal.jpg")</f>
        <v>https://pbs.twimg.com/profile_images/1554626465731383298/9KudSdu0_normal.jpg</v>
      </c>
      <c r="AW958" s="81" t="s">
        <v>10187</v>
      </c>
      <c r="AX958" s="81" t="s">
        <v>11280</v>
      </c>
      <c r="AY958" s="81" t="s">
        <v>11334</v>
      </c>
      <c r="AZ958" s="81" t="s">
        <v>11280</v>
      </c>
      <c r="BA958" s="81" t="s">
        <v>11359</v>
      </c>
      <c r="BB958" s="81" t="s">
        <v>11359</v>
      </c>
      <c r="BC958" s="81" t="s">
        <v>11280</v>
      </c>
      <c r="BD958" s="81" t="s">
        <v>11523</v>
      </c>
      <c r="BE958" s="77"/>
      <c r="BF958" s="77"/>
      <c r="BG958" s="77"/>
      <c r="BH958" s="77"/>
      <c r="BI958" s="77"/>
    </row>
    <row r="959" spans="1:61" x14ac:dyDescent="0.25">
      <c r="A959" s="62" t="s">
        <v>460</v>
      </c>
      <c r="B959" s="62" t="s">
        <v>917</v>
      </c>
      <c r="C959" s="63"/>
      <c r="D959" s="64"/>
      <c r="E959" s="65"/>
      <c r="F959" s="66"/>
      <c r="G959" s="63"/>
      <c r="H959" s="67"/>
      <c r="I959" s="68"/>
      <c r="J959" s="68"/>
      <c r="K959" s="32"/>
      <c r="L959" s="75">
        <v>959</v>
      </c>
      <c r="M959" s="75"/>
      <c r="N959" s="70"/>
      <c r="O959" s="77" t="s">
        <v>970</v>
      </c>
      <c r="P959" s="79">
        <v>45056.25409722222</v>
      </c>
      <c r="Q959" s="77" t="s">
        <v>1866</v>
      </c>
      <c r="R959" s="77">
        <v>0</v>
      </c>
      <c r="S959" s="77">
        <v>0</v>
      </c>
      <c r="T959" s="77">
        <v>0</v>
      </c>
      <c r="U959" s="77">
        <v>0</v>
      </c>
      <c r="V959" s="77">
        <v>23</v>
      </c>
      <c r="W959" s="81" t="s">
        <v>3461</v>
      </c>
      <c r="X959" s="77"/>
      <c r="Y959" s="77"/>
      <c r="Z959" s="77" t="s">
        <v>4375</v>
      </c>
      <c r="AA959" s="77"/>
      <c r="AB959" s="77"/>
      <c r="AC959" s="81" t="s">
        <v>5803</v>
      </c>
      <c r="AD959" s="77" t="s">
        <v>5850</v>
      </c>
      <c r="AE959" s="83" t="str">
        <f>HYPERLINK("https://twitter.com/mariana64692094/status/1656178731075923969")</f>
        <v>https://twitter.com/mariana64692094/status/1656178731075923969</v>
      </c>
      <c r="AF959" s="79">
        <v>45056.25409722222</v>
      </c>
      <c r="AG959" s="85">
        <v>45056</v>
      </c>
      <c r="AH959" s="81" t="s">
        <v>6732</v>
      </c>
      <c r="AI959" s="77"/>
      <c r="AJ959" s="77"/>
      <c r="AK959" s="77"/>
      <c r="AL959" s="77"/>
      <c r="AM959" s="77"/>
      <c r="AN959" s="77"/>
      <c r="AO959" s="77"/>
      <c r="AP959" s="77"/>
      <c r="AQ959" s="77"/>
      <c r="AR959" s="77"/>
      <c r="AS959" s="77"/>
      <c r="AT959" s="77"/>
      <c r="AU959" s="77"/>
      <c r="AV959" s="83" t="str">
        <f>HYPERLINK("https://pbs.twimg.com/profile_images/1554626465731383298/9KudSdu0_normal.jpg")</f>
        <v>https://pbs.twimg.com/profile_images/1554626465731383298/9KudSdu0_normal.jpg</v>
      </c>
      <c r="AW959" s="81" t="s">
        <v>10188</v>
      </c>
      <c r="AX959" s="81" t="s">
        <v>11281</v>
      </c>
      <c r="AY959" s="81" t="s">
        <v>11334</v>
      </c>
      <c r="AZ959" s="81" t="s">
        <v>11281</v>
      </c>
      <c r="BA959" s="81" t="s">
        <v>11359</v>
      </c>
      <c r="BB959" s="81" t="s">
        <v>11359</v>
      </c>
      <c r="BC959" s="81" t="s">
        <v>11281</v>
      </c>
      <c r="BD959" s="81" t="s">
        <v>11523</v>
      </c>
      <c r="BE959" s="77"/>
      <c r="BF959" s="77"/>
      <c r="BG959" s="77"/>
      <c r="BH959" s="77"/>
      <c r="BI959" s="77"/>
    </row>
    <row r="960" spans="1:61" x14ac:dyDescent="0.25">
      <c r="A960" s="62" t="s">
        <v>460</v>
      </c>
      <c r="B960" s="62" t="s">
        <v>917</v>
      </c>
      <c r="C960" s="63"/>
      <c r="D960" s="64"/>
      <c r="E960" s="65"/>
      <c r="F960" s="66"/>
      <c r="G960" s="63"/>
      <c r="H960" s="67"/>
      <c r="I960" s="68"/>
      <c r="J960" s="68"/>
      <c r="K960" s="32"/>
      <c r="L960" s="75">
        <v>960</v>
      </c>
      <c r="M960" s="75"/>
      <c r="N960" s="70"/>
      <c r="O960" s="77" t="s">
        <v>970</v>
      </c>
      <c r="P960" s="79">
        <v>45036.143252314818</v>
      </c>
      <c r="Q960" s="77" t="s">
        <v>1867</v>
      </c>
      <c r="R960" s="77">
        <v>0</v>
      </c>
      <c r="S960" s="77">
        <v>0</v>
      </c>
      <c r="T960" s="77">
        <v>0</v>
      </c>
      <c r="U960" s="77">
        <v>0</v>
      </c>
      <c r="V960" s="77">
        <v>17</v>
      </c>
      <c r="W960" s="81" t="s">
        <v>3455</v>
      </c>
      <c r="X960" s="77"/>
      <c r="Y960" s="77"/>
      <c r="Z960" s="77" t="s">
        <v>4375</v>
      </c>
      <c r="AA960" s="77"/>
      <c r="AB960" s="77"/>
      <c r="AC960" s="81" t="s">
        <v>5803</v>
      </c>
      <c r="AD960" s="77" t="s">
        <v>5850</v>
      </c>
      <c r="AE960" s="83" t="str">
        <f>HYPERLINK("https://twitter.com/mariana64692094/status/1648890804755111937")</f>
        <v>https://twitter.com/mariana64692094/status/1648890804755111937</v>
      </c>
      <c r="AF960" s="79">
        <v>45036.143252314818</v>
      </c>
      <c r="AG960" s="85">
        <v>45036</v>
      </c>
      <c r="AH960" s="81" t="s">
        <v>6733</v>
      </c>
      <c r="AI960" s="77"/>
      <c r="AJ960" s="77"/>
      <c r="AK960" s="77"/>
      <c r="AL960" s="77"/>
      <c r="AM960" s="77"/>
      <c r="AN960" s="77"/>
      <c r="AO960" s="77"/>
      <c r="AP960" s="77"/>
      <c r="AQ960" s="77"/>
      <c r="AR960" s="77"/>
      <c r="AS960" s="77"/>
      <c r="AT960" s="77"/>
      <c r="AU960" s="77"/>
      <c r="AV960" s="83" t="str">
        <f>HYPERLINK("https://pbs.twimg.com/profile_images/1554626465731383298/9KudSdu0_normal.jpg")</f>
        <v>https://pbs.twimg.com/profile_images/1554626465731383298/9KudSdu0_normal.jpg</v>
      </c>
      <c r="AW960" s="81" t="s">
        <v>10189</v>
      </c>
      <c r="AX960" s="81" t="s">
        <v>11282</v>
      </c>
      <c r="AY960" s="81" t="s">
        <v>11334</v>
      </c>
      <c r="AZ960" s="81" t="s">
        <v>11282</v>
      </c>
      <c r="BA960" s="81" t="s">
        <v>11359</v>
      </c>
      <c r="BB960" s="81" t="s">
        <v>11359</v>
      </c>
      <c r="BC960" s="81" t="s">
        <v>11282</v>
      </c>
      <c r="BD960" s="81" t="s">
        <v>11523</v>
      </c>
      <c r="BE960" s="77"/>
      <c r="BF960" s="77"/>
      <c r="BG960" s="77"/>
      <c r="BH960" s="77"/>
      <c r="BI960" s="77"/>
    </row>
    <row r="961" spans="1:61" x14ac:dyDescent="0.25">
      <c r="A961" s="62" t="s">
        <v>460</v>
      </c>
      <c r="B961" s="62" t="s">
        <v>917</v>
      </c>
      <c r="C961" s="63"/>
      <c r="D961" s="64"/>
      <c r="E961" s="65"/>
      <c r="F961" s="66"/>
      <c r="G961" s="63"/>
      <c r="H961" s="67"/>
      <c r="I961" s="68"/>
      <c r="J961" s="68"/>
      <c r="K961" s="32"/>
      <c r="L961" s="75">
        <v>961</v>
      </c>
      <c r="M961" s="75"/>
      <c r="N961" s="70"/>
      <c r="O961" s="77" t="s">
        <v>970</v>
      </c>
      <c r="P961" s="79">
        <v>45035.200162037036</v>
      </c>
      <c r="Q961" s="77" t="s">
        <v>1868</v>
      </c>
      <c r="R961" s="77">
        <v>0</v>
      </c>
      <c r="S961" s="77">
        <v>0</v>
      </c>
      <c r="T961" s="77">
        <v>0</v>
      </c>
      <c r="U961" s="77">
        <v>0</v>
      </c>
      <c r="V961" s="77">
        <v>9</v>
      </c>
      <c r="W961" s="81" t="s">
        <v>3455</v>
      </c>
      <c r="X961" s="77"/>
      <c r="Y961" s="77"/>
      <c r="Z961" s="77" t="s">
        <v>4375</v>
      </c>
      <c r="AA961" s="77"/>
      <c r="AB961" s="77"/>
      <c r="AC961" s="81" t="s">
        <v>5803</v>
      </c>
      <c r="AD961" s="77" t="s">
        <v>5850</v>
      </c>
      <c r="AE961" s="83" t="str">
        <f>HYPERLINK("https://twitter.com/mariana64692094/status/1648549040961777666")</f>
        <v>https://twitter.com/mariana64692094/status/1648549040961777666</v>
      </c>
      <c r="AF961" s="79">
        <v>45035.200162037036</v>
      </c>
      <c r="AG961" s="85">
        <v>45035</v>
      </c>
      <c r="AH961" s="81" t="s">
        <v>6734</v>
      </c>
      <c r="AI961" s="77"/>
      <c r="AJ961" s="77"/>
      <c r="AK961" s="77"/>
      <c r="AL961" s="77"/>
      <c r="AM961" s="77"/>
      <c r="AN961" s="77"/>
      <c r="AO961" s="77"/>
      <c r="AP961" s="77"/>
      <c r="AQ961" s="77"/>
      <c r="AR961" s="77"/>
      <c r="AS961" s="77"/>
      <c r="AT961" s="77"/>
      <c r="AU961" s="77"/>
      <c r="AV961" s="83" t="str">
        <f>HYPERLINK("https://pbs.twimg.com/profile_images/1554626465731383298/9KudSdu0_normal.jpg")</f>
        <v>https://pbs.twimg.com/profile_images/1554626465731383298/9KudSdu0_normal.jpg</v>
      </c>
      <c r="AW961" s="81" t="s">
        <v>10190</v>
      </c>
      <c r="AX961" s="81" t="s">
        <v>11283</v>
      </c>
      <c r="AY961" s="81" t="s">
        <v>11334</v>
      </c>
      <c r="AZ961" s="81" t="s">
        <v>11283</v>
      </c>
      <c r="BA961" s="81" t="s">
        <v>11359</v>
      </c>
      <c r="BB961" s="81" t="s">
        <v>11359</v>
      </c>
      <c r="BC961" s="81" t="s">
        <v>11283</v>
      </c>
      <c r="BD961" s="81" t="s">
        <v>11523</v>
      </c>
      <c r="BE961" s="77"/>
      <c r="BF961" s="77"/>
      <c r="BG961" s="77"/>
      <c r="BH961" s="77"/>
      <c r="BI961" s="77"/>
    </row>
    <row r="962" spans="1:61" x14ac:dyDescent="0.25">
      <c r="A962" s="62" t="s">
        <v>460</v>
      </c>
      <c r="B962" s="62" t="s">
        <v>917</v>
      </c>
      <c r="C962" s="63"/>
      <c r="D962" s="64"/>
      <c r="E962" s="65"/>
      <c r="F962" s="66"/>
      <c r="G962" s="63"/>
      <c r="H962" s="67"/>
      <c r="I962" s="68"/>
      <c r="J962" s="68"/>
      <c r="K962" s="32"/>
      <c r="L962" s="75">
        <v>962</v>
      </c>
      <c r="M962" s="75"/>
      <c r="N962" s="70"/>
      <c r="O962" s="77" t="s">
        <v>970</v>
      </c>
      <c r="P962" s="79">
        <v>44997.055717592593</v>
      </c>
      <c r="Q962" s="77" t="s">
        <v>1869</v>
      </c>
      <c r="R962" s="77">
        <v>0</v>
      </c>
      <c r="S962" s="77">
        <v>0</v>
      </c>
      <c r="T962" s="77">
        <v>0</v>
      </c>
      <c r="U962" s="77">
        <v>0</v>
      </c>
      <c r="V962" s="77">
        <v>14</v>
      </c>
      <c r="W962" s="81" t="s">
        <v>3462</v>
      </c>
      <c r="X962" s="77"/>
      <c r="Y962" s="77"/>
      <c r="Z962" s="77" t="s">
        <v>4375</v>
      </c>
      <c r="AA962" s="77"/>
      <c r="AB962" s="77"/>
      <c r="AC962" s="81" t="s">
        <v>5803</v>
      </c>
      <c r="AD962" s="77" t="s">
        <v>5850</v>
      </c>
      <c r="AE962" s="83" t="str">
        <f>HYPERLINK("https://twitter.com/mariana64692094/status/1634725957159223296")</f>
        <v>https://twitter.com/mariana64692094/status/1634725957159223296</v>
      </c>
      <c r="AF962" s="79">
        <v>44997.055717592593</v>
      </c>
      <c r="AG962" s="85">
        <v>44997</v>
      </c>
      <c r="AH962" s="81" t="s">
        <v>6735</v>
      </c>
      <c r="AI962" s="77"/>
      <c r="AJ962" s="77"/>
      <c r="AK962" s="77"/>
      <c r="AL962" s="77"/>
      <c r="AM962" s="77"/>
      <c r="AN962" s="77"/>
      <c r="AO962" s="77"/>
      <c r="AP962" s="77"/>
      <c r="AQ962" s="77"/>
      <c r="AR962" s="77"/>
      <c r="AS962" s="77"/>
      <c r="AT962" s="77"/>
      <c r="AU962" s="77"/>
      <c r="AV962" s="83" t="str">
        <f>HYPERLINK("https://pbs.twimg.com/profile_images/1554626465731383298/9KudSdu0_normal.jpg")</f>
        <v>https://pbs.twimg.com/profile_images/1554626465731383298/9KudSdu0_normal.jpg</v>
      </c>
      <c r="AW962" s="81" t="s">
        <v>10191</v>
      </c>
      <c r="AX962" s="81" t="s">
        <v>11284</v>
      </c>
      <c r="AY962" s="81" t="s">
        <v>11334</v>
      </c>
      <c r="AZ962" s="81" t="s">
        <v>11284</v>
      </c>
      <c r="BA962" s="81" t="s">
        <v>11359</v>
      </c>
      <c r="BB962" s="81" t="s">
        <v>11359</v>
      </c>
      <c r="BC962" s="81" t="s">
        <v>11284</v>
      </c>
      <c r="BD962" s="81" t="s">
        <v>11523</v>
      </c>
      <c r="BE962" s="77"/>
      <c r="BF962" s="77"/>
      <c r="BG962" s="77"/>
      <c r="BH962" s="77"/>
      <c r="BI962" s="77"/>
    </row>
    <row r="963" spans="1:61" x14ac:dyDescent="0.25">
      <c r="A963" s="62" t="s">
        <v>460</v>
      </c>
      <c r="B963" s="62" t="s">
        <v>918</v>
      </c>
      <c r="C963" s="63"/>
      <c r="D963" s="64"/>
      <c r="E963" s="65"/>
      <c r="F963" s="66"/>
      <c r="G963" s="63"/>
      <c r="H963" s="67"/>
      <c r="I963" s="68"/>
      <c r="J963" s="68"/>
      <c r="K963" s="32"/>
      <c r="L963" s="75">
        <v>963</v>
      </c>
      <c r="M963" s="75"/>
      <c r="N963" s="70"/>
      <c r="O963" s="77" t="s">
        <v>970</v>
      </c>
      <c r="P963" s="79">
        <v>45015.185902777775</v>
      </c>
      <c r="Q963" s="77" t="s">
        <v>1853</v>
      </c>
      <c r="R963" s="77">
        <v>0</v>
      </c>
      <c r="S963" s="77">
        <v>0</v>
      </c>
      <c r="T963" s="77">
        <v>0</v>
      </c>
      <c r="U963" s="77">
        <v>0</v>
      </c>
      <c r="V963" s="77">
        <v>14</v>
      </c>
      <c r="W963" s="81" t="s">
        <v>3453</v>
      </c>
      <c r="X963" s="77"/>
      <c r="Y963" s="77"/>
      <c r="Z963" s="77" t="s">
        <v>4375</v>
      </c>
      <c r="AA963" s="77"/>
      <c r="AB963" s="77"/>
      <c r="AC963" s="81" t="s">
        <v>5803</v>
      </c>
      <c r="AD963" s="77" t="s">
        <v>5850</v>
      </c>
      <c r="AE963" s="83" t="str">
        <f>HYPERLINK("https://twitter.com/mariana64692094/status/1641296114933440518")</f>
        <v>https://twitter.com/mariana64692094/status/1641296114933440518</v>
      </c>
      <c r="AF963" s="79">
        <v>45015.185902777775</v>
      </c>
      <c r="AG963" s="85">
        <v>45015</v>
      </c>
      <c r="AH963" s="81" t="s">
        <v>6720</v>
      </c>
      <c r="AI963" s="77"/>
      <c r="AJ963" s="77"/>
      <c r="AK963" s="77"/>
      <c r="AL963" s="77"/>
      <c r="AM963" s="77"/>
      <c r="AN963" s="77"/>
      <c r="AO963" s="77"/>
      <c r="AP963" s="77"/>
      <c r="AQ963" s="77"/>
      <c r="AR963" s="77"/>
      <c r="AS963" s="77"/>
      <c r="AT963" s="77"/>
      <c r="AU963" s="77"/>
      <c r="AV963" s="83" t="str">
        <f>HYPERLINK("https://pbs.twimg.com/profile_images/1554626465731383298/9KudSdu0_normal.jpg")</f>
        <v>https://pbs.twimg.com/profile_images/1554626465731383298/9KudSdu0_normal.jpg</v>
      </c>
      <c r="AW963" s="81" t="s">
        <v>10175</v>
      </c>
      <c r="AX963" s="81" t="s">
        <v>11268</v>
      </c>
      <c r="AY963" s="81" t="s">
        <v>11334</v>
      </c>
      <c r="AZ963" s="81" t="s">
        <v>11268</v>
      </c>
      <c r="BA963" s="81" t="s">
        <v>11359</v>
      </c>
      <c r="BB963" s="81" t="s">
        <v>11359</v>
      </c>
      <c r="BC963" s="81" t="s">
        <v>11268</v>
      </c>
      <c r="BD963" s="81" t="s">
        <v>11523</v>
      </c>
      <c r="BE963" s="77"/>
      <c r="BF963" s="77"/>
      <c r="BG963" s="77"/>
      <c r="BH963" s="77"/>
      <c r="BI963" s="77"/>
    </row>
    <row r="964" spans="1:61" x14ac:dyDescent="0.25">
      <c r="A964" s="62" t="s">
        <v>460</v>
      </c>
      <c r="B964" s="62" t="s">
        <v>918</v>
      </c>
      <c r="C964" s="63"/>
      <c r="D964" s="64"/>
      <c r="E964" s="65"/>
      <c r="F964" s="66"/>
      <c r="G964" s="63"/>
      <c r="H964" s="67"/>
      <c r="I964" s="68"/>
      <c r="J964" s="68"/>
      <c r="K964" s="32"/>
      <c r="L964" s="75">
        <v>964</v>
      </c>
      <c r="M964" s="75"/>
      <c r="N964" s="70"/>
      <c r="O964" s="77" t="s">
        <v>970</v>
      </c>
      <c r="P964" s="79">
        <v>45026.270208333335</v>
      </c>
      <c r="Q964" s="77" t="s">
        <v>1854</v>
      </c>
      <c r="R964" s="77">
        <v>0</v>
      </c>
      <c r="S964" s="77">
        <v>0</v>
      </c>
      <c r="T964" s="77">
        <v>0</v>
      </c>
      <c r="U964" s="77">
        <v>0</v>
      </c>
      <c r="V964" s="77">
        <v>47</v>
      </c>
      <c r="W964" s="81" t="s">
        <v>3454</v>
      </c>
      <c r="X964" s="77"/>
      <c r="Y964" s="77"/>
      <c r="Z964" s="77" t="s">
        <v>4375</v>
      </c>
      <c r="AA964" s="77"/>
      <c r="AB964" s="77"/>
      <c r="AC964" s="81" t="s">
        <v>5803</v>
      </c>
      <c r="AD964" s="77" t="s">
        <v>5850</v>
      </c>
      <c r="AE964" s="83" t="str">
        <f>HYPERLINK("https://twitter.com/mariana64692094/status/1645312935554588672")</f>
        <v>https://twitter.com/mariana64692094/status/1645312935554588672</v>
      </c>
      <c r="AF964" s="79">
        <v>45026.270208333335</v>
      </c>
      <c r="AG964" s="85">
        <v>45026</v>
      </c>
      <c r="AH964" s="81" t="s">
        <v>6721</v>
      </c>
      <c r="AI964" s="77"/>
      <c r="AJ964" s="77"/>
      <c r="AK964" s="77"/>
      <c r="AL964" s="77"/>
      <c r="AM964" s="77"/>
      <c r="AN964" s="77"/>
      <c r="AO964" s="77"/>
      <c r="AP964" s="77"/>
      <c r="AQ964" s="77"/>
      <c r="AR964" s="77"/>
      <c r="AS964" s="77"/>
      <c r="AT964" s="77"/>
      <c r="AU964" s="77"/>
      <c r="AV964" s="83" t="str">
        <f>HYPERLINK("https://pbs.twimg.com/profile_images/1554626465731383298/9KudSdu0_normal.jpg")</f>
        <v>https://pbs.twimg.com/profile_images/1554626465731383298/9KudSdu0_normal.jpg</v>
      </c>
      <c r="AW964" s="81" t="s">
        <v>10176</v>
      </c>
      <c r="AX964" s="81" t="s">
        <v>11269</v>
      </c>
      <c r="AY964" s="81" t="s">
        <v>11334</v>
      </c>
      <c r="AZ964" s="81" t="s">
        <v>11269</v>
      </c>
      <c r="BA964" s="81" t="s">
        <v>11359</v>
      </c>
      <c r="BB964" s="81" t="s">
        <v>11359</v>
      </c>
      <c r="BC964" s="81" t="s">
        <v>11269</v>
      </c>
      <c r="BD964" s="81" t="s">
        <v>11523</v>
      </c>
      <c r="BE964" s="77"/>
      <c r="BF964" s="77"/>
      <c r="BG964" s="77"/>
      <c r="BH964" s="77"/>
      <c r="BI964" s="77"/>
    </row>
    <row r="965" spans="1:61" x14ac:dyDescent="0.25">
      <c r="A965" s="62" t="s">
        <v>460</v>
      </c>
      <c r="B965" s="62" t="s">
        <v>918</v>
      </c>
      <c r="C965" s="63"/>
      <c r="D965" s="64"/>
      <c r="E965" s="65"/>
      <c r="F965" s="66"/>
      <c r="G965" s="63"/>
      <c r="H965" s="67"/>
      <c r="I965" s="68"/>
      <c r="J965" s="68"/>
      <c r="K965" s="32"/>
      <c r="L965" s="75">
        <v>965</v>
      </c>
      <c r="M965" s="75"/>
      <c r="N965" s="70"/>
      <c r="O965" s="77" t="s">
        <v>970</v>
      </c>
      <c r="P965" s="79">
        <v>45026.269224537034</v>
      </c>
      <c r="Q965" s="77" t="s">
        <v>1855</v>
      </c>
      <c r="R965" s="77">
        <v>0</v>
      </c>
      <c r="S965" s="77">
        <v>0</v>
      </c>
      <c r="T965" s="77">
        <v>0</v>
      </c>
      <c r="U965" s="77">
        <v>0</v>
      </c>
      <c r="V965" s="77">
        <v>48</v>
      </c>
      <c r="W965" s="81" t="s">
        <v>3455</v>
      </c>
      <c r="X965" s="77"/>
      <c r="Y965" s="77"/>
      <c r="Z965" s="77" t="s">
        <v>4375</v>
      </c>
      <c r="AA965" s="77"/>
      <c r="AB965" s="77"/>
      <c r="AC965" s="81" t="s">
        <v>5803</v>
      </c>
      <c r="AD965" s="77" t="s">
        <v>5850</v>
      </c>
      <c r="AE965" s="83" t="str">
        <f>HYPERLINK("https://twitter.com/mariana64692094/status/1645312576350302209")</f>
        <v>https://twitter.com/mariana64692094/status/1645312576350302209</v>
      </c>
      <c r="AF965" s="79">
        <v>45026.269224537034</v>
      </c>
      <c r="AG965" s="85">
        <v>45026</v>
      </c>
      <c r="AH965" s="81" t="s">
        <v>6722</v>
      </c>
      <c r="AI965" s="77"/>
      <c r="AJ965" s="77"/>
      <c r="AK965" s="77"/>
      <c r="AL965" s="77"/>
      <c r="AM965" s="77"/>
      <c r="AN965" s="77"/>
      <c r="AO965" s="77"/>
      <c r="AP965" s="77"/>
      <c r="AQ965" s="77"/>
      <c r="AR965" s="77"/>
      <c r="AS965" s="77"/>
      <c r="AT965" s="77"/>
      <c r="AU965" s="77"/>
      <c r="AV965" s="83" t="str">
        <f>HYPERLINK("https://pbs.twimg.com/profile_images/1554626465731383298/9KudSdu0_normal.jpg")</f>
        <v>https://pbs.twimg.com/profile_images/1554626465731383298/9KudSdu0_normal.jpg</v>
      </c>
      <c r="AW965" s="81" t="s">
        <v>10177</v>
      </c>
      <c r="AX965" s="81" t="s">
        <v>11270</v>
      </c>
      <c r="AY965" s="81" t="s">
        <v>11334</v>
      </c>
      <c r="AZ965" s="81" t="s">
        <v>11270</v>
      </c>
      <c r="BA965" s="81" t="s">
        <v>11359</v>
      </c>
      <c r="BB965" s="81" t="s">
        <v>11359</v>
      </c>
      <c r="BC965" s="81" t="s">
        <v>11270</v>
      </c>
      <c r="BD965" s="81" t="s">
        <v>11523</v>
      </c>
      <c r="BE965" s="77"/>
      <c r="BF965" s="77"/>
      <c r="BG965" s="77"/>
      <c r="BH965" s="77"/>
      <c r="BI965" s="77"/>
    </row>
    <row r="966" spans="1:61" x14ac:dyDescent="0.25">
      <c r="A966" s="62" t="s">
        <v>460</v>
      </c>
      <c r="B966" s="62" t="s">
        <v>918</v>
      </c>
      <c r="C966" s="63"/>
      <c r="D966" s="64"/>
      <c r="E966" s="65"/>
      <c r="F966" s="66"/>
      <c r="G966" s="63"/>
      <c r="H966" s="67"/>
      <c r="I966" s="68"/>
      <c r="J966" s="68"/>
      <c r="K966" s="32"/>
      <c r="L966" s="75">
        <v>966</v>
      </c>
      <c r="M966" s="75"/>
      <c r="N966" s="70"/>
      <c r="O966" s="77" t="s">
        <v>970</v>
      </c>
      <c r="P966" s="79">
        <v>45024.010347222225</v>
      </c>
      <c r="Q966" s="77" t="s">
        <v>1856</v>
      </c>
      <c r="R966" s="77">
        <v>0</v>
      </c>
      <c r="S966" s="77">
        <v>0</v>
      </c>
      <c r="T966" s="77">
        <v>0</v>
      </c>
      <c r="U966" s="77">
        <v>0</v>
      </c>
      <c r="V966" s="77">
        <v>27</v>
      </c>
      <c r="W966" s="81" t="s">
        <v>3456</v>
      </c>
      <c r="X966" s="77"/>
      <c r="Y966" s="77"/>
      <c r="Z966" s="77" t="s">
        <v>4375</v>
      </c>
      <c r="AA966" s="77"/>
      <c r="AB966" s="77"/>
      <c r="AC966" s="81" t="s">
        <v>5803</v>
      </c>
      <c r="AD966" s="77" t="s">
        <v>5850</v>
      </c>
      <c r="AE966" s="83" t="str">
        <f>HYPERLINK("https://twitter.com/mariana64692094/status/1644493987582205952")</f>
        <v>https://twitter.com/mariana64692094/status/1644493987582205952</v>
      </c>
      <c r="AF966" s="79">
        <v>45024.010347222225</v>
      </c>
      <c r="AG966" s="85">
        <v>45024</v>
      </c>
      <c r="AH966" s="81" t="s">
        <v>6723</v>
      </c>
      <c r="AI966" s="77"/>
      <c r="AJ966" s="77"/>
      <c r="AK966" s="77"/>
      <c r="AL966" s="77"/>
      <c r="AM966" s="77"/>
      <c r="AN966" s="77"/>
      <c r="AO966" s="77"/>
      <c r="AP966" s="77"/>
      <c r="AQ966" s="77"/>
      <c r="AR966" s="77"/>
      <c r="AS966" s="77"/>
      <c r="AT966" s="77"/>
      <c r="AU966" s="77"/>
      <c r="AV966" s="83" t="str">
        <f>HYPERLINK("https://pbs.twimg.com/profile_images/1554626465731383298/9KudSdu0_normal.jpg")</f>
        <v>https://pbs.twimg.com/profile_images/1554626465731383298/9KudSdu0_normal.jpg</v>
      </c>
      <c r="AW966" s="81" t="s">
        <v>10178</v>
      </c>
      <c r="AX966" s="81" t="s">
        <v>11271</v>
      </c>
      <c r="AY966" s="81" t="s">
        <v>11334</v>
      </c>
      <c r="AZ966" s="81" t="s">
        <v>11271</v>
      </c>
      <c r="BA966" s="81" t="s">
        <v>11359</v>
      </c>
      <c r="BB966" s="81" t="s">
        <v>11359</v>
      </c>
      <c r="BC966" s="81" t="s">
        <v>11271</v>
      </c>
      <c r="BD966" s="81" t="s">
        <v>11523</v>
      </c>
      <c r="BE966" s="77"/>
      <c r="BF966" s="77"/>
      <c r="BG966" s="77"/>
      <c r="BH966" s="77"/>
      <c r="BI966" s="77"/>
    </row>
    <row r="967" spans="1:61" x14ac:dyDescent="0.25">
      <c r="A967" s="62" t="s">
        <v>460</v>
      </c>
      <c r="B967" s="62" t="s">
        <v>918</v>
      </c>
      <c r="C967" s="63"/>
      <c r="D967" s="64"/>
      <c r="E967" s="65"/>
      <c r="F967" s="66"/>
      <c r="G967" s="63"/>
      <c r="H967" s="67"/>
      <c r="I967" s="68"/>
      <c r="J967" s="68"/>
      <c r="K967" s="32"/>
      <c r="L967" s="75">
        <v>967</v>
      </c>
      <c r="M967" s="75"/>
      <c r="N967" s="70"/>
      <c r="O967" s="77" t="s">
        <v>970</v>
      </c>
      <c r="P967" s="79">
        <v>45020.107187499998</v>
      </c>
      <c r="Q967" s="77" t="s">
        <v>1857</v>
      </c>
      <c r="R967" s="77">
        <v>0</v>
      </c>
      <c r="S967" s="77">
        <v>0</v>
      </c>
      <c r="T967" s="77">
        <v>0</v>
      </c>
      <c r="U967" s="77">
        <v>0</v>
      </c>
      <c r="V967" s="77">
        <v>16</v>
      </c>
      <c r="W967" s="81" t="s">
        <v>3457</v>
      </c>
      <c r="X967" s="77"/>
      <c r="Y967" s="77"/>
      <c r="Z967" s="77" t="s">
        <v>4375</v>
      </c>
      <c r="AA967" s="77"/>
      <c r="AB967" s="77"/>
      <c r="AC967" s="81" t="s">
        <v>5803</v>
      </c>
      <c r="AD967" s="77" t="s">
        <v>5850</v>
      </c>
      <c r="AE967" s="83" t="str">
        <f>HYPERLINK("https://twitter.com/mariana64692094/status/1643079528548368387")</f>
        <v>https://twitter.com/mariana64692094/status/1643079528548368387</v>
      </c>
      <c r="AF967" s="79">
        <v>45020.107187499998</v>
      </c>
      <c r="AG967" s="85">
        <v>45020</v>
      </c>
      <c r="AH967" s="81" t="s">
        <v>6724</v>
      </c>
      <c r="AI967" s="77"/>
      <c r="AJ967" s="77"/>
      <c r="AK967" s="77"/>
      <c r="AL967" s="77"/>
      <c r="AM967" s="77"/>
      <c r="AN967" s="77"/>
      <c r="AO967" s="77"/>
      <c r="AP967" s="77"/>
      <c r="AQ967" s="77"/>
      <c r="AR967" s="77"/>
      <c r="AS967" s="77"/>
      <c r="AT967" s="77"/>
      <c r="AU967" s="77"/>
      <c r="AV967" s="83" t="str">
        <f>HYPERLINK("https://pbs.twimg.com/profile_images/1554626465731383298/9KudSdu0_normal.jpg")</f>
        <v>https://pbs.twimg.com/profile_images/1554626465731383298/9KudSdu0_normal.jpg</v>
      </c>
      <c r="AW967" s="81" t="s">
        <v>10179</v>
      </c>
      <c r="AX967" s="81" t="s">
        <v>11272</v>
      </c>
      <c r="AY967" s="81" t="s">
        <v>11334</v>
      </c>
      <c r="AZ967" s="81" t="s">
        <v>11272</v>
      </c>
      <c r="BA967" s="81" t="s">
        <v>11359</v>
      </c>
      <c r="BB967" s="81" t="s">
        <v>11359</v>
      </c>
      <c r="BC967" s="81" t="s">
        <v>11272</v>
      </c>
      <c r="BD967" s="81" t="s">
        <v>11523</v>
      </c>
      <c r="BE967" s="77"/>
      <c r="BF967" s="77"/>
      <c r="BG967" s="77"/>
      <c r="BH967" s="77"/>
      <c r="BI967" s="77"/>
    </row>
    <row r="968" spans="1:61" x14ac:dyDescent="0.25">
      <c r="A968" s="62" t="s">
        <v>460</v>
      </c>
      <c r="B968" s="62" t="s">
        <v>918</v>
      </c>
      <c r="C968" s="63"/>
      <c r="D968" s="64"/>
      <c r="E968" s="65"/>
      <c r="F968" s="66"/>
      <c r="G968" s="63"/>
      <c r="H968" s="67"/>
      <c r="I968" s="68"/>
      <c r="J968" s="68"/>
      <c r="K968" s="32"/>
      <c r="L968" s="75">
        <v>968</v>
      </c>
      <c r="M968" s="75"/>
      <c r="N968" s="70"/>
      <c r="O968" s="77" t="s">
        <v>970</v>
      </c>
      <c r="P968" s="79">
        <v>45041.24554398148</v>
      </c>
      <c r="Q968" s="77" t="s">
        <v>1858</v>
      </c>
      <c r="R968" s="77">
        <v>0</v>
      </c>
      <c r="S968" s="77">
        <v>0</v>
      </c>
      <c r="T968" s="77">
        <v>0</v>
      </c>
      <c r="U968" s="77">
        <v>0</v>
      </c>
      <c r="V968" s="77">
        <v>23</v>
      </c>
      <c r="W968" s="81" t="s">
        <v>3458</v>
      </c>
      <c r="X968" s="77"/>
      <c r="Y968" s="77"/>
      <c r="Z968" s="77" t="s">
        <v>4375</v>
      </c>
      <c r="AA968" s="77"/>
      <c r="AB968" s="77"/>
      <c r="AC968" s="81" t="s">
        <v>5803</v>
      </c>
      <c r="AD968" s="77" t="s">
        <v>5850</v>
      </c>
      <c r="AE968" s="83" t="str">
        <f>HYPERLINK("https://twitter.com/mariana64692094/status/1650739811584540673")</f>
        <v>https://twitter.com/mariana64692094/status/1650739811584540673</v>
      </c>
      <c r="AF968" s="79">
        <v>45041.24554398148</v>
      </c>
      <c r="AG968" s="85">
        <v>45041</v>
      </c>
      <c r="AH968" s="81" t="s">
        <v>6725</v>
      </c>
      <c r="AI968" s="77"/>
      <c r="AJ968" s="77"/>
      <c r="AK968" s="77"/>
      <c r="AL968" s="77"/>
      <c r="AM968" s="77"/>
      <c r="AN968" s="77"/>
      <c r="AO968" s="77"/>
      <c r="AP968" s="77"/>
      <c r="AQ968" s="77"/>
      <c r="AR968" s="77"/>
      <c r="AS968" s="77"/>
      <c r="AT968" s="77"/>
      <c r="AU968" s="77"/>
      <c r="AV968" s="83" t="str">
        <f>HYPERLINK("https://pbs.twimg.com/profile_images/1554626465731383298/9KudSdu0_normal.jpg")</f>
        <v>https://pbs.twimg.com/profile_images/1554626465731383298/9KudSdu0_normal.jpg</v>
      </c>
      <c r="AW968" s="81" t="s">
        <v>10180</v>
      </c>
      <c r="AX968" s="81" t="s">
        <v>11273</v>
      </c>
      <c r="AY968" s="81" t="s">
        <v>11334</v>
      </c>
      <c r="AZ968" s="81" t="s">
        <v>11273</v>
      </c>
      <c r="BA968" s="81" t="s">
        <v>11359</v>
      </c>
      <c r="BB968" s="81" t="s">
        <v>11359</v>
      </c>
      <c r="BC968" s="81" t="s">
        <v>11273</v>
      </c>
      <c r="BD968" s="81" t="s">
        <v>11523</v>
      </c>
      <c r="BE968" s="77"/>
      <c r="BF968" s="77"/>
      <c r="BG968" s="77"/>
      <c r="BH968" s="77"/>
      <c r="BI968" s="77"/>
    </row>
    <row r="969" spans="1:61" x14ac:dyDescent="0.25">
      <c r="A969" s="62" t="s">
        <v>460</v>
      </c>
      <c r="B969" s="62" t="s">
        <v>918</v>
      </c>
      <c r="C969" s="63"/>
      <c r="D969" s="64"/>
      <c r="E969" s="65"/>
      <c r="F969" s="66"/>
      <c r="G969" s="63"/>
      <c r="H969" s="67"/>
      <c r="I969" s="68"/>
      <c r="J969" s="68"/>
      <c r="K969" s="32"/>
      <c r="L969" s="75">
        <v>969</v>
      </c>
      <c r="M969" s="75"/>
      <c r="N969" s="70"/>
      <c r="O969" s="77" t="s">
        <v>970</v>
      </c>
      <c r="P969" s="79">
        <v>45041.243460648147</v>
      </c>
      <c r="Q969" s="77" t="s">
        <v>1859</v>
      </c>
      <c r="R969" s="77">
        <v>0</v>
      </c>
      <c r="S969" s="77">
        <v>0</v>
      </c>
      <c r="T969" s="77">
        <v>0</v>
      </c>
      <c r="U969" s="77">
        <v>0</v>
      </c>
      <c r="V969" s="77">
        <v>26</v>
      </c>
      <c r="W969" s="81" t="s">
        <v>3455</v>
      </c>
      <c r="X969" s="77"/>
      <c r="Y969" s="77"/>
      <c r="Z969" s="77" t="s">
        <v>4375</v>
      </c>
      <c r="AA969" s="77"/>
      <c r="AB969" s="77"/>
      <c r="AC969" s="81" t="s">
        <v>5803</v>
      </c>
      <c r="AD969" s="77" t="s">
        <v>5850</v>
      </c>
      <c r="AE969" s="83" t="str">
        <f>HYPERLINK("https://twitter.com/mariana64692094/status/1650739059294187520")</f>
        <v>https://twitter.com/mariana64692094/status/1650739059294187520</v>
      </c>
      <c r="AF969" s="79">
        <v>45041.243460648147</v>
      </c>
      <c r="AG969" s="85">
        <v>45041</v>
      </c>
      <c r="AH969" s="81" t="s">
        <v>6726</v>
      </c>
      <c r="AI969" s="77"/>
      <c r="AJ969" s="77"/>
      <c r="AK969" s="77"/>
      <c r="AL969" s="77"/>
      <c r="AM969" s="77"/>
      <c r="AN969" s="77"/>
      <c r="AO969" s="77"/>
      <c r="AP969" s="77"/>
      <c r="AQ969" s="77"/>
      <c r="AR969" s="77"/>
      <c r="AS969" s="77"/>
      <c r="AT969" s="77"/>
      <c r="AU969" s="77"/>
      <c r="AV969" s="83" t="str">
        <f>HYPERLINK("https://pbs.twimg.com/profile_images/1554626465731383298/9KudSdu0_normal.jpg")</f>
        <v>https://pbs.twimg.com/profile_images/1554626465731383298/9KudSdu0_normal.jpg</v>
      </c>
      <c r="AW969" s="81" t="s">
        <v>10181</v>
      </c>
      <c r="AX969" s="81" t="s">
        <v>11274</v>
      </c>
      <c r="AY969" s="81" t="s">
        <v>11334</v>
      </c>
      <c r="AZ969" s="81" t="s">
        <v>11274</v>
      </c>
      <c r="BA969" s="81" t="s">
        <v>11359</v>
      </c>
      <c r="BB969" s="81" t="s">
        <v>11359</v>
      </c>
      <c r="BC969" s="81" t="s">
        <v>11274</v>
      </c>
      <c r="BD969" s="81" t="s">
        <v>11523</v>
      </c>
      <c r="BE969" s="77"/>
      <c r="BF969" s="77"/>
      <c r="BG969" s="77"/>
      <c r="BH969" s="77"/>
      <c r="BI969" s="77"/>
    </row>
    <row r="970" spans="1:61" x14ac:dyDescent="0.25">
      <c r="A970" s="62" t="s">
        <v>460</v>
      </c>
      <c r="B970" s="62" t="s">
        <v>918</v>
      </c>
      <c r="C970" s="63"/>
      <c r="D970" s="64"/>
      <c r="E970" s="65"/>
      <c r="F970" s="66"/>
      <c r="G970" s="63"/>
      <c r="H970" s="67"/>
      <c r="I970" s="68"/>
      <c r="J970" s="68"/>
      <c r="K970" s="32"/>
      <c r="L970" s="75">
        <v>970</v>
      </c>
      <c r="M970" s="75"/>
      <c r="N970" s="70"/>
      <c r="O970" s="77" t="s">
        <v>970</v>
      </c>
      <c r="P970" s="79">
        <v>45039.068622685183</v>
      </c>
      <c r="Q970" s="77" t="s">
        <v>1860</v>
      </c>
      <c r="R970" s="77">
        <v>0</v>
      </c>
      <c r="S970" s="77">
        <v>0</v>
      </c>
      <c r="T970" s="77">
        <v>0</v>
      </c>
      <c r="U970" s="77">
        <v>0</v>
      </c>
      <c r="V970" s="77">
        <v>17</v>
      </c>
      <c r="W970" s="81" t="s">
        <v>3454</v>
      </c>
      <c r="X970" s="77"/>
      <c r="Y970" s="77"/>
      <c r="Z970" s="77" t="s">
        <v>4375</v>
      </c>
      <c r="AA970" s="77"/>
      <c r="AB970" s="77"/>
      <c r="AC970" s="81" t="s">
        <v>5803</v>
      </c>
      <c r="AD970" s="77" t="s">
        <v>5850</v>
      </c>
      <c r="AE970" s="83" t="str">
        <f>HYPERLINK("https://twitter.com/mariana64692094/status/1649950925241368577")</f>
        <v>https://twitter.com/mariana64692094/status/1649950925241368577</v>
      </c>
      <c r="AF970" s="79">
        <v>45039.068622685183</v>
      </c>
      <c r="AG970" s="85">
        <v>45039</v>
      </c>
      <c r="AH970" s="81" t="s">
        <v>6727</v>
      </c>
      <c r="AI970" s="77"/>
      <c r="AJ970" s="77"/>
      <c r="AK970" s="77"/>
      <c r="AL970" s="77"/>
      <c r="AM970" s="77"/>
      <c r="AN970" s="77"/>
      <c r="AO970" s="77"/>
      <c r="AP970" s="77"/>
      <c r="AQ970" s="77"/>
      <c r="AR970" s="77"/>
      <c r="AS970" s="77"/>
      <c r="AT970" s="77"/>
      <c r="AU970" s="77"/>
      <c r="AV970" s="83" t="str">
        <f>HYPERLINK("https://pbs.twimg.com/profile_images/1554626465731383298/9KudSdu0_normal.jpg")</f>
        <v>https://pbs.twimg.com/profile_images/1554626465731383298/9KudSdu0_normal.jpg</v>
      </c>
      <c r="AW970" s="81" t="s">
        <v>10182</v>
      </c>
      <c r="AX970" s="81" t="s">
        <v>11275</v>
      </c>
      <c r="AY970" s="81" t="s">
        <v>11334</v>
      </c>
      <c r="AZ970" s="81" t="s">
        <v>11275</v>
      </c>
      <c r="BA970" s="81" t="s">
        <v>11359</v>
      </c>
      <c r="BB970" s="81" t="s">
        <v>11359</v>
      </c>
      <c r="BC970" s="81" t="s">
        <v>11275</v>
      </c>
      <c r="BD970" s="81" t="s">
        <v>11523</v>
      </c>
      <c r="BE970" s="77"/>
      <c r="BF970" s="77"/>
      <c r="BG970" s="77"/>
      <c r="BH970" s="77"/>
      <c r="BI970" s="77"/>
    </row>
    <row r="971" spans="1:61" x14ac:dyDescent="0.25">
      <c r="A971" s="62" t="s">
        <v>460</v>
      </c>
      <c r="B971" s="62" t="s">
        <v>918</v>
      </c>
      <c r="C971" s="63"/>
      <c r="D971" s="64"/>
      <c r="E971" s="65"/>
      <c r="F971" s="66"/>
      <c r="G971" s="63"/>
      <c r="H971" s="67"/>
      <c r="I971" s="68"/>
      <c r="J971" s="68"/>
      <c r="K971" s="32"/>
      <c r="L971" s="75">
        <v>971</v>
      </c>
      <c r="M971" s="75"/>
      <c r="N971" s="70"/>
      <c r="O971" s="77" t="s">
        <v>970</v>
      </c>
      <c r="P971" s="79">
        <v>45048.088692129626</v>
      </c>
      <c r="Q971" s="77" t="s">
        <v>1861</v>
      </c>
      <c r="R971" s="77">
        <v>0</v>
      </c>
      <c r="S971" s="77">
        <v>0</v>
      </c>
      <c r="T971" s="77">
        <v>0</v>
      </c>
      <c r="U971" s="77">
        <v>0</v>
      </c>
      <c r="V971" s="77">
        <v>24</v>
      </c>
      <c r="W971" s="81" t="s">
        <v>3459</v>
      </c>
      <c r="X971" s="77"/>
      <c r="Y971" s="77"/>
      <c r="Z971" s="77" t="s">
        <v>4375</v>
      </c>
      <c r="AA971" s="77"/>
      <c r="AB971" s="77"/>
      <c r="AC971" s="81" t="s">
        <v>5803</v>
      </c>
      <c r="AD971" s="77" t="s">
        <v>5850</v>
      </c>
      <c r="AE971" s="83" t="str">
        <f>HYPERLINK("https://twitter.com/mariana64692094/status/1653219687285628929")</f>
        <v>https://twitter.com/mariana64692094/status/1653219687285628929</v>
      </c>
      <c r="AF971" s="79">
        <v>45048.088692129626</v>
      </c>
      <c r="AG971" s="85">
        <v>45048</v>
      </c>
      <c r="AH971" s="81" t="s">
        <v>6493</v>
      </c>
      <c r="AI971" s="77"/>
      <c r="AJ971" s="77"/>
      <c r="AK971" s="77"/>
      <c r="AL971" s="77"/>
      <c r="AM971" s="77"/>
      <c r="AN971" s="77"/>
      <c r="AO971" s="77"/>
      <c r="AP971" s="77"/>
      <c r="AQ971" s="77"/>
      <c r="AR971" s="77"/>
      <c r="AS971" s="77"/>
      <c r="AT971" s="77"/>
      <c r="AU971" s="77"/>
      <c r="AV971" s="83" t="str">
        <f>HYPERLINK("https://pbs.twimg.com/profile_images/1554626465731383298/9KudSdu0_normal.jpg")</f>
        <v>https://pbs.twimg.com/profile_images/1554626465731383298/9KudSdu0_normal.jpg</v>
      </c>
      <c r="AW971" s="81" t="s">
        <v>10183</v>
      </c>
      <c r="AX971" s="81" t="s">
        <v>11276</v>
      </c>
      <c r="AY971" s="81" t="s">
        <v>11334</v>
      </c>
      <c r="AZ971" s="81" t="s">
        <v>11276</v>
      </c>
      <c r="BA971" s="81" t="s">
        <v>11359</v>
      </c>
      <c r="BB971" s="81" t="s">
        <v>11359</v>
      </c>
      <c r="BC971" s="81" t="s">
        <v>11276</v>
      </c>
      <c r="BD971" s="81" t="s">
        <v>11523</v>
      </c>
      <c r="BE971" s="77"/>
      <c r="BF971" s="77"/>
      <c r="BG971" s="77"/>
      <c r="BH971" s="77"/>
      <c r="BI971" s="77"/>
    </row>
    <row r="972" spans="1:61" x14ac:dyDescent="0.25">
      <c r="A972" s="62" t="s">
        <v>460</v>
      </c>
      <c r="B972" s="62" t="s">
        <v>918</v>
      </c>
      <c r="C972" s="63"/>
      <c r="D972" s="64"/>
      <c r="E972" s="65"/>
      <c r="F972" s="66"/>
      <c r="G972" s="63"/>
      <c r="H972" s="67"/>
      <c r="I972" s="68"/>
      <c r="J972" s="68"/>
      <c r="K972" s="32"/>
      <c r="L972" s="75">
        <v>972</v>
      </c>
      <c r="M972" s="75"/>
      <c r="N972" s="70"/>
      <c r="O972" s="77" t="s">
        <v>970</v>
      </c>
      <c r="P972" s="79">
        <v>45046.123553240737</v>
      </c>
      <c r="Q972" s="77" t="s">
        <v>1862</v>
      </c>
      <c r="R972" s="77">
        <v>0</v>
      </c>
      <c r="S972" s="77">
        <v>0</v>
      </c>
      <c r="T972" s="77">
        <v>0</v>
      </c>
      <c r="U972" s="77">
        <v>0</v>
      </c>
      <c r="V972" s="77">
        <v>33</v>
      </c>
      <c r="W972" s="81" t="s">
        <v>3453</v>
      </c>
      <c r="X972" s="77"/>
      <c r="Y972" s="77"/>
      <c r="Z972" s="77" t="s">
        <v>4375</v>
      </c>
      <c r="AA972" s="77"/>
      <c r="AB972" s="77"/>
      <c r="AC972" s="81" t="s">
        <v>5803</v>
      </c>
      <c r="AD972" s="77" t="s">
        <v>5850</v>
      </c>
      <c r="AE972" s="83" t="str">
        <f>HYPERLINK("https://twitter.com/mariana64692094/status/1652507543720148992")</f>
        <v>https://twitter.com/mariana64692094/status/1652507543720148992</v>
      </c>
      <c r="AF972" s="79">
        <v>45046.123553240737</v>
      </c>
      <c r="AG972" s="85">
        <v>45046</v>
      </c>
      <c r="AH972" s="81" t="s">
        <v>6728</v>
      </c>
      <c r="AI972" s="77"/>
      <c r="AJ972" s="77"/>
      <c r="AK972" s="77"/>
      <c r="AL972" s="77"/>
      <c r="AM972" s="77"/>
      <c r="AN972" s="77"/>
      <c r="AO972" s="77"/>
      <c r="AP972" s="77"/>
      <c r="AQ972" s="77"/>
      <c r="AR972" s="77"/>
      <c r="AS972" s="77"/>
      <c r="AT972" s="77"/>
      <c r="AU972" s="77"/>
      <c r="AV972" s="83" t="str">
        <f>HYPERLINK("https://pbs.twimg.com/profile_images/1554626465731383298/9KudSdu0_normal.jpg")</f>
        <v>https://pbs.twimg.com/profile_images/1554626465731383298/9KudSdu0_normal.jpg</v>
      </c>
      <c r="AW972" s="81" t="s">
        <v>10184</v>
      </c>
      <c r="AX972" s="81" t="s">
        <v>11277</v>
      </c>
      <c r="AY972" s="81" t="s">
        <v>11334</v>
      </c>
      <c r="AZ972" s="81" t="s">
        <v>11277</v>
      </c>
      <c r="BA972" s="81" t="s">
        <v>11359</v>
      </c>
      <c r="BB972" s="81" t="s">
        <v>11359</v>
      </c>
      <c r="BC972" s="81" t="s">
        <v>11277</v>
      </c>
      <c r="BD972" s="81" t="s">
        <v>11523</v>
      </c>
      <c r="BE972" s="77"/>
      <c r="BF972" s="77"/>
      <c r="BG972" s="77"/>
      <c r="BH972" s="77"/>
      <c r="BI972" s="77"/>
    </row>
    <row r="973" spans="1:61" x14ac:dyDescent="0.25">
      <c r="A973" s="62" t="s">
        <v>460</v>
      </c>
      <c r="B973" s="62" t="s">
        <v>918</v>
      </c>
      <c r="C973" s="63"/>
      <c r="D973" s="64"/>
      <c r="E973" s="65"/>
      <c r="F973" s="66"/>
      <c r="G973" s="63"/>
      <c r="H973" s="67"/>
      <c r="I973" s="68"/>
      <c r="J973" s="68"/>
      <c r="K973" s="32"/>
      <c r="L973" s="75">
        <v>973</v>
      </c>
      <c r="M973" s="75"/>
      <c r="N973" s="70"/>
      <c r="O973" s="77" t="s">
        <v>970</v>
      </c>
      <c r="P973" s="79">
        <v>45044.241956018515</v>
      </c>
      <c r="Q973" s="77" t="s">
        <v>1863</v>
      </c>
      <c r="R973" s="77">
        <v>0</v>
      </c>
      <c r="S973" s="77">
        <v>0</v>
      </c>
      <c r="T973" s="77">
        <v>0</v>
      </c>
      <c r="U973" s="77">
        <v>0</v>
      </c>
      <c r="V973" s="77">
        <v>22</v>
      </c>
      <c r="W973" s="81" t="s">
        <v>3453</v>
      </c>
      <c r="X973" s="77"/>
      <c r="Y973" s="77"/>
      <c r="Z973" s="77" t="s">
        <v>4375</v>
      </c>
      <c r="AA973" s="77"/>
      <c r="AB973" s="77"/>
      <c r="AC973" s="81" t="s">
        <v>5803</v>
      </c>
      <c r="AD973" s="77" t="s">
        <v>5850</v>
      </c>
      <c r="AE973" s="83" t="str">
        <f>HYPERLINK("https://twitter.com/mariana64692094/status/1651825678495502336")</f>
        <v>https://twitter.com/mariana64692094/status/1651825678495502336</v>
      </c>
      <c r="AF973" s="79">
        <v>45044.241956018515</v>
      </c>
      <c r="AG973" s="85">
        <v>45044</v>
      </c>
      <c r="AH973" s="81" t="s">
        <v>6729</v>
      </c>
      <c r="AI973" s="77"/>
      <c r="AJ973" s="77"/>
      <c r="AK973" s="77"/>
      <c r="AL973" s="77"/>
      <c r="AM973" s="77"/>
      <c r="AN973" s="77"/>
      <c r="AO973" s="77"/>
      <c r="AP973" s="77"/>
      <c r="AQ973" s="77"/>
      <c r="AR973" s="77"/>
      <c r="AS973" s="77"/>
      <c r="AT973" s="77"/>
      <c r="AU973" s="77"/>
      <c r="AV973" s="83" t="str">
        <f>HYPERLINK("https://pbs.twimg.com/profile_images/1554626465731383298/9KudSdu0_normal.jpg")</f>
        <v>https://pbs.twimg.com/profile_images/1554626465731383298/9KudSdu0_normal.jpg</v>
      </c>
      <c r="AW973" s="81" t="s">
        <v>10185</v>
      </c>
      <c r="AX973" s="81" t="s">
        <v>11278</v>
      </c>
      <c r="AY973" s="81" t="s">
        <v>11334</v>
      </c>
      <c r="AZ973" s="81" t="s">
        <v>11278</v>
      </c>
      <c r="BA973" s="81" t="s">
        <v>11359</v>
      </c>
      <c r="BB973" s="81" t="s">
        <v>11359</v>
      </c>
      <c r="BC973" s="81" t="s">
        <v>11278</v>
      </c>
      <c r="BD973" s="81" t="s">
        <v>11523</v>
      </c>
      <c r="BE973" s="77"/>
      <c r="BF973" s="77"/>
      <c r="BG973" s="77"/>
      <c r="BH973" s="77"/>
      <c r="BI973" s="77"/>
    </row>
    <row r="974" spans="1:61" x14ac:dyDescent="0.25">
      <c r="A974" s="62" t="s">
        <v>460</v>
      </c>
      <c r="B974" s="62" t="s">
        <v>918</v>
      </c>
      <c r="C974" s="63"/>
      <c r="D974" s="64"/>
      <c r="E974" s="65"/>
      <c r="F974" s="66"/>
      <c r="G974" s="63"/>
      <c r="H974" s="67"/>
      <c r="I974" s="68"/>
      <c r="J974" s="68"/>
      <c r="K974" s="32"/>
      <c r="L974" s="75">
        <v>974</v>
      </c>
      <c r="M974" s="75"/>
      <c r="N974" s="70"/>
      <c r="O974" s="77" t="s">
        <v>970</v>
      </c>
      <c r="P974" s="79">
        <v>45004.147870370369</v>
      </c>
      <c r="Q974" s="77" t="s">
        <v>1864</v>
      </c>
      <c r="R974" s="77">
        <v>0</v>
      </c>
      <c r="S974" s="77">
        <v>0</v>
      </c>
      <c r="T974" s="77">
        <v>0</v>
      </c>
      <c r="U974" s="77">
        <v>0</v>
      </c>
      <c r="V974" s="77">
        <v>27</v>
      </c>
      <c r="W974" s="81" t="s">
        <v>3460</v>
      </c>
      <c r="X974" s="77"/>
      <c r="Y974" s="77"/>
      <c r="Z974" s="77" t="s">
        <v>4375</v>
      </c>
      <c r="AA974" s="77"/>
      <c r="AB974" s="77"/>
      <c r="AC974" s="81" t="s">
        <v>5803</v>
      </c>
      <c r="AD974" s="77" t="s">
        <v>5850</v>
      </c>
      <c r="AE974" s="83" t="str">
        <f>HYPERLINK("https://twitter.com/mariana64692094/status/1637296065215885315")</f>
        <v>https://twitter.com/mariana64692094/status/1637296065215885315</v>
      </c>
      <c r="AF974" s="79">
        <v>45004.147870370369</v>
      </c>
      <c r="AG974" s="85">
        <v>45004</v>
      </c>
      <c r="AH974" s="81" t="s">
        <v>6730</v>
      </c>
      <c r="AI974" s="77"/>
      <c r="AJ974" s="77"/>
      <c r="AK974" s="77"/>
      <c r="AL974" s="77"/>
      <c r="AM974" s="77"/>
      <c r="AN974" s="77"/>
      <c r="AO974" s="77"/>
      <c r="AP974" s="77"/>
      <c r="AQ974" s="77"/>
      <c r="AR974" s="77"/>
      <c r="AS974" s="77"/>
      <c r="AT974" s="77"/>
      <c r="AU974" s="77"/>
      <c r="AV974" s="83" t="str">
        <f>HYPERLINK("https://pbs.twimg.com/profile_images/1554626465731383298/9KudSdu0_normal.jpg")</f>
        <v>https://pbs.twimg.com/profile_images/1554626465731383298/9KudSdu0_normal.jpg</v>
      </c>
      <c r="AW974" s="81" t="s">
        <v>10186</v>
      </c>
      <c r="AX974" s="81" t="s">
        <v>11279</v>
      </c>
      <c r="AY974" s="81" t="s">
        <v>11334</v>
      </c>
      <c r="AZ974" s="81" t="s">
        <v>11279</v>
      </c>
      <c r="BA974" s="81" t="s">
        <v>11359</v>
      </c>
      <c r="BB974" s="81" t="s">
        <v>11359</v>
      </c>
      <c r="BC974" s="81" t="s">
        <v>11279</v>
      </c>
      <c r="BD974" s="81" t="s">
        <v>11523</v>
      </c>
      <c r="BE974" s="77"/>
      <c r="BF974" s="77"/>
      <c r="BG974" s="77"/>
      <c r="BH974" s="77"/>
      <c r="BI974" s="77"/>
    </row>
    <row r="975" spans="1:61" x14ac:dyDescent="0.25">
      <c r="A975" s="62" t="s">
        <v>460</v>
      </c>
      <c r="B975" s="62" t="s">
        <v>918</v>
      </c>
      <c r="C975" s="63"/>
      <c r="D975" s="64"/>
      <c r="E975" s="65"/>
      <c r="F975" s="66"/>
      <c r="G975" s="63"/>
      <c r="H975" s="67"/>
      <c r="I975" s="68"/>
      <c r="J975" s="68"/>
      <c r="K975" s="32"/>
      <c r="L975" s="75">
        <v>975</v>
      </c>
      <c r="M975" s="75"/>
      <c r="N975" s="70"/>
      <c r="O975" s="77" t="s">
        <v>970</v>
      </c>
      <c r="P975" s="79">
        <v>45057.135324074072</v>
      </c>
      <c r="Q975" s="77" t="s">
        <v>1865</v>
      </c>
      <c r="R975" s="77">
        <v>0</v>
      </c>
      <c r="S975" s="77">
        <v>0</v>
      </c>
      <c r="T975" s="77">
        <v>0</v>
      </c>
      <c r="U975" s="77">
        <v>0</v>
      </c>
      <c r="V975" s="77">
        <v>24</v>
      </c>
      <c r="W975" s="81" t="s">
        <v>3453</v>
      </c>
      <c r="X975" s="77"/>
      <c r="Y975" s="77"/>
      <c r="Z975" s="77" t="s">
        <v>4375</v>
      </c>
      <c r="AA975" s="77"/>
      <c r="AB975" s="77"/>
      <c r="AC975" s="81" t="s">
        <v>5803</v>
      </c>
      <c r="AD975" s="77" t="s">
        <v>5850</v>
      </c>
      <c r="AE975" s="83" t="str">
        <f>HYPERLINK("https://twitter.com/mariana64692094/status/1656498077530824706")</f>
        <v>https://twitter.com/mariana64692094/status/1656498077530824706</v>
      </c>
      <c r="AF975" s="79">
        <v>45057.135324074072</v>
      </c>
      <c r="AG975" s="85">
        <v>45057</v>
      </c>
      <c r="AH975" s="81" t="s">
        <v>6731</v>
      </c>
      <c r="AI975" s="77"/>
      <c r="AJ975" s="77"/>
      <c r="AK975" s="77"/>
      <c r="AL975" s="77"/>
      <c r="AM975" s="77"/>
      <c r="AN975" s="77"/>
      <c r="AO975" s="77"/>
      <c r="AP975" s="77"/>
      <c r="AQ975" s="77"/>
      <c r="AR975" s="77"/>
      <c r="AS975" s="77"/>
      <c r="AT975" s="77"/>
      <c r="AU975" s="77"/>
      <c r="AV975" s="83" t="str">
        <f>HYPERLINK("https://pbs.twimg.com/profile_images/1554626465731383298/9KudSdu0_normal.jpg")</f>
        <v>https://pbs.twimg.com/profile_images/1554626465731383298/9KudSdu0_normal.jpg</v>
      </c>
      <c r="AW975" s="81" t="s">
        <v>10187</v>
      </c>
      <c r="AX975" s="81" t="s">
        <v>11280</v>
      </c>
      <c r="AY975" s="81" t="s">
        <v>11334</v>
      </c>
      <c r="AZ975" s="81" t="s">
        <v>11280</v>
      </c>
      <c r="BA975" s="81" t="s">
        <v>11359</v>
      </c>
      <c r="BB975" s="81" t="s">
        <v>11359</v>
      </c>
      <c r="BC975" s="81" t="s">
        <v>11280</v>
      </c>
      <c r="BD975" s="81" t="s">
        <v>11523</v>
      </c>
      <c r="BE975" s="77"/>
      <c r="BF975" s="77"/>
      <c r="BG975" s="77"/>
      <c r="BH975" s="77"/>
      <c r="BI975" s="77"/>
    </row>
    <row r="976" spans="1:61" x14ac:dyDescent="0.25">
      <c r="A976" s="62" t="s">
        <v>460</v>
      </c>
      <c r="B976" s="62" t="s">
        <v>918</v>
      </c>
      <c r="C976" s="63"/>
      <c r="D976" s="64"/>
      <c r="E976" s="65"/>
      <c r="F976" s="66"/>
      <c r="G976" s="63"/>
      <c r="H976" s="67"/>
      <c r="I976" s="68"/>
      <c r="J976" s="68"/>
      <c r="K976" s="32"/>
      <c r="L976" s="75">
        <v>976</v>
      </c>
      <c r="M976" s="75"/>
      <c r="N976" s="70"/>
      <c r="O976" s="77" t="s">
        <v>970</v>
      </c>
      <c r="P976" s="79">
        <v>45056.25409722222</v>
      </c>
      <c r="Q976" s="77" t="s">
        <v>1866</v>
      </c>
      <c r="R976" s="77">
        <v>0</v>
      </c>
      <c r="S976" s="77">
        <v>0</v>
      </c>
      <c r="T976" s="77">
        <v>0</v>
      </c>
      <c r="U976" s="77">
        <v>0</v>
      </c>
      <c r="V976" s="77">
        <v>23</v>
      </c>
      <c r="W976" s="81" t="s">
        <v>3461</v>
      </c>
      <c r="X976" s="77"/>
      <c r="Y976" s="77"/>
      <c r="Z976" s="77" t="s">
        <v>4375</v>
      </c>
      <c r="AA976" s="77"/>
      <c r="AB976" s="77"/>
      <c r="AC976" s="81" t="s">
        <v>5803</v>
      </c>
      <c r="AD976" s="77" t="s">
        <v>5850</v>
      </c>
      <c r="AE976" s="83" t="str">
        <f>HYPERLINK("https://twitter.com/mariana64692094/status/1656178731075923969")</f>
        <v>https://twitter.com/mariana64692094/status/1656178731075923969</v>
      </c>
      <c r="AF976" s="79">
        <v>45056.25409722222</v>
      </c>
      <c r="AG976" s="85">
        <v>45056</v>
      </c>
      <c r="AH976" s="81" t="s">
        <v>6732</v>
      </c>
      <c r="AI976" s="77"/>
      <c r="AJ976" s="77"/>
      <c r="AK976" s="77"/>
      <c r="AL976" s="77"/>
      <c r="AM976" s="77"/>
      <c r="AN976" s="77"/>
      <c r="AO976" s="77"/>
      <c r="AP976" s="77"/>
      <c r="AQ976" s="77"/>
      <c r="AR976" s="77"/>
      <c r="AS976" s="77"/>
      <c r="AT976" s="77"/>
      <c r="AU976" s="77"/>
      <c r="AV976" s="83" t="str">
        <f>HYPERLINK("https://pbs.twimg.com/profile_images/1554626465731383298/9KudSdu0_normal.jpg")</f>
        <v>https://pbs.twimg.com/profile_images/1554626465731383298/9KudSdu0_normal.jpg</v>
      </c>
      <c r="AW976" s="81" t="s">
        <v>10188</v>
      </c>
      <c r="AX976" s="81" t="s">
        <v>11281</v>
      </c>
      <c r="AY976" s="81" t="s">
        <v>11334</v>
      </c>
      <c r="AZ976" s="81" t="s">
        <v>11281</v>
      </c>
      <c r="BA976" s="81" t="s">
        <v>11359</v>
      </c>
      <c r="BB976" s="81" t="s">
        <v>11359</v>
      </c>
      <c r="BC976" s="81" t="s">
        <v>11281</v>
      </c>
      <c r="BD976" s="81" t="s">
        <v>11523</v>
      </c>
      <c r="BE976" s="77"/>
      <c r="BF976" s="77"/>
      <c r="BG976" s="77"/>
      <c r="BH976" s="77"/>
      <c r="BI976" s="77"/>
    </row>
    <row r="977" spans="1:61" x14ac:dyDescent="0.25">
      <c r="A977" s="62" t="s">
        <v>460</v>
      </c>
      <c r="B977" s="62" t="s">
        <v>918</v>
      </c>
      <c r="C977" s="63"/>
      <c r="D977" s="64"/>
      <c r="E977" s="65"/>
      <c r="F977" s="66"/>
      <c r="G977" s="63"/>
      <c r="H977" s="67"/>
      <c r="I977" s="68"/>
      <c r="J977" s="68"/>
      <c r="K977" s="32"/>
      <c r="L977" s="75">
        <v>977</v>
      </c>
      <c r="M977" s="75"/>
      <c r="N977" s="70"/>
      <c r="O977" s="77" t="s">
        <v>970</v>
      </c>
      <c r="P977" s="79">
        <v>45036.143252314818</v>
      </c>
      <c r="Q977" s="77" t="s">
        <v>1867</v>
      </c>
      <c r="R977" s="77">
        <v>0</v>
      </c>
      <c r="S977" s="77">
        <v>0</v>
      </c>
      <c r="T977" s="77">
        <v>0</v>
      </c>
      <c r="U977" s="77">
        <v>0</v>
      </c>
      <c r="V977" s="77">
        <v>17</v>
      </c>
      <c r="W977" s="81" t="s">
        <v>3455</v>
      </c>
      <c r="X977" s="77"/>
      <c r="Y977" s="77"/>
      <c r="Z977" s="77" t="s">
        <v>4375</v>
      </c>
      <c r="AA977" s="77"/>
      <c r="AB977" s="77"/>
      <c r="AC977" s="81" t="s">
        <v>5803</v>
      </c>
      <c r="AD977" s="77" t="s">
        <v>5850</v>
      </c>
      <c r="AE977" s="83" t="str">
        <f>HYPERLINK("https://twitter.com/mariana64692094/status/1648890804755111937")</f>
        <v>https://twitter.com/mariana64692094/status/1648890804755111937</v>
      </c>
      <c r="AF977" s="79">
        <v>45036.143252314818</v>
      </c>
      <c r="AG977" s="85">
        <v>45036</v>
      </c>
      <c r="AH977" s="81" t="s">
        <v>6733</v>
      </c>
      <c r="AI977" s="77"/>
      <c r="AJ977" s="77"/>
      <c r="AK977" s="77"/>
      <c r="AL977" s="77"/>
      <c r="AM977" s="77"/>
      <c r="AN977" s="77"/>
      <c r="AO977" s="77"/>
      <c r="AP977" s="77"/>
      <c r="AQ977" s="77"/>
      <c r="AR977" s="77"/>
      <c r="AS977" s="77"/>
      <c r="AT977" s="77"/>
      <c r="AU977" s="77"/>
      <c r="AV977" s="83" t="str">
        <f>HYPERLINK("https://pbs.twimg.com/profile_images/1554626465731383298/9KudSdu0_normal.jpg")</f>
        <v>https://pbs.twimg.com/profile_images/1554626465731383298/9KudSdu0_normal.jpg</v>
      </c>
      <c r="AW977" s="81" t="s">
        <v>10189</v>
      </c>
      <c r="AX977" s="81" t="s">
        <v>11282</v>
      </c>
      <c r="AY977" s="81" t="s">
        <v>11334</v>
      </c>
      <c r="AZ977" s="81" t="s">
        <v>11282</v>
      </c>
      <c r="BA977" s="81" t="s">
        <v>11359</v>
      </c>
      <c r="BB977" s="81" t="s">
        <v>11359</v>
      </c>
      <c r="BC977" s="81" t="s">
        <v>11282</v>
      </c>
      <c r="BD977" s="81" t="s">
        <v>11523</v>
      </c>
      <c r="BE977" s="77"/>
      <c r="BF977" s="77"/>
      <c r="BG977" s="77"/>
      <c r="BH977" s="77"/>
      <c r="BI977" s="77"/>
    </row>
    <row r="978" spans="1:61" x14ac:dyDescent="0.25">
      <c r="A978" s="62" t="s">
        <v>460</v>
      </c>
      <c r="B978" s="62" t="s">
        <v>918</v>
      </c>
      <c r="C978" s="63"/>
      <c r="D978" s="64"/>
      <c r="E978" s="65"/>
      <c r="F978" s="66"/>
      <c r="G978" s="63"/>
      <c r="H978" s="67"/>
      <c r="I978" s="68"/>
      <c r="J978" s="68"/>
      <c r="K978" s="32"/>
      <c r="L978" s="75">
        <v>978</v>
      </c>
      <c r="M978" s="75"/>
      <c r="N978" s="70"/>
      <c r="O978" s="77" t="s">
        <v>970</v>
      </c>
      <c r="P978" s="79">
        <v>45035.200162037036</v>
      </c>
      <c r="Q978" s="77" t="s">
        <v>1868</v>
      </c>
      <c r="R978" s="77">
        <v>0</v>
      </c>
      <c r="S978" s="77">
        <v>0</v>
      </c>
      <c r="T978" s="77">
        <v>0</v>
      </c>
      <c r="U978" s="77">
        <v>0</v>
      </c>
      <c r="V978" s="77">
        <v>9</v>
      </c>
      <c r="W978" s="81" t="s">
        <v>3455</v>
      </c>
      <c r="X978" s="77"/>
      <c r="Y978" s="77"/>
      <c r="Z978" s="77" t="s">
        <v>4375</v>
      </c>
      <c r="AA978" s="77"/>
      <c r="AB978" s="77"/>
      <c r="AC978" s="81" t="s">
        <v>5803</v>
      </c>
      <c r="AD978" s="77" t="s">
        <v>5850</v>
      </c>
      <c r="AE978" s="83" t="str">
        <f>HYPERLINK("https://twitter.com/mariana64692094/status/1648549040961777666")</f>
        <v>https://twitter.com/mariana64692094/status/1648549040961777666</v>
      </c>
      <c r="AF978" s="79">
        <v>45035.200162037036</v>
      </c>
      <c r="AG978" s="85">
        <v>45035</v>
      </c>
      <c r="AH978" s="81" t="s">
        <v>6734</v>
      </c>
      <c r="AI978" s="77"/>
      <c r="AJ978" s="77"/>
      <c r="AK978" s="77"/>
      <c r="AL978" s="77"/>
      <c r="AM978" s="77"/>
      <c r="AN978" s="77"/>
      <c r="AO978" s="77"/>
      <c r="AP978" s="77"/>
      <c r="AQ978" s="77"/>
      <c r="AR978" s="77"/>
      <c r="AS978" s="77"/>
      <c r="AT978" s="77"/>
      <c r="AU978" s="77"/>
      <c r="AV978" s="83" t="str">
        <f>HYPERLINK("https://pbs.twimg.com/profile_images/1554626465731383298/9KudSdu0_normal.jpg")</f>
        <v>https://pbs.twimg.com/profile_images/1554626465731383298/9KudSdu0_normal.jpg</v>
      </c>
      <c r="AW978" s="81" t="s">
        <v>10190</v>
      </c>
      <c r="AX978" s="81" t="s">
        <v>11283</v>
      </c>
      <c r="AY978" s="81" t="s">
        <v>11334</v>
      </c>
      <c r="AZ978" s="81" t="s">
        <v>11283</v>
      </c>
      <c r="BA978" s="81" t="s">
        <v>11359</v>
      </c>
      <c r="BB978" s="81" t="s">
        <v>11359</v>
      </c>
      <c r="BC978" s="81" t="s">
        <v>11283</v>
      </c>
      <c r="BD978" s="81" t="s">
        <v>11523</v>
      </c>
      <c r="BE978" s="77"/>
      <c r="BF978" s="77"/>
      <c r="BG978" s="77"/>
      <c r="BH978" s="77"/>
      <c r="BI978" s="77"/>
    </row>
    <row r="979" spans="1:61" x14ac:dyDescent="0.25">
      <c r="A979" s="62" t="s">
        <v>460</v>
      </c>
      <c r="B979" s="62" t="s">
        <v>918</v>
      </c>
      <c r="C979" s="63"/>
      <c r="D979" s="64"/>
      <c r="E979" s="65"/>
      <c r="F979" s="66"/>
      <c r="G979" s="63"/>
      <c r="H979" s="67"/>
      <c r="I979" s="68"/>
      <c r="J979" s="68"/>
      <c r="K979" s="32"/>
      <c r="L979" s="75">
        <v>979</v>
      </c>
      <c r="M979" s="75"/>
      <c r="N979" s="70"/>
      <c r="O979" s="77" t="s">
        <v>970</v>
      </c>
      <c r="P979" s="79">
        <v>44997.055717592593</v>
      </c>
      <c r="Q979" s="77" t="s">
        <v>1869</v>
      </c>
      <c r="R979" s="77">
        <v>0</v>
      </c>
      <c r="S979" s="77">
        <v>0</v>
      </c>
      <c r="T979" s="77">
        <v>0</v>
      </c>
      <c r="U979" s="77">
        <v>0</v>
      </c>
      <c r="V979" s="77">
        <v>14</v>
      </c>
      <c r="W979" s="81" t="s">
        <v>3462</v>
      </c>
      <c r="X979" s="77"/>
      <c r="Y979" s="77"/>
      <c r="Z979" s="77" t="s">
        <v>4375</v>
      </c>
      <c r="AA979" s="77"/>
      <c r="AB979" s="77"/>
      <c r="AC979" s="81" t="s">
        <v>5803</v>
      </c>
      <c r="AD979" s="77" t="s">
        <v>5850</v>
      </c>
      <c r="AE979" s="83" t="str">
        <f>HYPERLINK("https://twitter.com/mariana64692094/status/1634725957159223296")</f>
        <v>https://twitter.com/mariana64692094/status/1634725957159223296</v>
      </c>
      <c r="AF979" s="79">
        <v>44997.055717592593</v>
      </c>
      <c r="AG979" s="85">
        <v>44997</v>
      </c>
      <c r="AH979" s="81" t="s">
        <v>6735</v>
      </c>
      <c r="AI979" s="77"/>
      <c r="AJ979" s="77"/>
      <c r="AK979" s="77"/>
      <c r="AL979" s="77"/>
      <c r="AM979" s="77"/>
      <c r="AN979" s="77"/>
      <c r="AO979" s="77"/>
      <c r="AP979" s="77"/>
      <c r="AQ979" s="77"/>
      <c r="AR979" s="77"/>
      <c r="AS979" s="77"/>
      <c r="AT979" s="77"/>
      <c r="AU979" s="77"/>
      <c r="AV979" s="83" t="str">
        <f>HYPERLINK("https://pbs.twimg.com/profile_images/1554626465731383298/9KudSdu0_normal.jpg")</f>
        <v>https://pbs.twimg.com/profile_images/1554626465731383298/9KudSdu0_normal.jpg</v>
      </c>
      <c r="AW979" s="81" t="s">
        <v>10191</v>
      </c>
      <c r="AX979" s="81" t="s">
        <v>11284</v>
      </c>
      <c r="AY979" s="81" t="s">
        <v>11334</v>
      </c>
      <c r="AZ979" s="81" t="s">
        <v>11284</v>
      </c>
      <c r="BA979" s="81" t="s">
        <v>11359</v>
      </c>
      <c r="BB979" s="81" t="s">
        <v>11359</v>
      </c>
      <c r="BC979" s="81" t="s">
        <v>11284</v>
      </c>
      <c r="BD979" s="81" t="s">
        <v>11523</v>
      </c>
      <c r="BE979" s="77"/>
      <c r="BF979" s="77"/>
      <c r="BG979" s="77"/>
      <c r="BH979" s="77"/>
      <c r="BI979" s="77"/>
    </row>
    <row r="980" spans="1:61" x14ac:dyDescent="0.25">
      <c r="A980" s="62" t="s">
        <v>460</v>
      </c>
      <c r="B980" s="62" t="s">
        <v>918</v>
      </c>
      <c r="C980" s="63"/>
      <c r="D980" s="64"/>
      <c r="E980" s="65"/>
      <c r="F980" s="66"/>
      <c r="G980" s="63"/>
      <c r="H980" s="67"/>
      <c r="I980" s="68"/>
      <c r="J980" s="68"/>
      <c r="K980" s="32"/>
      <c r="L980" s="75">
        <v>980</v>
      </c>
      <c r="M980" s="75"/>
      <c r="N980" s="70"/>
      <c r="O980" s="77" t="s">
        <v>970</v>
      </c>
      <c r="P980" s="79">
        <v>44997.016608796293</v>
      </c>
      <c r="Q980" s="77" t="s">
        <v>1870</v>
      </c>
      <c r="R980" s="77">
        <v>0</v>
      </c>
      <c r="S980" s="77">
        <v>0</v>
      </c>
      <c r="T980" s="77">
        <v>0</v>
      </c>
      <c r="U980" s="77">
        <v>0</v>
      </c>
      <c r="V980" s="77">
        <v>14</v>
      </c>
      <c r="W980" s="81" t="s">
        <v>3463</v>
      </c>
      <c r="X980" s="77"/>
      <c r="Y980" s="77"/>
      <c r="Z980" s="77" t="s">
        <v>4376</v>
      </c>
      <c r="AA980" s="77"/>
      <c r="AB980" s="77"/>
      <c r="AC980" s="81" t="s">
        <v>5803</v>
      </c>
      <c r="AD980" s="77" t="s">
        <v>5850</v>
      </c>
      <c r="AE980" s="83" t="str">
        <f>HYPERLINK("https://twitter.com/mariana64692094/status/1634711785662996482")</f>
        <v>https://twitter.com/mariana64692094/status/1634711785662996482</v>
      </c>
      <c r="AF980" s="79">
        <v>44997.016608796293</v>
      </c>
      <c r="AG980" s="85">
        <v>44997</v>
      </c>
      <c r="AH980" s="81" t="s">
        <v>6736</v>
      </c>
      <c r="AI980" s="77"/>
      <c r="AJ980" s="77"/>
      <c r="AK980" s="77"/>
      <c r="AL980" s="77"/>
      <c r="AM980" s="77"/>
      <c r="AN980" s="77"/>
      <c r="AO980" s="77"/>
      <c r="AP980" s="77"/>
      <c r="AQ980" s="77"/>
      <c r="AR980" s="77"/>
      <c r="AS980" s="77"/>
      <c r="AT980" s="77"/>
      <c r="AU980" s="77"/>
      <c r="AV980" s="83" t="str">
        <f>HYPERLINK("https://pbs.twimg.com/profile_images/1554626465731383298/9KudSdu0_normal.jpg")</f>
        <v>https://pbs.twimg.com/profile_images/1554626465731383298/9KudSdu0_normal.jpg</v>
      </c>
      <c r="AW980" s="81" t="s">
        <v>10192</v>
      </c>
      <c r="AX980" s="81" t="s">
        <v>11285</v>
      </c>
      <c r="AY980" s="81" t="s">
        <v>11334</v>
      </c>
      <c r="AZ980" s="81" t="s">
        <v>11285</v>
      </c>
      <c r="BA980" s="81" t="s">
        <v>11359</v>
      </c>
      <c r="BB980" s="81" t="s">
        <v>11359</v>
      </c>
      <c r="BC980" s="81" t="s">
        <v>11285</v>
      </c>
      <c r="BD980" s="81" t="s">
        <v>11523</v>
      </c>
      <c r="BE980" s="77"/>
      <c r="BF980" s="77"/>
      <c r="BG980" s="77"/>
      <c r="BH980" s="77"/>
      <c r="BI980" s="77"/>
    </row>
    <row r="981" spans="1:61" x14ac:dyDescent="0.25">
      <c r="A981" s="62" t="s">
        <v>460</v>
      </c>
      <c r="B981" s="62" t="s">
        <v>919</v>
      </c>
      <c r="C981" s="63"/>
      <c r="D981" s="64"/>
      <c r="E981" s="65"/>
      <c r="F981" s="66"/>
      <c r="G981" s="63"/>
      <c r="H981" s="67"/>
      <c r="I981" s="68"/>
      <c r="J981" s="68"/>
      <c r="K981" s="32"/>
      <c r="L981" s="75">
        <v>981</v>
      </c>
      <c r="M981" s="75"/>
      <c r="N981" s="70"/>
      <c r="O981" s="77" t="s">
        <v>970</v>
      </c>
      <c r="P981" s="79">
        <v>45015.185902777775</v>
      </c>
      <c r="Q981" s="77" t="s">
        <v>1853</v>
      </c>
      <c r="R981" s="77">
        <v>0</v>
      </c>
      <c r="S981" s="77">
        <v>0</v>
      </c>
      <c r="T981" s="77">
        <v>0</v>
      </c>
      <c r="U981" s="77">
        <v>0</v>
      </c>
      <c r="V981" s="77">
        <v>14</v>
      </c>
      <c r="W981" s="81" t="s">
        <v>3453</v>
      </c>
      <c r="X981" s="77"/>
      <c r="Y981" s="77"/>
      <c r="Z981" s="77" t="s">
        <v>4375</v>
      </c>
      <c r="AA981" s="77"/>
      <c r="AB981" s="77"/>
      <c r="AC981" s="81" t="s">
        <v>5803</v>
      </c>
      <c r="AD981" s="77" t="s">
        <v>5850</v>
      </c>
      <c r="AE981" s="83" t="str">
        <f>HYPERLINK("https://twitter.com/mariana64692094/status/1641296114933440518")</f>
        <v>https://twitter.com/mariana64692094/status/1641296114933440518</v>
      </c>
      <c r="AF981" s="79">
        <v>45015.185902777775</v>
      </c>
      <c r="AG981" s="85">
        <v>45015</v>
      </c>
      <c r="AH981" s="81" t="s">
        <v>6720</v>
      </c>
      <c r="AI981" s="77"/>
      <c r="AJ981" s="77"/>
      <c r="AK981" s="77"/>
      <c r="AL981" s="77"/>
      <c r="AM981" s="77"/>
      <c r="AN981" s="77"/>
      <c r="AO981" s="77"/>
      <c r="AP981" s="77"/>
      <c r="AQ981" s="77"/>
      <c r="AR981" s="77"/>
      <c r="AS981" s="77"/>
      <c r="AT981" s="77"/>
      <c r="AU981" s="77"/>
      <c r="AV981" s="83" t="str">
        <f>HYPERLINK("https://pbs.twimg.com/profile_images/1554626465731383298/9KudSdu0_normal.jpg")</f>
        <v>https://pbs.twimg.com/profile_images/1554626465731383298/9KudSdu0_normal.jpg</v>
      </c>
      <c r="AW981" s="81" t="s">
        <v>10175</v>
      </c>
      <c r="AX981" s="81" t="s">
        <v>11268</v>
      </c>
      <c r="AY981" s="81" t="s">
        <v>11334</v>
      </c>
      <c r="AZ981" s="81" t="s">
        <v>11268</v>
      </c>
      <c r="BA981" s="81" t="s">
        <v>11359</v>
      </c>
      <c r="BB981" s="81" t="s">
        <v>11359</v>
      </c>
      <c r="BC981" s="81" t="s">
        <v>11268</v>
      </c>
      <c r="BD981" s="81" t="s">
        <v>11523</v>
      </c>
      <c r="BE981" s="77"/>
      <c r="BF981" s="77"/>
      <c r="BG981" s="77"/>
      <c r="BH981" s="77"/>
      <c r="BI981" s="77"/>
    </row>
    <row r="982" spans="1:61" x14ac:dyDescent="0.25">
      <c r="A982" s="62" t="s">
        <v>460</v>
      </c>
      <c r="B982" s="62" t="s">
        <v>919</v>
      </c>
      <c r="C982" s="63"/>
      <c r="D982" s="64"/>
      <c r="E982" s="65"/>
      <c r="F982" s="66"/>
      <c r="G982" s="63"/>
      <c r="H982" s="67"/>
      <c r="I982" s="68"/>
      <c r="J982" s="68"/>
      <c r="K982" s="32"/>
      <c r="L982" s="75">
        <v>982</v>
      </c>
      <c r="M982" s="75"/>
      <c r="N982" s="70"/>
      <c r="O982" s="77" t="s">
        <v>970</v>
      </c>
      <c r="P982" s="79">
        <v>45026.270208333335</v>
      </c>
      <c r="Q982" s="77" t="s">
        <v>1854</v>
      </c>
      <c r="R982" s="77">
        <v>0</v>
      </c>
      <c r="S982" s="77">
        <v>0</v>
      </c>
      <c r="T982" s="77">
        <v>0</v>
      </c>
      <c r="U982" s="77">
        <v>0</v>
      </c>
      <c r="V982" s="77">
        <v>47</v>
      </c>
      <c r="W982" s="81" t="s">
        <v>3454</v>
      </c>
      <c r="X982" s="77"/>
      <c r="Y982" s="77"/>
      <c r="Z982" s="77" t="s">
        <v>4375</v>
      </c>
      <c r="AA982" s="77"/>
      <c r="AB982" s="77"/>
      <c r="AC982" s="81" t="s">
        <v>5803</v>
      </c>
      <c r="AD982" s="77" t="s">
        <v>5850</v>
      </c>
      <c r="AE982" s="83" t="str">
        <f>HYPERLINK("https://twitter.com/mariana64692094/status/1645312935554588672")</f>
        <v>https://twitter.com/mariana64692094/status/1645312935554588672</v>
      </c>
      <c r="AF982" s="79">
        <v>45026.270208333335</v>
      </c>
      <c r="AG982" s="85">
        <v>45026</v>
      </c>
      <c r="AH982" s="81" t="s">
        <v>6721</v>
      </c>
      <c r="AI982" s="77"/>
      <c r="AJ982" s="77"/>
      <c r="AK982" s="77"/>
      <c r="AL982" s="77"/>
      <c r="AM982" s="77"/>
      <c r="AN982" s="77"/>
      <c r="AO982" s="77"/>
      <c r="AP982" s="77"/>
      <c r="AQ982" s="77"/>
      <c r="AR982" s="77"/>
      <c r="AS982" s="77"/>
      <c r="AT982" s="77"/>
      <c r="AU982" s="77"/>
      <c r="AV982" s="83" t="str">
        <f>HYPERLINK("https://pbs.twimg.com/profile_images/1554626465731383298/9KudSdu0_normal.jpg")</f>
        <v>https://pbs.twimg.com/profile_images/1554626465731383298/9KudSdu0_normal.jpg</v>
      </c>
      <c r="AW982" s="81" t="s">
        <v>10176</v>
      </c>
      <c r="AX982" s="81" t="s">
        <v>11269</v>
      </c>
      <c r="AY982" s="81" t="s">
        <v>11334</v>
      </c>
      <c r="AZ982" s="81" t="s">
        <v>11269</v>
      </c>
      <c r="BA982" s="81" t="s">
        <v>11359</v>
      </c>
      <c r="BB982" s="81" t="s">
        <v>11359</v>
      </c>
      <c r="BC982" s="81" t="s">
        <v>11269</v>
      </c>
      <c r="BD982" s="81" t="s">
        <v>11523</v>
      </c>
      <c r="BE982" s="77"/>
      <c r="BF982" s="77"/>
      <c r="BG982" s="77"/>
      <c r="BH982" s="77"/>
      <c r="BI982" s="77"/>
    </row>
    <row r="983" spans="1:61" x14ac:dyDescent="0.25">
      <c r="A983" s="62" t="s">
        <v>460</v>
      </c>
      <c r="B983" s="62" t="s">
        <v>919</v>
      </c>
      <c r="C983" s="63"/>
      <c r="D983" s="64"/>
      <c r="E983" s="65"/>
      <c r="F983" s="66"/>
      <c r="G983" s="63"/>
      <c r="H983" s="67"/>
      <c r="I983" s="68"/>
      <c r="J983" s="68"/>
      <c r="K983" s="32"/>
      <c r="L983" s="75">
        <v>983</v>
      </c>
      <c r="M983" s="75"/>
      <c r="N983" s="70"/>
      <c r="O983" s="77" t="s">
        <v>970</v>
      </c>
      <c r="P983" s="79">
        <v>45026.269224537034</v>
      </c>
      <c r="Q983" s="77" t="s">
        <v>1855</v>
      </c>
      <c r="R983" s="77">
        <v>0</v>
      </c>
      <c r="S983" s="77">
        <v>0</v>
      </c>
      <c r="T983" s="77">
        <v>0</v>
      </c>
      <c r="U983" s="77">
        <v>0</v>
      </c>
      <c r="V983" s="77">
        <v>48</v>
      </c>
      <c r="W983" s="81" t="s">
        <v>3455</v>
      </c>
      <c r="X983" s="77"/>
      <c r="Y983" s="77"/>
      <c r="Z983" s="77" t="s">
        <v>4375</v>
      </c>
      <c r="AA983" s="77"/>
      <c r="AB983" s="77"/>
      <c r="AC983" s="81" t="s">
        <v>5803</v>
      </c>
      <c r="AD983" s="77" t="s">
        <v>5850</v>
      </c>
      <c r="AE983" s="83" t="str">
        <f>HYPERLINK("https://twitter.com/mariana64692094/status/1645312576350302209")</f>
        <v>https://twitter.com/mariana64692094/status/1645312576350302209</v>
      </c>
      <c r="AF983" s="79">
        <v>45026.269224537034</v>
      </c>
      <c r="AG983" s="85">
        <v>45026</v>
      </c>
      <c r="AH983" s="81" t="s">
        <v>6722</v>
      </c>
      <c r="AI983" s="77"/>
      <c r="AJ983" s="77"/>
      <c r="AK983" s="77"/>
      <c r="AL983" s="77"/>
      <c r="AM983" s="77"/>
      <c r="AN983" s="77"/>
      <c r="AO983" s="77"/>
      <c r="AP983" s="77"/>
      <c r="AQ983" s="77"/>
      <c r="AR983" s="77"/>
      <c r="AS983" s="77"/>
      <c r="AT983" s="77"/>
      <c r="AU983" s="77"/>
      <c r="AV983" s="83" t="str">
        <f>HYPERLINK("https://pbs.twimg.com/profile_images/1554626465731383298/9KudSdu0_normal.jpg")</f>
        <v>https://pbs.twimg.com/profile_images/1554626465731383298/9KudSdu0_normal.jpg</v>
      </c>
      <c r="AW983" s="81" t="s">
        <v>10177</v>
      </c>
      <c r="AX983" s="81" t="s">
        <v>11270</v>
      </c>
      <c r="AY983" s="81" t="s">
        <v>11334</v>
      </c>
      <c r="AZ983" s="81" t="s">
        <v>11270</v>
      </c>
      <c r="BA983" s="81" t="s">
        <v>11359</v>
      </c>
      <c r="BB983" s="81" t="s">
        <v>11359</v>
      </c>
      <c r="BC983" s="81" t="s">
        <v>11270</v>
      </c>
      <c r="BD983" s="81" t="s">
        <v>11523</v>
      </c>
      <c r="BE983" s="77"/>
      <c r="BF983" s="77"/>
      <c r="BG983" s="77"/>
      <c r="BH983" s="77"/>
      <c r="BI983" s="77"/>
    </row>
    <row r="984" spans="1:61" x14ac:dyDescent="0.25">
      <c r="A984" s="62" t="s">
        <v>460</v>
      </c>
      <c r="B984" s="62" t="s">
        <v>919</v>
      </c>
      <c r="C984" s="63"/>
      <c r="D984" s="64"/>
      <c r="E984" s="65"/>
      <c r="F984" s="66"/>
      <c r="G984" s="63"/>
      <c r="H984" s="67"/>
      <c r="I984" s="68"/>
      <c r="J984" s="68"/>
      <c r="K984" s="32"/>
      <c r="L984" s="75">
        <v>984</v>
      </c>
      <c r="M984" s="75"/>
      <c r="N984" s="70"/>
      <c r="O984" s="77" t="s">
        <v>970</v>
      </c>
      <c r="P984" s="79">
        <v>45024.010347222225</v>
      </c>
      <c r="Q984" s="77" t="s">
        <v>1856</v>
      </c>
      <c r="R984" s="77">
        <v>0</v>
      </c>
      <c r="S984" s="77">
        <v>0</v>
      </c>
      <c r="T984" s="77">
        <v>0</v>
      </c>
      <c r="U984" s="77">
        <v>0</v>
      </c>
      <c r="V984" s="77">
        <v>27</v>
      </c>
      <c r="W984" s="81" t="s">
        <v>3456</v>
      </c>
      <c r="X984" s="77"/>
      <c r="Y984" s="77"/>
      <c r="Z984" s="77" t="s">
        <v>4375</v>
      </c>
      <c r="AA984" s="77"/>
      <c r="AB984" s="77"/>
      <c r="AC984" s="81" t="s">
        <v>5803</v>
      </c>
      <c r="AD984" s="77" t="s">
        <v>5850</v>
      </c>
      <c r="AE984" s="83" t="str">
        <f>HYPERLINK("https://twitter.com/mariana64692094/status/1644493987582205952")</f>
        <v>https://twitter.com/mariana64692094/status/1644493987582205952</v>
      </c>
      <c r="AF984" s="79">
        <v>45024.010347222225</v>
      </c>
      <c r="AG984" s="85">
        <v>45024</v>
      </c>
      <c r="AH984" s="81" t="s">
        <v>6723</v>
      </c>
      <c r="AI984" s="77"/>
      <c r="AJ984" s="77"/>
      <c r="AK984" s="77"/>
      <c r="AL984" s="77"/>
      <c r="AM984" s="77"/>
      <c r="AN984" s="77"/>
      <c r="AO984" s="77"/>
      <c r="AP984" s="77"/>
      <c r="AQ984" s="77"/>
      <c r="AR984" s="77"/>
      <c r="AS984" s="77"/>
      <c r="AT984" s="77"/>
      <c r="AU984" s="77"/>
      <c r="AV984" s="83" t="str">
        <f>HYPERLINK("https://pbs.twimg.com/profile_images/1554626465731383298/9KudSdu0_normal.jpg")</f>
        <v>https://pbs.twimg.com/profile_images/1554626465731383298/9KudSdu0_normal.jpg</v>
      </c>
      <c r="AW984" s="81" t="s">
        <v>10178</v>
      </c>
      <c r="AX984" s="81" t="s">
        <v>11271</v>
      </c>
      <c r="AY984" s="81" t="s">
        <v>11334</v>
      </c>
      <c r="AZ984" s="81" t="s">
        <v>11271</v>
      </c>
      <c r="BA984" s="81" t="s">
        <v>11359</v>
      </c>
      <c r="BB984" s="81" t="s">
        <v>11359</v>
      </c>
      <c r="BC984" s="81" t="s">
        <v>11271</v>
      </c>
      <c r="BD984" s="81" t="s">
        <v>11523</v>
      </c>
      <c r="BE984" s="77"/>
      <c r="BF984" s="77"/>
      <c r="BG984" s="77"/>
      <c r="BH984" s="77"/>
      <c r="BI984" s="77"/>
    </row>
    <row r="985" spans="1:61" x14ac:dyDescent="0.25">
      <c r="A985" s="62" t="s">
        <v>460</v>
      </c>
      <c r="B985" s="62" t="s">
        <v>919</v>
      </c>
      <c r="C985" s="63"/>
      <c r="D985" s="64"/>
      <c r="E985" s="65"/>
      <c r="F985" s="66"/>
      <c r="G985" s="63"/>
      <c r="H985" s="67"/>
      <c r="I985" s="68"/>
      <c r="J985" s="68"/>
      <c r="K985" s="32"/>
      <c r="L985" s="75">
        <v>985</v>
      </c>
      <c r="M985" s="75"/>
      <c r="N985" s="70"/>
      <c r="O985" s="77" t="s">
        <v>970</v>
      </c>
      <c r="P985" s="79">
        <v>45020.107187499998</v>
      </c>
      <c r="Q985" s="77" t="s">
        <v>1857</v>
      </c>
      <c r="R985" s="77">
        <v>0</v>
      </c>
      <c r="S985" s="77">
        <v>0</v>
      </c>
      <c r="T985" s="77">
        <v>0</v>
      </c>
      <c r="U985" s="77">
        <v>0</v>
      </c>
      <c r="V985" s="77">
        <v>16</v>
      </c>
      <c r="W985" s="81" t="s">
        <v>3457</v>
      </c>
      <c r="X985" s="77"/>
      <c r="Y985" s="77"/>
      <c r="Z985" s="77" t="s">
        <v>4375</v>
      </c>
      <c r="AA985" s="77"/>
      <c r="AB985" s="77"/>
      <c r="AC985" s="81" t="s">
        <v>5803</v>
      </c>
      <c r="AD985" s="77" t="s">
        <v>5850</v>
      </c>
      <c r="AE985" s="83" t="str">
        <f>HYPERLINK("https://twitter.com/mariana64692094/status/1643079528548368387")</f>
        <v>https://twitter.com/mariana64692094/status/1643079528548368387</v>
      </c>
      <c r="AF985" s="79">
        <v>45020.107187499998</v>
      </c>
      <c r="AG985" s="85">
        <v>45020</v>
      </c>
      <c r="AH985" s="81" t="s">
        <v>6724</v>
      </c>
      <c r="AI985" s="77"/>
      <c r="AJ985" s="77"/>
      <c r="AK985" s="77"/>
      <c r="AL985" s="77"/>
      <c r="AM985" s="77"/>
      <c r="AN985" s="77"/>
      <c r="AO985" s="77"/>
      <c r="AP985" s="77"/>
      <c r="AQ985" s="77"/>
      <c r="AR985" s="77"/>
      <c r="AS985" s="77"/>
      <c r="AT985" s="77"/>
      <c r="AU985" s="77"/>
      <c r="AV985" s="83" t="str">
        <f>HYPERLINK("https://pbs.twimg.com/profile_images/1554626465731383298/9KudSdu0_normal.jpg")</f>
        <v>https://pbs.twimg.com/profile_images/1554626465731383298/9KudSdu0_normal.jpg</v>
      </c>
      <c r="AW985" s="81" t="s">
        <v>10179</v>
      </c>
      <c r="AX985" s="81" t="s">
        <v>11272</v>
      </c>
      <c r="AY985" s="81" t="s">
        <v>11334</v>
      </c>
      <c r="AZ985" s="81" t="s">
        <v>11272</v>
      </c>
      <c r="BA985" s="81" t="s">
        <v>11359</v>
      </c>
      <c r="BB985" s="81" t="s">
        <v>11359</v>
      </c>
      <c r="BC985" s="81" t="s">
        <v>11272</v>
      </c>
      <c r="BD985" s="81" t="s">
        <v>11523</v>
      </c>
      <c r="BE985" s="77"/>
      <c r="BF985" s="77"/>
      <c r="BG985" s="77"/>
      <c r="BH985" s="77"/>
      <c r="BI985" s="77"/>
    </row>
    <row r="986" spans="1:61" x14ac:dyDescent="0.25">
      <c r="A986" s="62" t="s">
        <v>460</v>
      </c>
      <c r="B986" s="62" t="s">
        <v>919</v>
      </c>
      <c r="C986" s="63"/>
      <c r="D986" s="64"/>
      <c r="E986" s="65"/>
      <c r="F986" s="66"/>
      <c r="G986" s="63"/>
      <c r="H986" s="67"/>
      <c r="I986" s="68"/>
      <c r="J986" s="68"/>
      <c r="K986" s="32"/>
      <c r="L986" s="75">
        <v>986</v>
      </c>
      <c r="M986" s="75"/>
      <c r="N986" s="70"/>
      <c r="O986" s="77" t="s">
        <v>970</v>
      </c>
      <c r="P986" s="79">
        <v>45041.24554398148</v>
      </c>
      <c r="Q986" s="77" t="s">
        <v>1858</v>
      </c>
      <c r="R986" s="77">
        <v>0</v>
      </c>
      <c r="S986" s="77">
        <v>0</v>
      </c>
      <c r="T986" s="77">
        <v>0</v>
      </c>
      <c r="U986" s="77">
        <v>0</v>
      </c>
      <c r="V986" s="77">
        <v>23</v>
      </c>
      <c r="W986" s="81" t="s">
        <v>3458</v>
      </c>
      <c r="X986" s="77"/>
      <c r="Y986" s="77"/>
      <c r="Z986" s="77" t="s">
        <v>4375</v>
      </c>
      <c r="AA986" s="77"/>
      <c r="AB986" s="77"/>
      <c r="AC986" s="81" t="s">
        <v>5803</v>
      </c>
      <c r="AD986" s="77" t="s">
        <v>5850</v>
      </c>
      <c r="AE986" s="83" t="str">
        <f>HYPERLINK("https://twitter.com/mariana64692094/status/1650739811584540673")</f>
        <v>https://twitter.com/mariana64692094/status/1650739811584540673</v>
      </c>
      <c r="AF986" s="79">
        <v>45041.24554398148</v>
      </c>
      <c r="AG986" s="85">
        <v>45041</v>
      </c>
      <c r="AH986" s="81" t="s">
        <v>6725</v>
      </c>
      <c r="AI986" s="77"/>
      <c r="AJ986" s="77"/>
      <c r="AK986" s="77"/>
      <c r="AL986" s="77"/>
      <c r="AM986" s="77"/>
      <c r="AN986" s="77"/>
      <c r="AO986" s="77"/>
      <c r="AP986" s="77"/>
      <c r="AQ986" s="77"/>
      <c r="AR986" s="77"/>
      <c r="AS986" s="77"/>
      <c r="AT986" s="77"/>
      <c r="AU986" s="77"/>
      <c r="AV986" s="83" t="str">
        <f>HYPERLINK("https://pbs.twimg.com/profile_images/1554626465731383298/9KudSdu0_normal.jpg")</f>
        <v>https://pbs.twimg.com/profile_images/1554626465731383298/9KudSdu0_normal.jpg</v>
      </c>
      <c r="AW986" s="81" t="s">
        <v>10180</v>
      </c>
      <c r="AX986" s="81" t="s">
        <v>11273</v>
      </c>
      <c r="AY986" s="81" t="s">
        <v>11334</v>
      </c>
      <c r="AZ986" s="81" t="s">
        <v>11273</v>
      </c>
      <c r="BA986" s="81" t="s">
        <v>11359</v>
      </c>
      <c r="BB986" s="81" t="s">
        <v>11359</v>
      </c>
      <c r="BC986" s="81" t="s">
        <v>11273</v>
      </c>
      <c r="BD986" s="81" t="s">
        <v>11523</v>
      </c>
      <c r="BE986" s="77"/>
      <c r="BF986" s="77"/>
      <c r="BG986" s="77"/>
      <c r="BH986" s="77"/>
      <c r="BI986" s="77"/>
    </row>
    <row r="987" spans="1:61" x14ac:dyDescent="0.25">
      <c r="A987" s="62" t="s">
        <v>460</v>
      </c>
      <c r="B987" s="62" t="s">
        <v>919</v>
      </c>
      <c r="C987" s="63"/>
      <c r="D987" s="64"/>
      <c r="E987" s="65"/>
      <c r="F987" s="66"/>
      <c r="G987" s="63"/>
      <c r="H987" s="67"/>
      <c r="I987" s="68"/>
      <c r="J987" s="68"/>
      <c r="K987" s="32"/>
      <c r="L987" s="75">
        <v>987</v>
      </c>
      <c r="M987" s="75"/>
      <c r="N987" s="70"/>
      <c r="O987" s="77" t="s">
        <v>970</v>
      </c>
      <c r="P987" s="79">
        <v>45041.243460648147</v>
      </c>
      <c r="Q987" s="77" t="s">
        <v>1859</v>
      </c>
      <c r="R987" s="77">
        <v>0</v>
      </c>
      <c r="S987" s="77">
        <v>0</v>
      </c>
      <c r="T987" s="77">
        <v>0</v>
      </c>
      <c r="U987" s="77">
        <v>0</v>
      </c>
      <c r="V987" s="77">
        <v>26</v>
      </c>
      <c r="W987" s="81" t="s">
        <v>3455</v>
      </c>
      <c r="X987" s="77"/>
      <c r="Y987" s="77"/>
      <c r="Z987" s="77" t="s">
        <v>4375</v>
      </c>
      <c r="AA987" s="77"/>
      <c r="AB987" s="77"/>
      <c r="AC987" s="81" t="s">
        <v>5803</v>
      </c>
      <c r="AD987" s="77" t="s">
        <v>5850</v>
      </c>
      <c r="AE987" s="83" t="str">
        <f>HYPERLINK("https://twitter.com/mariana64692094/status/1650739059294187520")</f>
        <v>https://twitter.com/mariana64692094/status/1650739059294187520</v>
      </c>
      <c r="AF987" s="79">
        <v>45041.243460648147</v>
      </c>
      <c r="AG987" s="85">
        <v>45041</v>
      </c>
      <c r="AH987" s="81" t="s">
        <v>6726</v>
      </c>
      <c r="AI987" s="77"/>
      <c r="AJ987" s="77"/>
      <c r="AK987" s="77"/>
      <c r="AL987" s="77"/>
      <c r="AM987" s="77"/>
      <c r="AN987" s="77"/>
      <c r="AO987" s="77"/>
      <c r="AP987" s="77"/>
      <c r="AQ987" s="77"/>
      <c r="AR987" s="77"/>
      <c r="AS987" s="77"/>
      <c r="AT987" s="77"/>
      <c r="AU987" s="77"/>
      <c r="AV987" s="83" t="str">
        <f>HYPERLINK("https://pbs.twimg.com/profile_images/1554626465731383298/9KudSdu0_normal.jpg")</f>
        <v>https://pbs.twimg.com/profile_images/1554626465731383298/9KudSdu0_normal.jpg</v>
      </c>
      <c r="AW987" s="81" t="s">
        <v>10181</v>
      </c>
      <c r="AX987" s="81" t="s">
        <v>11274</v>
      </c>
      <c r="AY987" s="81" t="s">
        <v>11334</v>
      </c>
      <c r="AZ987" s="81" t="s">
        <v>11274</v>
      </c>
      <c r="BA987" s="81" t="s">
        <v>11359</v>
      </c>
      <c r="BB987" s="81" t="s">
        <v>11359</v>
      </c>
      <c r="BC987" s="81" t="s">
        <v>11274</v>
      </c>
      <c r="BD987" s="81" t="s">
        <v>11523</v>
      </c>
      <c r="BE987" s="77"/>
      <c r="BF987" s="77"/>
      <c r="BG987" s="77"/>
      <c r="BH987" s="77"/>
      <c r="BI987" s="77"/>
    </row>
    <row r="988" spans="1:61" x14ac:dyDescent="0.25">
      <c r="A988" s="62" t="s">
        <v>460</v>
      </c>
      <c r="B988" s="62" t="s">
        <v>919</v>
      </c>
      <c r="C988" s="63"/>
      <c r="D988" s="64"/>
      <c r="E988" s="65"/>
      <c r="F988" s="66"/>
      <c r="G988" s="63"/>
      <c r="H988" s="67"/>
      <c r="I988" s="68"/>
      <c r="J988" s="68"/>
      <c r="K988" s="32"/>
      <c r="L988" s="75">
        <v>988</v>
      </c>
      <c r="M988" s="75"/>
      <c r="N988" s="70"/>
      <c r="O988" s="77" t="s">
        <v>970</v>
      </c>
      <c r="P988" s="79">
        <v>45039.068622685183</v>
      </c>
      <c r="Q988" s="77" t="s">
        <v>1860</v>
      </c>
      <c r="R988" s="77">
        <v>0</v>
      </c>
      <c r="S988" s="77">
        <v>0</v>
      </c>
      <c r="T988" s="77">
        <v>0</v>
      </c>
      <c r="U988" s="77">
        <v>0</v>
      </c>
      <c r="V988" s="77">
        <v>17</v>
      </c>
      <c r="W988" s="81" t="s">
        <v>3454</v>
      </c>
      <c r="X988" s="77"/>
      <c r="Y988" s="77"/>
      <c r="Z988" s="77" t="s">
        <v>4375</v>
      </c>
      <c r="AA988" s="77"/>
      <c r="AB988" s="77"/>
      <c r="AC988" s="81" t="s">
        <v>5803</v>
      </c>
      <c r="AD988" s="77" t="s">
        <v>5850</v>
      </c>
      <c r="AE988" s="83" t="str">
        <f>HYPERLINK("https://twitter.com/mariana64692094/status/1649950925241368577")</f>
        <v>https://twitter.com/mariana64692094/status/1649950925241368577</v>
      </c>
      <c r="AF988" s="79">
        <v>45039.068622685183</v>
      </c>
      <c r="AG988" s="85">
        <v>45039</v>
      </c>
      <c r="AH988" s="81" t="s">
        <v>6727</v>
      </c>
      <c r="AI988" s="77"/>
      <c r="AJ988" s="77"/>
      <c r="AK988" s="77"/>
      <c r="AL988" s="77"/>
      <c r="AM988" s="77"/>
      <c r="AN988" s="77"/>
      <c r="AO988" s="77"/>
      <c r="AP988" s="77"/>
      <c r="AQ988" s="77"/>
      <c r="AR988" s="77"/>
      <c r="AS988" s="77"/>
      <c r="AT988" s="77"/>
      <c r="AU988" s="77"/>
      <c r="AV988" s="83" t="str">
        <f>HYPERLINK("https://pbs.twimg.com/profile_images/1554626465731383298/9KudSdu0_normal.jpg")</f>
        <v>https://pbs.twimg.com/profile_images/1554626465731383298/9KudSdu0_normal.jpg</v>
      </c>
      <c r="AW988" s="81" t="s">
        <v>10182</v>
      </c>
      <c r="AX988" s="81" t="s">
        <v>11275</v>
      </c>
      <c r="AY988" s="81" t="s">
        <v>11334</v>
      </c>
      <c r="AZ988" s="81" t="s">
        <v>11275</v>
      </c>
      <c r="BA988" s="81" t="s">
        <v>11359</v>
      </c>
      <c r="BB988" s="81" t="s">
        <v>11359</v>
      </c>
      <c r="BC988" s="81" t="s">
        <v>11275</v>
      </c>
      <c r="BD988" s="81" t="s">
        <v>11523</v>
      </c>
      <c r="BE988" s="77"/>
      <c r="BF988" s="77"/>
      <c r="BG988" s="77"/>
      <c r="BH988" s="77"/>
      <c r="BI988" s="77"/>
    </row>
    <row r="989" spans="1:61" x14ac:dyDescent="0.25">
      <c r="A989" s="62" t="s">
        <v>460</v>
      </c>
      <c r="B989" s="62" t="s">
        <v>919</v>
      </c>
      <c r="C989" s="63"/>
      <c r="D989" s="64"/>
      <c r="E989" s="65"/>
      <c r="F989" s="66"/>
      <c r="G989" s="63"/>
      <c r="H989" s="67"/>
      <c r="I989" s="68"/>
      <c r="J989" s="68"/>
      <c r="K989" s="32"/>
      <c r="L989" s="75">
        <v>989</v>
      </c>
      <c r="M989" s="75"/>
      <c r="N989" s="70"/>
      <c r="O989" s="77" t="s">
        <v>970</v>
      </c>
      <c r="P989" s="79">
        <v>45048.088692129626</v>
      </c>
      <c r="Q989" s="77" t="s">
        <v>1861</v>
      </c>
      <c r="R989" s="77">
        <v>0</v>
      </c>
      <c r="S989" s="77">
        <v>0</v>
      </c>
      <c r="T989" s="77">
        <v>0</v>
      </c>
      <c r="U989" s="77">
        <v>0</v>
      </c>
      <c r="V989" s="77">
        <v>24</v>
      </c>
      <c r="W989" s="81" t="s">
        <v>3459</v>
      </c>
      <c r="X989" s="77"/>
      <c r="Y989" s="77"/>
      <c r="Z989" s="77" t="s">
        <v>4375</v>
      </c>
      <c r="AA989" s="77"/>
      <c r="AB989" s="77"/>
      <c r="AC989" s="81" t="s">
        <v>5803</v>
      </c>
      <c r="AD989" s="77" t="s">
        <v>5850</v>
      </c>
      <c r="AE989" s="83" t="str">
        <f>HYPERLINK("https://twitter.com/mariana64692094/status/1653219687285628929")</f>
        <v>https://twitter.com/mariana64692094/status/1653219687285628929</v>
      </c>
      <c r="AF989" s="79">
        <v>45048.088692129626</v>
      </c>
      <c r="AG989" s="85">
        <v>45048</v>
      </c>
      <c r="AH989" s="81" t="s">
        <v>6493</v>
      </c>
      <c r="AI989" s="77"/>
      <c r="AJ989" s="77"/>
      <c r="AK989" s="77"/>
      <c r="AL989" s="77"/>
      <c r="AM989" s="77"/>
      <c r="AN989" s="77"/>
      <c r="AO989" s="77"/>
      <c r="AP989" s="77"/>
      <c r="AQ989" s="77"/>
      <c r="AR989" s="77"/>
      <c r="AS989" s="77"/>
      <c r="AT989" s="77"/>
      <c r="AU989" s="77"/>
      <c r="AV989" s="83" t="str">
        <f>HYPERLINK("https://pbs.twimg.com/profile_images/1554626465731383298/9KudSdu0_normal.jpg")</f>
        <v>https://pbs.twimg.com/profile_images/1554626465731383298/9KudSdu0_normal.jpg</v>
      </c>
      <c r="AW989" s="81" t="s">
        <v>10183</v>
      </c>
      <c r="AX989" s="81" t="s">
        <v>11276</v>
      </c>
      <c r="AY989" s="81" t="s">
        <v>11334</v>
      </c>
      <c r="AZ989" s="81" t="s">
        <v>11276</v>
      </c>
      <c r="BA989" s="81" t="s">
        <v>11359</v>
      </c>
      <c r="BB989" s="81" t="s">
        <v>11359</v>
      </c>
      <c r="BC989" s="81" t="s">
        <v>11276</v>
      </c>
      <c r="BD989" s="81" t="s">
        <v>11523</v>
      </c>
      <c r="BE989" s="77"/>
      <c r="BF989" s="77"/>
      <c r="BG989" s="77"/>
      <c r="BH989" s="77"/>
      <c r="BI989" s="77"/>
    </row>
    <row r="990" spans="1:61" x14ac:dyDescent="0.25">
      <c r="A990" s="62" t="s">
        <v>460</v>
      </c>
      <c r="B990" s="62" t="s">
        <v>919</v>
      </c>
      <c r="C990" s="63"/>
      <c r="D990" s="64"/>
      <c r="E990" s="65"/>
      <c r="F990" s="66"/>
      <c r="G990" s="63"/>
      <c r="H990" s="67"/>
      <c r="I990" s="68"/>
      <c r="J990" s="68"/>
      <c r="K990" s="32"/>
      <c r="L990" s="75">
        <v>990</v>
      </c>
      <c r="M990" s="75"/>
      <c r="N990" s="70"/>
      <c r="O990" s="77" t="s">
        <v>970</v>
      </c>
      <c r="P990" s="79">
        <v>45046.123553240737</v>
      </c>
      <c r="Q990" s="77" t="s">
        <v>1862</v>
      </c>
      <c r="R990" s="77">
        <v>0</v>
      </c>
      <c r="S990" s="77">
        <v>0</v>
      </c>
      <c r="T990" s="77">
        <v>0</v>
      </c>
      <c r="U990" s="77">
        <v>0</v>
      </c>
      <c r="V990" s="77">
        <v>33</v>
      </c>
      <c r="W990" s="81" t="s">
        <v>3453</v>
      </c>
      <c r="X990" s="77"/>
      <c r="Y990" s="77"/>
      <c r="Z990" s="77" t="s">
        <v>4375</v>
      </c>
      <c r="AA990" s="77"/>
      <c r="AB990" s="77"/>
      <c r="AC990" s="81" t="s">
        <v>5803</v>
      </c>
      <c r="AD990" s="77" t="s">
        <v>5850</v>
      </c>
      <c r="AE990" s="83" t="str">
        <f>HYPERLINK("https://twitter.com/mariana64692094/status/1652507543720148992")</f>
        <v>https://twitter.com/mariana64692094/status/1652507543720148992</v>
      </c>
      <c r="AF990" s="79">
        <v>45046.123553240737</v>
      </c>
      <c r="AG990" s="85">
        <v>45046</v>
      </c>
      <c r="AH990" s="81" t="s">
        <v>6728</v>
      </c>
      <c r="AI990" s="77"/>
      <c r="AJ990" s="77"/>
      <c r="AK990" s="77"/>
      <c r="AL990" s="77"/>
      <c r="AM990" s="77"/>
      <c r="AN990" s="77"/>
      <c r="AO990" s="77"/>
      <c r="AP990" s="77"/>
      <c r="AQ990" s="77"/>
      <c r="AR990" s="77"/>
      <c r="AS990" s="77"/>
      <c r="AT990" s="77"/>
      <c r="AU990" s="77"/>
      <c r="AV990" s="83" t="str">
        <f>HYPERLINK("https://pbs.twimg.com/profile_images/1554626465731383298/9KudSdu0_normal.jpg")</f>
        <v>https://pbs.twimg.com/profile_images/1554626465731383298/9KudSdu0_normal.jpg</v>
      </c>
      <c r="AW990" s="81" t="s">
        <v>10184</v>
      </c>
      <c r="AX990" s="81" t="s">
        <v>11277</v>
      </c>
      <c r="AY990" s="81" t="s">
        <v>11334</v>
      </c>
      <c r="AZ990" s="81" t="s">
        <v>11277</v>
      </c>
      <c r="BA990" s="81" t="s">
        <v>11359</v>
      </c>
      <c r="BB990" s="81" t="s">
        <v>11359</v>
      </c>
      <c r="BC990" s="81" t="s">
        <v>11277</v>
      </c>
      <c r="BD990" s="81" t="s">
        <v>11523</v>
      </c>
      <c r="BE990" s="77"/>
      <c r="BF990" s="77"/>
      <c r="BG990" s="77"/>
      <c r="BH990" s="77"/>
      <c r="BI990" s="77"/>
    </row>
    <row r="991" spans="1:61" x14ac:dyDescent="0.25">
      <c r="A991" s="62" t="s">
        <v>460</v>
      </c>
      <c r="B991" s="62" t="s">
        <v>919</v>
      </c>
      <c r="C991" s="63"/>
      <c r="D991" s="64"/>
      <c r="E991" s="65"/>
      <c r="F991" s="66"/>
      <c r="G991" s="63"/>
      <c r="H991" s="67"/>
      <c r="I991" s="68"/>
      <c r="J991" s="68"/>
      <c r="K991" s="32"/>
      <c r="L991" s="75">
        <v>991</v>
      </c>
      <c r="M991" s="75"/>
      <c r="N991" s="70"/>
      <c r="O991" s="77" t="s">
        <v>970</v>
      </c>
      <c r="P991" s="79">
        <v>45044.241956018515</v>
      </c>
      <c r="Q991" s="77" t="s">
        <v>1863</v>
      </c>
      <c r="R991" s="77">
        <v>0</v>
      </c>
      <c r="S991" s="77">
        <v>0</v>
      </c>
      <c r="T991" s="77">
        <v>0</v>
      </c>
      <c r="U991" s="77">
        <v>0</v>
      </c>
      <c r="V991" s="77">
        <v>22</v>
      </c>
      <c r="W991" s="81" t="s">
        <v>3453</v>
      </c>
      <c r="X991" s="77"/>
      <c r="Y991" s="77"/>
      <c r="Z991" s="77" t="s">
        <v>4375</v>
      </c>
      <c r="AA991" s="77"/>
      <c r="AB991" s="77"/>
      <c r="AC991" s="81" t="s">
        <v>5803</v>
      </c>
      <c r="AD991" s="77" t="s">
        <v>5850</v>
      </c>
      <c r="AE991" s="83" t="str">
        <f>HYPERLINK("https://twitter.com/mariana64692094/status/1651825678495502336")</f>
        <v>https://twitter.com/mariana64692094/status/1651825678495502336</v>
      </c>
      <c r="AF991" s="79">
        <v>45044.241956018515</v>
      </c>
      <c r="AG991" s="85">
        <v>45044</v>
      </c>
      <c r="AH991" s="81" t="s">
        <v>6729</v>
      </c>
      <c r="AI991" s="77"/>
      <c r="AJ991" s="77"/>
      <c r="AK991" s="77"/>
      <c r="AL991" s="77"/>
      <c r="AM991" s="77"/>
      <c r="AN991" s="77"/>
      <c r="AO991" s="77"/>
      <c r="AP991" s="77"/>
      <c r="AQ991" s="77"/>
      <c r="AR991" s="77"/>
      <c r="AS991" s="77"/>
      <c r="AT991" s="77"/>
      <c r="AU991" s="77"/>
      <c r="AV991" s="83" t="str">
        <f>HYPERLINK("https://pbs.twimg.com/profile_images/1554626465731383298/9KudSdu0_normal.jpg")</f>
        <v>https://pbs.twimg.com/profile_images/1554626465731383298/9KudSdu0_normal.jpg</v>
      </c>
      <c r="AW991" s="81" t="s">
        <v>10185</v>
      </c>
      <c r="AX991" s="81" t="s">
        <v>11278</v>
      </c>
      <c r="AY991" s="81" t="s">
        <v>11334</v>
      </c>
      <c r="AZ991" s="81" t="s">
        <v>11278</v>
      </c>
      <c r="BA991" s="81" t="s">
        <v>11359</v>
      </c>
      <c r="BB991" s="81" t="s">
        <v>11359</v>
      </c>
      <c r="BC991" s="81" t="s">
        <v>11278</v>
      </c>
      <c r="BD991" s="81" t="s">
        <v>11523</v>
      </c>
      <c r="BE991" s="77"/>
      <c r="BF991" s="77"/>
      <c r="BG991" s="77"/>
      <c r="BH991" s="77"/>
      <c r="BI991" s="77"/>
    </row>
    <row r="992" spans="1:61" x14ac:dyDescent="0.25">
      <c r="A992" s="62" t="s">
        <v>460</v>
      </c>
      <c r="B992" s="62" t="s">
        <v>919</v>
      </c>
      <c r="C992" s="63"/>
      <c r="D992" s="64"/>
      <c r="E992" s="65"/>
      <c r="F992" s="66"/>
      <c r="G992" s="63"/>
      <c r="H992" s="67"/>
      <c r="I992" s="68"/>
      <c r="J992" s="68"/>
      <c r="K992" s="32"/>
      <c r="L992" s="75">
        <v>992</v>
      </c>
      <c r="M992" s="75"/>
      <c r="N992" s="70"/>
      <c r="O992" s="77" t="s">
        <v>970</v>
      </c>
      <c r="P992" s="79">
        <v>45004.147870370369</v>
      </c>
      <c r="Q992" s="77" t="s">
        <v>1864</v>
      </c>
      <c r="R992" s="77">
        <v>0</v>
      </c>
      <c r="S992" s="77">
        <v>0</v>
      </c>
      <c r="T992" s="77">
        <v>0</v>
      </c>
      <c r="U992" s="77">
        <v>0</v>
      </c>
      <c r="V992" s="77">
        <v>27</v>
      </c>
      <c r="W992" s="81" t="s">
        <v>3460</v>
      </c>
      <c r="X992" s="77"/>
      <c r="Y992" s="77"/>
      <c r="Z992" s="77" t="s">
        <v>4375</v>
      </c>
      <c r="AA992" s="77"/>
      <c r="AB992" s="77"/>
      <c r="AC992" s="81" t="s">
        <v>5803</v>
      </c>
      <c r="AD992" s="77" t="s">
        <v>5850</v>
      </c>
      <c r="AE992" s="83" t="str">
        <f>HYPERLINK("https://twitter.com/mariana64692094/status/1637296065215885315")</f>
        <v>https://twitter.com/mariana64692094/status/1637296065215885315</v>
      </c>
      <c r="AF992" s="79">
        <v>45004.147870370369</v>
      </c>
      <c r="AG992" s="85">
        <v>45004</v>
      </c>
      <c r="AH992" s="81" t="s">
        <v>6730</v>
      </c>
      <c r="AI992" s="77"/>
      <c r="AJ992" s="77"/>
      <c r="AK992" s="77"/>
      <c r="AL992" s="77"/>
      <c r="AM992" s="77"/>
      <c r="AN992" s="77"/>
      <c r="AO992" s="77"/>
      <c r="AP992" s="77"/>
      <c r="AQ992" s="77"/>
      <c r="AR992" s="77"/>
      <c r="AS992" s="77"/>
      <c r="AT992" s="77"/>
      <c r="AU992" s="77"/>
      <c r="AV992" s="83" t="str">
        <f>HYPERLINK("https://pbs.twimg.com/profile_images/1554626465731383298/9KudSdu0_normal.jpg")</f>
        <v>https://pbs.twimg.com/profile_images/1554626465731383298/9KudSdu0_normal.jpg</v>
      </c>
      <c r="AW992" s="81" t="s">
        <v>10186</v>
      </c>
      <c r="AX992" s="81" t="s">
        <v>11279</v>
      </c>
      <c r="AY992" s="81" t="s">
        <v>11334</v>
      </c>
      <c r="AZ992" s="81" t="s">
        <v>11279</v>
      </c>
      <c r="BA992" s="81" t="s">
        <v>11359</v>
      </c>
      <c r="BB992" s="81" t="s">
        <v>11359</v>
      </c>
      <c r="BC992" s="81" t="s">
        <v>11279</v>
      </c>
      <c r="BD992" s="81" t="s">
        <v>11523</v>
      </c>
      <c r="BE992" s="77"/>
      <c r="BF992" s="77"/>
      <c r="BG992" s="77"/>
      <c r="BH992" s="77"/>
      <c r="BI992" s="77"/>
    </row>
    <row r="993" spans="1:61" x14ac:dyDescent="0.25">
      <c r="A993" s="62" t="s">
        <v>460</v>
      </c>
      <c r="B993" s="62" t="s">
        <v>919</v>
      </c>
      <c r="C993" s="63"/>
      <c r="D993" s="64"/>
      <c r="E993" s="65"/>
      <c r="F993" s="66"/>
      <c r="G993" s="63"/>
      <c r="H993" s="67"/>
      <c r="I993" s="68"/>
      <c r="J993" s="68"/>
      <c r="K993" s="32"/>
      <c r="L993" s="75">
        <v>993</v>
      </c>
      <c r="M993" s="75"/>
      <c r="N993" s="70"/>
      <c r="O993" s="77" t="s">
        <v>970</v>
      </c>
      <c r="P993" s="79">
        <v>45057.135324074072</v>
      </c>
      <c r="Q993" s="77" t="s">
        <v>1865</v>
      </c>
      <c r="R993" s="77">
        <v>0</v>
      </c>
      <c r="S993" s="77">
        <v>0</v>
      </c>
      <c r="T993" s="77">
        <v>0</v>
      </c>
      <c r="U993" s="77">
        <v>0</v>
      </c>
      <c r="V993" s="77">
        <v>24</v>
      </c>
      <c r="W993" s="81" t="s">
        <v>3453</v>
      </c>
      <c r="X993" s="77"/>
      <c r="Y993" s="77"/>
      <c r="Z993" s="77" t="s">
        <v>4375</v>
      </c>
      <c r="AA993" s="77"/>
      <c r="AB993" s="77"/>
      <c r="AC993" s="81" t="s">
        <v>5803</v>
      </c>
      <c r="AD993" s="77" t="s">
        <v>5850</v>
      </c>
      <c r="AE993" s="83" t="str">
        <f>HYPERLINK("https://twitter.com/mariana64692094/status/1656498077530824706")</f>
        <v>https://twitter.com/mariana64692094/status/1656498077530824706</v>
      </c>
      <c r="AF993" s="79">
        <v>45057.135324074072</v>
      </c>
      <c r="AG993" s="85">
        <v>45057</v>
      </c>
      <c r="AH993" s="81" t="s">
        <v>6731</v>
      </c>
      <c r="AI993" s="77"/>
      <c r="AJ993" s="77"/>
      <c r="AK993" s="77"/>
      <c r="AL993" s="77"/>
      <c r="AM993" s="77"/>
      <c r="AN993" s="77"/>
      <c r="AO993" s="77"/>
      <c r="AP993" s="77"/>
      <c r="AQ993" s="77"/>
      <c r="AR993" s="77"/>
      <c r="AS993" s="77"/>
      <c r="AT993" s="77"/>
      <c r="AU993" s="77"/>
      <c r="AV993" s="83" t="str">
        <f>HYPERLINK("https://pbs.twimg.com/profile_images/1554626465731383298/9KudSdu0_normal.jpg")</f>
        <v>https://pbs.twimg.com/profile_images/1554626465731383298/9KudSdu0_normal.jpg</v>
      </c>
      <c r="AW993" s="81" t="s">
        <v>10187</v>
      </c>
      <c r="AX993" s="81" t="s">
        <v>11280</v>
      </c>
      <c r="AY993" s="81" t="s">
        <v>11334</v>
      </c>
      <c r="AZ993" s="81" t="s">
        <v>11280</v>
      </c>
      <c r="BA993" s="81" t="s">
        <v>11359</v>
      </c>
      <c r="BB993" s="81" t="s">
        <v>11359</v>
      </c>
      <c r="BC993" s="81" t="s">
        <v>11280</v>
      </c>
      <c r="BD993" s="81" t="s">
        <v>11523</v>
      </c>
      <c r="BE993" s="77"/>
      <c r="BF993" s="77"/>
      <c r="BG993" s="77"/>
      <c r="BH993" s="77"/>
      <c r="BI993" s="77"/>
    </row>
    <row r="994" spans="1:61" x14ac:dyDescent="0.25">
      <c r="A994" s="62" t="s">
        <v>460</v>
      </c>
      <c r="B994" s="62" t="s">
        <v>919</v>
      </c>
      <c r="C994" s="63"/>
      <c r="D994" s="64"/>
      <c r="E994" s="65"/>
      <c r="F994" s="66"/>
      <c r="G994" s="63"/>
      <c r="H994" s="67"/>
      <c r="I994" s="68"/>
      <c r="J994" s="68"/>
      <c r="K994" s="32"/>
      <c r="L994" s="75">
        <v>994</v>
      </c>
      <c r="M994" s="75"/>
      <c r="N994" s="70"/>
      <c r="O994" s="77" t="s">
        <v>970</v>
      </c>
      <c r="P994" s="79">
        <v>45056.25409722222</v>
      </c>
      <c r="Q994" s="77" t="s">
        <v>1866</v>
      </c>
      <c r="R994" s="77">
        <v>0</v>
      </c>
      <c r="S994" s="77">
        <v>0</v>
      </c>
      <c r="T994" s="77">
        <v>0</v>
      </c>
      <c r="U994" s="77">
        <v>0</v>
      </c>
      <c r="V994" s="77">
        <v>23</v>
      </c>
      <c r="W994" s="81" t="s">
        <v>3461</v>
      </c>
      <c r="X994" s="77"/>
      <c r="Y994" s="77"/>
      <c r="Z994" s="77" t="s">
        <v>4375</v>
      </c>
      <c r="AA994" s="77"/>
      <c r="AB994" s="77"/>
      <c r="AC994" s="81" t="s">
        <v>5803</v>
      </c>
      <c r="AD994" s="77" t="s">
        <v>5850</v>
      </c>
      <c r="AE994" s="83" t="str">
        <f>HYPERLINK("https://twitter.com/mariana64692094/status/1656178731075923969")</f>
        <v>https://twitter.com/mariana64692094/status/1656178731075923969</v>
      </c>
      <c r="AF994" s="79">
        <v>45056.25409722222</v>
      </c>
      <c r="AG994" s="85">
        <v>45056</v>
      </c>
      <c r="AH994" s="81" t="s">
        <v>6732</v>
      </c>
      <c r="AI994" s="77"/>
      <c r="AJ994" s="77"/>
      <c r="AK994" s="77"/>
      <c r="AL994" s="77"/>
      <c r="AM994" s="77"/>
      <c r="AN994" s="77"/>
      <c r="AO994" s="77"/>
      <c r="AP994" s="77"/>
      <c r="AQ994" s="77"/>
      <c r="AR994" s="77"/>
      <c r="AS994" s="77"/>
      <c r="AT994" s="77"/>
      <c r="AU994" s="77"/>
      <c r="AV994" s="83" t="str">
        <f>HYPERLINK("https://pbs.twimg.com/profile_images/1554626465731383298/9KudSdu0_normal.jpg")</f>
        <v>https://pbs.twimg.com/profile_images/1554626465731383298/9KudSdu0_normal.jpg</v>
      </c>
      <c r="AW994" s="81" t="s">
        <v>10188</v>
      </c>
      <c r="AX994" s="81" t="s">
        <v>11281</v>
      </c>
      <c r="AY994" s="81" t="s">
        <v>11334</v>
      </c>
      <c r="AZ994" s="81" t="s">
        <v>11281</v>
      </c>
      <c r="BA994" s="81" t="s">
        <v>11359</v>
      </c>
      <c r="BB994" s="81" t="s">
        <v>11359</v>
      </c>
      <c r="BC994" s="81" t="s">
        <v>11281</v>
      </c>
      <c r="BD994" s="81" t="s">
        <v>11523</v>
      </c>
      <c r="BE994" s="77"/>
      <c r="BF994" s="77"/>
      <c r="BG994" s="77"/>
      <c r="BH994" s="77"/>
      <c r="BI994" s="77"/>
    </row>
    <row r="995" spans="1:61" x14ac:dyDescent="0.25">
      <c r="A995" s="62" t="s">
        <v>460</v>
      </c>
      <c r="B995" s="62" t="s">
        <v>919</v>
      </c>
      <c r="C995" s="63"/>
      <c r="D995" s="64"/>
      <c r="E995" s="65"/>
      <c r="F995" s="66"/>
      <c r="G995" s="63"/>
      <c r="H995" s="67"/>
      <c r="I995" s="68"/>
      <c r="J995" s="68"/>
      <c r="K995" s="32"/>
      <c r="L995" s="75">
        <v>995</v>
      </c>
      <c r="M995" s="75"/>
      <c r="N995" s="70"/>
      <c r="O995" s="77" t="s">
        <v>970</v>
      </c>
      <c r="P995" s="79">
        <v>45036.143252314818</v>
      </c>
      <c r="Q995" s="77" t="s">
        <v>1867</v>
      </c>
      <c r="R995" s="77">
        <v>0</v>
      </c>
      <c r="S995" s="77">
        <v>0</v>
      </c>
      <c r="T995" s="77">
        <v>0</v>
      </c>
      <c r="U995" s="77">
        <v>0</v>
      </c>
      <c r="V995" s="77">
        <v>17</v>
      </c>
      <c r="W995" s="81" t="s">
        <v>3455</v>
      </c>
      <c r="X995" s="77"/>
      <c r="Y995" s="77"/>
      <c r="Z995" s="77" t="s">
        <v>4375</v>
      </c>
      <c r="AA995" s="77"/>
      <c r="AB995" s="77"/>
      <c r="AC995" s="81" t="s">
        <v>5803</v>
      </c>
      <c r="AD995" s="77" t="s">
        <v>5850</v>
      </c>
      <c r="AE995" s="83" t="str">
        <f>HYPERLINK("https://twitter.com/mariana64692094/status/1648890804755111937")</f>
        <v>https://twitter.com/mariana64692094/status/1648890804755111937</v>
      </c>
      <c r="AF995" s="79">
        <v>45036.143252314818</v>
      </c>
      <c r="AG995" s="85">
        <v>45036</v>
      </c>
      <c r="AH995" s="81" t="s">
        <v>6733</v>
      </c>
      <c r="AI995" s="77"/>
      <c r="AJ995" s="77"/>
      <c r="AK995" s="77"/>
      <c r="AL995" s="77"/>
      <c r="AM995" s="77"/>
      <c r="AN995" s="77"/>
      <c r="AO995" s="77"/>
      <c r="AP995" s="77"/>
      <c r="AQ995" s="77"/>
      <c r="AR995" s="77"/>
      <c r="AS995" s="77"/>
      <c r="AT995" s="77"/>
      <c r="AU995" s="77"/>
      <c r="AV995" s="83" t="str">
        <f>HYPERLINK("https://pbs.twimg.com/profile_images/1554626465731383298/9KudSdu0_normal.jpg")</f>
        <v>https://pbs.twimg.com/profile_images/1554626465731383298/9KudSdu0_normal.jpg</v>
      </c>
      <c r="AW995" s="81" t="s">
        <v>10189</v>
      </c>
      <c r="AX995" s="81" t="s">
        <v>11282</v>
      </c>
      <c r="AY995" s="81" t="s">
        <v>11334</v>
      </c>
      <c r="AZ995" s="81" t="s">
        <v>11282</v>
      </c>
      <c r="BA995" s="81" t="s">
        <v>11359</v>
      </c>
      <c r="BB995" s="81" t="s">
        <v>11359</v>
      </c>
      <c r="BC995" s="81" t="s">
        <v>11282</v>
      </c>
      <c r="BD995" s="81" t="s">
        <v>11523</v>
      </c>
      <c r="BE995" s="77"/>
      <c r="BF995" s="77"/>
      <c r="BG995" s="77"/>
      <c r="BH995" s="77"/>
      <c r="BI995" s="77"/>
    </row>
    <row r="996" spans="1:61" x14ac:dyDescent="0.25">
      <c r="A996" s="62" t="s">
        <v>460</v>
      </c>
      <c r="B996" s="62" t="s">
        <v>919</v>
      </c>
      <c r="C996" s="63"/>
      <c r="D996" s="64"/>
      <c r="E996" s="65"/>
      <c r="F996" s="66"/>
      <c r="G996" s="63"/>
      <c r="H996" s="67"/>
      <c r="I996" s="68"/>
      <c r="J996" s="68"/>
      <c r="K996" s="32"/>
      <c r="L996" s="75">
        <v>996</v>
      </c>
      <c r="M996" s="75"/>
      <c r="N996" s="70"/>
      <c r="O996" s="77" t="s">
        <v>970</v>
      </c>
      <c r="P996" s="79">
        <v>45035.200162037036</v>
      </c>
      <c r="Q996" s="77" t="s">
        <v>1868</v>
      </c>
      <c r="R996" s="77">
        <v>0</v>
      </c>
      <c r="S996" s="77">
        <v>0</v>
      </c>
      <c r="T996" s="77">
        <v>0</v>
      </c>
      <c r="U996" s="77">
        <v>0</v>
      </c>
      <c r="V996" s="77">
        <v>9</v>
      </c>
      <c r="W996" s="81" t="s">
        <v>3455</v>
      </c>
      <c r="X996" s="77"/>
      <c r="Y996" s="77"/>
      <c r="Z996" s="77" t="s">
        <v>4375</v>
      </c>
      <c r="AA996" s="77"/>
      <c r="AB996" s="77"/>
      <c r="AC996" s="81" t="s">
        <v>5803</v>
      </c>
      <c r="AD996" s="77" t="s">
        <v>5850</v>
      </c>
      <c r="AE996" s="83" t="str">
        <f>HYPERLINK("https://twitter.com/mariana64692094/status/1648549040961777666")</f>
        <v>https://twitter.com/mariana64692094/status/1648549040961777666</v>
      </c>
      <c r="AF996" s="79">
        <v>45035.200162037036</v>
      </c>
      <c r="AG996" s="85">
        <v>45035</v>
      </c>
      <c r="AH996" s="81" t="s">
        <v>6734</v>
      </c>
      <c r="AI996" s="77"/>
      <c r="AJ996" s="77"/>
      <c r="AK996" s="77"/>
      <c r="AL996" s="77"/>
      <c r="AM996" s="77"/>
      <c r="AN996" s="77"/>
      <c r="AO996" s="77"/>
      <c r="AP996" s="77"/>
      <c r="AQ996" s="77"/>
      <c r="AR996" s="77"/>
      <c r="AS996" s="77"/>
      <c r="AT996" s="77"/>
      <c r="AU996" s="77"/>
      <c r="AV996" s="83" t="str">
        <f>HYPERLINK("https://pbs.twimg.com/profile_images/1554626465731383298/9KudSdu0_normal.jpg")</f>
        <v>https://pbs.twimg.com/profile_images/1554626465731383298/9KudSdu0_normal.jpg</v>
      </c>
      <c r="AW996" s="81" t="s">
        <v>10190</v>
      </c>
      <c r="AX996" s="81" t="s">
        <v>11283</v>
      </c>
      <c r="AY996" s="81" t="s">
        <v>11334</v>
      </c>
      <c r="AZ996" s="81" t="s">
        <v>11283</v>
      </c>
      <c r="BA996" s="81" t="s">
        <v>11359</v>
      </c>
      <c r="BB996" s="81" t="s">
        <v>11359</v>
      </c>
      <c r="BC996" s="81" t="s">
        <v>11283</v>
      </c>
      <c r="BD996" s="81" t="s">
        <v>11523</v>
      </c>
      <c r="BE996" s="77"/>
      <c r="BF996" s="77"/>
      <c r="BG996" s="77"/>
      <c r="BH996" s="77"/>
      <c r="BI996" s="77"/>
    </row>
    <row r="997" spans="1:61" x14ac:dyDescent="0.25">
      <c r="A997" s="62" t="s">
        <v>460</v>
      </c>
      <c r="B997" s="62" t="s">
        <v>919</v>
      </c>
      <c r="C997" s="63"/>
      <c r="D997" s="64"/>
      <c r="E997" s="65"/>
      <c r="F997" s="66"/>
      <c r="G997" s="63"/>
      <c r="H997" s="67"/>
      <c r="I997" s="68"/>
      <c r="J997" s="68"/>
      <c r="K997" s="32"/>
      <c r="L997" s="75">
        <v>997</v>
      </c>
      <c r="M997" s="75"/>
      <c r="N997" s="70"/>
      <c r="O997" s="77" t="s">
        <v>970</v>
      </c>
      <c r="P997" s="79">
        <v>44997.055717592593</v>
      </c>
      <c r="Q997" s="77" t="s">
        <v>1869</v>
      </c>
      <c r="R997" s="77">
        <v>0</v>
      </c>
      <c r="S997" s="77">
        <v>0</v>
      </c>
      <c r="T997" s="77">
        <v>0</v>
      </c>
      <c r="U997" s="77">
        <v>0</v>
      </c>
      <c r="V997" s="77">
        <v>14</v>
      </c>
      <c r="W997" s="81" t="s">
        <v>3462</v>
      </c>
      <c r="X997" s="77"/>
      <c r="Y997" s="77"/>
      <c r="Z997" s="77" t="s">
        <v>4375</v>
      </c>
      <c r="AA997" s="77"/>
      <c r="AB997" s="77"/>
      <c r="AC997" s="81" t="s">
        <v>5803</v>
      </c>
      <c r="AD997" s="77" t="s">
        <v>5850</v>
      </c>
      <c r="AE997" s="83" t="str">
        <f>HYPERLINK("https://twitter.com/mariana64692094/status/1634725957159223296")</f>
        <v>https://twitter.com/mariana64692094/status/1634725957159223296</v>
      </c>
      <c r="AF997" s="79">
        <v>44997.055717592593</v>
      </c>
      <c r="AG997" s="85">
        <v>44997</v>
      </c>
      <c r="AH997" s="81" t="s">
        <v>6735</v>
      </c>
      <c r="AI997" s="77"/>
      <c r="AJ997" s="77"/>
      <c r="AK997" s="77"/>
      <c r="AL997" s="77"/>
      <c r="AM997" s="77"/>
      <c r="AN997" s="77"/>
      <c r="AO997" s="77"/>
      <c r="AP997" s="77"/>
      <c r="AQ997" s="77"/>
      <c r="AR997" s="77"/>
      <c r="AS997" s="77"/>
      <c r="AT997" s="77"/>
      <c r="AU997" s="77"/>
      <c r="AV997" s="83" t="str">
        <f>HYPERLINK("https://pbs.twimg.com/profile_images/1554626465731383298/9KudSdu0_normal.jpg")</f>
        <v>https://pbs.twimg.com/profile_images/1554626465731383298/9KudSdu0_normal.jpg</v>
      </c>
      <c r="AW997" s="81" t="s">
        <v>10191</v>
      </c>
      <c r="AX997" s="81" t="s">
        <v>11284</v>
      </c>
      <c r="AY997" s="81" t="s">
        <v>11334</v>
      </c>
      <c r="AZ997" s="81" t="s">
        <v>11284</v>
      </c>
      <c r="BA997" s="81" t="s">
        <v>11359</v>
      </c>
      <c r="BB997" s="81" t="s">
        <v>11359</v>
      </c>
      <c r="BC997" s="81" t="s">
        <v>11284</v>
      </c>
      <c r="BD997" s="81" t="s">
        <v>11523</v>
      </c>
      <c r="BE997" s="77"/>
      <c r="BF997" s="77"/>
      <c r="BG997" s="77"/>
      <c r="BH997" s="77"/>
      <c r="BI997" s="77"/>
    </row>
    <row r="998" spans="1:61" x14ac:dyDescent="0.25">
      <c r="A998" s="62" t="s">
        <v>460</v>
      </c>
      <c r="B998" s="62" t="s">
        <v>919</v>
      </c>
      <c r="C998" s="63"/>
      <c r="D998" s="64"/>
      <c r="E998" s="65"/>
      <c r="F998" s="66"/>
      <c r="G998" s="63"/>
      <c r="H998" s="67"/>
      <c r="I998" s="68"/>
      <c r="J998" s="68"/>
      <c r="K998" s="32"/>
      <c r="L998" s="75">
        <v>998</v>
      </c>
      <c r="M998" s="75"/>
      <c r="N998" s="70"/>
      <c r="O998" s="77" t="s">
        <v>970</v>
      </c>
      <c r="P998" s="79">
        <v>44997.016608796293</v>
      </c>
      <c r="Q998" s="77" t="s">
        <v>1870</v>
      </c>
      <c r="R998" s="77">
        <v>0</v>
      </c>
      <c r="S998" s="77">
        <v>0</v>
      </c>
      <c r="T998" s="77">
        <v>0</v>
      </c>
      <c r="U998" s="77">
        <v>0</v>
      </c>
      <c r="V998" s="77">
        <v>14</v>
      </c>
      <c r="W998" s="81" t="s">
        <v>3463</v>
      </c>
      <c r="X998" s="77"/>
      <c r="Y998" s="77"/>
      <c r="Z998" s="77" t="s">
        <v>4376</v>
      </c>
      <c r="AA998" s="77"/>
      <c r="AB998" s="77"/>
      <c r="AC998" s="81" t="s">
        <v>5803</v>
      </c>
      <c r="AD998" s="77" t="s">
        <v>5850</v>
      </c>
      <c r="AE998" s="83" t="str">
        <f>HYPERLINK("https://twitter.com/mariana64692094/status/1634711785662996482")</f>
        <v>https://twitter.com/mariana64692094/status/1634711785662996482</v>
      </c>
      <c r="AF998" s="79">
        <v>44997.016608796293</v>
      </c>
      <c r="AG998" s="85">
        <v>44997</v>
      </c>
      <c r="AH998" s="81" t="s">
        <v>6736</v>
      </c>
      <c r="AI998" s="77"/>
      <c r="AJ998" s="77"/>
      <c r="AK998" s="77"/>
      <c r="AL998" s="77"/>
      <c r="AM998" s="77"/>
      <c r="AN998" s="77"/>
      <c r="AO998" s="77"/>
      <c r="AP998" s="77"/>
      <c r="AQ998" s="77"/>
      <c r="AR998" s="77"/>
      <c r="AS998" s="77"/>
      <c r="AT998" s="77"/>
      <c r="AU998" s="77"/>
      <c r="AV998" s="83" t="str">
        <f>HYPERLINK("https://pbs.twimg.com/profile_images/1554626465731383298/9KudSdu0_normal.jpg")</f>
        <v>https://pbs.twimg.com/profile_images/1554626465731383298/9KudSdu0_normal.jpg</v>
      </c>
      <c r="AW998" s="81" t="s">
        <v>10192</v>
      </c>
      <c r="AX998" s="81" t="s">
        <v>11285</v>
      </c>
      <c r="AY998" s="81" t="s">
        <v>11334</v>
      </c>
      <c r="AZ998" s="81" t="s">
        <v>11285</v>
      </c>
      <c r="BA998" s="81" t="s">
        <v>11359</v>
      </c>
      <c r="BB998" s="81" t="s">
        <v>11359</v>
      </c>
      <c r="BC998" s="81" t="s">
        <v>11285</v>
      </c>
      <c r="BD998" s="81" t="s">
        <v>11523</v>
      </c>
      <c r="BE998" s="77"/>
      <c r="BF998" s="77"/>
      <c r="BG998" s="77"/>
      <c r="BH998" s="77"/>
      <c r="BI998" s="77"/>
    </row>
    <row r="999" spans="1:61" x14ac:dyDescent="0.25">
      <c r="A999" s="62" t="s">
        <v>460</v>
      </c>
      <c r="B999" s="62" t="s">
        <v>920</v>
      </c>
      <c r="C999" s="63"/>
      <c r="D999" s="64"/>
      <c r="E999" s="65"/>
      <c r="F999" s="66"/>
      <c r="G999" s="63"/>
      <c r="H999" s="67"/>
      <c r="I999" s="68"/>
      <c r="J999" s="68"/>
      <c r="K999" s="32"/>
      <c r="L999" s="75">
        <v>999</v>
      </c>
      <c r="M999" s="75"/>
      <c r="N999" s="70"/>
      <c r="O999" s="77" t="s">
        <v>970</v>
      </c>
      <c r="P999" s="79">
        <v>45015.185902777775</v>
      </c>
      <c r="Q999" s="77" t="s">
        <v>1853</v>
      </c>
      <c r="R999" s="77">
        <v>0</v>
      </c>
      <c r="S999" s="77">
        <v>0</v>
      </c>
      <c r="T999" s="77">
        <v>0</v>
      </c>
      <c r="U999" s="77">
        <v>0</v>
      </c>
      <c r="V999" s="77">
        <v>14</v>
      </c>
      <c r="W999" s="81" t="s">
        <v>3453</v>
      </c>
      <c r="X999" s="77"/>
      <c r="Y999" s="77"/>
      <c r="Z999" s="77" t="s">
        <v>4375</v>
      </c>
      <c r="AA999" s="77"/>
      <c r="AB999" s="77"/>
      <c r="AC999" s="81" t="s">
        <v>5803</v>
      </c>
      <c r="AD999" s="77" t="s">
        <v>5850</v>
      </c>
      <c r="AE999" s="83" t="str">
        <f>HYPERLINK("https://twitter.com/mariana64692094/status/1641296114933440518")</f>
        <v>https://twitter.com/mariana64692094/status/1641296114933440518</v>
      </c>
      <c r="AF999" s="79">
        <v>45015.185902777775</v>
      </c>
      <c r="AG999" s="85">
        <v>45015</v>
      </c>
      <c r="AH999" s="81" t="s">
        <v>6720</v>
      </c>
      <c r="AI999" s="77"/>
      <c r="AJ999" s="77"/>
      <c r="AK999" s="77"/>
      <c r="AL999" s="77"/>
      <c r="AM999" s="77"/>
      <c r="AN999" s="77"/>
      <c r="AO999" s="77"/>
      <c r="AP999" s="77"/>
      <c r="AQ999" s="77"/>
      <c r="AR999" s="77"/>
      <c r="AS999" s="77"/>
      <c r="AT999" s="77"/>
      <c r="AU999" s="77"/>
      <c r="AV999" s="83" t="str">
        <f>HYPERLINK("https://pbs.twimg.com/profile_images/1554626465731383298/9KudSdu0_normal.jpg")</f>
        <v>https://pbs.twimg.com/profile_images/1554626465731383298/9KudSdu0_normal.jpg</v>
      </c>
      <c r="AW999" s="81" t="s">
        <v>10175</v>
      </c>
      <c r="AX999" s="81" t="s">
        <v>11268</v>
      </c>
      <c r="AY999" s="81" t="s">
        <v>11334</v>
      </c>
      <c r="AZ999" s="81" t="s">
        <v>11268</v>
      </c>
      <c r="BA999" s="81" t="s">
        <v>11359</v>
      </c>
      <c r="BB999" s="81" t="s">
        <v>11359</v>
      </c>
      <c r="BC999" s="81" t="s">
        <v>11268</v>
      </c>
      <c r="BD999" s="81" t="s">
        <v>11523</v>
      </c>
      <c r="BE999" s="77"/>
      <c r="BF999" s="77"/>
      <c r="BG999" s="77"/>
      <c r="BH999" s="77"/>
      <c r="BI999" s="77"/>
    </row>
    <row r="1000" spans="1:61" x14ac:dyDescent="0.25">
      <c r="A1000" s="62" t="s">
        <v>460</v>
      </c>
      <c r="B1000" s="62" t="s">
        <v>920</v>
      </c>
      <c r="C1000" s="63"/>
      <c r="D1000" s="64"/>
      <c r="E1000" s="65"/>
      <c r="F1000" s="66"/>
      <c r="G1000" s="63"/>
      <c r="H1000" s="67"/>
      <c r="I1000" s="68"/>
      <c r="J1000" s="68"/>
      <c r="K1000" s="32"/>
      <c r="L1000" s="75">
        <v>1000</v>
      </c>
      <c r="M1000" s="75"/>
      <c r="N1000" s="70"/>
      <c r="O1000" s="77" t="s">
        <v>970</v>
      </c>
      <c r="P1000" s="79">
        <v>45026.270208333335</v>
      </c>
      <c r="Q1000" s="77" t="s">
        <v>1854</v>
      </c>
      <c r="R1000" s="77">
        <v>0</v>
      </c>
      <c r="S1000" s="77">
        <v>0</v>
      </c>
      <c r="T1000" s="77">
        <v>0</v>
      </c>
      <c r="U1000" s="77">
        <v>0</v>
      </c>
      <c r="V1000" s="77">
        <v>47</v>
      </c>
      <c r="W1000" s="81" t="s">
        <v>3454</v>
      </c>
      <c r="X1000" s="77"/>
      <c r="Y1000" s="77"/>
      <c r="Z1000" s="77" t="s">
        <v>4375</v>
      </c>
      <c r="AA1000" s="77"/>
      <c r="AB1000" s="77"/>
      <c r="AC1000" s="81" t="s">
        <v>5803</v>
      </c>
      <c r="AD1000" s="77" t="s">
        <v>5850</v>
      </c>
      <c r="AE1000" s="83" t="str">
        <f>HYPERLINK("https://twitter.com/mariana64692094/status/1645312935554588672")</f>
        <v>https://twitter.com/mariana64692094/status/1645312935554588672</v>
      </c>
      <c r="AF1000" s="79">
        <v>45026.270208333335</v>
      </c>
      <c r="AG1000" s="85">
        <v>45026</v>
      </c>
      <c r="AH1000" s="81" t="s">
        <v>6721</v>
      </c>
      <c r="AI1000" s="77"/>
      <c r="AJ1000" s="77"/>
      <c r="AK1000" s="77"/>
      <c r="AL1000" s="77"/>
      <c r="AM1000" s="77"/>
      <c r="AN1000" s="77"/>
      <c r="AO1000" s="77"/>
      <c r="AP1000" s="77"/>
      <c r="AQ1000" s="77"/>
      <c r="AR1000" s="77"/>
      <c r="AS1000" s="77"/>
      <c r="AT1000" s="77"/>
      <c r="AU1000" s="77"/>
      <c r="AV1000" s="83" t="str">
        <f>HYPERLINK("https://pbs.twimg.com/profile_images/1554626465731383298/9KudSdu0_normal.jpg")</f>
        <v>https://pbs.twimg.com/profile_images/1554626465731383298/9KudSdu0_normal.jpg</v>
      </c>
      <c r="AW1000" s="81" t="s">
        <v>10176</v>
      </c>
      <c r="AX1000" s="81" t="s">
        <v>11269</v>
      </c>
      <c r="AY1000" s="81" t="s">
        <v>11334</v>
      </c>
      <c r="AZ1000" s="81" t="s">
        <v>11269</v>
      </c>
      <c r="BA1000" s="81" t="s">
        <v>11359</v>
      </c>
      <c r="BB1000" s="81" t="s">
        <v>11359</v>
      </c>
      <c r="BC1000" s="81" t="s">
        <v>11269</v>
      </c>
      <c r="BD1000" s="81" t="s">
        <v>11523</v>
      </c>
      <c r="BE1000" s="77"/>
      <c r="BF1000" s="77"/>
      <c r="BG1000" s="77"/>
      <c r="BH1000" s="77"/>
      <c r="BI1000" s="77"/>
    </row>
    <row r="1001" spans="1:61" x14ac:dyDescent="0.25">
      <c r="A1001" s="62" t="s">
        <v>460</v>
      </c>
      <c r="B1001" s="62" t="s">
        <v>920</v>
      </c>
      <c r="C1001" s="63"/>
      <c r="D1001" s="64"/>
      <c r="E1001" s="65"/>
      <c r="F1001" s="66"/>
      <c r="G1001" s="63"/>
      <c r="H1001" s="67"/>
      <c r="I1001" s="68"/>
      <c r="J1001" s="68"/>
      <c r="K1001" s="32"/>
      <c r="L1001" s="75">
        <v>1001</v>
      </c>
      <c r="M1001" s="75"/>
      <c r="N1001" s="70"/>
      <c r="O1001" s="77" t="s">
        <v>970</v>
      </c>
      <c r="P1001" s="79">
        <v>45026.269224537034</v>
      </c>
      <c r="Q1001" s="77" t="s">
        <v>1855</v>
      </c>
      <c r="R1001" s="77">
        <v>0</v>
      </c>
      <c r="S1001" s="77">
        <v>0</v>
      </c>
      <c r="T1001" s="77">
        <v>0</v>
      </c>
      <c r="U1001" s="77">
        <v>0</v>
      </c>
      <c r="V1001" s="77">
        <v>48</v>
      </c>
      <c r="W1001" s="81" t="s">
        <v>3455</v>
      </c>
      <c r="X1001" s="77"/>
      <c r="Y1001" s="77"/>
      <c r="Z1001" s="77" t="s">
        <v>4375</v>
      </c>
      <c r="AA1001" s="77"/>
      <c r="AB1001" s="77"/>
      <c r="AC1001" s="81" t="s">
        <v>5803</v>
      </c>
      <c r="AD1001" s="77" t="s">
        <v>5850</v>
      </c>
      <c r="AE1001" s="83" t="str">
        <f>HYPERLINK("https://twitter.com/mariana64692094/status/1645312576350302209")</f>
        <v>https://twitter.com/mariana64692094/status/1645312576350302209</v>
      </c>
      <c r="AF1001" s="79">
        <v>45026.269224537034</v>
      </c>
      <c r="AG1001" s="85">
        <v>45026</v>
      </c>
      <c r="AH1001" s="81" t="s">
        <v>6722</v>
      </c>
      <c r="AI1001" s="77"/>
      <c r="AJ1001" s="77"/>
      <c r="AK1001" s="77"/>
      <c r="AL1001" s="77"/>
      <c r="AM1001" s="77"/>
      <c r="AN1001" s="77"/>
      <c r="AO1001" s="77"/>
      <c r="AP1001" s="77"/>
      <c r="AQ1001" s="77"/>
      <c r="AR1001" s="77"/>
      <c r="AS1001" s="77"/>
      <c r="AT1001" s="77"/>
      <c r="AU1001" s="77"/>
      <c r="AV1001" s="83" t="str">
        <f>HYPERLINK("https://pbs.twimg.com/profile_images/1554626465731383298/9KudSdu0_normal.jpg")</f>
        <v>https://pbs.twimg.com/profile_images/1554626465731383298/9KudSdu0_normal.jpg</v>
      </c>
      <c r="AW1001" s="81" t="s">
        <v>10177</v>
      </c>
      <c r="AX1001" s="81" t="s">
        <v>11270</v>
      </c>
      <c r="AY1001" s="81" t="s">
        <v>11334</v>
      </c>
      <c r="AZ1001" s="81" t="s">
        <v>11270</v>
      </c>
      <c r="BA1001" s="81" t="s">
        <v>11359</v>
      </c>
      <c r="BB1001" s="81" t="s">
        <v>11359</v>
      </c>
      <c r="BC1001" s="81" t="s">
        <v>11270</v>
      </c>
      <c r="BD1001" s="81" t="s">
        <v>11523</v>
      </c>
      <c r="BE1001" s="77"/>
      <c r="BF1001" s="77"/>
      <c r="BG1001" s="77"/>
      <c r="BH1001" s="77"/>
      <c r="BI1001" s="77"/>
    </row>
    <row r="1002" spans="1:61" x14ac:dyDescent="0.25">
      <c r="A1002" s="62" t="s">
        <v>460</v>
      </c>
      <c r="B1002" s="62" t="s">
        <v>920</v>
      </c>
      <c r="C1002" s="63"/>
      <c r="D1002" s="64"/>
      <c r="E1002" s="65"/>
      <c r="F1002" s="66"/>
      <c r="G1002" s="63"/>
      <c r="H1002" s="67"/>
      <c r="I1002" s="68"/>
      <c r="J1002" s="68"/>
      <c r="K1002" s="32"/>
      <c r="L1002" s="75">
        <v>1002</v>
      </c>
      <c r="M1002" s="75"/>
      <c r="N1002" s="70"/>
      <c r="O1002" s="77" t="s">
        <v>970</v>
      </c>
      <c r="P1002" s="79">
        <v>45024.010347222225</v>
      </c>
      <c r="Q1002" s="77" t="s">
        <v>1856</v>
      </c>
      <c r="R1002" s="77">
        <v>0</v>
      </c>
      <c r="S1002" s="77">
        <v>0</v>
      </c>
      <c r="T1002" s="77">
        <v>0</v>
      </c>
      <c r="U1002" s="77">
        <v>0</v>
      </c>
      <c r="V1002" s="77">
        <v>27</v>
      </c>
      <c r="W1002" s="81" t="s">
        <v>3456</v>
      </c>
      <c r="X1002" s="77"/>
      <c r="Y1002" s="77"/>
      <c r="Z1002" s="77" t="s">
        <v>4375</v>
      </c>
      <c r="AA1002" s="77"/>
      <c r="AB1002" s="77"/>
      <c r="AC1002" s="81" t="s">
        <v>5803</v>
      </c>
      <c r="AD1002" s="77" t="s">
        <v>5850</v>
      </c>
      <c r="AE1002" s="83" t="str">
        <f>HYPERLINK("https://twitter.com/mariana64692094/status/1644493987582205952")</f>
        <v>https://twitter.com/mariana64692094/status/1644493987582205952</v>
      </c>
      <c r="AF1002" s="79">
        <v>45024.010347222225</v>
      </c>
      <c r="AG1002" s="85">
        <v>45024</v>
      </c>
      <c r="AH1002" s="81" t="s">
        <v>6723</v>
      </c>
      <c r="AI1002" s="77"/>
      <c r="AJ1002" s="77"/>
      <c r="AK1002" s="77"/>
      <c r="AL1002" s="77"/>
      <c r="AM1002" s="77"/>
      <c r="AN1002" s="77"/>
      <c r="AO1002" s="77"/>
      <c r="AP1002" s="77"/>
      <c r="AQ1002" s="77"/>
      <c r="AR1002" s="77"/>
      <c r="AS1002" s="77"/>
      <c r="AT1002" s="77"/>
      <c r="AU1002" s="77"/>
      <c r="AV1002" s="83" t="str">
        <f>HYPERLINK("https://pbs.twimg.com/profile_images/1554626465731383298/9KudSdu0_normal.jpg")</f>
        <v>https://pbs.twimg.com/profile_images/1554626465731383298/9KudSdu0_normal.jpg</v>
      </c>
      <c r="AW1002" s="81" t="s">
        <v>10178</v>
      </c>
      <c r="AX1002" s="81" t="s">
        <v>11271</v>
      </c>
      <c r="AY1002" s="81" t="s">
        <v>11334</v>
      </c>
      <c r="AZ1002" s="81" t="s">
        <v>11271</v>
      </c>
      <c r="BA1002" s="81" t="s">
        <v>11359</v>
      </c>
      <c r="BB1002" s="81" t="s">
        <v>11359</v>
      </c>
      <c r="BC1002" s="81" t="s">
        <v>11271</v>
      </c>
      <c r="BD1002" s="81" t="s">
        <v>11523</v>
      </c>
      <c r="BE1002" s="77"/>
      <c r="BF1002" s="77"/>
      <c r="BG1002" s="77"/>
      <c r="BH1002" s="77"/>
      <c r="BI1002" s="77"/>
    </row>
    <row r="1003" spans="1:61" x14ac:dyDescent="0.25">
      <c r="A1003" s="62" t="s">
        <v>460</v>
      </c>
      <c r="B1003" s="62" t="s">
        <v>920</v>
      </c>
      <c r="C1003" s="63"/>
      <c r="D1003" s="64"/>
      <c r="E1003" s="65"/>
      <c r="F1003" s="66"/>
      <c r="G1003" s="63"/>
      <c r="H1003" s="67"/>
      <c r="I1003" s="68"/>
      <c r="J1003" s="68"/>
      <c r="K1003" s="32"/>
      <c r="L1003" s="75">
        <v>1003</v>
      </c>
      <c r="M1003" s="75"/>
      <c r="N1003" s="70"/>
      <c r="O1003" s="77" t="s">
        <v>970</v>
      </c>
      <c r="P1003" s="79">
        <v>45020.107187499998</v>
      </c>
      <c r="Q1003" s="77" t="s">
        <v>1857</v>
      </c>
      <c r="R1003" s="77">
        <v>0</v>
      </c>
      <c r="S1003" s="77">
        <v>0</v>
      </c>
      <c r="T1003" s="77">
        <v>0</v>
      </c>
      <c r="U1003" s="77">
        <v>0</v>
      </c>
      <c r="V1003" s="77">
        <v>16</v>
      </c>
      <c r="W1003" s="81" t="s">
        <v>3457</v>
      </c>
      <c r="X1003" s="77"/>
      <c r="Y1003" s="77"/>
      <c r="Z1003" s="77" t="s">
        <v>4375</v>
      </c>
      <c r="AA1003" s="77"/>
      <c r="AB1003" s="77"/>
      <c r="AC1003" s="81" t="s">
        <v>5803</v>
      </c>
      <c r="AD1003" s="77" t="s">
        <v>5850</v>
      </c>
      <c r="AE1003" s="83" t="str">
        <f>HYPERLINK("https://twitter.com/mariana64692094/status/1643079528548368387")</f>
        <v>https://twitter.com/mariana64692094/status/1643079528548368387</v>
      </c>
      <c r="AF1003" s="79">
        <v>45020.107187499998</v>
      </c>
      <c r="AG1003" s="85">
        <v>45020</v>
      </c>
      <c r="AH1003" s="81" t="s">
        <v>6724</v>
      </c>
      <c r="AI1003" s="77"/>
      <c r="AJ1003" s="77"/>
      <c r="AK1003" s="77"/>
      <c r="AL1003" s="77"/>
      <c r="AM1003" s="77"/>
      <c r="AN1003" s="77"/>
      <c r="AO1003" s="77"/>
      <c r="AP1003" s="77"/>
      <c r="AQ1003" s="77"/>
      <c r="AR1003" s="77"/>
      <c r="AS1003" s="77"/>
      <c r="AT1003" s="77"/>
      <c r="AU1003" s="77"/>
      <c r="AV1003" s="83" t="str">
        <f>HYPERLINK("https://pbs.twimg.com/profile_images/1554626465731383298/9KudSdu0_normal.jpg")</f>
        <v>https://pbs.twimg.com/profile_images/1554626465731383298/9KudSdu0_normal.jpg</v>
      </c>
      <c r="AW1003" s="81" t="s">
        <v>10179</v>
      </c>
      <c r="AX1003" s="81" t="s">
        <v>11272</v>
      </c>
      <c r="AY1003" s="81" t="s">
        <v>11334</v>
      </c>
      <c r="AZ1003" s="81" t="s">
        <v>11272</v>
      </c>
      <c r="BA1003" s="81" t="s">
        <v>11359</v>
      </c>
      <c r="BB1003" s="81" t="s">
        <v>11359</v>
      </c>
      <c r="BC1003" s="81" t="s">
        <v>11272</v>
      </c>
      <c r="BD1003" s="81" t="s">
        <v>11523</v>
      </c>
      <c r="BE1003" s="77"/>
      <c r="BF1003" s="77"/>
      <c r="BG1003" s="77"/>
      <c r="BH1003" s="77"/>
      <c r="BI1003" s="77"/>
    </row>
    <row r="1004" spans="1:61" x14ac:dyDescent="0.25">
      <c r="A1004" s="62" t="s">
        <v>460</v>
      </c>
      <c r="B1004" s="62" t="s">
        <v>920</v>
      </c>
      <c r="C1004" s="63"/>
      <c r="D1004" s="64"/>
      <c r="E1004" s="65"/>
      <c r="F1004" s="66"/>
      <c r="G1004" s="63"/>
      <c r="H1004" s="67"/>
      <c r="I1004" s="68"/>
      <c r="J1004" s="68"/>
      <c r="K1004" s="32"/>
      <c r="L1004" s="75">
        <v>1004</v>
      </c>
      <c r="M1004" s="75"/>
      <c r="N1004" s="70"/>
      <c r="O1004" s="77" t="s">
        <v>970</v>
      </c>
      <c r="P1004" s="79">
        <v>45041.24554398148</v>
      </c>
      <c r="Q1004" s="77" t="s">
        <v>1858</v>
      </c>
      <c r="R1004" s="77">
        <v>0</v>
      </c>
      <c r="S1004" s="77">
        <v>0</v>
      </c>
      <c r="T1004" s="77">
        <v>0</v>
      </c>
      <c r="U1004" s="77">
        <v>0</v>
      </c>
      <c r="V1004" s="77">
        <v>23</v>
      </c>
      <c r="W1004" s="81" t="s">
        <v>3458</v>
      </c>
      <c r="X1004" s="77"/>
      <c r="Y1004" s="77"/>
      <c r="Z1004" s="77" t="s">
        <v>4375</v>
      </c>
      <c r="AA1004" s="77"/>
      <c r="AB1004" s="77"/>
      <c r="AC1004" s="81" t="s">
        <v>5803</v>
      </c>
      <c r="AD1004" s="77" t="s">
        <v>5850</v>
      </c>
      <c r="AE1004" s="83" t="str">
        <f>HYPERLINK("https://twitter.com/mariana64692094/status/1650739811584540673")</f>
        <v>https://twitter.com/mariana64692094/status/1650739811584540673</v>
      </c>
      <c r="AF1004" s="79">
        <v>45041.24554398148</v>
      </c>
      <c r="AG1004" s="85">
        <v>45041</v>
      </c>
      <c r="AH1004" s="81" t="s">
        <v>6725</v>
      </c>
      <c r="AI1004" s="77"/>
      <c r="AJ1004" s="77"/>
      <c r="AK1004" s="77"/>
      <c r="AL1004" s="77"/>
      <c r="AM1004" s="77"/>
      <c r="AN1004" s="77"/>
      <c r="AO1004" s="77"/>
      <c r="AP1004" s="77"/>
      <c r="AQ1004" s="77"/>
      <c r="AR1004" s="77"/>
      <c r="AS1004" s="77"/>
      <c r="AT1004" s="77"/>
      <c r="AU1004" s="77"/>
      <c r="AV1004" s="83" t="str">
        <f>HYPERLINK("https://pbs.twimg.com/profile_images/1554626465731383298/9KudSdu0_normal.jpg")</f>
        <v>https://pbs.twimg.com/profile_images/1554626465731383298/9KudSdu0_normal.jpg</v>
      </c>
      <c r="AW1004" s="81" t="s">
        <v>10180</v>
      </c>
      <c r="AX1004" s="81" t="s">
        <v>11273</v>
      </c>
      <c r="AY1004" s="81" t="s">
        <v>11334</v>
      </c>
      <c r="AZ1004" s="81" t="s">
        <v>11273</v>
      </c>
      <c r="BA1004" s="81" t="s">
        <v>11359</v>
      </c>
      <c r="BB1004" s="81" t="s">
        <v>11359</v>
      </c>
      <c r="BC1004" s="81" t="s">
        <v>11273</v>
      </c>
      <c r="BD1004" s="81" t="s">
        <v>11523</v>
      </c>
      <c r="BE1004" s="77"/>
      <c r="BF1004" s="77"/>
      <c r="BG1004" s="77"/>
      <c r="BH1004" s="77"/>
      <c r="BI1004" s="77"/>
    </row>
    <row r="1005" spans="1:61" x14ac:dyDescent="0.25">
      <c r="A1005" s="62" t="s">
        <v>460</v>
      </c>
      <c r="B1005" s="62" t="s">
        <v>920</v>
      </c>
      <c r="C1005" s="63"/>
      <c r="D1005" s="64"/>
      <c r="E1005" s="65"/>
      <c r="F1005" s="66"/>
      <c r="G1005" s="63"/>
      <c r="H1005" s="67"/>
      <c r="I1005" s="68"/>
      <c r="J1005" s="68"/>
      <c r="K1005" s="32"/>
      <c r="L1005" s="75">
        <v>1005</v>
      </c>
      <c r="M1005" s="75"/>
      <c r="N1005" s="70"/>
      <c r="O1005" s="77" t="s">
        <v>970</v>
      </c>
      <c r="P1005" s="79">
        <v>45041.243460648147</v>
      </c>
      <c r="Q1005" s="77" t="s">
        <v>1859</v>
      </c>
      <c r="R1005" s="77">
        <v>0</v>
      </c>
      <c r="S1005" s="77">
        <v>0</v>
      </c>
      <c r="T1005" s="77">
        <v>0</v>
      </c>
      <c r="U1005" s="77">
        <v>0</v>
      </c>
      <c r="V1005" s="77">
        <v>26</v>
      </c>
      <c r="W1005" s="81" t="s">
        <v>3455</v>
      </c>
      <c r="X1005" s="77"/>
      <c r="Y1005" s="77"/>
      <c r="Z1005" s="77" t="s">
        <v>4375</v>
      </c>
      <c r="AA1005" s="77"/>
      <c r="AB1005" s="77"/>
      <c r="AC1005" s="81" t="s">
        <v>5803</v>
      </c>
      <c r="AD1005" s="77" t="s">
        <v>5850</v>
      </c>
      <c r="AE1005" s="83" t="str">
        <f>HYPERLINK("https://twitter.com/mariana64692094/status/1650739059294187520")</f>
        <v>https://twitter.com/mariana64692094/status/1650739059294187520</v>
      </c>
      <c r="AF1005" s="79">
        <v>45041.243460648147</v>
      </c>
      <c r="AG1005" s="85">
        <v>45041</v>
      </c>
      <c r="AH1005" s="81" t="s">
        <v>6726</v>
      </c>
      <c r="AI1005" s="77"/>
      <c r="AJ1005" s="77"/>
      <c r="AK1005" s="77"/>
      <c r="AL1005" s="77"/>
      <c r="AM1005" s="77"/>
      <c r="AN1005" s="77"/>
      <c r="AO1005" s="77"/>
      <c r="AP1005" s="77"/>
      <c r="AQ1005" s="77"/>
      <c r="AR1005" s="77"/>
      <c r="AS1005" s="77"/>
      <c r="AT1005" s="77"/>
      <c r="AU1005" s="77"/>
      <c r="AV1005" s="83" t="str">
        <f>HYPERLINK("https://pbs.twimg.com/profile_images/1554626465731383298/9KudSdu0_normal.jpg")</f>
        <v>https://pbs.twimg.com/profile_images/1554626465731383298/9KudSdu0_normal.jpg</v>
      </c>
      <c r="AW1005" s="81" t="s">
        <v>10181</v>
      </c>
      <c r="AX1005" s="81" t="s">
        <v>11274</v>
      </c>
      <c r="AY1005" s="81" t="s">
        <v>11334</v>
      </c>
      <c r="AZ1005" s="81" t="s">
        <v>11274</v>
      </c>
      <c r="BA1005" s="81" t="s">
        <v>11359</v>
      </c>
      <c r="BB1005" s="81" t="s">
        <v>11359</v>
      </c>
      <c r="BC1005" s="81" t="s">
        <v>11274</v>
      </c>
      <c r="BD1005" s="81" t="s">
        <v>11523</v>
      </c>
      <c r="BE1005" s="77"/>
      <c r="BF1005" s="77"/>
      <c r="BG1005" s="77"/>
      <c r="BH1005" s="77"/>
      <c r="BI1005" s="77"/>
    </row>
    <row r="1006" spans="1:61" x14ac:dyDescent="0.25">
      <c r="A1006" s="62" t="s">
        <v>460</v>
      </c>
      <c r="B1006" s="62" t="s">
        <v>920</v>
      </c>
      <c r="C1006" s="63"/>
      <c r="D1006" s="64"/>
      <c r="E1006" s="65"/>
      <c r="F1006" s="66"/>
      <c r="G1006" s="63"/>
      <c r="H1006" s="67"/>
      <c r="I1006" s="68"/>
      <c r="J1006" s="68"/>
      <c r="K1006" s="32"/>
      <c r="L1006" s="75">
        <v>1006</v>
      </c>
      <c r="M1006" s="75"/>
      <c r="N1006" s="70"/>
      <c r="O1006" s="77" t="s">
        <v>970</v>
      </c>
      <c r="P1006" s="79">
        <v>45039.068622685183</v>
      </c>
      <c r="Q1006" s="77" t="s">
        <v>1860</v>
      </c>
      <c r="R1006" s="77">
        <v>0</v>
      </c>
      <c r="S1006" s="77">
        <v>0</v>
      </c>
      <c r="T1006" s="77">
        <v>0</v>
      </c>
      <c r="U1006" s="77">
        <v>0</v>
      </c>
      <c r="V1006" s="77">
        <v>17</v>
      </c>
      <c r="W1006" s="81" t="s">
        <v>3454</v>
      </c>
      <c r="X1006" s="77"/>
      <c r="Y1006" s="77"/>
      <c r="Z1006" s="77" t="s">
        <v>4375</v>
      </c>
      <c r="AA1006" s="77"/>
      <c r="AB1006" s="77"/>
      <c r="AC1006" s="81" t="s">
        <v>5803</v>
      </c>
      <c r="AD1006" s="77" t="s">
        <v>5850</v>
      </c>
      <c r="AE1006" s="83" t="str">
        <f>HYPERLINK("https://twitter.com/mariana64692094/status/1649950925241368577")</f>
        <v>https://twitter.com/mariana64692094/status/1649950925241368577</v>
      </c>
      <c r="AF1006" s="79">
        <v>45039.068622685183</v>
      </c>
      <c r="AG1006" s="85">
        <v>45039</v>
      </c>
      <c r="AH1006" s="81" t="s">
        <v>6727</v>
      </c>
      <c r="AI1006" s="77"/>
      <c r="AJ1006" s="77"/>
      <c r="AK1006" s="77"/>
      <c r="AL1006" s="77"/>
      <c r="AM1006" s="77"/>
      <c r="AN1006" s="77"/>
      <c r="AO1006" s="77"/>
      <c r="AP1006" s="77"/>
      <c r="AQ1006" s="77"/>
      <c r="AR1006" s="77"/>
      <c r="AS1006" s="77"/>
      <c r="AT1006" s="77"/>
      <c r="AU1006" s="77"/>
      <c r="AV1006" s="83" t="str">
        <f>HYPERLINK("https://pbs.twimg.com/profile_images/1554626465731383298/9KudSdu0_normal.jpg")</f>
        <v>https://pbs.twimg.com/profile_images/1554626465731383298/9KudSdu0_normal.jpg</v>
      </c>
      <c r="AW1006" s="81" t="s">
        <v>10182</v>
      </c>
      <c r="AX1006" s="81" t="s">
        <v>11275</v>
      </c>
      <c r="AY1006" s="81" t="s">
        <v>11334</v>
      </c>
      <c r="AZ1006" s="81" t="s">
        <v>11275</v>
      </c>
      <c r="BA1006" s="81" t="s">
        <v>11359</v>
      </c>
      <c r="BB1006" s="81" t="s">
        <v>11359</v>
      </c>
      <c r="BC1006" s="81" t="s">
        <v>11275</v>
      </c>
      <c r="BD1006" s="81" t="s">
        <v>11523</v>
      </c>
      <c r="BE1006" s="77"/>
      <c r="BF1006" s="77"/>
      <c r="BG1006" s="77"/>
      <c r="BH1006" s="77"/>
      <c r="BI1006" s="77"/>
    </row>
    <row r="1007" spans="1:61" x14ac:dyDescent="0.25">
      <c r="A1007" s="62" t="s">
        <v>460</v>
      </c>
      <c r="B1007" s="62" t="s">
        <v>920</v>
      </c>
      <c r="C1007" s="63"/>
      <c r="D1007" s="64"/>
      <c r="E1007" s="65"/>
      <c r="F1007" s="66"/>
      <c r="G1007" s="63"/>
      <c r="H1007" s="67"/>
      <c r="I1007" s="68"/>
      <c r="J1007" s="68"/>
      <c r="K1007" s="32"/>
      <c r="L1007" s="75">
        <v>1007</v>
      </c>
      <c r="M1007" s="75"/>
      <c r="N1007" s="70"/>
      <c r="O1007" s="77" t="s">
        <v>970</v>
      </c>
      <c r="P1007" s="79">
        <v>45048.088692129626</v>
      </c>
      <c r="Q1007" s="77" t="s">
        <v>1861</v>
      </c>
      <c r="R1007" s="77">
        <v>0</v>
      </c>
      <c r="S1007" s="77">
        <v>0</v>
      </c>
      <c r="T1007" s="77">
        <v>0</v>
      </c>
      <c r="U1007" s="77">
        <v>0</v>
      </c>
      <c r="V1007" s="77">
        <v>24</v>
      </c>
      <c r="W1007" s="81" t="s">
        <v>3459</v>
      </c>
      <c r="X1007" s="77"/>
      <c r="Y1007" s="77"/>
      <c r="Z1007" s="77" t="s">
        <v>4375</v>
      </c>
      <c r="AA1007" s="77"/>
      <c r="AB1007" s="77"/>
      <c r="AC1007" s="81" t="s">
        <v>5803</v>
      </c>
      <c r="AD1007" s="77" t="s">
        <v>5850</v>
      </c>
      <c r="AE1007" s="83" t="str">
        <f>HYPERLINK("https://twitter.com/mariana64692094/status/1653219687285628929")</f>
        <v>https://twitter.com/mariana64692094/status/1653219687285628929</v>
      </c>
      <c r="AF1007" s="79">
        <v>45048.088692129626</v>
      </c>
      <c r="AG1007" s="85">
        <v>45048</v>
      </c>
      <c r="AH1007" s="81" t="s">
        <v>6493</v>
      </c>
      <c r="AI1007" s="77"/>
      <c r="AJ1007" s="77"/>
      <c r="AK1007" s="77"/>
      <c r="AL1007" s="77"/>
      <c r="AM1007" s="77"/>
      <c r="AN1007" s="77"/>
      <c r="AO1007" s="77"/>
      <c r="AP1007" s="77"/>
      <c r="AQ1007" s="77"/>
      <c r="AR1007" s="77"/>
      <c r="AS1007" s="77"/>
      <c r="AT1007" s="77"/>
      <c r="AU1007" s="77"/>
      <c r="AV1007" s="83" t="str">
        <f>HYPERLINK("https://pbs.twimg.com/profile_images/1554626465731383298/9KudSdu0_normal.jpg")</f>
        <v>https://pbs.twimg.com/profile_images/1554626465731383298/9KudSdu0_normal.jpg</v>
      </c>
      <c r="AW1007" s="81" t="s">
        <v>10183</v>
      </c>
      <c r="AX1007" s="81" t="s">
        <v>11276</v>
      </c>
      <c r="AY1007" s="81" t="s">
        <v>11334</v>
      </c>
      <c r="AZ1007" s="81" t="s">
        <v>11276</v>
      </c>
      <c r="BA1007" s="81" t="s">
        <v>11359</v>
      </c>
      <c r="BB1007" s="81" t="s">
        <v>11359</v>
      </c>
      <c r="BC1007" s="81" t="s">
        <v>11276</v>
      </c>
      <c r="BD1007" s="81" t="s">
        <v>11523</v>
      </c>
      <c r="BE1007" s="77"/>
      <c r="BF1007" s="77"/>
      <c r="BG1007" s="77"/>
      <c r="BH1007" s="77"/>
      <c r="BI1007" s="77"/>
    </row>
    <row r="1008" spans="1:61" x14ac:dyDescent="0.25">
      <c r="A1008" s="62" t="s">
        <v>460</v>
      </c>
      <c r="B1008" s="62" t="s">
        <v>920</v>
      </c>
      <c r="C1008" s="63"/>
      <c r="D1008" s="64"/>
      <c r="E1008" s="65"/>
      <c r="F1008" s="66"/>
      <c r="G1008" s="63"/>
      <c r="H1008" s="67"/>
      <c r="I1008" s="68"/>
      <c r="J1008" s="68"/>
      <c r="K1008" s="32"/>
      <c r="L1008" s="75">
        <v>1008</v>
      </c>
      <c r="M1008" s="75"/>
      <c r="N1008" s="70"/>
      <c r="O1008" s="77" t="s">
        <v>970</v>
      </c>
      <c r="P1008" s="79">
        <v>45046.123553240737</v>
      </c>
      <c r="Q1008" s="77" t="s">
        <v>1862</v>
      </c>
      <c r="R1008" s="77">
        <v>0</v>
      </c>
      <c r="S1008" s="77">
        <v>0</v>
      </c>
      <c r="T1008" s="77">
        <v>0</v>
      </c>
      <c r="U1008" s="77">
        <v>0</v>
      </c>
      <c r="V1008" s="77">
        <v>33</v>
      </c>
      <c r="W1008" s="81" t="s">
        <v>3453</v>
      </c>
      <c r="X1008" s="77"/>
      <c r="Y1008" s="77"/>
      <c r="Z1008" s="77" t="s">
        <v>4375</v>
      </c>
      <c r="AA1008" s="77"/>
      <c r="AB1008" s="77"/>
      <c r="AC1008" s="81" t="s">
        <v>5803</v>
      </c>
      <c r="AD1008" s="77" t="s">
        <v>5850</v>
      </c>
      <c r="AE1008" s="83" t="str">
        <f>HYPERLINK("https://twitter.com/mariana64692094/status/1652507543720148992")</f>
        <v>https://twitter.com/mariana64692094/status/1652507543720148992</v>
      </c>
      <c r="AF1008" s="79">
        <v>45046.123553240737</v>
      </c>
      <c r="AG1008" s="85">
        <v>45046</v>
      </c>
      <c r="AH1008" s="81" t="s">
        <v>6728</v>
      </c>
      <c r="AI1008" s="77"/>
      <c r="AJ1008" s="77"/>
      <c r="AK1008" s="77"/>
      <c r="AL1008" s="77"/>
      <c r="AM1008" s="77"/>
      <c r="AN1008" s="77"/>
      <c r="AO1008" s="77"/>
      <c r="AP1008" s="77"/>
      <c r="AQ1008" s="77"/>
      <c r="AR1008" s="77"/>
      <c r="AS1008" s="77"/>
      <c r="AT1008" s="77"/>
      <c r="AU1008" s="77"/>
      <c r="AV1008" s="83" t="str">
        <f>HYPERLINK("https://pbs.twimg.com/profile_images/1554626465731383298/9KudSdu0_normal.jpg")</f>
        <v>https://pbs.twimg.com/profile_images/1554626465731383298/9KudSdu0_normal.jpg</v>
      </c>
      <c r="AW1008" s="81" t="s">
        <v>10184</v>
      </c>
      <c r="AX1008" s="81" t="s">
        <v>11277</v>
      </c>
      <c r="AY1008" s="81" t="s">
        <v>11334</v>
      </c>
      <c r="AZ1008" s="81" t="s">
        <v>11277</v>
      </c>
      <c r="BA1008" s="81" t="s">
        <v>11359</v>
      </c>
      <c r="BB1008" s="81" t="s">
        <v>11359</v>
      </c>
      <c r="BC1008" s="81" t="s">
        <v>11277</v>
      </c>
      <c r="BD1008" s="81" t="s">
        <v>11523</v>
      </c>
      <c r="BE1008" s="77"/>
      <c r="BF1008" s="77"/>
      <c r="BG1008" s="77"/>
      <c r="BH1008" s="77"/>
      <c r="BI1008" s="77"/>
    </row>
    <row r="1009" spans="1:61" x14ac:dyDescent="0.25">
      <c r="A1009" s="62" t="s">
        <v>460</v>
      </c>
      <c r="B1009" s="62" t="s">
        <v>920</v>
      </c>
      <c r="C1009" s="63"/>
      <c r="D1009" s="64"/>
      <c r="E1009" s="65"/>
      <c r="F1009" s="66"/>
      <c r="G1009" s="63"/>
      <c r="H1009" s="67"/>
      <c r="I1009" s="68"/>
      <c r="J1009" s="68"/>
      <c r="K1009" s="32"/>
      <c r="L1009" s="75">
        <v>1009</v>
      </c>
      <c r="M1009" s="75"/>
      <c r="N1009" s="70"/>
      <c r="O1009" s="77" t="s">
        <v>970</v>
      </c>
      <c r="P1009" s="79">
        <v>45044.241956018515</v>
      </c>
      <c r="Q1009" s="77" t="s">
        <v>1863</v>
      </c>
      <c r="R1009" s="77">
        <v>0</v>
      </c>
      <c r="S1009" s="77">
        <v>0</v>
      </c>
      <c r="T1009" s="77">
        <v>0</v>
      </c>
      <c r="U1009" s="77">
        <v>0</v>
      </c>
      <c r="V1009" s="77">
        <v>22</v>
      </c>
      <c r="W1009" s="81" t="s">
        <v>3453</v>
      </c>
      <c r="X1009" s="77"/>
      <c r="Y1009" s="77"/>
      <c r="Z1009" s="77" t="s">
        <v>4375</v>
      </c>
      <c r="AA1009" s="77"/>
      <c r="AB1009" s="77"/>
      <c r="AC1009" s="81" t="s">
        <v>5803</v>
      </c>
      <c r="AD1009" s="77" t="s">
        <v>5850</v>
      </c>
      <c r="AE1009" s="83" t="str">
        <f>HYPERLINK("https://twitter.com/mariana64692094/status/1651825678495502336")</f>
        <v>https://twitter.com/mariana64692094/status/1651825678495502336</v>
      </c>
      <c r="AF1009" s="79">
        <v>45044.241956018515</v>
      </c>
      <c r="AG1009" s="85">
        <v>45044</v>
      </c>
      <c r="AH1009" s="81" t="s">
        <v>6729</v>
      </c>
      <c r="AI1009" s="77"/>
      <c r="AJ1009" s="77"/>
      <c r="AK1009" s="77"/>
      <c r="AL1009" s="77"/>
      <c r="AM1009" s="77"/>
      <c r="AN1009" s="77"/>
      <c r="AO1009" s="77"/>
      <c r="AP1009" s="77"/>
      <c r="AQ1009" s="77"/>
      <c r="AR1009" s="77"/>
      <c r="AS1009" s="77"/>
      <c r="AT1009" s="77"/>
      <c r="AU1009" s="77"/>
      <c r="AV1009" s="83" t="str">
        <f>HYPERLINK("https://pbs.twimg.com/profile_images/1554626465731383298/9KudSdu0_normal.jpg")</f>
        <v>https://pbs.twimg.com/profile_images/1554626465731383298/9KudSdu0_normal.jpg</v>
      </c>
      <c r="AW1009" s="81" t="s">
        <v>10185</v>
      </c>
      <c r="AX1009" s="81" t="s">
        <v>11278</v>
      </c>
      <c r="AY1009" s="81" t="s">
        <v>11334</v>
      </c>
      <c r="AZ1009" s="81" t="s">
        <v>11278</v>
      </c>
      <c r="BA1009" s="81" t="s">
        <v>11359</v>
      </c>
      <c r="BB1009" s="81" t="s">
        <v>11359</v>
      </c>
      <c r="BC1009" s="81" t="s">
        <v>11278</v>
      </c>
      <c r="BD1009" s="81" t="s">
        <v>11523</v>
      </c>
      <c r="BE1009" s="77"/>
      <c r="BF1009" s="77"/>
      <c r="BG1009" s="77"/>
      <c r="BH1009" s="77"/>
      <c r="BI1009" s="77"/>
    </row>
    <row r="1010" spans="1:61" x14ac:dyDescent="0.25">
      <c r="A1010" s="62" t="s">
        <v>460</v>
      </c>
      <c r="B1010" s="62" t="s">
        <v>920</v>
      </c>
      <c r="C1010" s="63"/>
      <c r="D1010" s="64"/>
      <c r="E1010" s="65"/>
      <c r="F1010" s="66"/>
      <c r="G1010" s="63"/>
      <c r="H1010" s="67"/>
      <c r="I1010" s="68"/>
      <c r="J1010" s="68"/>
      <c r="K1010" s="32"/>
      <c r="L1010" s="75">
        <v>1010</v>
      </c>
      <c r="M1010" s="75"/>
      <c r="N1010" s="70"/>
      <c r="O1010" s="77" t="s">
        <v>970</v>
      </c>
      <c r="P1010" s="79">
        <v>45004.147870370369</v>
      </c>
      <c r="Q1010" s="77" t="s">
        <v>1864</v>
      </c>
      <c r="R1010" s="77">
        <v>0</v>
      </c>
      <c r="S1010" s="77">
        <v>0</v>
      </c>
      <c r="T1010" s="77">
        <v>0</v>
      </c>
      <c r="U1010" s="77">
        <v>0</v>
      </c>
      <c r="V1010" s="77">
        <v>27</v>
      </c>
      <c r="W1010" s="81" t="s">
        <v>3460</v>
      </c>
      <c r="X1010" s="77"/>
      <c r="Y1010" s="77"/>
      <c r="Z1010" s="77" t="s">
        <v>4375</v>
      </c>
      <c r="AA1010" s="77"/>
      <c r="AB1010" s="77"/>
      <c r="AC1010" s="81" t="s">
        <v>5803</v>
      </c>
      <c r="AD1010" s="77" t="s">
        <v>5850</v>
      </c>
      <c r="AE1010" s="83" t="str">
        <f>HYPERLINK("https://twitter.com/mariana64692094/status/1637296065215885315")</f>
        <v>https://twitter.com/mariana64692094/status/1637296065215885315</v>
      </c>
      <c r="AF1010" s="79">
        <v>45004.147870370369</v>
      </c>
      <c r="AG1010" s="85">
        <v>45004</v>
      </c>
      <c r="AH1010" s="81" t="s">
        <v>6730</v>
      </c>
      <c r="AI1010" s="77"/>
      <c r="AJ1010" s="77"/>
      <c r="AK1010" s="77"/>
      <c r="AL1010" s="77"/>
      <c r="AM1010" s="77"/>
      <c r="AN1010" s="77"/>
      <c r="AO1010" s="77"/>
      <c r="AP1010" s="77"/>
      <c r="AQ1010" s="77"/>
      <c r="AR1010" s="77"/>
      <c r="AS1010" s="77"/>
      <c r="AT1010" s="77"/>
      <c r="AU1010" s="77"/>
      <c r="AV1010" s="83" t="str">
        <f>HYPERLINK("https://pbs.twimg.com/profile_images/1554626465731383298/9KudSdu0_normal.jpg")</f>
        <v>https://pbs.twimg.com/profile_images/1554626465731383298/9KudSdu0_normal.jpg</v>
      </c>
      <c r="AW1010" s="81" t="s">
        <v>10186</v>
      </c>
      <c r="AX1010" s="81" t="s">
        <v>11279</v>
      </c>
      <c r="AY1010" s="81" t="s">
        <v>11334</v>
      </c>
      <c r="AZ1010" s="81" t="s">
        <v>11279</v>
      </c>
      <c r="BA1010" s="81" t="s">
        <v>11359</v>
      </c>
      <c r="BB1010" s="81" t="s">
        <v>11359</v>
      </c>
      <c r="BC1010" s="81" t="s">
        <v>11279</v>
      </c>
      <c r="BD1010" s="81" t="s">
        <v>11523</v>
      </c>
      <c r="BE1010" s="77"/>
      <c r="BF1010" s="77"/>
      <c r="BG1010" s="77"/>
      <c r="BH1010" s="77"/>
      <c r="BI1010" s="77"/>
    </row>
    <row r="1011" spans="1:61" x14ac:dyDescent="0.25">
      <c r="A1011" s="62" t="s">
        <v>460</v>
      </c>
      <c r="B1011" s="62" t="s">
        <v>920</v>
      </c>
      <c r="C1011" s="63"/>
      <c r="D1011" s="64"/>
      <c r="E1011" s="65"/>
      <c r="F1011" s="66"/>
      <c r="G1011" s="63"/>
      <c r="H1011" s="67"/>
      <c r="I1011" s="68"/>
      <c r="J1011" s="68"/>
      <c r="K1011" s="32"/>
      <c r="L1011" s="75">
        <v>1011</v>
      </c>
      <c r="M1011" s="75"/>
      <c r="N1011" s="70"/>
      <c r="O1011" s="77" t="s">
        <v>970</v>
      </c>
      <c r="P1011" s="79">
        <v>45057.135324074072</v>
      </c>
      <c r="Q1011" s="77" t="s">
        <v>1865</v>
      </c>
      <c r="R1011" s="77">
        <v>0</v>
      </c>
      <c r="S1011" s="77">
        <v>0</v>
      </c>
      <c r="T1011" s="77">
        <v>0</v>
      </c>
      <c r="U1011" s="77">
        <v>0</v>
      </c>
      <c r="V1011" s="77">
        <v>24</v>
      </c>
      <c r="W1011" s="81" t="s">
        <v>3453</v>
      </c>
      <c r="X1011" s="77"/>
      <c r="Y1011" s="77"/>
      <c r="Z1011" s="77" t="s">
        <v>4375</v>
      </c>
      <c r="AA1011" s="77"/>
      <c r="AB1011" s="77"/>
      <c r="AC1011" s="81" t="s">
        <v>5803</v>
      </c>
      <c r="AD1011" s="77" t="s">
        <v>5850</v>
      </c>
      <c r="AE1011" s="83" t="str">
        <f>HYPERLINK("https://twitter.com/mariana64692094/status/1656498077530824706")</f>
        <v>https://twitter.com/mariana64692094/status/1656498077530824706</v>
      </c>
      <c r="AF1011" s="79">
        <v>45057.135324074072</v>
      </c>
      <c r="AG1011" s="85">
        <v>45057</v>
      </c>
      <c r="AH1011" s="81" t="s">
        <v>6731</v>
      </c>
      <c r="AI1011" s="77"/>
      <c r="AJ1011" s="77"/>
      <c r="AK1011" s="77"/>
      <c r="AL1011" s="77"/>
      <c r="AM1011" s="77"/>
      <c r="AN1011" s="77"/>
      <c r="AO1011" s="77"/>
      <c r="AP1011" s="77"/>
      <c r="AQ1011" s="77"/>
      <c r="AR1011" s="77"/>
      <c r="AS1011" s="77"/>
      <c r="AT1011" s="77"/>
      <c r="AU1011" s="77"/>
      <c r="AV1011" s="83" t="str">
        <f>HYPERLINK("https://pbs.twimg.com/profile_images/1554626465731383298/9KudSdu0_normal.jpg")</f>
        <v>https://pbs.twimg.com/profile_images/1554626465731383298/9KudSdu0_normal.jpg</v>
      </c>
      <c r="AW1011" s="81" t="s">
        <v>10187</v>
      </c>
      <c r="AX1011" s="81" t="s">
        <v>11280</v>
      </c>
      <c r="AY1011" s="81" t="s">
        <v>11334</v>
      </c>
      <c r="AZ1011" s="81" t="s">
        <v>11280</v>
      </c>
      <c r="BA1011" s="81" t="s">
        <v>11359</v>
      </c>
      <c r="BB1011" s="81" t="s">
        <v>11359</v>
      </c>
      <c r="BC1011" s="81" t="s">
        <v>11280</v>
      </c>
      <c r="BD1011" s="81" t="s">
        <v>11523</v>
      </c>
      <c r="BE1011" s="77"/>
      <c r="BF1011" s="77"/>
      <c r="BG1011" s="77"/>
      <c r="BH1011" s="77"/>
      <c r="BI1011" s="77"/>
    </row>
    <row r="1012" spans="1:61" x14ac:dyDescent="0.25">
      <c r="A1012" s="62" t="s">
        <v>460</v>
      </c>
      <c r="B1012" s="62" t="s">
        <v>920</v>
      </c>
      <c r="C1012" s="63"/>
      <c r="D1012" s="64"/>
      <c r="E1012" s="65"/>
      <c r="F1012" s="66"/>
      <c r="G1012" s="63"/>
      <c r="H1012" s="67"/>
      <c r="I1012" s="68"/>
      <c r="J1012" s="68"/>
      <c r="K1012" s="32"/>
      <c r="L1012" s="75">
        <v>1012</v>
      </c>
      <c r="M1012" s="75"/>
      <c r="N1012" s="70"/>
      <c r="O1012" s="77" t="s">
        <v>970</v>
      </c>
      <c r="P1012" s="79">
        <v>45056.25409722222</v>
      </c>
      <c r="Q1012" s="77" t="s">
        <v>1866</v>
      </c>
      <c r="R1012" s="77">
        <v>0</v>
      </c>
      <c r="S1012" s="77">
        <v>0</v>
      </c>
      <c r="T1012" s="77">
        <v>0</v>
      </c>
      <c r="U1012" s="77">
        <v>0</v>
      </c>
      <c r="V1012" s="77">
        <v>23</v>
      </c>
      <c r="W1012" s="81" t="s">
        <v>3461</v>
      </c>
      <c r="X1012" s="77"/>
      <c r="Y1012" s="77"/>
      <c r="Z1012" s="77" t="s">
        <v>4375</v>
      </c>
      <c r="AA1012" s="77"/>
      <c r="AB1012" s="77"/>
      <c r="AC1012" s="81" t="s">
        <v>5803</v>
      </c>
      <c r="AD1012" s="77" t="s">
        <v>5850</v>
      </c>
      <c r="AE1012" s="83" t="str">
        <f>HYPERLINK("https://twitter.com/mariana64692094/status/1656178731075923969")</f>
        <v>https://twitter.com/mariana64692094/status/1656178731075923969</v>
      </c>
      <c r="AF1012" s="79">
        <v>45056.25409722222</v>
      </c>
      <c r="AG1012" s="85">
        <v>45056</v>
      </c>
      <c r="AH1012" s="81" t="s">
        <v>6732</v>
      </c>
      <c r="AI1012" s="77"/>
      <c r="AJ1012" s="77"/>
      <c r="AK1012" s="77"/>
      <c r="AL1012" s="77"/>
      <c r="AM1012" s="77"/>
      <c r="AN1012" s="77"/>
      <c r="AO1012" s="77"/>
      <c r="AP1012" s="77"/>
      <c r="AQ1012" s="77"/>
      <c r="AR1012" s="77"/>
      <c r="AS1012" s="77"/>
      <c r="AT1012" s="77"/>
      <c r="AU1012" s="77"/>
      <c r="AV1012" s="83" t="str">
        <f>HYPERLINK("https://pbs.twimg.com/profile_images/1554626465731383298/9KudSdu0_normal.jpg")</f>
        <v>https://pbs.twimg.com/profile_images/1554626465731383298/9KudSdu0_normal.jpg</v>
      </c>
      <c r="AW1012" s="81" t="s">
        <v>10188</v>
      </c>
      <c r="AX1012" s="81" t="s">
        <v>11281</v>
      </c>
      <c r="AY1012" s="81" t="s">
        <v>11334</v>
      </c>
      <c r="AZ1012" s="81" t="s">
        <v>11281</v>
      </c>
      <c r="BA1012" s="81" t="s">
        <v>11359</v>
      </c>
      <c r="BB1012" s="81" t="s">
        <v>11359</v>
      </c>
      <c r="BC1012" s="81" t="s">
        <v>11281</v>
      </c>
      <c r="BD1012" s="81" t="s">
        <v>11523</v>
      </c>
      <c r="BE1012" s="77"/>
      <c r="BF1012" s="77"/>
      <c r="BG1012" s="77"/>
      <c r="BH1012" s="77"/>
      <c r="BI1012" s="77"/>
    </row>
    <row r="1013" spans="1:61" x14ac:dyDescent="0.25">
      <c r="A1013" s="62" t="s">
        <v>460</v>
      </c>
      <c r="B1013" s="62" t="s">
        <v>920</v>
      </c>
      <c r="C1013" s="63"/>
      <c r="D1013" s="64"/>
      <c r="E1013" s="65"/>
      <c r="F1013" s="66"/>
      <c r="G1013" s="63"/>
      <c r="H1013" s="67"/>
      <c r="I1013" s="68"/>
      <c r="J1013" s="68"/>
      <c r="K1013" s="32"/>
      <c r="L1013" s="75">
        <v>1013</v>
      </c>
      <c r="M1013" s="75"/>
      <c r="N1013" s="70"/>
      <c r="O1013" s="77" t="s">
        <v>970</v>
      </c>
      <c r="P1013" s="79">
        <v>45036.143252314818</v>
      </c>
      <c r="Q1013" s="77" t="s">
        <v>1867</v>
      </c>
      <c r="R1013" s="77">
        <v>0</v>
      </c>
      <c r="S1013" s="77">
        <v>0</v>
      </c>
      <c r="T1013" s="77">
        <v>0</v>
      </c>
      <c r="U1013" s="77">
        <v>0</v>
      </c>
      <c r="V1013" s="77">
        <v>17</v>
      </c>
      <c r="W1013" s="81" t="s">
        <v>3455</v>
      </c>
      <c r="X1013" s="77"/>
      <c r="Y1013" s="77"/>
      <c r="Z1013" s="77" t="s">
        <v>4375</v>
      </c>
      <c r="AA1013" s="77"/>
      <c r="AB1013" s="77"/>
      <c r="AC1013" s="81" t="s">
        <v>5803</v>
      </c>
      <c r="AD1013" s="77" t="s">
        <v>5850</v>
      </c>
      <c r="AE1013" s="83" t="str">
        <f>HYPERLINK("https://twitter.com/mariana64692094/status/1648890804755111937")</f>
        <v>https://twitter.com/mariana64692094/status/1648890804755111937</v>
      </c>
      <c r="AF1013" s="79">
        <v>45036.143252314818</v>
      </c>
      <c r="AG1013" s="85">
        <v>45036</v>
      </c>
      <c r="AH1013" s="81" t="s">
        <v>6733</v>
      </c>
      <c r="AI1013" s="77"/>
      <c r="AJ1013" s="77"/>
      <c r="AK1013" s="77"/>
      <c r="AL1013" s="77"/>
      <c r="AM1013" s="77"/>
      <c r="AN1013" s="77"/>
      <c r="AO1013" s="77"/>
      <c r="AP1013" s="77"/>
      <c r="AQ1013" s="77"/>
      <c r="AR1013" s="77"/>
      <c r="AS1013" s="77"/>
      <c r="AT1013" s="77"/>
      <c r="AU1013" s="77"/>
      <c r="AV1013" s="83" t="str">
        <f>HYPERLINK("https://pbs.twimg.com/profile_images/1554626465731383298/9KudSdu0_normal.jpg")</f>
        <v>https://pbs.twimg.com/profile_images/1554626465731383298/9KudSdu0_normal.jpg</v>
      </c>
      <c r="AW1013" s="81" t="s">
        <v>10189</v>
      </c>
      <c r="AX1013" s="81" t="s">
        <v>11282</v>
      </c>
      <c r="AY1013" s="81" t="s">
        <v>11334</v>
      </c>
      <c r="AZ1013" s="81" t="s">
        <v>11282</v>
      </c>
      <c r="BA1013" s="81" t="s">
        <v>11359</v>
      </c>
      <c r="BB1013" s="81" t="s">
        <v>11359</v>
      </c>
      <c r="BC1013" s="81" t="s">
        <v>11282</v>
      </c>
      <c r="BD1013" s="81" t="s">
        <v>11523</v>
      </c>
      <c r="BE1013" s="77"/>
      <c r="BF1013" s="77"/>
      <c r="BG1013" s="77"/>
      <c r="BH1013" s="77"/>
      <c r="BI1013" s="77"/>
    </row>
    <row r="1014" spans="1:61" x14ac:dyDescent="0.25">
      <c r="A1014" s="62" t="s">
        <v>460</v>
      </c>
      <c r="B1014" s="62" t="s">
        <v>920</v>
      </c>
      <c r="C1014" s="63"/>
      <c r="D1014" s="64"/>
      <c r="E1014" s="65"/>
      <c r="F1014" s="66"/>
      <c r="G1014" s="63"/>
      <c r="H1014" s="67"/>
      <c r="I1014" s="68"/>
      <c r="J1014" s="68"/>
      <c r="K1014" s="32"/>
      <c r="L1014" s="75">
        <v>1014</v>
      </c>
      <c r="M1014" s="75"/>
      <c r="N1014" s="70"/>
      <c r="O1014" s="77" t="s">
        <v>970</v>
      </c>
      <c r="P1014" s="79">
        <v>45035.200162037036</v>
      </c>
      <c r="Q1014" s="77" t="s">
        <v>1868</v>
      </c>
      <c r="R1014" s="77">
        <v>0</v>
      </c>
      <c r="S1014" s="77">
        <v>0</v>
      </c>
      <c r="T1014" s="77">
        <v>0</v>
      </c>
      <c r="U1014" s="77">
        <v>0</v>
      </c>
      <c r="V1014" s="77">
        <v>9</v>
      </c>
      <c r="W1014" s="81" t="s">
        <v>3455</v>
      </c>
      <c r="X1014" s="77"/>
      <c r="Y1014" s="77"/>
      <c r="Z1014" s="77" t="s">
        <v>4375</v>
      </c>
      <c r="AA1014" s="77"/>
      <c r="AB1014" s="77"/>
      <c r="AC1014" s="81" t="s">
        <v>5803</v>
      </c>
      <c r="AD1014" s="77" t="s">
        <v>5850</v>
      </c>
      <c r="AE1014" s="83" t="str">
        <f>HYPERLINK("https://twitter.com/mariana64692094/status/1648549040961777666")</f>
        <v>https://twitter.com/mariana64692094/status/1648549040961777666</v>
      </c>
      <c r="AF1014" s="79">
        <v>45035.200162037036</v>
      </c>
      <c r="AG1014" s="85">
        <v>45035</v>
      </c>
      <c r="AH1014" s="81" t="s">
        <v>6734</v>
      </c>
      <c r="AI1014" s="77"/>
      <c r="AJ1014" s="77"/>
      <c r="AK1014" s="77"/>
      <c r="AL1014" s="77"/>
      <c r="AM1014" s="77"/>
      <c r="AN1014" s="77"/>
      <c r="AO1014" s="77"/>
      <c r="AP1014" s="77"/>
      <c r="AQ1014" s="77"/>
      <c r="AR1014" s="77"/>
      <c r="AS1014" s="77"/>
      <c r="AT1014" s="77"/>
      <c r="AU1014" s="77"/>
      <c r="AV1014" s="83" t="str">
        <f>HYPERLINK("https://pbs.twimg.com/profile_images/1554626465731383298/9KudSdu0_normal.jpg")</f>
        <v>https://pbs.twimg.com/profile_images/1554626465731383298/9KudSdu0_normal.jpg</v>
      </c>
      <c r="AW1014" s="81" t="s">
        <v>10190</v>
      </c>
      <c r="AX1014" s="81" t="s">
        <v>11283</v>
      </c>
      <c r="AY1014" s="81" t="s">
        <v>11334</v>
      </c>
      <c r="AZ1014" s="81" t="s">
        <v>11283</v>
      </c>
      <c r="BA1014" s="81" t="s">
        <v>11359</v>
      </c>
      <c r="BB1014" s="81" t="s">
        <v>11359</v>
      </c>
      <c r="BC1014" s="81" t="s">
        <v>11283</v>
      </c>
      <c r="BD1014" s="81" t="s">
        <v>11523</v>
      </c>
      <c r="BE1014" s="77"/>
      <c r="BF1014" s="77"/>
      <c r="BG1014" s="77"/>
      <c r="BH1014" s="77"/>
      <c r="BI1014" s="77"/>
    </row>
    <row r="1015" spans="1:61" x14ac:dyDescent="0.25">
      <c r="A1015" s="62" t="s">
        <v>460</v>
      </c>
      <c r="B1015" s="62" t="s">
        <v>920</v>
      </c>
      <c r="C1015" s="63"/>
      <c r="D1015" s="64"/>
      <c r="E1015" s="65"/>
      <c r="F1015" s="66"/>
      <c r="G1015" s="63"/>
      <c r="H1015" s="67"/>
      <c r="I1015" s="68"/>
      <c r="J1015" s="68"/>
      <c r="K1015" s="32"/>
      <c r="L1015" s="75">
        <v>1015</v>
      </c>
      <c r="M1015" s="75"/>
      <c r="N1015" s="70"/>
      <c r="O1015" s="77" t="s">
        <v>970</v>
      </c>
      <c r="P1015" s="79">
        <v>44997.055717592593</v>
      </c>
      <c r="Q1015" s="77" t="s">
        <v>1869</v>
      </c>
      <c r="R1015" s="77">
        <v>0</v>
      </c>
      <c r="S1015" s="77">
        <v>0</v>
      </c>
      <c r="T1015" s="77">
        <v>0</v>
      </c>
      <c r="U1015" s="77">
        <v>0</v>
      </c>
      <c r="V1015" s="77">
        <v>14</v>
      </c>
      <c r="W1015" s="81" t="s">
        <v>3462</v>
      </c>
      <c r="X1015" s="77"/>
      <c r="Y1015" s="77"/>
      <c r="Z1015" s="77" t="s">
        <v>4375</v>
      </c>
      <c r="AA1015" s="77"/>
      <c r="AB1015" s="77"/>
      <c r="AC1015" s="81" t="s">
        <v>5803</v>
      </c>
      <c r="AD1015" s="77" t="s">
        <v>5850</v>
      </c>
      <c r="AE1015" s="83" t="str">
        <f>HYPERLINK("https://twitter.com/mariana64692094/status/1634725957159223296")</f>
        <v>https://twitter.com/mariana64692094/status/1634725957159223296</v>
      </c>
      <c r="AF1015" s="79">
        <v>44997.055717592593</v>
      </c>
      <c r="AG1015" s="85">
        <v>44997</v>
      </c>
      <c r="AH1015" s="81" t="s">
        <v>6735</v>
      </c>
      <c r="AI1015" s="77"/>
      <c r="AJ1015" s="77"/>
      <c r="AK1015" s="77"/>
      <c r="AL1015" s="77"/>
      <c r="AM1015" s="77"/>
      <c r="AN1015" s="77"/>
      <c r="AO1015" s="77"/>
      <c r="AP1015" s="77"/>
      <c r="AQ1015" s="77"/>
      <c r="AR1015" s="77"/>
      <c r="AS1015" s="77"/>
      <c r="AT1015" s="77"/>
      <c r="AU1015" s="77"/>
      <c r="AV1015" s="83" t="str">
        <f>HYPERLINK("https://pbs.twimg.com/profile_images/1554626465731383298/9KudSdu0_normal.jpg")</f>
        <v>https://pbs.twimg.com/profile_images/1554626465731383298/9KudSdu0_normal.jpg</v>
      </c>
      <c r="AW1015" s="81" t="s">
        <v>10191</v>
      </c>
      <c r="AX1015" s="81" t="s">
        <v>11284</v>
      </c>
      <c r="AY1015" s="81" t="s">
        <v>11334</v>
      </c>
      <c r="AZ1015" s="81" t="s">
        <v>11284</v>
      </c>
      <c r="BA1015" s="81" t="s">
        <v>11359</v>
      </c>
      <c r="BB1015" s="81" t="s">
        <v>11359</v>
      </c>
      <c r="BC1015" s="81" t="s">
        <v>11284</v>
      </c>
      <c r="BD1015" s="81" t="s">
        <v>11523</v>
      </c>
      <c r="BE1015" s="77"/>
      <c r="BF1015" s="77"/>
      <c r="BG1015" s="77"/>
      <c r="BH1015" s="77"/>
      <c r="BI1015" s="77"/>
    </row>
    <row r="1016" spans="1:61" x14ac:dyDescent="0.25">
      <c r="A1016" s="62" t="s">
        <v>460</v>
      </c>
      <c r="B1016" s="62" t="s">
        <v>920</v>
      </c>
      <c r="C1016" s="63"/>
      <c r="D1016" s="64"/>
      <c r="E1016" s="65"/>
      <c r="F1016" s="66"/>
      <c r="G1016" s="63"/>
      <c r="H1016" s="67"/>
      <c r="I1016" s="68"/>
      <c r="J1016" s="68"/>
      <c r="K1016" s="32"/>
      <c r="L1016" s="75">
        <v>1016</v>
      </c>
      <c r="M1016" s="75"/>
      <c r="N1016" s="70"/>
      <c r="O1016" s="77" t="s">
        <v>970</v>
      </c>
      <c r="P1016" s="79">
        <v>44997.016608796293</v>
      </c>
      <c r="Q1016" s="77" t="s">
        <v>1870</v>
      </c>
      <c r="R1016" s="77">
        <v>0</v>
      </c>
      <c r="S1016" s="77">
        <v>0</v>
      </c>
      <c r="T1016" s="77">
        <v>0</v>
      </c>
      <c r="U1016" s="77">
        <v>0</v>
      </c>
      <c r="V1016" s="77">
        <v>14</v>
      </c>
      <c r="W1016" s="81" t="s">
        <v>3463</v>
      </c>
      <c r="X1016" s="77"/>
      <c r="Y1016" s="77"/>
      <c r="Z1016" s="77" t="s">
        <v>4376</v>
      </c>
      <c r="AA1016" s="77"/>
      <c r="AB1016" s="77"/>
      <c r="AC1016" s="81" t="s">
        <v>5803</v>
      </c>
      <c r="AD1016" s="77" t="s">
        <v>5850</v>
      </c>
      <c r="AE1016" s="83" t="str">
        <f>HYPERLINK("https://twitter.com/mariana64692094/status/1634711785662996482")</f>
        <v>https://twitter.com/mariana64692094/status/1634711785662996482</v>
      </c>
      <c r="AF1016" s="79">
        <v>44997.016608796293</v>
      </c>
      <c r="AG1016" s="85">
        <v>44997</v>
      </c>
      <c r="AH1016" s="81" t="s">
        <v>6736</v>
      </c>
      <c r="AI1016" s="77"/>
      <c r="AJ1016" s="77"/>
      <c r="AK1016" s="77"/>
      <c r="AL1016" s="77"/>
      <c r="AM1016" s="77"/>
      <c r="AN1016" s="77"/>
      <c r="AO1016" s="77"/>
      <c r="AP1016" s="77"/>
      <c r="AQ1016" s="77"/>
      <c r="AR1016" s="77"/>
      <c r="AS1016" s="77"/>
      <c r="AT1016" s="77"/>
      <c r="AU1016" s="77"/>
      <c r="AV1016" s="83" t="str">
        <f>HYPERLINK("https://pbs.twimg.com/profile_images/1554626465731383298/9KudSdu0_normal.jpg")</f>
        <v>https://pbs.twimg.com/profile_images/1554626465731383298/9KudSdu0_normal.jpg</v>
      </c>
      <c r="AW1016" s="81" t="s">
        <v>10192</v>
      </c>
      <c r="AX1016" s="81" t="s">
        <v>11285</v>
      </c>
      <c r="AY1016" s="81" t="s">
        <v>11334</v>
      </c>
      <c r="AZ1016" s="81" t="s">
        <v>11285</v>
      </c>
      <c r="BA1016" s="81" t="s">
        <v>11359</v>
      </c>
      <c r="BB1016" s="81" t="s">
        <v>11359</v>
      </c>
      <c r="BC1016" s="81" t="s">
        <v>11285</v>
      </c>
      <c r="BD1016" s="81" t="s">
        <v>11523</v>
      </c>
      <c r="BE1016" s="77"/>
      <c r="BF1016" s="77"/>
      <c r="BG1016" s="77"/>
      <c r="BH1016" s="77"/>
      <c r="BI1016" s="77"/>
    </row>
    <row r="1017" spans="1:61" x14ac:dyDescent="0.25">
      <c r="A1017" s="62" t="s">
        <v>460</v>
      </c>
      <c r="B1017" s="62" t="s">
        <v>921</v>
      </c>
      <c r="C1017" s="63"/>
      <c r="D1017" s="64"/>
      <c r="E1017" s="65"/>
      <c r="F1017" s="66"/>
      <c r="G1017" s="63"/>
      <c r="H1017" s="67"/>
      <c r="I1017" s="68"/>
      <c r="J1017" s="68"/>
      <c r="K1017" s="32"/>
      <c r="L1017" s="75">
        <v>1017</v>
      </c>
      <c r="M1017" s="75"/>
      <c r="N1017" s="70"/>
      <c r="O1017" s="77" t="s">
        <v>970</v>
      </c>
      <c r="P1017" s="79">
        <v>45015.185902777775</v>
      </c>
      <c r="Q1017" s="77" t="s">
        <v>1853</v>
      </c>
      <c r="R1017" s="77">
        <v>0</v>
      </c>
      <c r="S1017" s="77">
        <v>0</v>
      </c>
      <c r="T1017" s="77">
        <v>0</v>
      </c>
      <c r="U1017" s="77">
        <v>0</v>
      </c>
      <c r="V1017" s="77">
        <v>14</v>
      </c>
      <c r="W1017" s="81" t="s">
        <v>3453</v>
      </c>
      <c r="X1017" s="77"/>
      <c r="Y1017" s="77"/>
      <c r="Z1017" s="77" t="s">
        <v>4375</v>
      </c>
      <c r="AA1017" s="77"/>
      <c r="AB1017" s="77"/>
      <c r="AC1017" s="81" t="s">
        <v>5803</v>
      </c>
      <c r="AD1017" s="77" t="s">
        <v>5850</v>
      </c>
      <c r="AE1017" s="83" t="str">
        <f>HYPERLINK("https://twitter.com/mariana64692094/status/1641296114933440518")</f>
        <v>https://twitter.com/mariana64692094/status/1641296114933440518</v>
      </c>
      <c r="AF1017" s="79">
        <v>45015.185902777775</v>
      </c>
      <c r="AG1017" s="85">
        <v>45015</v>
      </c>
      <c r="AH1017" s="81" t="s">
        <v>6720</v>
      </c>
      <c r="AI1017" s="77"/>
      <c r="AJ1017" s="77"/>
      <c r="AK1017" s="77"/>
      <c r="AL1017" s="77"/>
      <c r="AM1017" s="77"/>
      <c r="AN1017" s="77"/>
      <c r="AO1017" s="77"/>
      <c r="AP1017" s="77"/>
      <c r="AQ1017" s="77"/>
      <c r="AR1017" s="77"/>
      <c r="AS1017" s="77"/>
      <c r="AT1017" s="77"/>
      <c r="AU1017" s="77"/>
      <c r="AV1017" s="83" t="str">
        <f>HYPERLINK("https://pbs.twimg.com/profile_images/1554626465731383298/9KudSdu0_normal.jpg")</f>
        <v>https://pbs.twimg.com/profile_images/1554626465731383298/9KudSdu0_normal.jpg</v>
      </c>
      <c r="AW1017" s="81" t="s">
        <v>10175</v>
      </c>
      <c r="AX1017" s="81" t="s">
        <v>11268</v>
      </c>
      <c r="AY1017" s="81" t="s">
        <v>11334</v>
      </c>
      <c r="AZ1017" s="81" t="s">
        <v>11268</v>
      </c>
      <c r="BA1017" s="81" t="s">
        <v>11359</v>
      </c>
      <c r="BB1017" s="81" t="s">
        <v>11359</v>
      </c>
      <c r="BC1017" s="81" t="s">
        <v>11268</v>
      </c>
      <c r="BD1017" s="81" t="s">
        <v>11523</v>
      </c>
      <c r="BE1017" s="77"/>
      <c r="BF1017" s="77"/>
      <c r="BG1017" s="77"/>
      <c r="BH1017" s="77"/>
      <c r="BI1017" s="77"/>
    </row>
    <row r="1018" spans="1:61" x14ac:dyDescent="0.25">
      <c r="A1018" s="62" t="s">
        <v>460</v>
      </c>
      <c r="B1018" s="62" t="s">
        <v>921</v>
      </c>
      <c r="C1018" s="63"/>
      <c r="D1018" s="64"/>
      <c r="E1018" s="65"/>
      <c r="F1018" s="66"/>
      <c r="G1018" s="63"/>
      <c r="H1018" s="67"/>
      <c r="I1018" s="68"/>
      <c r="J1018" s="68"/>
      <c r="K1018" s="32"/>
      <c r="L1018" s="75">
        <v>1018</v>
      </c>
      <c r="M1018" s="75"/>
      <c r="N1018" s="70"/>
      <c r="O1018" s="77" t="s">
        <v>970</v>
      </c>
      <c r="P1018" s="79">
        <v>45026.270208333335</v>
      </c>
      <c r="Q1018" s="77" t="s">
        <v>1854</v>
      </c>
      <c r="R1018" s="77">
        <v>0</v>
      </c>
      <c r="S1018" s="77">
        <v>0</v>
      </c>
      <c r="T1018" s="77">
        <v>0</v>
      </c>
      <c r="U1018" s="77">
        <v>0</v>
      </c>
      <c r="V1018" s="77">
        <v>47</v>
      </c>
      <c r="W1018" s="81" t="s">
        <v>3454</v>
      </c>
      <c r="X1018" s="77"/>
      <c r="Y1018" s="77"/>
      <c r="Z1018" s="77" t="s">
        <v>4375</v>
      </c>
      <c r="AA1018" s="77"/>
      <c r="AB1018" s="77"/>
      <c r="AC1018" s="81" t="s">
        <v>5803</v>
      </c>
      <c r="AD1018" s="77" t="s">
        <v>5850</v>
      </c>
      <c r="AE1018" s="83" t="str">
        <f>HYPERLINK("https://twitter.com/mariana64692094/status/1645312935554588672")</f>
        <v>https://twitter.com/mariana64692094/status/1645312935554588672</v>
      </c>
      <c r="AF1018" s="79">
        <v>45026.270208333335</v>
      </c>
      <c r="AG1018" s="85">
        <v>45026</v>
      </c>
      <c r="AH1018" s="81" t="s">
        <v>6721</v>
      </c>
      <c r="AI1018" s="77"/>
      <c r="AJ1018" s="77"/>
      <c r="AK1018" s="77"/>
      <c r="AL1018" s="77"/>
      <c r="AM1018" s="77"/>
      <c r="AN1018" s="77"/>
      <c r="AO1018" s="77"/>
      <c r="AP1018" s="77"/>
      <c r="AQ1018" s="77"/>
      <c r="AR1018" s="77"/>
      <c r="AS1018" s="77"/>
      <c r="AT1018" s="77"/>
      <c r="AU1018" s="77"/>
      <c r="AV1018" s="83" t="str">
        <f>HYPERLINK("https://pbs.twimg.com/profile_images/1554626465731383298/9KudSdu0_normal.jpg")</f>
        <v>https://pbs.twimg.com/profile_images/1554626465731383298/9KudSdu0_normal.jpg</v>
      </c>
      <c r="AW1018" s="81" t="s">
        <v>10176</v>
      </c>
      <c r="AX1018" s="81" t="s">
        <v>11269</v>
      </c>
      <c r="AY1018" s="81" t="s">
        <v>11334</v>
      </c>
      <c r="AZ1018" s="81" t="s">
        <v>11269</v>
      </c>
      <c r="BA1018" s="81" t="s">
        <v>11359</v>
      </c>
      <c r="BB1018" s="81" t="s">
        <v>11359</v>
      </c>
      <c r="BC1018" s="81" t="s">
        <v>11269</v>
      </c>
      <c r="BD1018" s="81" t="s">
        <v>11523</v>
      </c>
      <c r="BE1018" s="77"/>
      <c r="BF1018" s="77"/>
      <c r="BG1018" s="77"/>
      <c r="BH1018" s="77"/>
      <c r="BI1018" s="77"/>
    </row>
    <row r="1019" spans="1:61" x14ac:dyDescent="0.25">
      <c r="A1019" s="62" t="s">
        <v>460</v>
      </c>
      <c r="B1019" s="62" t="s">
        <v>921</v>
      </c>
      <c r="C1019" s="63"/>
      <c r="D1019" s="64"/>
      <c r="E1019" s="65"/>
      <c r="F1019" s="66"/>
      <c r="G1019" s="63"/>
      <c r="H1019" s="67"/>
      <c r="I1019" s="68"/>
      <c r="J1019" s="68"/>
      <c r="K1019" s="32"/>
      <c r="L1019" s="75">
        <v>1019</v>
      </c>
      <c r="M1019" s="75"/>
      <c r="N1019" s="70"/>
      <c r="O1019" s="77" t="s">
        <v>970</v>
      </c>
      <c r="P1019" s="79">
        <v>45026.269224537034</v>
      </c>
      <c r="Q1019" s="77" t="s">
        <v>1855</v>
      </c>
      <c r="R1019" s="77">
        <v>0</v>
      </c>
      <c r="S1019" s="77">
        <v>0</v>
      </c>
      <c r="T1019" s="77">
        <v>0</v>
      </c>
      <c r="U1019" s="77">
        <v>0</v>
      </c>
      <c r="V1019" s="77">
        <v>48</v>
      </c>
      <c r="W1019" s="81" t="s">
        <v>3455</v>
      </c>
      <c r="X1019" s="77"/>
      <c r="Y1019" s="77"/>
      <c r="Z1019" s="77" t="s">
        <v>4375</v>
      </c>
      <c r="AA1019" s="77"/>
      <c r="AB1019" s="77"/>
      <c r="AC1019" s="81" t="s">
        <v>5803</v>
      </c>
      <c r="AD1019" s="77" t="s">
        <v>5850</v>
      </c>
      <c r="AE1019" s="83" t="str">
        <f>HYPERLINK("https://twitter.com/mariana64692094/status/1645312576350302209")</f>
        <v>https://twitter.com/mariana64692094/status/1645312576350302209</v>
      </c>
      <c r="AF1019" s="79">
        <v>45026.269224537034</v>
      </c>
      <c r="AG1019" s="85">
        <v>45026</v>
      </c>
      <c r="AH1019" s="81" t="s">
        <v>6722</v>
      </c>
      <c r="AI1019" s="77"/>
      <c r="AJ1019" s="77"/>
      <c r="AK1019" s="77"/>
      <c r="AL1019" s="77"/>
      <c r="AM1019" s="77"/>
      <c r="AN1019" s="77"/>
      <c r="AO1019" s="77"/>
      <c r="AP1019" s="77"/>
      <c r="AQ1019" s="77"/>
      <c r="AR1019" s="77"/>
      <c r="AS1019" s="77"/>
      <c r="AT1019" s="77"/>
      <c r="AU1019" s="77"/>
      <c r="AV1019" s="83" t="str">
        <f>HYPERLINK("https://pbs.twimg.com/profile_images/1554626465731383298/9KudSdu0_normal.jpg")</f>
        <v>https://pbs.twimg.com/profile_images/1554626465731383298/9KudSdu0_normal.jpg</v>
      </c>
      <c r="AW1019" s="81" t="s">
        <v>10177</v>
      </c>
      <c r="AX1019" s="81" t="s">
        <v>11270</v>
      </c>
      <c r="AY1019" s="81" t="s">
        <v>11334</v>
      </c>
      <c r="AZ1019" s="81" t="s">
        <v>11270</v>
      </c>
      <c r="BA1019" s="81" t="s">
        <v>11359</v>
      </c>
      <c r="BB1019" s="81" t="s">
        <v>11359</v>
      </c>
      <c r="BC1019" s="81" t="s">
        <v>11270</v>
      </c>
      <c r="BD1019" s="81" t="s">
        <v>11523</v>
      </c>
      <c r="BE1019" s="77"/>
      <c r="BF1019" s="77"/>
      <c r="BG1019" s="77"/>
      <c r="BH1019" s="77"/>
      <c r="BI1019" s="77"/>
    </row>
    <row r="1020" spans="1:61" x14ac:dyDescent="0.25">
      <c r="A1020" s="62" t="s">
        <v>460</v>
      </c>
      <c r="B1020" s="62" t="s">
        <v>921</v>
      </c>
      <c r="C1020" s="63"/>
      <c r="D1020" s="64"/>
      <c r="E1020" s="65"/>
      <c r="F1020" s="66"/>
      <c r="G1020" s="63"/>
      <c r="H1020" s="67"/>
      <c r="I1020" s="68"/>
      <c r="J1020" s="68"/>
      <c r="K1020" s="32"/>
      <c r="L1020" s="75">
        <v>1020</v>
      </c>
      <c r="M1020" s="75"/>
      <c r="N1020" s="70"/>
      <c r="O1020" s="77" t="s">
        <v>970</v>
      </c>
      <c r="P1020" s="79">
        <v>45024.010347222225</v>
      </c>
      <c r="Q1020" s="77" t="s">
        <v>1856</v>
      </c>
      <c r="R1020" s="77">
        <v>0</v>
      </c>
      <c r="S1020" s="77">
        <v>0</v>
      </c>
      <c r="T1020" s="77">
        <v>0</v>
      </c>
      <c r="U1020" s="77">
        <v>0</v>
      </c>
      <c r="V1020" s="77">
        <v>27</v>
      </c>
      <c r="W1020" s="81" t="s">
        <v>3456</v>
      </c>
      <c r="X1020" s="77"/>
      <c r="Y1020" s="77"/>
      <c r="Z1020" s="77" t="s">
        <v>4375</v>
      </c>
      <c r="AA1020" s="77"/>
      <c r="AB1020" s="77"/>
      <c r="AC1020" s="81" t="s">
        <v>5803</v>
      </c>
      <c r="AD1020" s="77" t="s">
        <v>5850</v>
      </c>
      <c r="AE1020" s="83" t="str">
        <f>HYPERLINK("https://twitter.com/mariana64692094/status/1644493987582205952")</f>
        <v>https://twitter.com/mariana64692094/status/1644493987582205952</v>
      </c>
      <c r="AF1020" s="79">
        <v>45024.010347222225</v>
      </c>
      <c r="AG1020" s="85">
        <v>45024</v>
      </c>
      <c r="AH1020" s="81" t="s">
        <v>6723</v>
      </c>
      <c r="AI1020" s="77"/>
      <c r="AJ1020" s="77"/>
      <c r="AK1020" s="77"/>
      <c r="AL1020" s="77"/>
      <c r="AM1020" s="77"/>
      <c r="AN1020" s="77"/>
      <c r="AO1020" s="77"/>
      <c r="AP1020" s="77"/>
      <c r="AQ1020" s="77"/>
      <c r="AR1020" s="77"/>
      <c r="AS1020" s="77"/>
      <c r="AT1020" s="77"/>
      <c r="AU1020" s="77"/>
      <c r="AV1020" s="83" t="str">
        <f>HYPERLINK("https://pbs.twimg.com/profile_images/1554626465731383298/9KudSdu0_normal.jpg")</f>
        <v>https://pbs.twimg.com/profile_images/1554626465731383298/9KudSdu0_normal.jpg</v>
      </c>
      <c r="AW1020" s="81" t="s">
        <v>10178</v>
      </c>
      <c r="AX1020" s="81" t="s">
        <v>11271</v>
      </c>
      <c r="AY1020" s="81" t="s">
        <v>11334</v>
      </c>
      <c r="AZ1020" s="81" t="s">
        <v>11271</v>
      </c>
      <c r="BA1020" s="81" t="s">
        <v>11359</v>
      </c>
      <c r="BB1020" s="81" t="s">
        <v>11359</v>
      </c>
      <c r="BC1020" s="81" t="s">
        <v>11271</v>
      </c>
      <c r="BD1020" s="81" t="s">
        <v>11523</v>
      </c>
      <c r="BE1020" s="77"/>
      <c r="BF1020" s="77"/>
      <c r="BG1020" s="77"/>
      <c r="BH1020" s="77"/>
      <c r="BI1020" s="77"/>
    </row>
    <row r="1021" spans="1:61" x14ac:dyDescent="0.25">
      <c r="A1021" s="62" t="s">
        <v>460</v>
      </c>
      <c r="B1021" s="62" t="s">
        <v>921</v>
      </c>
      <c r="C1021" s="63"/>
      <c r="D1021" s="64"/>
      <c r="E1021" s="65"/>
      <c r="F1021" s="66"/>
      <c r="G1021" s="63"/>
      <c r="H1021" s="67"/>
      <c r="I1021" s="68"/>
      <c r="J1021" s="68"/>
      <c r="K1021" s="32"/>
      <c r="L1021" s="75">
        <v>1021</v>
      </c>
      <c r="M1021" s="75"/>
      <c r="N1021" s="70"/>
      <c r="O1021" s="77" t="s">
        <v>970</v>
      </c>
      <c r="P1021" s="79">
        <v>45020.107187499998</v>
      </c>
      <c r="Q1021" s="77" t="s">
        <v>1857</v>
      </c>
      <c r="R1021" s="77">
        <v>0</v>
      </c>
      <c r="S1021" s="77">
        <v>0</v>
      </c>
      <c r="T1021" s="77">
        <v>0</v>
      </c>
      <c r="U1021" s="77">
        <v>0</v>
      </c>
      <c r="V1021" s="77">
        <v>16</v>
      </c>
      <c r="W1021" s="81" t="s">
        <v>3457</v>
      </c>
      <c r="X1021" s="77"/>
      <c r="Y1021" s="77"/>
      <c r="Z1021" s="77" t="s">
        <v>4375</v>
      </c>
      <c r="AA1021" s="77"/>
      <c r="AB1021" s="77"/>
      <c r="AC1021" s="81" t="s">
        <v>5803</v>
      </c>
      <c r="AD1021" s="77" t="s">
        <v>5850</v>
      </c>
      <c r="AE1021" s="83" t="str">
        <f>HYPERLINK("https://twitter.com/mariana64692094/status/1643079528548368387")</f>
        <v>https://twitter.com/mariana64692094/status/1643079528548368387</v>
      </c>
      <c r="AF1021" s="79">
        <v>45020.107187499998</v>
      </c>
      <c r="AG1021" s="85">
        <v>45020</v>
      </c>
      <c r="AH1021" s="81" t="s">
        <v>6724</v>
      </c>
      <c r="AI1021" s="77"/>
      <c r="AJ1021" s="77"/>
      <c r="AK1021" s="77"/>
      <c r="AL1021" s="77"/>
      <c r="AM1021" s="77"/>
      <c r="AN1021" s="77"/>
      <c r="AO1021" s="77"/>
      <c r="AP1021" s="77"/>
      <c r="AQ1021" s="77"/>
      <c r="AR1021" s="77"/>
      <c r="AS1021" s="77"/>
      <c r="AT1021" s="77"/>
      <c r="AU1021" s="77"/>
      <c r="AV1021" s="83" t="str">
        <f>HYPERLINK("https://pbs.twimg.com/profile_images/1554626465731383298/9KudSdu0_normal.jpg")</f>
        <v>https://pbs.twimg.com/profile_images/1554626465731383298/9KudSdu0_normal.jpg</v>
      </c>
      <c r="AW1021" s="81" t="s">
        <v>10179</v>
      </c>
      <c r="AX1021" s="81" t="s">
        <v>11272</v>
      </c>
      <c r="AY1021" s="81" t="s">
        <v>11334</v>
      </c>
      <c r="AZ1021" s="81" t="s">
        <v>11272</v>
      </c>
      <c r="BA1021" s="81" t="s">
        <v>11359</v>
      </c>
      <c r="BB1021" s="81" t="s">
        <v>11359</v>
      </c>
      <c r="BC1021" s="81" t="s">
        <v>11272</v>
      </c>
      <c r="BD1021" s="81" t="s">
        <v>11523</v>
      </c>
      <c r="BE1021" s="77"/>
      <c r="BF1021" s="77"/>
      <c r="BG1021" s="77"/>
      <c r="BH1021" s="77"/>
      <c r="BI1021" s="77"/>
    </row>
    <row r="1022" spans="1:61" x14ac:dyDescent="0.25">
      <c r="A1022" s="62" t="s">
        <v>460</v>
      </c>
      <c r="B1022" s="62" t="s">
        <v>921</v>
      </c>
      <c r="C1022" s="63"/>
      <c r="D1022" s="64"/>
      <c r="E1022" s="65"/>
      <c r="F1022" s="66"/>
      <c r="G1022" s="63"/>
      <c r="H1022" s="67"/>
      <c r="I1022" s="68"/>
      <c r="J1022" s="68"/>
      <c r="K1022" s="32"/>
      <c r="L1022" s="75">
        <v>1022</v>
      </c>
      <c r="M1022" s="75"/>
      <c r="N1022" s="70"/>
      <c r="O1022" s="77" t="s">
        <v>970</v>
      </c>
      <c r="P1022" s="79">
        <v>45041.24554398148</v>
      </c>
      <c r="Q1022" s="77" t="s">
        <v>1858</v>
      </c>
      <c r="R1022" s="77">
        <v>0</v>
      </c>
      <c r="S1022" s="77">
        <v>0</v>
      </c>
      <c r="T1022" s="77">
        <v>0</v>
      </c>
      <c r="U1022" s="77">
        <v>0</v>
      </c>
      <c r="V1022" s="77">
        <v>23</v>
      </c>
      <c r="W1022" s="81" t="s">
        <v>3458</v>
      </c>
      <c r="X1022" s="77"/>
      <c r="Y1022" s="77"/>
      <c r="Z1022" s="77" t="s">
        <v>4375</v>
      </c>
      <c r="AA1022" s="77"/>
      <c r="AB1022" s="77"/>
      <c r="AC1022" s="81" t="s">
        <v>5803</v>
      </c>
      <c r="AD1022" s="77" t="s">
        <v>5850</v>
      </c>
      <c r="AE1022" s="83" t="str">
        <f>HYPERLINK("https://twitter.com/mariana64692094/status/1650739811584540673")</f>
        <v>https://twitter.com/mariana64692094/status/1650739811584540673</v>
      </c>
      <c r="AF1022" s="79">
        <v>45041.24554398148</v>
      </c>
      <c r="AG1022" s="85">
        <v>45041</v>
      </c>
      <c r="AH1022" s="81" t="s">
        <v>6725</v>
      </c>
      <c r="AI1022" s="77"/>
      <c r="AJ1022" s="77"/>
      <c r="AK1022" s="77"/>
      <c r="AL1022" s="77"/>
      <c r="AM1022" s="77"/>
      <c r="AN1022" s="77"/>
      <c r="AO1022" s="77"/>
      <c r="AP1022" s="77"/>
      <c r="AQ1022" s="77"/>
      <c r="AR1022" s="77"/>
      <c r="AS1022" s="77"/>
      <c r="AT1022" s="77"/>
      <c r="AU1022" s="77"/>
      <c r="AV1022" s="83" t="str">
        <f>HYPERLINK("https://pbs.twimg.com/profile_images/1554626465731383298/9KudSdu0_normal.jpg")</f>
        <v>https://pbs.twimg.com/profile_images/1554626465731383298/9KudSdu0_normal.jpg</v>
      </c>
      <c r="AW1022" s="81" t="s">
        <v>10180</v>
      </c>
      <c r="AX1022" s="81" t="s">
        <v>11273</v>
      </c>
      <c r="AY1022" s="81" t="s">
        <v>11334</v>
      </c>
      <c r="AZ1022" s="81" t="s">
        <v>11273</v>
      </c>
      <c r="BA1022" s="81" t="s">
        <v>11359</v>
      </c>
      <c r="BB1022" s="81" t="s">
        <v>11359</v>
      </c>
      <c r="BC1022" s="81" t="s">
        <v>11273</v>
      </c>
      <c r="BD1022" s="81" t="s">
        <v>11523</v>
      </c>
      <c r="BE1022" s="77"/>
      <c r="BF1022" s="77"/>
      <c r="BG1022" s="77"/>
      <c r="BH1022" s="77"/>
      <c r="BI1022" s="77"/>
    </row>
    <row r="1023" spans="1:61" x14ac:dyDescent="0.25">
      <c r="A1023" s="62" t="s">
        <v>460</v>
      </c>
      <c r="B1023" s="62" t="s">
        <v>921</v>
      </c>
      <c r="C1023" s="63"/>
      <c r="D1023" s="64"/>
      <c r="E1023" s="65"/>
      <c r="F1023" s="66"/>
      <c r="G1023" s="63"/>
      <c r="H1023" s="67"/>
      <c r="I1023" s="68"/>
      <c r="J1023" s="68"/>
      <c r="K1023" s="32"/>
      <c r="L1023" s="75">
        <v>1023</v>
      </c>
      <c r="M1023" s="75"/>
      <c r="N1023" s="70"/>
      <c r="O1023" s="77" t="s">
        <v>970</v>
      </c>
      <c r="P1023" s="79">
        <v>45041.243460648147</v>
      </c>
      <c r="Q1023" s="77" t="s">
        <v>1859</v>
      </c>
      <c r="R1023" s="77">
        <v>0</v>
      </c>
      <c r="S1023" s="77">
        <v>0</v>
      </c>
      <c r="T1023" s="77">
        <v>0</v>
      </c>
      <c r="U1023" s="77">
        <v>0</v>
      </c>
      <c r="V1023" s="77">
        <v>26</v>
      </c>
      <c r="W1023" s="81" t="s">
        <v>3455</v>
      </c>
      <c r="X1023" s="77"/>
      <c r="Y1023" s="77"/>
      <c r="Z1023" s="77" t="s">
        <v>4375</v>
      </c>
      <c r="AA1023" s="77"/>
      <c r="AB1023" s="77"/>
      <c r="AC1023" s="81" t="s">
        <v>5803</v>
      </c>
      <c r="AD1023" s="77" t="s">
        <v>5850</v>
      </c>
      <c r="AE1023" s="83" t="str">
        <f>HYPERLINK("https://twitter.com/mariana64692094/status/1650739059294187520")</f>
        <v>https://twitter.com/mariana64692094/status/1650739059294187520</v>
      </c>
      <c r="AF1023" s="79">
        <v>45041.243460648147</v>
      </c>
      <c r="AG1023" s="85">
        <v>45041</v>
      </c>
      <c r="AH1023" s="81" t="s">
        <v>6726</v>
      </c>
      <c r="AI1023" s="77"/>
      <c r="AJ1023" s="77"/>
      <c r="AK1023" s="77"/>
      <c r="AL1023" s="77"/>
      <c r="AM1023" s="77"/>
      <c r="AN1023" s="77"/>
      <c r="AO1023" s="77"/>
      <c r="AP1023" s="77"/>
      <c r="AQ1023" s="77"/>
      <c r="AR1023" s="77"/>
      <c r="AS1023" s="77"/>
      <c r="AT1023" s="77"/>
      <c r="AU1023" s="77"/>
      <c r="AV1023" s="83" t="str">
        <f>HYPERLINK("https://pbs.twimg.com/profile_images/1554626465731383298/9KudSdu0_normal.jpg")</f>
        <v>https://pbs.twimg.com/profile_images/1554626465731383298/9KudSdu0_normal.jpg</v>
      </c>
      <c r="AW1023" s="81" t="s">
        <v>10181</v>
      </c>
      <c r="AX1023" s="81" t="s">
        <v>11274</v>
      </c>
      <c r="AY1023" s="81" t="s">
        <v>11334</v>
      </c>
      <c r="AZ1023" s="81" t="s">
        <v>11274</v>
      </c>
      <c r="BA1023" s="81" t="s">
        <v>11359</v>
      </c>
      <c r="BB1023" s="81" t="s">
        <v>11359</v>
      </c>
      <c r="BC1023" s="81" t="s">
        <v>11274</v>
      </c>
      <c r="BD1023" s="81" t="s">
        <v>11523</v>
      </c>
      <c r="BE1023" s="77"/>
      <c r="BF1023" s="77"/>
      <c r="BG1023" s="77"/>
      <c r="BH1023" s="77"/>
      <c r="BI1023" s="77"/>
    </row>
    <row r="1024" spans="1:61" x14ac:dyDescent="0.25">
      <c r="A1024" s="62" t="s">
        <v>460</v>
      </c>
      <c r="B1024" s="62" t="s">
        <v>921</v>
      </c>
      <c r="C1024" s="63"/>
      <c r="D1024" s="64"/>
      <c r="E1024" s="65"/>
      <c r="F1024" s="66"/>
      <c r="G1024" s="63"/>
      <c r="H1024" s="67"/>
      <c r="I1024" s="68"/>
      <c r="J1024" s="68"/>
      <c r="K1024" s="32"/>
      <c r="L1024" s="75">
        <v>1024</v>
      </c>
      <c r="M1024" s="75"/>
      <c r="N1024" s="70"/>
      <c r="O1024" s="77" t="s">
        <v>970</v>
      </c>
      <c r="P1024" s="79">
        <v>45039.068622685183</v>
      </c>
      <c r="Q1024" s="77" t="s">
        <v>1860</v>
      </c>
      <c r="R1024" s="77">
        <v>0</v>
      </c>
      <c r="S1024" s="77">
        <v>0</v>
      </c>
      <c r="T1024" s="77">
        <v>0</v>
      </c>
      <c r="U1024" s="77">
        <v>0</v>
      </c>
      <c r="V1024" s="77">
        <v>17</v>
      </c>
      <c r="W1024" s="81" t="s">
        <v>3454</v>
      </c>
      <c r="X1024" s="77"/>
      <c r="Y1024" s="77"/>
      <c r="Z1024" s="77" t="s">
        <v>4375</v>
      </c>
      <c r="AA1024" s="77"/>
      <c r="AB1024" s="77"/>
      <c r="AC1024" s="81" t="s">
        <v>5803</v>
      </c>
      <c r="AD1024" s="77" t="s">
        <v>5850</v>
      </c>
      <c r="AE1024" s="83" t="str">
        <f>HYPERLINK("https://twitter.com/mariana64692094/status/1649950925241368577")</f>
        <v>https://twitter.com/mariana64692094/status/1649950925241368577</v>
      </c>
      <c r="AF1024" s="79">
        <v>45039.068622685183</v>
      </c>
      <c r="AG1024" s="85">
        <v>45039</v>
      </c>
      <c r="AH1024" s="81" t="s">
        <v>6727</v>
      </c>
      <c r="AI1024" s="77"/>
      <c r="AJ1024" s="77"/>
      <c r="AK1024" s="77"/>
      <c r="AL1024" s="77"/>
      <c r="AM1024" s="77"/>
      <c r="AN1024" s="77"/>
      <c r="AO1024" s="77"/>
      <c r="AP1024" s="77"/>
      <c r="AQ1024" s="77"/>
      <c r="AR1024" s="77"/>
      <c r="AS1024" s="77"/>
      <c r="AT1024" s="77"/>
      <c r="AU1024" s="77"/>
      <c r="AV1024" s="83" t="str">
        <f>HYPERLINK("https://pbs.twimg.com/profile_images/1554626465731383298/9KudSdu0_normal.jpg")</f>
        <v>https://pbs.twimg.com/profile_images/1554626465731383298/9KudSdu0_normal.jpg</v>
      </c>
      <c r="AW1024" s="81" t="s">
        <v>10182</v>
      </c>
      <c r="AX1024" s="81" t="s">
        <v>11275</v>
      </c>
      <c r="AY1024" s="81" t="s">
        <v>11334</v>
      </c>
      <c r="AZ1024" s="81" t="s">
        <v>11275</v>
      </c>
      <c r="BA1024" s="81" t="s">
        <v>11359</v>
      </c>
      <c r="BB1024" s="81" t="s">
        <v>11359</v>
      </c>
      <c r="BC1024" s="81" t="s">
        <v>11275</v>
      </c>
      <c r="BD1024" s="81" t="s">
        <v>11523</v>
      </c>
      <c r="BE1024" s="77"/>
      <c r="BF1024" s="77"/>
      <c r="BG1024" s="77"/>
      <c r="BH1024" s="77"/>
      <c r="BI1024" s="77"/>
    </row>
    <row r="1025" spans="1:61" x14ac:dyDescent="0.25">
      <c r="A1025" s="62" t="s">
        <v>460</v>
      </c>
      <c r="B1025" s="62" t="s">
        <v>921</v>
      </c>
      <c r="C1025" s="63"/>
      <c r="D1025" s="64"/>
      <c r="E1025" s="65"/>
      <c r="F1025" s="66"/>
      <c r="G1025" s="63"/>
      <c r="H1025" s="67"/>
      <c r="I1025" s="68"/>
      <c r="J1025" s="68"/>
      <c r="K1025" s="32"/>
      <c r="L1025" s="75">
        <v>1025</v>
      </c>
      <c r="M1025" s="75"/>
      <c r="N1025" s="70"/>
      <c r="O1025" s="77" t="s">
        <v>970</v>
      </c>
      <c r="P1025" s="79">
        <v>45048.088692129626</v>
      </c>
      <c r="Q1025" s="77" t="s">
        <v>1861</v>
      </c>
      <c r="R1025" s="77">
        <v>0</v>
      </c>
      <c r="S1025" s="77">
        <v>0</v>
      </c>
      <c r="T1025" s="77">
        <v>0</v>
      </c>
      <c r="U1025" s="77">
        <v>0</v>
      </c>
      <c r="V1025" s="77">
        <v>24</v>
      </c>
      <c r="W1025" s="81" t="s">
        <v>3459</v>
      </c>
      <c r="X1025" s="77"/>
      <c r="Y1025" s="77"/>
      <c r="Z1025" s="77" t="s">
        <v>4375</v>
      </c>
      <c r="AA1025" s="77"/>
      <c r="AB1025" s="77"/>
      <c r="AC1025" s="81" t="s">
        <v>5803</v>
      </c>
      <c r="AD1025" s="77" t="s">
        <v>5850</v>
      </c>
      <c r="AE1025" s="83" t="str">
        <f>HYPERLINK("https://twitter.com/mariana64692094/status/1653219687285628929")</f>
        <v>https://twitter.com/mariana64692094/status/1653219687285628929</v>
      </c>
      <c r="AF1025" s="79">
        <v>45048.088692129626</v>
      </c>
      <c r="AG1025" s="85">
        <v>45048</v>
      </c>
      <c r="AH1025" s="81" t="s">
        <v>6493</v>
      </c>
      <c r="AI1025" s="77"/>
      <c r="AJ1025" s="77"/>
      <c r="AK1025" s="77"/>
      <c r="AL1025" s="77"/>
      <c r="AM1025" s="77"/>
      <c r="AN1025" s="77"/>
      <c r="AO1025" s="77"/>
      <c r="AP1025" s="77"/>
      <c r="AQ1025" s="77"/>
      <c r="AR1025" s="77"/>
      <c r="AS1025" s="77"/>
      <c r="AT1025" s="77"/>
      <c r="AU1025" s="77"/>
      <c r="AV1025" s="83" t="str">
        <f>HYPERLINK("https://pbs.twimg.com/profile_images/1554626465731383298/9KudSdu0_normal.jpg")</f>
        <v>https://pbs.twimg.com/profile_images/1554626465731383298/9KudSdu0_normal.jpg</v>
      </c>
      <c r="AW1025" s="81" t="s">
        <v>10183</v>
      </c>
      <c r="AX1025" s="81" t="s">
        <v>11276</v>
      </c>
      <c r="AY1025" s="81" t="s">
        <v>11334</v>
      </c>
      <c r="AZ1025" s="81" t="s">
        <v>11276</v>
      </c>
      <c r="BA1025" s="81" t="s">
        <v>11359</v>
      </c>
      <c r="BB1025" s="81" t="s">
        <v>11359</v>
      </c>
      <c r="BC1025" s="81" t="s">
        <v>11276</v>
      </c>
      <c r="BD1025" s="81" t="s">
        <v>11523</v>
      </c>
      <c r="BE1025" s="77"/>
      <c r="BF1025" s="77"/>
      <c r="BG1025" s="77"/>
      <c r="BH1025" s="77"/>
      <c r="BI1025" s="77"/>
    </row>
    <row r="1026" spans="1:61" x14ac:dyDescent="0.25">
      <c r="A1026" s="62" t="s">
        <v>460</v>
      </c>
      <c r="B1026" s="62" t="s">
        <v>921</v>
      </c>
      <c r="C1026" s="63"/>
      <c r="D1026" s="64"/>
      <c r="E1026" s="65"/>
      <c r="F1026" s="66"/>
      <c r="G1026" s="63"/>
      <c r="H1026" s="67"/>
      <c r="I1026" s="68"/>
      <c r="J1026" s="68"/>
      <c r="K1026" s="32"/>
      <c r="L1026" s="75">
        <v>1026</v>
      </c>
      <c r="M1026" s="75"/>
      <c r="N1026" s="70"/>
      <c r="O1026" s="77" t="s">
        <v>970</v>
      </c>
      <c r="P1026" s="79">
        <v>45046.123553240737</v>
      </c>
      <c r="Q1026" s="77" t="s">
        <v>1862</v>
      </c>
      <c r="R1026" s="77">
        <v>0</v>
      </c>
      <c r="S1026" s="77">
        <v>0</v>
      </c>
      <c r="T1026" s="77">
        <v>0</v>
      </c>
      <c r="U1026" s="77">
        <v>0</v>
      </c>
      <c r="V1026" s="77">
        <v>33</v>
      </c>
      <c r="W1026" s="81" t="s">
        <v>3453</v>
      </c>
      <c r="X1026" s="77"/>
      <c r="Y1026" s="77"/>
      <c r="Z1026" s="77" t="s">
        <v>4375</v>
      </c>
      <c r="AA1026" s="77"/>
      <c r="AB1026" s="77"/>
      <c r="AC1026" s="81" t="s">
        <v>5803</v>
      </c>
      <c r="AD1026" s="77" t="s">
        <v>5850</v>
      </c>
      <c r="AE1026" s="83" t="str">
        <f>HYPERLINK("https://twitter.com/mariana64692094/status/1652507543720148992")</f>
        <v>https://twitter.com/mariana64692094/status/1652507543720148992</v>
      </c>
      <c r="AF1026" s="79">
        <v>45046.123553240737</v>
      </c>
      <c r="AG1026" s="85">
        <v>45046</v>
      </c>
      <c r="AH1026" s="81" t="s">
        <v>6728</v>
      </c>
      <c r="AI1026" s="77"/>
      <c r="AJ1026" s="77"/>
      <c r="AK1026" s="77"/>
      <c r="AL1026" s="77"/>
      <c r="AM1026" s="77"/>
      <c r="AN1026" s="77"/>
      <c r="AO1026" s="77"/>
      <c r="AP1026" s="77"/>
      <c r="AQ1026" s="77"/>
      <c r="AR1026" s="77"/>
      <c r="AS1026" s="77"/>
      <c r="AT1026" s="77"/>
      <c r="AU1026" s="77"/>
      <c r="AV1026" s="83" t="str">
        <f>HYPERLINK("https://pbs.twimg.com/profile_images/1554626465731383298/9KudSdu0_normal.jpg")</f>
        <v>https://pbs.twimg.com/profile_images/1554626465731383298/9KudSdu0_normal.jpg</v>
      </c>
      <c r="AW1026" s="81" t="s">
        <v>10184</v>
      </c>
      <c r="AX1026" s="81" t="s">
        <v>11277</v>
      </c>
      <c r="AY1026" s="81" t="s">
        <v>11334</v>
      </c>
      <c r="AZ1026" s="81" t="s">
        <v>11277</v>
      </c>
      <c r="BA1026" s="81" t="s">
        <v>11359</v>
      </c>
      <c r="BB1026" s="81" t="s">
        <v>11359</v>
      </c>
      <c r="BC1026" s="81" t="s">
        <v>11277</v>
      </c>
      <c r="BD1026" s="81" t="s">
        <v>11523</v>
      </c>
      <c r="BE1026" s="77"/>
      <c r="BF1026" s="77"/>
      <c r="BG1026" s="77"/>
      <c r="BH1026" s="77"/>
      <c r="BI1026" s="77"/>
    </row>
    <row r="1027" spans="1:61" x14ac:dyDescent="0.25">
      <c r="A1027" s="62" t="s">
        <v>460</v>
      </c>
      <c r="B1027" s="62" t="s">
        <v>921</v>
      </c>
      <c r="C1027" s="63"/>
      <c r="D1027" s="64"/>
      <c r="E1027" s="65"/>
      <c r="F1027" s="66"/>
      <c r="G1027" s="63"/>
      <c r="H1027" s="67"/>
      <c r="I1027" s="68"/>
      <c r="J1027" s="68"/>
      <c r="K1027" s="32"/>
      <c r="L1027" s="75">
        <v>1027</v>
      </c>
      <c r="M1027" s="75"/>
      <c r="N1027" s="70"/>
      <c r="O1027" s="77" t="s">
        <v>970</v>
      </c>
      <c r="P1027" s="79">
        <v>45044.241956018515</v>
      </c>
      <c r="Q1027" s="77" t="s">
        <v>1863</v>
      </c>
      <c r="R1027" s="77">
        <v>0</v>
      </c>
      <c r="S1027" s="77">
        <v>0</v>
      </c>
      <c r="T1027" s="77">
        <v>0</v>
      </c>
      <c r="U1027" s="77">
        <v>0</v>
      </c>
      <c r="V1027" s="77">
        <v>22</v>
      </c>
      <c r="W1027" s="81" t="s">
        <v>3453</v>
      </c>
      <c r="X1027" s="77"/>
      <c r="Y1027" s="77"/>
      <c r="Z1027" s="77" t="s">
        <v>4375</v>
      </c>
      <c r="AA1027" s="77"/>
      <c r="AB1027" s="77"/>
      <c r="AC1027" s="81" t="s">
        <v>5803</v>
      </c>
      <c r="AD1027" s="77" t="s">
        <v>5850</v>
      </c>
      <c r="AE1027" s="83" t="str">
        <f>HYPERLINK("https://twitter.com/mariana64692094/status/1651825678495502336")</f>
        <v>https://twitter.com/mariana64692094/status/1651825678495502336</v>
      </c>
      <c r="AF1027" s="79">
        <v>45044.241956018515</v>
      </c>
      <c r="AG1027" s="85">
        <v>45044</v>
      </c>
      <c r="AH1027" s="81" t="s">
        <v>6729</v>
      </c>
      <c r="AI1027" s="77"/>
      <c r="AJ1027" s="77"/>
      <c r="AK1027" s="77"/>
      <c r="AL1027" s="77"/>
      <c r="AM1027" s="77"/>
      <c r="AN1027" s="77"/>
      <c r="AO1027" s="77"/>
      <c r="AP1027" s="77"/>
      <c r="AQ1027" s="77"/>
      <c r="AR1027" s="77"/>
      <c r="AS1027" s="77"/>
      <c r="AT1027" s="77"/>
      <c r="AU1027" s="77"/>
      <c r="AV1027" s="83" t="str">
        <f>HYPERLINK("https://pbs.twimg.com/profile_images/1554626465731383298/9KudSdu0_normal.jpg")</f>
        <v>https://pbs.twimg.com/profile_images/1554626465731383298/9KudSdu0_normal.jpg</v>
      </c>
      <c r="AW1027" s="81" t="s">
        <v>10185</v>
      </c>
      <c r="AX1027" s="81" t="s">
        <v>11278</v>
      </c>
      <c r="AY1027" s="81" t="s">
        <v>11334</v>
      </c>
      <c r="AZ1027" s="81" t="s">
        <v>11278</v>
      </c>
      <c r="BA1027" s="81" t="s">
        <v>11359</v>
      </c>
      <c r="BB1027" s="81" t="s">
        <v>11359</v>
      </c>
      <c r="BC1027" s="81" t="s">
        <v>11278</v>
      </c>
      <c r="BD1027" s="81" t="s">
        <v>11523</v>
      </c>
      <c r="BE1027" s="77"/>
      <c r="BF1027" s="77"/>
      <c r="BG1027" s="77"/>
      <c r="BH1027" s="77"/>
      <c r="BI1027" s="77"/>
    </row>
    <row r="1028" spans="1:61" x14ac:dyDescent="0.25">
      <c r="A1028" s="62" t="s">
        <v>460</v>
      </c>
      <c r="B1028" s="62" t="s">
        <v>921</v>
      </c>
      <c r="C1028" s="63"/>
      <c r="D1028" s="64"/>
      <c r="E1028" s="65"/>
      <c r="F1028" s="66"/>
      <c r="G1028" s="63"/>
      <c r="H1028" s="67"/>
      <c r="I1028" s="68"/>
      <c r="J1028" s="68"/>
      <c r="K1028" s="32"/>
      <c r="L1028" s="75">
        <v>1028</v>
      </c>
      <c r="M1028" s="75"/>
      <c r="N1028" s="70"/>
      <c r="O1028" s="77" t="s">
        <v>970</v>
      </c>
      <c r="P1028" s="79">
        <v>45004.147870370369</v>
      </c>
      <c r="Q1028" s="77" t="s">
        <v>1864</v>
      </c>
      <c r="R1028" s="77">
        <v>0</v>
      </c>
      <c r="S1028" s="77">
        <v>0</v>
      </c>
      <c r="T1028" s="77">
        <v>0</v>
      </c>
      <c r="U1028" s="77">
        <v>0</v>
      </c>
      <c r="V1028" s="77">
        <v>27</v>
      </c>
      <c r="W1028" s="81" t="s">
        <v>3460</v>
      </c>
      <c r="X1028" s="77"/>
      <c r="Y1028" s="77"/>
      <c r="Z1028" s="77" t="s">
        <v>4375</v>
      </c>
      <c r="AA1028" s="77"/>
      <c r="AB1028" s="77"/>
      <c r="AC1028" s="81" t="s">
        <v>5803</v>
      </c>
      <c r="AD1028" s="77" t="s">
        <v>5850</v>
      </c>
      <c r="AE1028" s="83" t="str">
        <f>HYPERLINK("https://twitter.com/mariana64692094/status/1637296065215885315")</f>
        <v>https://twitter.com/mariana64692094/status/1637296065215885315</v>
      </c>
      <c r="AF1028" s="79">
        <v>45004.147870370369</v>
      </c>
      <c r="AG1028" s="85">
        <v>45004</v>
      </c>
      <c r="AH1028" s="81" t="s">
        <v>6730</v>
      </c>
      <c r="AI1028" s="77"/>
      <c r="AJ1028" s="77"/>
      <c r="AK1028" s="77"/>
      <c r="AL1028" s="77"/>
      <c r="AM1028" s="77"/>
      <c r="AN1028" s="77"/>
      <c r="AO1028" s="77"/>
      <c r="AP1028" s="77"/>
      <c r="AQ1028" s="77"/>
      <c r="AR1028" s="77"/>
      <c r="AS1028" s="77"/>
      <c r="AT1028" s="77"/>
      <c r="AU1028" s="77"/>
      <c r="AV1028" s="83" t="str">
        <f>HYPERLINK("https://pbs.twimg.com/profile_images/1554626465731383298/9KudSdu0_normal.jpg")</f>
        <v>https://pbs.twimg.com/profile_images/1554626465731383298/9KudSdu0_normal.jpg</v>
      </c>
      <c r="AW1028" s="81" t="s">
        <v>10186</v>
      </c>
      <c r="AX1028" s="81" t="s">
        <v>11279</v>
      </c>
      <c r="AY1028" s="81" t="s">
        <v>11334</v>
      </c>
      <c r="AZ1028" s="81" t="s">
        <v>11279</v>
      </c>
      <c r="BA1028" s="81" t="s">
        <v>11359</v>
      </c>
      <c r="BB1028" s="81" t="s">
        <v>11359</v>
      </c>
      <c r="BC1028" s="81" t="s">
        <v>11279</v>
      </c>
      <c r="BD1028" s="81" t="s">
        <v>11523</v>
      </c>
      <c r="BE1028" s="77"/>
      <c r="BF1028" s="77"/>
      <c r="BG1028" s="77"/>
      <c r="BH1028" s="77"/>
      <c r="BI1028" s="77"/>
    </row>
    <row r="1029" spans="1:61" x14ac:dyDescent="0.25">
      <c r="A1029" s="62" t="s">
        <v>460</v>
      </c>
      <c r="B1029" s="62" t="s">
        <v>921</v>
      </c>
      <c r="C1029" s="63"/>
      <c r="D1029" s="64"/>
      <c r="E1029" s="65"/>
      <c r="F1029" s="66"/>
      <c r="G1029" s="63"/>
      <c r="H1029" s="67"/>
      <c r="I1029" s="68"/>
      <c r="J1029" s="68"/>
      <c r="K1029" s="32"/>
      <c r="L1029" s="75">
        <v>1029</v>
      </c>
      <c r="M1029" s="75"/>
      <c r="N1029" s="70"/>
      <c r="O1029" s="77" t="s">
        <v>970</v>
      </c>
      <c r="P1029" s="79">
        <v>45057.135324074072</v>
      </c>
      <c r="Q1029" s="77" t="s">
        <v>1865</v>
      </c>
      <c r="R1029" s="77">
        <v>0</v>
      </c>
      <c r="S1029" s="77">
        <v>0</v>
      </c>
      <c r="T1029" s="77">
        <v>0</v>
      </c>
      <c r="U1029" s="77">
        <v>0</v>
      </c>
      <c r="V1029" s="77">
        <v>24</v>
      </c>
      <c r="W1029" s="81" t="s">
        <v>3453</v>
      </c>
      <c r="X1029" s="77"/>
      <c r="Y1029" s="77"/>
      <c r="Z1029" s="77" t="s">
        <v>4375</v>
      </c>
      <c r="AA1029" s="77"/>
      <c r="AB1029" s="77"/>
      <c r="AC1029" s="81" t="s">
        <v>5803</v>
      </c>
      <c r="AD1029" s="77" t="s">
        <v>5850</v>
      </c>
      <c r="AE1029" s="83" t="str">
        <f>HYPERLINK("https://twitter.com/mariana64692094/status/1656498077530824706")</f>
        <v>https://twitter.com/mariana64692094/status/1656498077530824706</v>
      </c>
      <c r="AF1029" s="79">
        <v>45057.135324074072</v>
      </c>
      <c r="AG1029" s="85">
        <v>45057</v>
      </c>
      <c r="AH1029" s="81" t="s">
        <v>6731</v>
      </c>
      <c r="AI1029" s="77"/>
      <c r="AJ1029" s="77"/>
      <c r="AK1029" s="77"/>
      <c r="AL1029" s="77"/>
      <c r="AM1029" s="77"/>
      <c r="AN1029" s="77"/>
      <c r="AO1029" s="77"/>
      <c r="AP1029" s="77"/>
      <c r="AQ1029" s="77"/>
      <c r="AR1029" s="77"/>
      <c r="AS1029" s="77"/>
      <c r="AT1029" s="77"/>
      <c r="AU1029" s="77"/>
      <c r="AV1029" s="83" t="str">
        <f>HYPERLINK("https://pbs.twimg.com/profile_images/1554626465731383298/9KudSdu0_normal.jpg")</f>
        <v>https://pbs.twimg.com/profile_images/1554626465731383298/9KudSdu0_normal.jpg</v>
      </c>
      <c r="AW1029" s="81" t="s">
        <v>10187</v>
      </c>
      <c r="AX1029" s="81" t="s">
        <v>11280</v>
      </c>
      <c r="AY1029" s="81" t="s">
        <v>11334</v>
      </c>
      <c r="AZ1029" s="81" t="s">
        <v>11280</v>
      </c>
      <c r="BA1029" s="81" t="s">
        <v>11359</v>
      </c>
      <c r="BB1029" s="81" t="s">
        <v>11359</v>
      </c>
      <c r="BC1029" s="81" t="s">
        <v>11280</v>
      </c>
      <c r="BD1029" s="81" t="s">
        <v>11523</v>
      </c>
      <c r="BE1029" s="77"/>
      <c r="BF1029" s="77"/>
      <c r="BG1029" s="77"/>
      <c r="BH1029" s="77"/>
      <c r="BI1029" s="77"/>
    </row>
    <row r="1030" spans="1:61" x14ac:dyDescent="0.25">
      <c r="A1030" s="62" t="s">
        <v>460</v>
      </c>
      <c r="B1030" s="62" t="s">
        <v>921</v>
      </c>
      <c r="C1030" s="63"/>
      <c r="D1030" s="64"/>
      <c r="E1030" s="65"/>
      <c r="F1030" s="66"/>
      <c r="G1030" s="63"/>
      <c r="H1030" s="67"/>
      <c r="I1030" s="68"/>
      <c r="J1030" s="68"/>
      <c r="K1030" s="32"/>
      <c r="L1030" s="75">
        <v>1030</v>
      </c>
      <c r="M1030" s="75"/>
      <c r="N1030" s="70"/>
      <c r="O1030" s="77" t="s">
        <v>970</v>
      </c>
      <c r="P1030" s="79">
        <v>45056.25409722222</v>
      </c>
      <c r="Q1030" s="77" t="s">
        <v>1866</v>
      </c>
      <c r="R1030" s="77">
        <v>0</v>
      </c>
      <c r="S1030" s="77">
        <v>0</v>
      </c>
      <c r="T1030" s="77">
        <v>0</v>
      </c>
      <c r="U1030" s="77">
        <v>0</v>
      </c>
      <c r="V1030" s="77">
        <v>23</v>
      </c>
      <c r="W1030" s="81" t="s">
        <v>3461</v>
      </c>
      <c r="X1030" s="77"/>
      <c r="Y1030" s="77"/>
      <c r="Z1030" s="77" t="s">
        <v>4375</v>
      </c>
      <c r="AA1030" s="77"/>
      <c r="AB1030" s="77"/>
      <c r="AC1030" s="81" t="s">
        <v>5803</v>
      </c>
      <c r="AD1030" s="77" t="s">
        <v>5850</v>
      </c>
      <c r="AE1030" s="83" t="str">
        <f>HYPERLINK("https://twitter.com/mariana64692094/status/1656178731075923969")</f>
        <v>https://twitter.com/mariana64692094/status/1656178731075923969</v>
      </c>
      <c r="AF1030" s="79">
        <v>45056.25409722222</v>
      </c>
      <c r="AG1030" s="85">
        <v>45056</v>
      </c>
      <c r="AH1030" s="81" t="s">
        <v>6732</v>
      </c>
      <c r="AI1030" s="77"/>
      <c r="AJ1030" s="77"/>
      <c r="AK1030" s="77"/>
      <c r="AL1030" s="77"/>
      <c r="AM1030" s="77"/>
      <c r="AN1030" s="77"/>
      <c r="AO1030" s="77"/>
      <c r="AP1030" s="77"/>
      <c r="AQ1030" s="77"/>
      <c r="AR1030" s="77"/>
      <c r="AS1030" s="77"/>
      <c r="AT1030" s="77"/>
      <c r="AU1030" s="77"/>
      <c r="AV1030" s="83" t="str">
        <f>HYPERLINK("https://pbs.twimg.com/profile_images/1554626465731383298/9KudSdu0_normal.jpg")</f>
        <v>https://pbs.twimg.com/profile_images/1554626465731383298/9KudSdu0_normal.jpg</v>
      </c>
      <c r="AW1030" s="81" t="s">
        <v>10188</v>
      </c>
      <c r="AX1030" s="81" t="s">
        <v>11281</v>
      </c>
      <c r="AY1030" s="81" t="s">
        <v>11334</v>
      </c>
      <c r="AZ1030" s="81" t="s">
        <v>11281</v>
      </c>
      <c r="BA1030" s="81" t="s">
        <v>11359</v>
      </c>
      <c r="BB1030" s="81" t="s">
        <v>11359</v>
      </c>
      <c r="BC1030" s="81" t="s">
        <v>11281</v>
      </c>
      <c r="BD1030" s="81" t="s">
        <v>11523</v>
      </c>
      <c r="BE1030" s="77"/>
      <c r="BF1030" s="77"/>
      <c r="BG1030" s="77"/>
      <c r="BH1030" s="77"/>
      <c r="BI1030" s="77"/>
    </row>
    <row r="1031" spans="1:61" x14ac:dyDescent="0.25">
      <c r="A1031" s="62" t="s">
        <v>460</v>
      </c>
      <c r="B1031" s="62" t="s">
        <v>921</v>
      </c>
      <c r="C1031" s="63"/>
      <c r="D1031" s="64"/>
      <c r="E1031" s="65"/>
      <c r="F1031" s="66"/>
      <c r="G1031" s="63"/>
      <c r="H1031" s="67"/>
      <c r="I1031" s="68"/>
      <c r="J1031" s="68"/>
      <c r="K1031" s="32"/>
      <c r="L1031" s="75">
        <v>1031</v>
      </c>
      <c r="M1031" s="75"/>
      <c r="N1031" s="70"/>
      <c r="O1031" s="77" t="s">
        <v>970</v>
      </c>
      <c r="P1031" s="79">
        <v>45036.143252314818</v>
      </c>
      <c r="Q1031" s="77" t="s">
        <v>1867</v>
      </c>
      <c r="R1031" s="77">
        <v>0</v>
      </c>
      <c r="S1031" s="77">
        <v>0</v>
      </c>
      <c r="T1031" s="77">
        <v>0</v>
      </c>
      <c r="U1031" s="77">
        <v>0</v>
      </c>
      <c r="V1031" s="77">
        <v>17</v>
      </c>
      <c r="W1031" s="81" t="s">
        <v>3455</v>
      </c>
      <c r="X1031" s="77"/>
      <c r="Y1031" s="77"/>
      <c r="Z1031" s="77" t="s">
        <v>4375</v>
      </c>
      <c r="AA1031" s="77"/>
      <c r="AB1031" s="77"/>
      <c r="AC1031" s="81" t="s">
        <v>5803</v>
      </c>
      <c r="AD1031" s="77" t="s">
        <v>5850</v>
      </c>
      <c r="AE1031" s="83" t="str">
        <f>HYPERLINK("https://twitter.com/mariana64692094/status/1648890804755111937")</f>
        <v>https://twitter.com/mariana64692094/status/1648890804755111937</v>
      </c>
      <c r="AF1031" s="79">
        <v>45036.143252314818</v>
      </c>
      <c r="AG1031" s="85">
        <v>45036</v>
      </c>
      <c r="AH1031" s="81" t="s">
        <v>6733</v>
      </c>
      <c r="AI1031" s="77"/>
      <c r="AJ1031" s="77"/>
      <c r="AK1031" s="77"/>
      <c r="AL1031" s="77"/>
      <c r="AM1031" s="77"/>
      <c r="AN1031" s="77"/>
      <c r="AO1031" s="77"/>
      <c r="AP1031" s="77"/>
      <c r="AQ1031" s="77"/>
      <c r="AR1031" s="77"/>
      <c r="AS1031" s="77"/>
      <c r="AT1031" s="77"/>
      <c r="AU1031" s="77"/>
      <c r="AV1031" s="83" t="str">
        <f>HYPERLINK("https://pbs.twimg.com/profile_images/1554626465731383298/9KudSdu0_normal.jpg")</f>
        <v>https://pbs.twimg.com/profile_images/1554626465731383298/9KudSdu0_normal.jpg</v>
      </c>
      <c r="AW1031" s="81" t="s">
        <v>10189</v>
      </c>
      <c r="AX1031" s="81" t="s">
        <v>11282</v>
      </c>
      <c r="AY1031" s="81" t="s">
        <v>11334</v>
      </c>
      <c r="AZ1031" s="81" t="s">
        <v>11282</v>
      </c>
      <c r="BA1031" s="81" t="s">
        <v>11359</v>
      </c>
      <c r="BB1031" s="81" t="s">
        <v>11359</v>
      </c>
      <c r="BC1031" s="81" t="s">
        <v>11282</v>
      </c>
      <c r="BD1031" s="81" t="s">
        <v>11523</v>
      </c>
      <c r="BE1031" s="77"/>
      <c r="BF1031" s="77"/>
      <c r="BG1031" s="77"/>
      <c r="BH1031" s="77"/>
      <c r="BI1031" s="77"/>
    </row>
    <row r="1032" spans="1:61" x14ac:dyDescent="0.25">
      <c r="A1032" s="62" t="s">
        <v>460</v>
      </c>
      <c r="B1032" s="62" t="s">
        <v>921</v>
      </c>
      <c r="C1032" s="63"/>
      <c r="D1032" s="64"/>
      <c r="E1032" s="65"/>
      <c r="F1032" s="66"/>
      <c r="G1032" s="63"/>
      <c r="H1032" s="67"/>
      <c r="I1032" s="68"/>
      <c r="J1032" s="68"/>
      <c r="K1032" s="32"/>
      <c r="L1032" s="75">
        <v>1032</v>
      </c>
      <c r="M1032" s="75"/>
      <c r="N1032" s="70"/>
      <c r="O1032" s="77" t="s">
        <v>970</v>
      </c>
      <c r="P1032" s="79">
        <v>45035.200162037036</v>
      </c>
      <c r="Q1032" s="77" t="s">
        <v>1868</v>
      </c>
      <c r="R1032" s="77">
        <v>0</v>
      </c>
      <c r="S1032" s="77">
        <v>0</v>
      </c>
      <c r="T1032" s="77">
        <v>0</v>
      </c>
      <c r="U1032" s="77">
        <v>0</v>
      </c>
      <c r="V1032" s="77">
        <v>9</v>
      </c>
      <c r="W1032" s="81" t="s">
        <v>3455</v>
      </c>
      <c r="X1032" s="77"/>
      <c r="Y1032" s="77"/>
      <c r="Z1032" s="77" t="s">
        <v>4375</v>
      </c>
      <c r="AA1032" s="77"/>
      <c r="AB1032" s="77"/>
      <c r="AC1032" s="81" t="s">
        <v>5803</v>
      </c>
      <c r="AD1032" s="77" t="s">
        <v>5850</v>
      </c>
      <c r="AE1032" s="83" t="str">
        <f>HYPERLINK("https://twitter.com/mariana64692094/status/1648549040961777666")</f>
        <v>https://twitter.com/mariana64692094/status/1648549040961777666</v>
      </c>
      <c r="AF1032" s="79">
        <v>45035.200162037036</v>
      </c>
      <c r="AG1032" s="85">
        <v>45035</v>
      </c>
      <c r="AH1032" s="81" t="s">
        <v>6734</v>
      </c>
      <c r="AI1032" s="77"/>
      <c r="AJ1032" s="77"/>
      <c r="AK1032" s="77"/>
      <c r="AL1032" s="77"/>
      <c r="AM1032" s="77"/>
      <c r="AN1032" s="77"/>
      <c r="AO1032" s="77"/>
      <c r="AP1032" s="77"/>
      <c r="AQ1032" s="77"/>
      <c r="AR1032" s="77"/>
      <c r="AS1032" s="77"/>
      <c r="AT1032" s="77"/>
      <c r="AU1032" s="77"/>
      <c r="AV1032" s="83" t="str">
        <f>HYPERLINK("https://pbs.twimg.com/profile_images/1554626465731383298/9KudSdu0_normal.jpg")</f>
        <v>https://pbs.twimg.com/profile_images/1554626465731383298/9KudSdu0_normal.jpg</v>
      </c>
      <c r="AW1032" s="81" t="s">
        <v>10190</v>
      </c>
      <c r="AX1032" s="81" t="s">
        <v>11283</v>
      </c>
      <c r="AY1032" s="81" t="s">
        <v>11334</v>
      </c>
      <c r="AZ1032" s="81" t="s">
        <v>11283</v>
      </c>
      <c r="BA1032" s="81" t="s">
        <v>11359</v>
      </c>
      <c r="BB1032" s="81" t="s">
        <v>11359</v>
      </c>
      <c r="BC1032" s="81" t="s">
        <v>11283</v>
      </c>
      <c r="BD1032" s="81" t="s">
        <v>11523</v>
      </c>
      <c r="BE1032" s="77"/>
      <c r="BF1032" s="77"/>
      <c r="BG1032" s="77"/>
      <c r="BH1032" s="77"/>
      <c r="BI1032" s="77"/>
    </row>
    <row r="1033" spans="1:61" x14ac:dyDescent="0.25">
      <c r="A1033" s="62" t="s">
        <v>460</v>
      </c>
      <c r="B1033" s="62" t="s">
        <v>921</v>
      </c>
      <c r="C1033" s="63"/>
      <c r="D1033" s="64"/>
      <c r="E1033" s="65"/>
      <c r="F1033" s="66"/>
      <c r="G1033" s="63"/>
      <c r="H1033" s="67"/>
      <c r="I1033" s="68"/>
      <c r="J1033" s="68"/>
      <c r="K1033" s="32"/>
      <c r="L1033" s="75">
        <v>1033</v>
      </c>
      <c r="M1033" s="75"/>
      <c r="N1033" s="70"/>
      <c r="O1033" s="77" t="s">
        <v>970</v>
      </c>
      <c r="P1033" s="79">
        <v>44997.055717592593</v>
      </c>
      <c r="Q1033" s="77" t="s">
        <v>1869</v>
      </c>
      <c r="R1033" s="77">
        <v>0</v>
      </c>
      <c r="S1033" s="77">
        <v>0</v>
      </c>
      <c r="T1033" s="77">
        <v>0</v>
      </c>
      <c r="U1033" s="77">
        <v>0</v>
      </c>
      <c r="V1033" s="77">
        <v>14</v>
      </c>
      <c r="W1033" s="81" t="s">
        <v>3462</v>
      </c>
      <c r="X1033" s="77"/>
      <c r="Y1033" s="77"/>
      <c r="Z1033" s="77" t="s">
        <v>4375</v>
      </c>
      <c r="AA1033" s="77"/>
      <c r="AB1033" s="77"/>
      <c r="AC1033" s="81" t="s">
        <v>5803</v>
      </c>
      <c r="AD1033" s="77" t="s">
        <v>5850</v>
      </c>
      <c r="AE1033" s="83" t="str">
        <f>HYPERLINK("https://twitter.com/mariana64692094/status/1634725957159223296")</f>
        <v>https://twitter.com/mariana64692094/status/1634725957159223296</v>
      </c>
      <c r="AF1033" s="79">
        <v>44997.055717592593</v>
      </c>
      <c r="AG1033" s="85">
        <v>44997</v>
      </c>
      <c r="AH1033" s="81" t="s">
        <v>6735</v>
      </c>
      <c r="AI1033" s="77"/>
      <c r="AJ1033" s="77"/>
      <c r="AK1033" s="77"/>
      <c r="AL1033" s="77"/>
      <c r="AM1033" s="77"/>
      <c r="AN1033" s="77"/>
      <c r="AO1033" s="77"/>
      <c r="AP1033" s="77"/>
      <c r="AQ1033" s="77"/>
      <c r="AR1033" s="77"/>
      <c r="AS1033" s="77"/>
      <c r="AT1033" s="77"/>
      <c r="AU1033" s="77"/>
      <c r="AV1033" s="83" t="str">
        <f>HYPERLINK("https://pbs.twimg.com/profile_images/1554626465731383298/9KudSdu0_normal.jpg")</f>
        <v>https://pbs.twimg.com/profile_images/1554626465731383298/9KudSdu0_normal.jpg</v>
      </c>
      <c r="AW1033" s="81" t="s">
        <v>10191</v>
      </c>
      <c r="AX1033" s="81" t="s">
        <v>11284</v>
      </c>
      <c r="AY1033" s="81" t="s">
        <v>11334</v>
      </c>
      <c r="AZ1033" s="81" t="s">
        <v>11284</v>
      </c>
      <c r="BA1033" s="81" t="s">
        <v>11359</v>
      </c>
      <c r="BB1033" s="81" t="s">
        <v>11359</v>
      </c>
      <c r="BC1033" s="81" t="s">
        <v>11284</v>
      </c>
      <c r="BD1033" s="81" t="s">
        <v>11523</v>
      </c>
      <c r="BE1033" s="77"/>
      <c r="BF1033" s="77"/>
      <c r="BG1033" s="77"/>
      <c r="BH1033" s="77"/>
      <c r="BI1033" s="77"/>
    </row>
    <row r="1034" spans="1:61" x14ac:dyDescent="0.25">
      <c r="A1034" s="62" t="s">
        <v>460</v>
      </c>
      <c r="B1034" s="62" t="s">
        <v>921</v>
      </c>
      <c r="C1034" s="63"/>
      <c r="D1034" s="64"/>
      <c r="E1034" s="65"/>
      <c r="F1034" s="66"/>
      <c r="G1034" s="63"/>
      <c r="H1034" s="67"/>
      <c r="I1034" s="68"/>
      <c r="J1034" s="68"/>
      <c r="K1034" s="32"/>
      <c r="L1034" s="75">
        <v>1034</v>
      </c>
      <c r="M1034" s="75"/>
      <c r="N1034" s="70"/>
      <c r="O1034" s="77" t="s">
        <v>970</v>
      </c>
      <c r="P1034" s="79">
        <v>44997.016608796293</v>
      </c>
      <c r="Q1034" s="77" t="s">
        <v>1870</v>
      </c>
      <c r="R1034" s="77">
        <v>0</v>
      </c>
      <c r="S1034" s="77">
        <v>0</v>
      </c>
      <c r="T1034" s="77">
        <v>0</v>
      </c>
      <c r="U1034" s="77">
        <v>0</v>
      </c>
      <c r="V1034" s="77">
        <v>14</v>
      </c>
      <c r="W1034" s="81" t="s">
        <v>3463</v>
      </c>
      <c r="X1034" s="77"/>
      <c r="Y1034" s="77"/>
      <c r="Z1034" s="77" t="s">
        <v>4376</v>
      </c>
      <c r="AA1034" s="77"/>
      <c r="AB1034" s="77"/>
      <c r="AC1034" s="81" t="s">
        <v>5803</v>
      </c>
      <c r="AD1034" s="77" t="s">
        <v>5850</v>
      </c>
      <c r="AE1034" s="83" t="str">
        <f>HYPERLINK("https://twitter.com/mariana64692094/status/1634711785662996482")</f>
        <v>https://twitter.com/mariana64692094/status/1634711785662996482</v>
      </c>
      <c r="AF1034" s="79">
        <v>44997.016608796293</v>
      </c>
      <c r="AG1034" s="85">
        <v>44997</v>
      </c>
      <c r="AH1034" s="81" t="s">
        <v>6736</v>
      </c>
      <c r="AI1034" s="77"/>
      <c r="AJ1034" s="77"/>
      <c r="AK1034" s="77"/>
      <c r="AL1034" s="77"/>
      <c r="AM1034" s="77"/>
      <c r="AN1034" s="77"/>
      <c r="AO1034" s="77"/>
      <c r="AP1034" s="77"/>
      <c r="AQ1034" s="77"/>
      <c r="AR1034" s="77"/>
      <c r="AS1034" s="77"/>
      <c r="AT1034" s="77"/>
      <c r="AU1034" s="77"/>
      <c r="AV1034" s="83" t="str">
        <f>HYPERLINK("https://pbs.twimg.com/profile_images/1554626465731383298/9KudSdu0_normal.jpg")</f>
        <v>https://pbs.twimg.com/profile_images/1554626465731383298/9KudSdu0_normal.jpg</v>
      </c>
      <c r="AW1034" s="81" t="s">
        <v>10192</v>
      </c>
      <c r="AX1034" s="81" t="s">
        <v>11285</v>
      </c>
      <c r="AY1034" s="81" t="s">
        <v>11334</v>
      </c>
      <c r="AZ1034" s="81" t="s">
        <v>11285</v>
      </c>
      <c r="BA1034" s="81" t="s">
        <v>11359</v>
      </c>
      <c r="BB1034" s="81" t="s">
        <v>11359</v>
      </c>
      <c r="BC1034" s="81" t="s">
        <v>11285</v>
      </c>
      <c r="BD1034" s="81" t="s">
        <v>11523</v>
      </c>
      <c r="BE1034" s="77"/>
      <c r="BF1034" s="77"/>
      <c r="BG1034" s="77"/>
      <c r="BH1034" s="77"/>
      <c r="BI1034" s="77"/>
    </row>
    <row r="1035" spans="1:61" x14ac:dyDescent="0.25">
      <c r="A1035" s="62" t="s">
        <v>460</v>
      </c>
      <c r="B1035" s="62" t="s">
        <v>922</v>
      </c>
      <c r="C1035" s="63"/>
      <c r="D1035" s="64"/>
      <c r="E1035" s="65"/>
      <c r="F1035" s="66"/>
      <c r="G1035" s="63"/>
      <c r="H1035" s="67"/>
      <c r="I1035" s="68"/>
      <c r="J1035" s="68"/>
      <c r="K1035" s="32"/>
      <c r="L1035" s="75">
        <v>1035</v>
      </c>
      <c r="M1035" s="75"/>
      <c r="N1035" s="70"/>
      <c r="O1035" s="77" t="s">
        <v>970</v>
      </c>
      <c r="P1035" s="79">
        <v>45015.185902777775</v>
      </c>
      <c r="Q1035" s="77" t="s">
        <v>1853</v>
      </c>
      <c r="R1035" s="77">
        <v>0</v>
      </c>
      <c r="S1035" s="77">
        <v>0</v>
      </c>
      <c r="T1035" s="77">
        <v>0</v>
      </c>
      <c r="U1035" s="77">
        <v>0</v>
      </c>
      <c r="V1035" s="77">
        <v>14</v>
      </c>
      <c r="W1035" s="81" t="s">
        <v>3453</v>
      </c>
      <c r="X1035" s="77"/>
      <c r="Y1035" s="77"/>
      <c r="Z1035" s="77" t="s">
        <v>4375</v>
      </c>
      <c r="AA1035" s="77"/>
      <c r="AB1035" s="77"/>
      <c r="AC1035" s="81" t="s">
        <v>5803</v>
      </c>
      <c r="AD1035" s="77" t="s">
        <v>5850</v>
      </c>
      <c r="AE1035" s="83" t="str">
        <f>HYPERLINK("https://twitter.com/mariana64692094/status/1641296114933440518")</f>
        <v>https://twitter.com/mariana64692094/status/1641296114933440518</v>
      </c>
      <c r="AF1035" s="79">
        <v>45015.185902777775</v>
      </c>
      <c r="AG1035" s="85">
        <v>45015</v>
      </c>
      <c r="AH1035" s="81" t="s">
        <v>6720</v>
      </c>
      <c r="AI1035" s="77"/>
      <c r="AJ1035" s="77"/>
      <c r="AK1035" s="77"/>
      <c r="AL1035" s="77"/>
      <c r="AM1035" s="77"/>
      <c r="AN1035" s="77"/>
      <c r="AO1035" s="77"/>
      <c r="AP1035" s="77"/>
      <c r="AQ1035" s="77"/>
      <c r="AR1035" s="77"/>
      <c r="AS1035" s="77"/>
      <c r="AT1035" s="77"/>
      <c r="AU1035" s="77"/>
      <c r="AV1035" s="83" t="str">
        <f>HYPERLINK("https://pbs.twimg.com/profile_images/1554626465731383298/9KudSdu0_normal.jpg")</f>
        <v>https://pbs.twimg.com/profile_images/1554626465731383298/9KudSdu0_normal.jpg</v>
      </c>
      <c r="AW1035" s="81" t="s">
        <v>10175</v>
      </c>
      <c r="AX1035" s="81" t="s">
        <v>11268</v>
      </c>
      <c r="AY1035" s="81" t="s">
        <v>11334</v>
      </c>
      <c r="AZ1035" s="81" t="s">
        <v>11268</v>
      </c>
      <c r="BA1035" s="81" t="s">
        <v>11359</v>
      </c>
      <c r="BB1035" s="81" t="s">
        <v>11359</v>
      </c>
      <c r="BC1035" s="81" t="s">
        <v>11268</v>
      </c>
      <c r="BD1035" s="81" t="s">
        <v>11523</v>
      </c>
      <c r="BE1035" s="77"/>
      <c r="BF1035" s="77"/>
      <c r="BG1035" s="77"/>
      <c r="BH1035" s="77"/>
      <c r="BI1035" s="77"/>
    </row>
    <row r="1036" spans="1:61" x14ac:dyDescent="0.25">
      <c r="A1036" s="62" t="s">
        <v>460</v>
      </c>
      <c r="B1036" s="62" t="s">
        <v>922</v>
      </c>
      <c r="C1036" s="63"/>
      <c r="D1036" s="64"/>
      <c r="E1036" s="65"/>
      <c r="F1036" s="66"/>
      <c r="G1036" s="63"/>
      <c r="H1036" s="67"/>
      <c r="I1036" s="68"/>
      <c r="J1036" s="68"/>
      <c r="K1036" s="32"/>
      <c r="L1036" s="75">
        <v>1036</v>
      </c>
      <c r="M1036" s="75"/>
      <c r="N1036" s="70"/>
      <c r="O1036" s="77" t="s">
        <v>970</v>
      </c>
      <c r="P1036" s="79">
        <v>45026.270208333335</v>
      </c>
      <c r="Q1036" s="77" t="s">
        <v>1854</v>
      </c>
      <c r="R1036" s="77">
        <v>0</v>
      </c>
      <c r="S1036" s="77">
        <v>0</v>
      </c>
      <c r="T1036" s="77">
        <v>0</v>
      </c>
      <c r="U1036" s="77">
        <v>0</v>
      </c>
      <c r="V1036" s="77">
        <v>47</v>
      </c>
      <c r="W1036" s="81" t="s">
        <v>3454</v>
      </c>
      <c r="X1036" s="77"/>
      <c r="Y1036" s="77"/>
      <c r="Z1036" s="77" t="s">
        <v>4375</v>
      </c>
      <c r="AA1036" s="77"/>
      <c r="AB1036" s="77"/>
      <c r="AC1036" s="81" t="s">
        <v>5803</v>
      </c>
      <c r="AD1036" s="77" t="s">
        <v>5850</v>
      </c>
      <c r="AE1036" s="83" t="str">
        <f>HYPERLINK("https://twitter.com/mariana64692094/status/1645312935554588672")</f>
        <v>https://twitter.com/mariana64692094/status/1645312935554588672</v>
      </c>
      <c r="AF1036" s="79">
        <v>45026.270208333335</v>
      </c>
      <c r="AG1036" s="85">
        <v>45026</v>
      </c>
      <c r="AH1036" s="81" t="s">
        <v>6721</v>
      </c>
      <c r="AI1036" s="77"/>
      <c r="AJ1036" s="77"/>
      <c r="AK1036" s="77"/>
      <c r="AL1036" s="77"/>
      <c r="AM1036" s="77"/>
      <c r="AN1036" s="77"/>
      <c r="AO1036" s="77"/>
      <c r="AP1036" s="77"/>
      <c r="AQ1036" s="77"/>
      <c r="AR1036" s="77"/>
      <c r="AS1036" s="77"/>
      <c r="AT1036" s="77"/>
      <c r="AU1036" s="77"/>
      <c r="AV1036" s="83" t="str">
        <f>HYPERLINK("https://pbs.twimg.com/profile_images/1554626465731383298/9KudSdu0_normal.jpg")</f>
        <v>https://pbs.twimg.com/profile_images/1554626465731383298/9KudSdu0_normal.jpg</v>
      </c>
      <c r="AW1036" s="81" t="s">
        <v>10176</v>
      </c>
      <c r="AX1036" s="81" t="s">
        <v>11269</v>
      </c>
      <c r="AY1036" s="81" t="s">
        <v>11334</v>
      </c>
      <c r="AZ1036" s="81" t="s">
        <v>11269</v>
      </c>
      <c r="BA1036" s="81" t="s">
        <v>11359</v>
      </c>
      <c r="BB1036" s="81" t="s">
        <v>11359</v>
      </c>
      <c r="BC1036" s="81" t="s">
        <v>11269</v>
      </c>
      <c r="BD1036" s="81" t="s">
        <v>11523</v>
      </c>
      <c r="BE1036" s="77"/>
      <c r="BF1036" s="77"/>
      <c r="BG1036" s="77"/>
      <c r="BH1036" s="77"/>
      <c r="BI1036" s="77"/>
    </row>
    <row r="1037" spans="1:61" x14ac:dyDescent="0.25">
      <c r="A1037" s="62" t="s">
        <v>460</v>
      </c>
      <c r="B1037" s="62" t="s">
        <v>922</v>
      </c>
      <c r="C1037" s="63"/>
      <c r="D1037" s="64"/>
      <c r="E1037" s="65"/>
      <c r="F1037" s="66"/>
      <c r="G1037" s="63"/>
      <c r="H1037" s="67"/>
      <c r="I1037" s="68"/>
      <c r="J1037" s="68"/>
      <c r="K1037" s="32"/>
      <c r="L1037" s="75">
        <v>1037</v>
      </c>
      <c r="M1037" s="75"/>
      <c r="N1037" s="70"/>
      <c r="O1037" s="77" t="s">
        <v>970</v>
      </c>
      <c r="P1037" s="79">
        <v>45026.269224537034</v>
      </c>
      <c r="Q1037" s="77" t="s">
        <v>1855</v>
      </c>
      <c r="R1037" s="77">
        <v>0</v>
      </c>
      <c r="S1037" s="77">
        <v>0</v>
      </c>
      <c r="T1037" s="77">
        <v>0</v>
      </c>
      <c r="U1037" s="77">
        <v>0</v>
      </c>
      <c r="V1037" s="77">
        <v>48</v>
      </c>
      <c r="W1037" s="81" t="s">
        <v>3455</v>
      </c>
      <c r="X1037" s="77"/>
      <c r="Y1037" s="77"/>
      <c r="Z1037" s="77" t="s">
        <v>4375</v>
      </c>
      <c r="AA1037" s="77"/>
      <c r="AB1037" s="77"/>
      <c r="AC1037" s="81" t="s">
        <v>5803</v>
      </c>
      <c r="AD1037" s="77" t="s">
        <v>5850</v>
      </c>
      <c r="AE1037" s="83" t="str">
        <f>HYPERLINK("https://twitter.com/mariana64692094/status/1645312576350302209")</f>
        <v>https://twitter.com/mariana64692094/status/1645312576350302209</v>
      </c>
      <c r="AF1037" s="79">
        <v>45026.269224537034</v>
      </c>
      <c r="AG1037" s="85">
        <v>45026</v>
      </c>
      <c r="AH1037" s="81" t="s">
        <v>6722</v>
      </c>
      <c r="AI1037" s="77"/>
      <c r="AJ1037" s="77"/>
      <c r="AK1037" s="77"/>
      <c r="AL1037" s="77"/>
      <c r="AM1037" s="77"/>
      <c r="AN1037" s="77"/>
      <c r="AO1037" s="77"/>
      <c r="AP1037" s="77"/>
      <c r="AQ1037" s="77"/>
      <c r="AR1037" s="77"/>
      <c r="AS1037" s="77"/>
      <c r="AT1037" s="77"/>
      <c r="AU1037" s="77"/>
      <c r="AV1037" s="83" t="str">
        <f>HYPERLINK("https://pbs.twimg.com/profile_images/1554626465731383298/9KudSdu0_normal.jpg")</f>
        <v>https://pbs.twimg.com/profile_images/1554626465731383298/9KudSdu0_normal.jpg</v>
      </c>
      <c r="AW1037" s="81" t="s">
        <v>10177</v>
      </c>
      <c r="AX1037" s="81" t="s">
        <v>11270</v>
      </c>
      <c r="AY1037" s="81" t="s">
        <v>11334</v>
      </c>
      <c r="AZ1037" s="81" t="s">
        <v>11270</v>
      </c>
      <c r="BA1037" s="81" t="s">
        <v>11359</v>
      </c>
      <c r="BB1037" s="81" t="s">
        <v>11359</v>
      </c>
      <c r="BC1037" s="81" t="s">
        <v>11270</v>
      </c>
      <c r="BD1037" s="81" t="s">
        <v>11523</v>
      </c>
      <c r="BE1037" s="77"/>
      <c r="BF1037" s="77"/>
      <c r="BG1037" s="77"/>
      <c r="BH1037" s="77"/>
      <c r="BI1037" s="77"/>
    </row>
    <row r="1038" spans="1:61" x14ac:dyDescent="0.25">
      <c r="A1038" s="62" t="s">
        <v>460</v>
      </c>
      <c r="B1038" s="62" t="s">
        <v>922</v>
      </c>
      <c r="C1038" s="63"/>
      <c r="D1038" s="64"/>
      <c r="E1038" s="65"/>
      <c r="F1038" s="66"/>
      <c r="G1038" s="63"/>
      <c r="H1038" s="67"/>
      <c r="I1038" s="68"/>
      <c r="J1038" s="68"/>
      <c r="K1038" s="32"/>
      <c r="L1038" s="75">
        <v>1038</v>
      </c>
      <c r="M1038" s="75"/>
      <c r="N1038" s="70"/>
      <c r="O1038" s="77" t="s">
        <v>970</v>
      </c>
      <c r="P1038" s="79">
        <v>45024.010347222225</v>
      </c>
      <c r="Q1038" s="77" t="s">
        <v>1856</v>
      </c>
      <c r="R1038" s="77">
        <v>0</v>
      </c>
      <c r="S1038" s="77">
        <v>0</v>
      </c>
      <c r="T1038" s="77">
        <v>0</v>
      </c>
      <c r="U1038" s="77">
        <v>0</v>
      </c>
      <c r="V1038" s="77">
        <v>27</v>
      </c>
      <c r="W1038" s="81" t="s">
        <v>3456</v>
      </c>
      <c r="X1038" s="77"/>
      <c r="Y1038" s="77"/>
      <c r="Z1038" s="77" t="s">
        <v>4375</v>
      </c>
      <c r="AA1038" s="77"/>
      <c r="AB1038" s="77"/>
      <c r="AC1038" s="81" t="s">
        <v>5803</v>
      </c>
      <c r="AD1038" s="77" t="s">
        <v>5850</v>
      </c>
      <c r="AE1038" s="83" t="str">
        <f>HYPERLINK("https://twitter.com/mariana64692094/status/1644493987582205952")</f>
        <v>https://twitter.com/mariana64692094/status/1644493987582205952</v>
      </c>
      <c r="AF1038" s="79">
        <v>45024.010347222225</v>
      </c>
      <c r="AG1038" s="85">
        <v>45024</v>
      </c>
      <c r="AH1038" s="81" t="s">
        <v>6723</v>
      </c>
      <c r="AI1038" s="77"/>
      <c r="AJ1038" s="77"/>
      <c r="AK1038" s="77"/>
      <c r="AL1038" s="77"/>
      <c r="AM1038" s="77"/>
      <c r="AN1038" s="77"/>
      <c r="AO1038" s="77"/>
      <c r="AP1038" s="77"/>
      <c r="AQ1038" s="77"/>
      <c r="AR1038" s="77"/>
      <c r="AS1038" s="77"/>
      <c r="AT1038" s="77"/>
      <c r="AU1038" s="77"/>
      <c r="AV1038" s="83" t="str">
        <f>HYPERLINK("https://pbs.twimg.com/profile_images/1554626465731383298/9KudSdu0_normal.jpg")</f>
        <v>https://pbs.twimg.com/profile_images/1554626465731383298/9KudSdu0_normal.jpg</v>
      </c>
      <c r="AW1038" s="81" t="s">
        <v>10178</v>
      </c>
      <c r="AX1038" s="81" t="s">
        <v>11271</v>
      </c>
      <c r="AY1038" s="81" t="s">
        <v>11334</v>
      </c>
      <c r="AZ1038" s="81" t="s">
        <v>11271</v>
      </c>
      <c r="BA1038" s="81" t="s">
        <v>11359</v>
      </c>
      <c r="BB1038" s="81" t="s">
        <v>11359</v>
      </c>
      <c r="BC1038" s="81" t="s">
        <v>11271</v>
      </c>
      <c r="BD1038" s="81" t="s">
        <v>11523</v>
      </c>
      <c r="BE1038" s="77"/>
      <c r="BF1038" s="77"/>
      <c r="BG1038" s="77"/>
      <c r="BH1038" s="77"/>
      <c r="BI1038" s="77"/>
    </row>
    <row r="1039" spans="1:61" x14ac:dyDescent="0.25">
      <c r="A1039" s="62" t="s">
        <v>460</v>
      </c>
      <c r="B1039" s="62" t="s">
        <v>922</v>
      </c>
      <c r="C1039" s="63"/>
      <c r="D1039" s="64"/>
      <c r="E1039" s="65"/>
      <c r="F1039" s="66"/>
      <c r="G1039" s="63"/>
      <c r="H1039" s="67"/>
      <c r="I1039" s="68"/>
      <c r="J1039" s="68"/>
      <c r="K1039" s="32"/>
      <c r="L1039" s="75">
        <v>1039</v>
      </c>
      <c r="M1039" s="75"/>
      <c r="N1039" s="70"/>
      <c r="O1039" s="77" t="s">
        <v>970</v>
      </c>
      <c r="P1039" s="79">
        <v>45020.107187499998</v>
      </c>
      <c r="Q1039" s="77" t="s">
        <v>1857</v>
      </c>
      <c r="R1039" s="77">
        <v>0</v>
      </c>
      <c r="S1039" s="77">
        <v>0</v>
      </c>
      <c r="T1039" s="77">
        <v>0</v>
      </c>
      <c r="U1039" s="77">
        <v>0</v>
      </c>
      <c r="V1039" s="77">
        <v>16</v>
      </c>
      <c r="W1039" s="81" t="s">
        <v>3457</v>
      </c>
      <c r="X1039" s="77"/>
      <c r="Y1039" s="77"/>
      <c r="Z1039" s="77" t="s">
        <v>4375</v>
      </c>
      <c r="AA1039" s="77"/>
      <c r="AB1039" s="77"/>
      <c r="AC1039" s="81" t="s">
        <v>5803</v>
      </c>
      <c r="AD1039" s="77" t="s">
        <v>5850</v>
      </c>
      <c r="AE1039" s="83" t="str">
        <f>HYPERLINK("https://twitter.com/mariana64692094/status/1643079528548368387")</f>
        <v>https://twitter.com/mariana64692094/status/1643079528548368387</v>
      </c>
      <c r="AF1039" s="79">
        <v>45020.107187499998</v>
      </c>
      <c r="AG1039" s="85">
        <v>45020</v>
      </c>
      <c r="AH1039" s="81" t="s">
        <v>6724</v>
      </c>
      <c r="AI1039" s="77"/>
      <c r="AJ1039" s="77"/>
      <c r="AK1039" s="77"/>
      <c r="AL1039" s="77"/>
      <c r="AM1039" s="77"/>
      <c r="AN1039" s="77"/>
      <c r="AO1039" s="77"/>
      <c r="AP1039" s="77"/>
      <c r="AQ1039" s="77"/>
      <c r="AR1039" s="77"/>
      <c r="AS1039" s="77"/>
      <c r="AT1039" s="77"/>
      <c r="AU1039" s="77"/>
      <c r="AV1039" s="83" t="str">
        <f>HYPERLINK("https://pbs.twimg.com/profile_images/1554626465731383298/9KudSdu0_normal.jpg")</f>
        <v>https://pbs.twimg.com/profile_images/1554626465731383298/9KudSdu0_normal.jpg</v>
      </c>
      <c r="AW1039" s="81" t="s">
        <v>10179</v>
      </c>
      <c r="AX1039" s="81" t="s">
        <v>11272</v>
      </c>
      <c r="AY1039" s="81" t="s">
        <v>11334</v>
      </c>
      <c r="AZ1039" s="81" t="s">
        <v>11272</v>
      </c>
      <c r="BA1039" s="81" t="s">
        <v>11359</v>
      </c>
      <c r="BB1039" s="81" t="s">
        <v>11359</v>
      </c>
      <c r="BC1039" s="81" t="s">
        <v>11272</v>
      </c>
      <c r="BD1039" s="81" t="s">
        <v>11523</v>
      </c>
      <c r="BE1039" s="77"/>
      <c r="BF1039" s="77"/>
      <c r="BG1039" s="77"/>
      <c r="BH1039" s="77"/>
      <c r="BI1039" s="77"/>
    </row>
    <row r="1040" spans="1:61" x14ac:dyDescent="0.25">
      <c r="A1040" s="62" t="s">
        <v>460</v>
      </c>
      <c r="B1040" s="62" t="s">
        <v>922</v>
      </c>
      <c r="C1040" s="63"/>
      <c r="D1040" s="64"/>
      <c r="E1040" s="65"/>
      <c r="F1040" s="66"/>
      <c r="G1040" s="63"/>
      <c r="H1040" s="67"/>
      <c r="I1040" s="68"/>
      <c r="J1040" s="68"/>
      <c r="K1040" s="32"/>
      <c r="L1040" s="75">
        <v>1040</v>
      </c>
      <c r="M1040" s="75"/>
      <c r="N1040" s="70"/>
      <c r="O1040" s="77" t="s">
        <v>970</v>
      </c>
      <c r="P1040" s="79">
        <v>45041.24554398148</v>
      </c>
      <c r="Q1040" s="77" t="s">
        <v>1858</v>
      </c>
      <c r="R1040" s="77">
        <v>0</v>
      </c>
      <c r="S1040" s="77">
        <v>0</v>
      </c>
      <c r="T1040" s="77">
        <v>0</v>
      </c>
      <c r="U1040" s="77">
        <v>0</v>
      </c>
      <c r="V1040" s="77">
        <v>23</v>
      </c>
      <c r="W1040" s="81" t="s">
        <v>3458</v>
      </c>
      <c r="X1040" s="77"/>
      <c r="Y1040" s="77"/>
      <c r="Z1040" s="77" t="s">
        <v>4375</v>
      </c>
      <c r="AA1040" s="77"/>
      <c r="AB1040" s="77"/>
      <c r="AC1040" s="81" t="s">
        <v>5803</v>
      </c>
      <c r="AD1040" s="77" t="s">
        <v>5850</v>
      </c>
      <c r="AE1040" s="83" t="str">
        <f>HYPERLINK("https://twitter.com/mariana64692094/status/1650739811584540673")</f>
        <v>https://twitter.com/mariana64692094/status/1650739811584540673</v>
      </c>
      <c r="AF1040" s="79">
        <v>45041.24554398148</v>
      </c>
      <c r="AG1040" s="85">
        <v>45041</v>
      </c>
      <c r="AH1040" s="81" t="s">
        <v>6725</v>
      </c>
      <c r="AI1040" s="77"/>
      <c r="AJ1040" s="77"/>
      <c r="AK1040" s="77"/>
      <c r="AL1040" s="77"/>
      <c r="AM1040" s="77"/>
      <c r="AN1040" s="77"/>
      <c r="AO1040" s="77"/>
      <c r="AP1040" s="77"/>
      <c r="AQ1040" s="77"/>
      <c r="AR1040" s="77"/>
      <c r="AS1040" s="77"/>
      <c r="AT1040" s="77"/>
      <c r="AU1040" s="77"/>
      <c r="AV1040" s="83" t="str">
        <f>HYPERLINK("https://pbs.twimg.com/profile_images/1554626465731383298/9KudSdu0_normal.jpg")</f>
        <v>https://pbs.twimg.com/profile_images/1554626465731383298/9KudSdu0_normal.jpg</v>
      </c>
      <c r="AW1040" s="81" t="s">
        <v>10180</v>
      </c>
      <c r="AX1040" s="81" t="s">
        <v>11273</v>
      </c>
      <c r="AY1040" s="81" t="s">
        <v>11334</v>
      </c>
      <c r="AZ1040" s="81" t="s">
        <v>11273</v>
      </c>
      <c r="BA1040" s="81" t="s">
        <v>11359</v>
      </c>
      <c r="BB1040" s="81" t="s">
        <v>11359</v>
      </c>
      <c r="BC1040" s="81" t="s">
        <v>11273</v>
      </c>
      <c r="BD1040" s="81" t="s">
        <v>11523</v>
      </c>
      <c r="BE1040" s="77"/>
      <c r="BF1040" s="77"/>
      <c r="BG1040" s="77"/>
      <c r="BH1040" s="77"/>
      <c r="BI1040" s="77"/>
    </row>
    <row r="1041" spans="1:61" x14ac:dyDescent="0.25">
      <c r="A1041" s="62" t="s">
        <v>460</v>
      </c>
      <c r="B1041" s="62" t="s">
        <v>922</v>
      </c>
      <c r="C1041" s="63"/>
      <c r="D1041" s="64"/>
      <c r="E1041" s="65"/>
      <c r="F1041" s="66"/>
      <c r="G1041" s="63"/>
      <c r="H1041" s="67"/>
      <c r="I1041" s="68"/>
      <c r="J1041" s="68"/>
      <c r="K1041" s="32"/>
      <c r="L1041" s="75">
        <v>1041</v>
      </c>
      <c r="M1041" s="75"/>
      <c r="N1041" s="70"/>
      <c r="O1041" s="77" t="s">
        <v>970</v>
      </c>
      <c r="P1041" s="79">
        <v>45041.243460648147</v>
      </c>
      <c r="Q1041" s="77" t="s">
        <v>1859</v>
      </c>
      <c r="R1041" s="77">
        <v>0</v>
      </c>
      <c r="S1041" s="77">
        <v>0</v>
      </c>
      <c r="T1041" s="77">
        <v>0</v>
      </c>
      <c r="U1041" s="77">
        <v>0</v>
      </c>
      <c r="V1041" s="77">
        <v>26</v>
      </c>
      <c r="W1041" s="81" t="s">
        <v>3455</v>
      </c>
      <c r="X1041" s="77"/>
      <c r="Y1041" s="77"/>
      <c r="Z1041" s="77" t="s">
        <v>4375</v>
      </c>
      <c r="AA1041" s="77"/>
      <c r="AB1041" s="77"/>
      <c r="AC1041" s="81" t="s">
        <v>5803</v>
      </c>
      <c r="AD1041" s="77" t="s">
        <v>5850</v>
      </c>
      <c r="AE1041" s="83" t="str">
        <f>HYPERLINK("https://twitter.com/mariana64692094/status/1650739059294187520")</f>
        <v>https://twitter.com/mariana64692094/status/1650739059294187520</v>
      </c>
      <c r="AF1041" s="79">
        <v>45041.243460648147</v>
      </c>
      <c r="AG1041" s="85">
        <v>45041</v>
      </c>
      <c r="AH1041" s="81" t="s">
        <v>6726</v>
      </c>
      <c r="AI1041" s="77"/>
      <c r="AJ1041" s="77"/>
      <c r="AK1041" s="77"/>
      <c r="AL1041" s="77"/>
      <c r="AM1041" s="77"/>
      <c r="AN1041" s="77"/>
      <c r="AO1041" s="77"/>
      <c r="AP1041" s="77"/>
      <c r="AQ1041" s="77"/>
      <c r="AR1041" s="77"/>
      <c r="AS1041" s="77"/>
      <c r="AT1041" s="77"/>
      <c r="AU1041" s="77"/>
      <c r="AV1041" s="83" t="str">
        <f>HYPERLINK("https://pbs.twimg.com/profile_images/1554626465731383298/9KudSdu0_normal.jpg")</f>
        <v>https://pbs.twimg.com/profile_images/1554626465731383298/9KudSdu0_normal.jpg</v>
      </c>
      <c r="AW1041" s="81" t="s">
        <v>10181</v>
      </c>
      <c r="AX1041" s="81" t="s">
        <v>11274</v>
      </c>
      <c r="AY1041" s="81" t="s">
        <v>11334</v>
      </c>
      <c r="AZ1041" s="81" t="s">
        <v>11274</v>
      </c>
      <c r="BA1041" s="81" t="s">
        <v>11359</v>
      </c>
      <c r="BB1041" s="81" t="s">
        <v>11359</v>
      </c>
      <c r="BC1041" s="81" t="s">
        <v>11274</v>
      </c>
      <c r="BD1041" s="81" t="s">
        <v>11523</v>
      </c>
      <c r="BE1041" s="77"/>
      <c r="BF1041" s="77"/>
      <c r="BG1041" s="77"/>
      <c r="BH1041" s="77"/>
      <c r="BI1041" s="77"/>
    </row>
    <row r="1042" spans="1:61" x14ac:dyDescent="0.25">
      <c r="A1042" s="62" t="s">
        <v>460</v>
      </c>
      <c r="B1042" s="62" t="s">
        <v>922</v>
      </c>
      <c r="C1042" s="63"/>
      <c r="D1042" s="64"/>
      <c r="E1042" s="65"/>
      <c r="F1042" s="66"/>
      <c r="G1042" s="63"/>
      <c r="H1042" s="67"/>
      <c r="I1042" s="68"/>
      <c r="J1042" s="68"/>
      <c r="K1042" s="32"/>
      <c r="L1042" s="75">
        <v>1042</v>
      </c>
      <c r="M1042" s="75"/>
      <c r="N1042" s="70"/>
      <c r="O1042" s="77" t="s">
        <v>970</v>
      </c>
      <c r="P1042" s="79">
        <v>45039.068622685183</v>
      </c>
      <c r="Q1042" s="77" t="s">
        <v>1860</v>
      </c>
      <c r="R1042" s="77">
        <v>0</v>
      </c>
      <c r="S1042" s="77">
        <v>0</v>
      </c>
      <c r="T1042" s="77">
        <v>0</v>
      </c>
      <c r="U1042" s="77">
        <v>0</v>
      </c>
      <c r="V1042" s="77">
        <v>17</v>
      </c>
      <c r="W1042" s="81" t="s">
        <v>3454</v>
      </c>
      <c r="X1042" s="77"/>
      <c r="Y1042" s="77"/>
      <c r="Z1042" s="77" t="s">
        <v>4375</v>
      </c>
      <c r="AA1042" s="77"/>
      <c r="AB1042" s="77"/>
      <c r="AC1042" s="81" t="s">
        <v>5803</v>
      </c>
      <c r="AD1042" s="77" t="s">
        <v>5850</v>
      </c>
      <c r="AE1042" s="83" t="str">
        <f>HYPERLINK("https://twitter.com/mariana64692094/status/1649950925241368577")</f>
        <v>https://twitter.com/mariana64692094/status/1649950925241368577</v>
      </c>
      <c r="AF1042" s="79">
        <v>45039.068622685183</v>
      </c>
      <c r="AG1042" s="85">
        <v>45039</v>
      </c>
      <c r="AH1042" s="81" t="s">
        <v>6727</v>
      </c>
      <c r="AI1042" s="77"/>
      <c r="AJ1042" s="77"/>
      <c r="AK1042" s="77"/>
      <c r="AL1042" s="77"/>
      <c r="AM1042" s="77"/>
      <c r="AN1042" s="77"/>
      <c r="AO1042" s="77"/>
      <c r="AP1042" s="77"/>
      <c r="AQ1042" s="77"/>
      <c r="AR1042" s="77"/>
      <c r="AS1042" s="77"/>
      <c r="AT1042" s="77"/>
      <c r="AU1042" s="77"/>
      <c r="AV1042" s="83" t="str">
        <f>HYPERLINK("https://pbs.twimg.com/profile_images/1554626465731383298/9KudSdu0_normal.jpg")</f>
        <v>https://pbs.twimg.com/profile_images/1554626465731383298/9KudSdu0_normal.jpg</v>
      </c>
      <c r="AW1042" s="81" t="s">
        <v>10182</v>
      </c>
      <c r="AX1042" s="81" t="s">
        <v>11275</v>
      </c>
      <c r="AY1042" s="81" t="s">
        <v>11334</v>
      </c>
      <c r="AZ1042" s="81" t="s">
        <v>11275</v>
      </c>
      <c r="BA1042" s="81" t="s">
        <v>11359</v>
      </c>
      <c r="BB1042" s="81" t="s">
        <v>11359</v>
      </c>
      <c r="BC1042" s="81" t="s">
        <v>11275</v>
      </c>
      <c r="BD1042" s="81" t="s">
        <v>11523</v>
      </c>
      <c r="BE1042" s="77"/>
      <c r="BF1042" s="77"/>
      <c r="BG1042" s="77"/>
      <c r="BH1042" s="77"/>
      <c r="BI1042" s="77"/>
    </row>
    <row r="1043" spans="1:61" x14ac:dyDescent="0.25">
      <c r="A1043" s="62" t="s">
        <v>460</v>
      </c>
      <c r="B1043" s="62" t="s">
        <v>922</v>
      </c>
      <c r="C1043" s="63"/>
      <c r="D1043" s="64"/>
      <c r="E1043" s="65"/>
      <c r="F1043" s="66"/>
      <c r="G1043" s="63"/>
      <c r="H1043" s="67"/>
      <c r="I1043" s="68"/>
      <c r="J1043" s="68"/>
      <c r="K1043" s="32"/>
      <c r="L1043" s="75">
        <v>1043</v>
      </c>
      <c r="M1043" s="75"/>
      <c r="N1043" s="70"/>
      <c r="O1043" s="77" t="s">
        <v>970</v>
      </c>
      <c r="P1043" s="79">
        <v>45048.088692129626</v>
      </c>
      <c r="Q1043" s="77" t="s">
        <v>1861</v>
      </c>
      <c r="R1043" s="77">
        <v>0</v>
      </c>
      <c r="S1043" s="77">
        <v>0</v>
      </c>
      <c r="T1043" s="77">
        <v>0</v>
      </c>
      <c r="U1043" s="77">
        <v>0</v>
      </c>
      <c r="V1043" s="77">
        <v>24</v>
      </c>
      <c r="W1043" s="81" t="s">
        <v>3459</v>
      </c>
      <c r="X1043" s="77"/>
      <c r="Y1043" s="77"/>
      <c r="Z1043" s="77" t="s">
        <v>4375</v>
      </c>
      <c r="AA1043" s="77"/>
      <c r="AB1043" s="77"/>
      <c r="AC1043" s="81" t="s">
        <v>5803</v>
      </c>
      <c r="AD1043" s="77" t="s">
        <v>5850</v>
      </c>
      <c r="AE1043" s="83" t="str">
        <f>HYPERLINK("https://twitter.com/mariana64692094/status/1653219687285628929")</f>
        <v>https://twitter.com/mariana64692094/status/1653219687285628929</v>
      </c>
      <c r="AF1043" s="79">
        <v>45048.088692129626</v>
      </c>
      <c r="AG1043" s="85">
        <v>45048</v>
      </c>
      <c r="AH1043" s="81" t="s">
        <v>6493</v>
      </c>
      <c r="AI1043" s="77"/>
      <c r="AJ1043" s="77"/>
      <c r="AK1043" s="77"/>
      <c r="AL1043" s="77"/>
      <c r="AM1043" s="77"/>
      <c r="AN1043" s="77"/>
      <c r="AO1043" s="77"/>
      <c r="AP1043" s="77"/>
      <c r="AQ1043" s="77"/>
      <c r="AR1043" s="77"/>
      <c r="AS1043" s="77"/>
      <c r="AT1043" s="77"/>
      <c r="AU1043" s="77"/>
      <c r="AV1043" s="83" t="str">
        <f>HYPERLINK("https://pbs.twimg.com/profile_images/1554626465731383298/9KudSdu0_normal.jpg")</f>
        <v>https://pbs.twimg.com/profile_images/1554626465731383298/9KudSdu0_normal.jpg</v>
      </c>
      <c r="AW1043" s="81" t="s">
        <v>10183</v>
      </c>
      <c r="AX1043" s="81" t="s">
        <v>11276</v>
      </c>
      <c r="AY1043" s="81" t="s">
        <v>11334</v>
      </c>
      <c r="AZ1043" s="81" t="s">
        <v>11276</v>
      </c>
      <c r="BA1043" s="81" t="s">
        <v>11359</v>
      </c>
      <c r="BB1043" s="81" t="s">
        <v>11359</v>
      </c>
      <c r="BC1043" s="81" t="s">
        <v>11276</v>
      </c>
      <c r="BD1043" s="81" t="s">
        <v>11523</v>
      </c>
      <c r="BE1043" s="77"/>
      <c r="BF1043" s="77"/>
      <c r="BG1043" s="77"/>
      <c r="BH1043" s="77"/>
      <c r="BI1043" s="77"/>
    </row>
    <row r="1044" spans="1:61" x14ac:dyDescent="0.25">
      <c r="A1044" s="62" t="s">
        <v>460</v>
      </c>
      <c r="B1044" s="62" t="s">
        <v>922</v>
      </c>
      <c r="C1044" s="63"/>
      <c r="D1044" s="64"/>
      <c r="E1044" s="65"/>
      <c r="F1044" s="66"/>
      <c r="G1044" s="63"/>
      <c r="H1044" s="67"/>
      <c r="I1044" s="68"/>
      <c r="J1044" s="68"/>
      <c r="K1044" s="32"/>
      <c r="L1044" s="75">
        <v>1044</v>
      </c>
      <c r="M1044" s="75"/>
      <c r="N1044" s="70"/>
      <c r="O1044" s="77" t="s">
        <v>970</v>
      </c>
      <c r="P1044" s="79">
        <v>45046.123553240737</v>
      </c>
      <c r="Q1044" s="77" t="s">
        <v>1862</v>
      </c>
      <c r="R1044" s="77">
        <v>0</v>
      </c>
      <c r="S1044" s="77">
        <v>0</v>
      </c>
      <c r="T1044" s="77">
        <v>0</v>
      </c>
      <c r="U1044" s="77">
        <v>0</v>
      </c>
      <c r="V1044" s="77">
        <v>33</v>
      </c>
      <c r="W1044" s="81" t="s">
        <v>3453</v>
      </c>
      <c r="X1044" s="77"/>
      <c r="Y1044" s="77"/>
      <c r="Z1044" s="77" t="s">
        <v>4375</v>
      </c>
      <c r="AA1044" s="77"/>
      <c r="AB1044" s="77"/>
      <c r="AC1044" s="81" t="s">
        <v>5803</v>
      </c>
      <c r="AD1044" s="77" t="s">
        <v>5850</v>
      </c>
      <c r="AE1044" s="83" t="str">
        <f>HYPERLINK("https://twitter.com/mariana64692094/status/1652507543720148992")</f>
        <v>https://twitter.com/mariana64692094/status/1652507543720148992</v>
      </c>
      <c r="AF1044" s="79">
        <v>45046.123553240737</v>
      </c>
      <c r="AG1044" s="85">
        <v>45046</v>
      </c>
      <c r="AH1044" s="81" t="s">
        <v>6728</v>
      </c>
      <c r="AI1044" s="77"/>
      <c r="AJ1044" s="77"/>
      <c r="AK1044" s="77"/>
      <c r="AL1044" s="77"/>
      <c r="AM1044" s="77"/>
      <c r="AN1044" s="77"/>
      <c r="AO1044" s="77"/>
      <c r="AP1044" s="77"/>
      <c r="AQ1044" s="77"/>
      <c r="AR1044" s="77"/>
      <c r="AS1044" s="77"/>
      <c r="AT1044" s="77"/>
      <c r="AU1044" s="77"/>
      <c r="AV1044" s="83" t="str">
        <f>HYPERLINK("https://pbs.twimg.com/profile_images/1554626465731383298/9KudSdu0_normal.jpg")</f>
        <v>https://pbs.twimg.com/profile_images/1554626465731383298/9KudSdu0_normal.jpg</v>
      </c>
      <c r="AW1044" s="81" t="s">
        <v>10184</v>
      </c>
      <c r="AX1044" s="81" t="s">
        <v>11277</v>
      </c>
      <c r="AY1044" s="81" t="s">
        <v>11334</v>
      </c>
      <c r="AZ1044" s="81" t="s">
        <v>11277</v>
      </c>
      <c r="BA1044" s="81" t="s">
        <v>11359</v>
      </c>
      <c r="BB1044" s="81" t="s">
        <v>11359</v>
      </c>
      <c r="BC1044" s="81" t="s">
        <v>11277</v>
      </c>
      <c r="BD1044" s="81" t="s">
        <v>11523</v>
      </c>
      <c r="BE1044" s="77"/>
      <c r="BF1044" s="77"/>
      <c r="BG1044" s="77"/>
      <c r="BH1044" s="77"/>
      <c r="BI1044" s="77"/>
    </row>
    <row r="1045" spans="1:61" x14ac:dyDescent="0.25">
      <c r="A1045" s="62" t="s">
        <v>460</v>
      </c>
      <c r="B1045" s="62" t="s">
        <v>922</v>
      </c>
      <c r="C1045" s="63"/>
      <c r="D1045" s="64"/>
      <c r="E1045" s="65"/>
      <c r="F1045" s="66"/>
      <c r="G1045" s="63"/>
      <c r="H1045" s="67"/>
      <c r="I1045" s="68"/>
      <c r="J1045" s="68"/>
      <c r="K1045" s="32"/>
      <c r="L1045" s="75">
        <v>1045</v>
      </c>
      <c r="M1045" s="75"/>
      <c r="N1045" s="70"/>
      <c r="O1045" s="77" t="s">
        <v>970</v>
      </c>
      <c r="P1045" s="79">
        <v>45044.241956018515</v>
      </c>
      <c r="Q1045" s="77" t="s">
        <v>1863</v>
      </c>
      <c r="R1045" s="77">
        <v>0</v>
      </c>
      <c r="S1045" s="77">
        <v>0</v>
      </c>
      <c r="T1045" s="77">
        <v>0</v>
      </c>
      <c r="U1045" s="77">
        <v>0</v>
      </c>
      <c r="V1045" s="77">
        <v>22</v>
      </c>
      <c r="W1045" s="81" t="s">
        <v>3453</v>
      </c>
      <c r="X1045" s="77"/>
      <c r="Y1045" s="77"/>
      <c r="Z1045" s="77" t="s">
        <v>4375</v>
      </c>
      <c r="AA1045" s="77"/>
      <c r="AB1045" s="77"/>
      <c r="AC1045" s="81" t="s">
        <v>5803</v>
      </c>
      <c r="AD1045" s="77" t="s">
        <v>5850</v>
      </c>
      <c r="AE1045" s="83" t="str">
        <f>HYPERLINK("https://twitter.com/mariana64692094/status/1651825678495502336")</f>
        <v>https://twitter.com/mariana64692094/status/1651825678495502336</v>
      </c>
      <c r="AF1045" s="79">
        <v>45044.241956018515</v>
      </c>
      <c r="AG1045" s="85">
        <v>45044</v>
      </c>
      <c r="AH1045" s="81" t="s">
        <v>6729</v>
      </c>
      <c r="AI1045" s="77"/>
      <c r="AJ1045" s="77"/>
      <c r="AK1045" s="77"/>
      <c r="AL1045" s="77"/>
      <c r="AM1045" s="77"/>
      <c r="AN1045" s="77"/>
      <c r="AO1045" s="77"/>
      <c r="AP1045" s="77"/>
      <c r="AQ1045" s="77"/>
      <c r="AR1045" s="77"/>
      <c r="AS1045" s="77"/>
      <c r="AT1045" s="77"/>
      <c r="AU1045" s="77"/>
      <c r="AV1045" s="83" t="str">
        <f>HYPERLINK("https://pbs.twimg.com/profile_images/1554626465731383298/9KudSdu0_normal.jpg")</f>
        <v>https://pbs.twimg.com/profile_images/1554626465731383298/9KudSdu0_normal.jpg</v>
      </c>
      <c r="AW1045" s="81" t="s">
        <v>10185</v>
      </c>
      <c r="AX1045" s="81" t="s">
        <v>11278</v>
      </c>
      <c r="AY1045" s="81" t="s">
        <v>11334</v>
      </c>
      <c r="AZ1045" s="81" t="s">
        <v>11278</v>
      </c>
      <c r="BA1045" s="81" t="s">
        <v>11359</v>
      </c>
      <c r="BB1045" s="81" t="s">
        <v>11359</v>
      </c>
      <c r="BC1045" s="81" t="s">
        <v>11278</v>
      </c>
      <c r="BD1045" s="81" t="s">
        <v>11523</v>
      </c>
      <c r="BE1045" s="77"/>
      <c r="BF1045" s="77"/>
      <c r="BG1045" s="77"/>
      <c r="BH1045" s="77"/>
      <c r="BI1045" s="77"/>
    </row>
    <row r="1046" spans="1:61" x14ac:dyDescent="0.25">
      <c r="A1046" s="62" t="s">
        <v>460</v>
      </c>
      <c r="B1046" s="62" t="s">
        <v>922</v>
      </c>
      <c r="C1046" s="63"/>
      <c r="D1046" s="64"/>
      <c r="E1046" s="65"/>
      <c r="F1046" s="66"/>
      <c r="G1046" s="63"/>
      <c r="H1046" s="67"/>
      <c r="I1046" s="68"/>
      <c r="J1046" s="68"/>
      <c r="K1046" s="32"/>
      <c r="L1046" s="75">
        <v>1046</v>
      </c>
      <c r="M1046" s="75"/>
      <c r="N1046" s="70"/>
      <c r="O1046" s="77" t="s">
        <v>970</v>
      </c>
      <c r="P1046" s="79">
        <v>45004.147870370369</v>
      </c>
      <c r="Q1046" s="77" t="s">
        <v>1864</v>
      </c>
      <c r="R1046" s="77">
        <v>0</v>
      </c>
      <c r="S1046" s="77">
        <v>0</v>
      </c>
      <c r="T1046" s="77">
        <v>0</v>
      </c>
      <c r="U1046" s="77">
        <v>0</v>
      </c>
      <c r="V1046" s="77">
        <v>27</v>
      </c>
      <c r="W1046" s="81" t="s">
        <v>3460</v>
      </c>
      <c r="X1046" s="77"/>
      <c r="Y1046" s="77"/>
      <c r="Z1046" s="77" t="s">
        <v>4375</v>
      </c>
      <c r="AA1046" s="77"/>
      <c r="AB1046" s="77"/>
      <c r="AC1046" s="81" t="s">
        <v>5803</v>
      </c>
      <c r="AD1046" s="77" t="s">
        <v>5850</v>
      </c>
      <c r="AE1046" s="83" t="str">
        <f>HYPERLINK("https://twitter.com/mariana64692094/status/1637296065215885315")</f>
        <v>https://twitter.com/mariana64692094/status/1637296065215885315</v>
      </c>
      <c r="AF1046" s="79">
        <v>45004.147870370369</v>
      </c>
      <c r="AG1046" s="85">
        <v>45004</v>
      </c>
      <c r="AH1046" s="81" t="s">
        <v>6730</v>
      </c>
      <c r="AI1046" s="77"/>
      <c r="AJ1046" s="77"/>
      <c r="AK1046" s="77"/>
      <c r="AL1046" s="77"/>
      <c r="AM1046" s="77"/>
      <c r="AN1046" s="77"/>
      <c r="AO1046" s="77"/>
      <c r="AP1046" s="77"/>
      <c r="AQ1046" s="77"/>
      <c r="AR1046" s="77"/>
      <c r="AS1046" s="77"/>
      <c r="AT1046" s="77"/>
      <c r="AU1046" s="77"/>
      <c r="AV1046" s="83" t="str">
        <f>HYPERLINK("https://pbs.twimg.com/profile_images/1554626465731383298/9KudSdu0_normal.jpg")</f>
        <v>https://pbs.twimg.com/profile_images/1554626465731383298/9KudSdu0_normal.jpg</v>
      </c>
      <c r="AW1046" s="81" t="s">
        <v>10186</v>
      </c>
      <c r="AX1046" s="81" t="s">
        <v>11279</v>
      </c>
      <c r="AY1046" s="81" t="s">
        <v>11334</v>
      </c>
      <c r="AZ1046" s="81" t="s">
        <v>11279</v>
      </c>
      <c r="BA1046" s="81" t="s">
        <v>11359</v>
      </c>
      <c r="BB1046" s="81" t="s">
        <v>11359</v>
      </c>
      <c r="BC1046" s="81" t="s">
        <v>11279</v>
      </c>
      <c r="BD1046" s="81" t="s">
        <v>11523</v>
      </c>
      <c r="BE1046" s="77"/>
      <c r="BF1046" s="77"/>
      <c r="BG1046" s="77"/>
      <c r="BH1046" s="77"/>
      <c r="BI1046" s="77"/>
    </row>
    <row r="1047" spans="1:61" x14ac:dyDescent="0.25">
      <c r="A1047" s="62" t="s">
        <v>460</v>
      </c>
      <c r="B1047" s="62" t="s">
        <v>922</v>
      </c>
      <c r="C1047" s="63"/>
      <c r="D1047" s="64"/>
      <c r="E1047" s="65"/>
      <c r="F1047" s="66"/>
      <c r="G1047" s="63"/>
      <c r="H1047" s="67"/>
      <c r="I1047" s="68"/>
      <c r="J1047" s="68"/>
      <c r="K1047" s="32"/>
      <c r="L1047" s="75">
        <v>1047</v>
      </c>
      <c r="M1047" s="75"/>
      <c r="N1047" s="70"/>
      <c r="O1047" s="77" t="s">
        <v>970</v>
      </c>
      <c r="P1047" s="79">
        <v>45057.135324074072</v>
      </c>
      <c r="Q1047" s="77" t="s">
        <v>1865</v>
      </c>
      <c r="R1047" s="77">
        <v>0</v>
      </c>
      <c r="S1047" s="77">
        <v>0</v>
      </c>
      <c r="T1047" s="77">
        <v>0</v>
      </c>
      <c r="U1047" s="77">
        <v>0</v>
      </c>
      <c r="V1047" s="77">
        <v>24</v>
      </c>
      <c r="W1047" s="81" t="s">
        <v>3453</v>
      </c>
      <c r="X1047" s="77"/>
      <c r="Y1047" s="77"/>
      <c r="Z1047" s="77" t="s">
        <v>4375</v>
      </c>
      <c r="AA1047" s="77"/>
      <c r="AB1047" s="77"/>
      <c r="AC1047" s="81" t="s">
        <v>5803</v>
      </c>
      <c r="AD1047" s="77" t="s">
        <v>5850</v>
      </c>
      <c r="AE1047" s="83" t="str">
        <f>HYPERLINK("https://twitter.com/mariana64692094/status/1656498077530824706")</f>
        <v>https://twitter.com/mariana64692094/status/1656498077530824706</v>
      </c>
      <c r="AF1047" s="79">
        <v>45057.135324074072</v>
      </c>
      <c r="AG1047" s="85">
        <v>45057</v>
      </c>
      <c r="AH1047" s="81" t="s">
        <v>6731</v>
      </c>
      <c r="AI1047" s="77"/>
      <c r="AJ1047" s="77"/>
      <c r="AK1047" s="77"/>
      <c r="AL1047" s="77"/>
      <c r="AM1047" s="77"/>
      <c r="AN1047" s="77"/>
      <c r="AO1047" s="77"/>
      <c r="AP1047" s="77"/>
      <c r="AQ1047" s="77"/>
      <c r="AR1047" s="77"/>
      <c r="AS1047" s="77"/>
      <c r="AT1047" s="77"/>
      <c r="AU1047" s="77"/>
      <c r="AV1047" s="83" t="str">
        <f>HYPERLINK("https://pbs.twimg.com/profile_images/1554626465731383298/9KudSdu0_normal.jpg")</f>
        <v>https://pbs.twimg.com/profile_images/1554626465731383298/9KudSdu0_normal.jpg</v>
      </c>
      <c r="AW1047" s="81" t="s">
        <v>10187</v>
      </c>
      <c r="AX1047" s="81" t="s">
        <v>11280</v>
      </c>
      <c r="AY1047" s="81" t="s">
        <v>11334</v>
      </c>
      <c r="AZ1047" s="81" t="s">
        <v>11280</v>
      </c>
      <c r="BA1047" s="81" t="s">
        <v>11359</v>
      </c>
      <c r="BB1047" s="81" t="s">
        <v>11359</v>
      </c>
      <c r="BC1047" s="81" t="s">
        <v>11280</v>
      </c>
      <c r="BD1047" s="81" t="s">
        <v>11523</v>
      </c>
      <c r="BE1047" s="77"/>
      <c r="BF1047" s="77"/>
      <c r="BG1047" s="77"/>
      <c r="BH1047" s="77"/>
      <c r="BI1047" s="77"/>
    </row>
    <row r="1048" spans="1:61" x14ac:dyDescent="0.25">
      <c r="A1048" s="62" t="s">
        <v>460</v>
      </c>
      <c r="B1048" s="62" t="s">
        <v>922</v>
      </c>
      <c r="C1048" s="63"/>
      <c r="D1048" s="64"/>
      <c r="E1048" s="65"/>
      <c r="F1048" s="66"/>
      <c r="G1048" s="63"/>
      <c r="H1048" s="67"/>
      <c r="I1048" s="68"/>
      <c r="J1048" s="68"/>
      <c r="K1048" s="32"/>
      <c r="L1048" s="75">
        <v>1048</v>
      </c>
      <c r="M1048" s="75"/>
      <c r="N1048" s="70"/>
      <c r="O1048" s="77" t="s">
        <v>970</v>
      </c>
      <c r="P1048" s="79">
        <v>45056.25409722222</v>
      </c>
      <c r="Q1048" s="77" t="s">
        <v>1866</v>
      </c>
      <c r="R1048" s="77">
        <v>0</v>
      </c>
      <c r="S1048" s="77">
        <v>0</v>
      </c>
      <c r="T1048" s="77">
        <v>0</v>
      </c>
      <c r="U1048" s="77">
        <v>0</v>
      </c>
      <c r="V1048" s="77">
        <v>23</v>
      </c>
      <c r="W1048" s="81" t="s">
        <v>3461</v>
      </c>
      <c r="X1048" s="77"/>
      <c r="Y1048" s="77"/>
      <c r="Z1048" s="77" t="s">
        <v>4375</v>
      </c>
      <c r="AA1048" s="77"/>
      <c r="AB1048" s="77"/>
      <c r="AC1048" s="81" t="s">
        <v>5803</v>
      </c>
      <c r="AD1048" s="77" t="s">
        <v>5850</v>
      </c>
      <c r="AE1048" s="83" t="str">
        <f>HYPERLINK("https://twitter.com/mariana64692094/status/1656178731075923969")</f>
        <v>https://twitter.com/mariana64692094/status/1656178731075923969</v>
      </c>
      <c r="AF1048" s="79">
        <v>45056.25409722222</v>
      </c>
      <c r="AG1048" s="85">
        <v>45056</v>
      </c>
      <c r="AH1048" s="81" t="s">
        <v>6732</v>
      </c>
      <c r="AI1048" s="77"/>
      <c r="AJ1048" s="77"/>
      <c r="AK1048" s="77"/>
      <c r="AL1048" s="77"/>
      <c r="AM1048" s="77"/>
      <c r="AN1048" s="77"/>
      <c r="AO1048" s="77"/>
      <c r="AP1048" s="77"/>
      <c r="AQ1048" s="77"/>
      <c r="AR1048" s="77"/>
      <c r="AS1048" s="77"/>
      <c r="AT1048" s="77"/>
      <c r="AU1048" s="77"/>
      <c r="AV1048" s="83" t="str">
        <f>HYPERLINK("https://pbs.twimg.com/profile_images/1554626465731383298/9KudSdu0_normal.jpg")</f>
        <v>https://pbs.twimg.com/profile_images/1554626465731383298/9KudSdu0_normal.jpg</v>
      </c>
      <c r="AW1048" s="81" t="s">
        <v>10188</v>
      </c>
      <c r="AX1048" s="81" t="s">
        <v>11281</v>
      </c>
      <c r="AY1048" s="81" t="s">
        <v>11334</v>
      </c>
      <c r="AZ1048" s="81" t="s">
        <v>11281</v>
      </c>
      <c r="BA1048" s="81" t="s">
        <v>11359</v>
      </c>
      <c r="BB1048" s="81" t="s">
        <v>11359</v>
      </c>
      <c r="BC1048" s="81" t="s">
        <v>11281</v>
      </c>
      <c r="BD1048" s="81" t="s">
        <v>11523</v>
      </c>
      <c r="BE1048" s="77"/>
      <c r="BF1048" s="77"/>
      <c r="BG1048" s="77"/>
      <c r="BH1048" s="77"/>
      <c r="BI1048" s="77"/>
    </row>
    <row r="1049" spans="1:61" x14ac:dyDescent="0.25">
      <c r="A1049" s="62" t="s">
        <v>460</v>
      </c>
      <c r="B1049" s="62" t="s">
        <v>922</v>
      </c>
      <c r="C1049" s="63"/>
      <c r="D1049" s="64"/>
      <c r="E1049" s="65"/>
      <c r="F1049" s="66"/>
      <c r="G1049" s="63"/>
      <c r="H1049" s="67"/>
      <c r="I1049" s="68"/>
      <c r="J1049" s="68"/>
      <c r="K1049" s="32"/>
      <c r="L1049" s="75">
        <v>1049</v>
      </c>
      <c r="M1049" s="75"/>
      <c r="N1049" s="70"/>
      <c r="O1049" s="77" t="s">
        <v>970</v>
      </c>
      <c r="P1049" s="79">
        <v>45036.143252314818</v>
      </c>
      <c r="Q1049" s="77" t="s">
        <v>1867</v>
      </c>
      <c r="R1049" s="77">
        <v>0</v>
      </c>
      <c r="S1049" s="77">
        <v>0</v>
      </c>
      <c r="T1049" s="77">
        <v>0</v>
      </c>
      <c r="U1049" s="77">
        <v>0</v>
      </c>
      <c r="V1049" s="77">
        <v>17</v>
      </c>
      <c r="W1049" s="81" t="s">
        <v>3455</v>
      </c>
      <c r="X1049" s="77"/>
      <c r="Y1049" s="77"/>
      <c r="Z1049" s="77" t="s">
        <v>4375</v>
      </c>
      <c r="AA1049" s="77"/>
      <c r="AB1049" s="77"/>
      <c r="AC1049" s="81" t="s">
        <v>5803</v>
      </c>
      <c r="AD1049" s="77" t="s">
        <v>5850</v>
      </c>
      <c r="AE1049" s="83" t="str">
        <f>HYPERLINK("https://twitter.com/mariana64692094/status/1648890804755111937")</f>
        <v>https://twitter.com/mariana64692094/status/1648890804755111937</v>
      </c>
      <c r="AF1049" s="79">
        <v>45036.143252314818</v>
      </c>
      <c r="AG1049" s="85">
        <v>45036</v>
      </c>
      <c r="AH1049" s="81" t="s">
        <v>6733</v>
      </c>
      <c r="AI1049" s="77"/>
      <c r="AJ1049" s="77"/>
      <c r="AK1049" s="77"/>
      <c r="AL1049" s="77"/>
      <c r="AM1049" s="77"/>
      <c r="AN1049" s="77"/>
      <c r="AO1049" s="77"/>
      <c r="AP1049" s="77"/>
      <c r="AQ1049" s="77"/>
      <c r="AR1049" s="77"/>
      <c r="AS1049" s="77"/>
      <c r="AT1049" s="77"/>
      <c r="AU1049" s="77"/>
      <c r="AV1049" s="83" t="str">
        <f>HYPERLINK("https://pbs.twimg.com/profile_images/1554626465731383298/9KudSdu0_normal.jpg")</f>
        <v>https://pbs.twimg.com/profile_images/1554626465731383298/9KudSdu0_normal.jpg</v>
      </c>
      <c r="AW1049" s="81" t="s">
        <v>10189</v>
      </c>
      <c r="AX1049" s="81" t="s">
        <v>11282</v>
      </c>
      <c r="AY1049" s="81" t="s">
        <v>11334</v>
      </c>
      <c r="AZ1049" s="81" t="s">
        <v>11282</v>
      </c>
      <c r="BA1049" s="81" t="s">
        <v>11359</v>
      </c>
      <c r="BB1049" s="81" t="s">
        <v>11359</v>
      </c>
      <c r="BC1049" s="81" t="s">
        <v>11282</v>
      </c>
      <c r="BD1049" s="81" t="s">
        <v>11523</v>
      </c>
      <c r="BE1049" s="77"/>
      <c r="BF1049" s="77"/>
      <c r="BG1049" s="77"/>
      <c r="BH1049" s="77"/>
      <c r="BI1049" s="77"/>
    </row>
    <row r="1050" spans="1:61" x14ac:dyDescent="0.25">
      <c r="A1050" s="62" t="s">
        <v>460</v>
      </c>
      <c r="B1050" s="62" t="s">
        <v>922</v>
      </c>
      <c r="C1050" s="63"/>
      <c r="D1050" s="64"/>
      <c r="E1050" s="65"/>
      <c r="F1050" s="66"/>
      <c r="G1050" s="63"/>
      <c r="H1050" s="67"/>
      <c r="I1050" s="68"/>
      <c r="J1050" s="68"/>
      <c r="K1050" s="32"/>
      <c r="L1050" s="75">
        <v>1050</v>
      </c>
      <c r="M1050" s="75"/>
      <c r="N1050" s="70"/>
      <c r="O1050" s="77" t="s">
        <v>970</v>
      </c>
      <c r="P1050" s="79">
        <v>45035.200162037036</v>
      </c>
      <c r="Q1050" s="77" t="s">
        <v>1868</v>
      </c>
      <c r="R1050" s="77">
        <v>0</v>
      </c>
      <c r="S1050" s="77">
        <v>0</v>
      </c>
      <c r="T1050" s="77">
        <v>0</v>
      </c>
      <c r="U1050" s="77">
        <v>0</v>
      </c>
      <c r="V1050" s="77">
        <v>9</v>
      </c>
      <c r="W1050" s="81" t="s">
        <v>3455</v>
      </c>
      <c r="X1050" s="77"/>
      <c r="Y1050" s="77"/>
      <c r="Z1050" s="77" t="s">
        <v>4375</v>
      </c>
      <c r="AA1050" s="77"/>
      <c r="AB1050" s="77"/>
      <c r="AC1050" s="81" t="s">
        <v>5803</v>
      </c>
      <c r="AD1050" s="77" t="s">
        <v>5850</v>
      </c>
      <c r="AE1050" s="83" t="str">
        <f>HYPERLINK("https://twitter.com/mariana64692094/status/1648549040961777666")</f>
        <v>https://twitter.com/mariana64692094/status/1648549040961777666</v>
      </c>
      <c r="AF1050" s="79">
        <v>45035.200162037036</v>
      </c>
      <c r="AG1050" s="85">
        <v>45035</v>
      </c>
      <c r="AH1050" s="81" t="s">
        <v>6734</v>
      </c>
      <c r="AI1050" s="77"/>
      <c r="AJ1050" s="77"/>
      <c r="AK1050" s="77"/>
      <c r="AL1050" s="77"/>
      <c r="AM1050" s="77"/>
      <c r="AN1050" s="77"/>
      <c r="AO1050" s="77"/>
      <c r="AP1050" s="77"/>
      <c r="AQ1050" s="77"/>
      <c r="AR1050" s="77"/>
      <c r="AS1050" s="77"/>
      <c r="AT1050" s="77"/>
      <c r="AU1050" s="77"/>
      <c r="AV1050" s="83" t="str">
        <f>HYPERLINK("https://pbs.twimg.com/profile_images/1554626465731383298/9KudSdu0_normal.jpg")</f>
        <v>https://pbs.twimg.com/profile_images/1554626465731383298/9KudSdu0_normal.jpg</v>
      </c>
      <c r="AW1050" s="81" t="s">
        <v>10190</v>
      </c>
      <c r="AX1050" s="81" t="s">
        <v>11283</v>
      </c>
      <c r="AY1050" s="81" t="s">
        <v>11334</v>
      </c>
      <c r="AZ1050" s="81" t="s">
        <v>11283</v>
      </c>
      <c r="BA1050" s="81" t="s">
        <v>11359</v>
      </c>
      <c r="BB1050" s="81" t="s">
        <v>11359</v>
      </c>
      <c r="BC1050" s="81" t="s">
        <v>11283</v>
      </c>
      <c r="BD1050" s="81" t="s">
        <v>11523</v>
      </c>
      <c r="BE1050" s="77"/>
      <c r="BF1050" s="77"/>
      <c r="BG1050" s="77"/>
      <c r="BH1050" s="77"/>
      <c r="BI1050" s="77"/>
    </row>
    <row r="1051" spans="1:61" x14ac:dyDescent="0.25">
      <c r="A1051" s="62" t="s">
        <v>460</v>
      </c>
      <c r="B1051" s="62" t="s">
        <v>922</v>
      </c>
      <c r="C1051" s="63"/>
      <c r="D1051" s="64"/>
      <c r="E1051" s="65"/>
      <c r="F1051" s="66"/>
      <c r="G1051" s="63"/>
      <c r="H1051" s="67"/>
      <c r="I1051" s="68"/>
      <c r="J1051" s="68"/>
      <c r="K1051" s="32"/>
      <c r="L1051" s="75">
        <v>1051</v>
      </c>
      <c r="M1051" s="75"/>
      <c r="N1051" s="70"/>
      <c r="O1051" s="77" t="s">
        <v>970</v>
      </c>
      <c r="P1051" s="79">
        <v>44997.055717592593</v>
      </c>
      <c r="Q1051" s="77" t="s">
        <v>1869</v>
      </c>
      <c r="R1051" s="77">
        <v>0</v>
      </c>
      <c r="S1051" s="77">
        <v>0</v>
      </c>
      <c r="T1051" s="77">
        <v>0</v>
      </c>
      <c r="U1051" s="77">
        <v>0</v>
      </c>
      <c r="V1051" s="77">
        <v>14</v>
      </c>
      <c r="W1051" s="81" t="s">
        <v>3462</v>
      </c>
      <c r="X1051" s="77"/>
      <c r="Y1051" s="77"/>
      <c r="Z1051" s="77" t="s">
        <v>4375</v>
      </c>
      <c r="AA1051" s="77"/>
      <c r="AB1051" s="77"/>
      <c r="AC1051" s="81" t="s">
        <v>5803</v>
      </c>
      <c r="AD1051" s="77" t="s">
        <v>5850</v>
      </c>
      <c r="AE1051" s="83" t="str">
        <f>HYPERLINK("https://twitter.com/mariana64692094/status/1634725957159223296")</f>
        <v>https://twitter.com/mariana64692094/status/1634725957159223296</v>
      </c>
      <c r="AF1051" s="79">
        <v>44997.055717592593</v>
      </c>
      <c r="AG1051" s="85">
        <v>44997</v>
      </c>
      <c r="AH1051" s="81" t="s">
        <v>6735</v>
      </c>
      <c r="AI1051" s="77"/>
      <c r="AJ1051" s="77"/>
      <c r="AK1051" s="77"/>
      <c r="AL1051" s="77"/>
      <c r="AM1051" s="77"/>
      <c r="AN1051" s="77"/>
      <c r="AO1051" s="77"/>
      <c r="AP1051" s="77"/>
      <c r="AQ1051" s="77"/>
      <c r="AR1051" s="77"/>
      <c r="AS1051" s="77"/>
      <c r="AT1051" s="77"/>
      <c r="AU1051" s="77"/>
      <c r="AV1051" s="83" t="str">
        <f>HYPERLINK("https://pbs.twimg.com/profile_images/1554626465731383298/9KudSdu0_normal.jpg")</f>
        <v>https://pbs.twimg.com/profile_images/1554626465731383298/9KudSdu0_normal.jpg</v>
      </c>
      <c r="AW1051" s="81" t="s">
        <v>10191</v>
      </c>
      <c r="AX1051" s="81" t="s">
        <v>11284</v>
      </c>
      <c r="AY1051" s="81" t="s">
        <v>11334</v>
      </c>
      <c r="AZ1051" s="81" t="s">
        <v>11284</v>
      </c>
      <c r="BA1051" s="81" t="s">
        <v>11359</v>
      </c>
      <c r="BB1051" s="81" t="s">
        <v>11359</v>
      </c>
      <c r="BC1051" s="81" t="s">
        <v>11284</v>
      </c>
      <c r="BD1051" s="81" t="s">
        <v>11523</v>
      </c>
      <c r="BE1051" s="77"/>
      <c r="BF1051" s="77"/>
      <c r="BG1051" s="77"/>
      <c r="BH1051" s="77"/>
      <c r="BI1051" s="77"/>
    </row>
    <row r="1052" spans="1:61" x14ac:dyDescent="0.25">
      <c r="A1052" s="62" t="s">
        <v>460</v>
      </c>
      <c r="B1052" s="62" t="s">
        <v>922</v>
      </c>
      <c r="C1052" s="63"/>
      <c r="D1052" s="64"/>
      <c r="E1052" s="65"/>
      <c r="F1052" s="66"/>
      <c r="G1052" s="63"/>
      <c r="H1052" s="67"/>
      <c r="I1052" s="68"/>
      <c r="J1052" s="68"/>
      <c r="K1052" s="32"/>
      <c r="L1052" s="75">
        <v>1052</v>
      </c>
      <c r="M1052" s="75"/>
      <c r="N1052" s="70"/>
      <c r="O1052" s="77" t="s">
        <v>970</v>
      </c>
      <c r="P1052" s="79">
        <v>44997.016608796293</v>
      </c>
      <c r="Q1052" s="77" t="s">
        <v>1870</v>
      </c>
      <c r="R1052" s="77">
        <v>0</v>
      </c>
      <c r="S1052" s="77">
        <v>0</v>
      </c>
      <c r="T1052" s="77">
        <v>0</v>
      </c>
      <c r="U1052" s="77">
        <v>0</v>
      </c>
      <c r="V1052" s="77">
        <v>14</v>
      </c>
      <c r="W1052" s="81" t="s">
        <v>3463</v>
      </c>
      <c r="X1052" s="77"/>
      <c r="Y1052" s="77"/>
      <c r="Z1052" s="77" t="s">
        <v>4376</v>
      </c>
      <c r="AA1052" s="77"/>
      <c r="AB1052" s="77"/>
      <c r="AC1052" s="81" t="s">
        <v>5803</v>
      </c>
      <c r="AD1052" s="77" t="s">
        <v>5850</v>
      </c>
      <c r="AE1052" s="83" t="str">
        <f>HYPERLINK("https://twitter.com/mariana64692094/status/1634711785662996482")</f>
        <v>https://twitter.com/mariana64692094/status/1634711785662996482</v>
      </c>
      <c r="AF1052" s="79">
        <v>44997.016608796293</v>
      </c>
      <c r="AG1052" s="85">
        <v>44997</v>
      </c>
      <c r="AH1052" s="81" t="s">
        <v>6736</v>
      </c>
      <c r="AI1052" s="77"/>
      <c r="AJ1052" s="77"/>
      <c r="AK1052" s="77"/>
      <c r="AL1052" s="77"/>
      <c r="AM1052" s="77"/>
      <c r="AN1052" s="77"/>
      <c r="AO1052" s="77"/>
      <c r="AP1052" s="77"/>
      <c r="AQ1052" s="77"/>
      <c r="AR1052" s="77"/>
      <c r="AS1052" s="77"/>
      <c r="AT1052" s="77"/>
      <c r="AU1052" s="77"/>
      <c r="AV1052" s="83" t="str">
        <f>HYPERLINK("https://pbs.twimg.com/profile_images/1554626465731383298/9KudSdu0_normal.jpg")</f>
        <v>https://pbs.twimg.com/profile_images/1554626465731383298/9KudSdu0_normal.jpg</v>
      </c>
      <c r="AW1052" s="81" t="s">
        <v>10192</v>
      </c>
      <c r="AX1052" s="81" t="s">
        <v>11285</v>
      </c>
      <c r="AY1052" s="81" t="s">
        <v>11334</v>
      </c>
      <c r="AZ1052" s="81" t="s">
        <v>11285</v>
      </c>
      <c r="BA1052" s="81" t="s">
        <v>11359</v>
      </c>
      <c r="BB1052" s="81" t="s">
        <v>11359</v>
      </c>
      <c r="BC1052" s="81" t="s">
        <v>11285</v>
      </c>
      <c r="BD1052" s="81" t="s">
        <v>11523</v>
      </c>
      <c r="BE1052" s="77"/>
      <c r="BF1052" s="77"/>
      <c r="BG1052" s="77"/>
      <c r="BH1052" s="77"/>
      <c r="BI1052" s="77"/>
    </row>
    <row r="1053" spans="1:61" x14ac:dyDescent="0.25">
      <c r="A1053" s="62" t="s">
        <v>460</v>
      </c>
      <c r="B1053" s="62" t="s">
        <v>923</v>
      </c>
      <c r="C1053" s="63"/>
      <c r="D1053" s="64"/>
      <c r="E1053" s="65"/>
      <c r="F1053" s="66"/>
      <c r="G1053" s="63"/>
      <c r="H1053" s="67"/>
      <c r="I1053" s="68"/>
      <c r="J1053" s="68"/>
      <c r="K1053" s="32"/>
      <c r="L1053" s="75">
        <v>1053</v>
      </c>
      <c r="M1053" s="75"/>
      <c r="N1053" s="70"/>
      <c r="O1053" s="77" t="s">
        <v>969</v>
      </c>
      <c r="P1053" s="79">
        <v>45015.185902777775</v>
      </c>
      <c r="Q1053" s="77" t="s">
        <v>1853</v>
      </c>
      <c r="R1053" s="77">
        <v>0</v>
      </c>
      <c r="S1053" s="77">
        <v>0</v>
      </c>
      <c r="T1053" s="77">
        <v>0</v>
      </c>
      <c r="U1053" s="77">
        <v>0</v>
      </c>
      <c r="V1053" s="77">
        <v>14</v>
      </c>
      <c r="W1053" s="81" t="s">
        <v>3453</v>
      </c>
      <c r="X1053" s="77"/>
      <c r="Y1053" s="77"/>
      <c r="Z1053" s="77" t="s">
        <v>4375</v>
      </c>
      <c r="AA1053" s="77"/>
      <c r="AB1053" s="77"/>
      <c r="AC1053" s="81" t="s">
        <v>5803</v>
      </c>
      <c r="AD1053" s="77" t="s">
        <v>5850</v>
      </c>
      <c r="AE1053" s="83" t="str">
        <f>HYPERLINK("https://twitter.com/mariana64692094/status/1641296114933440518")</f>
        <v>https://twitter.com/mariana64692094/status/1641296114933440518</v>
      </c>
      <c r="AF1053" s="79">
        <v>45015.185902777775</v>
      </c>
      <c r="AG1053" s="85">
        <v>45015</v>
      </c>
      <c r="AH1053" s="81" t="s">
        <v>6720</v>
      </c>
      <c r="AI1053" s="77"/>
      <c r="AJ1053" s="77"/>
      <c r="AK1053" s="77"/>
      <c r="AL1053" s="77"/>
      <c r="AM1053" s="77"/>
      <c r="AN1053" s="77"/>
      <c r="AO1053" s="77"/>
      <c r="AP1053" s="77"/>
      <c r="AQ1053" s="77"/>
      <c r="AR1053" s="77"/>
      <c r="AS1053" s="77"/>
      <c r="AT1053" s="77"/>
      <c r="AU1053" s="77"/>
      <c r="AV1053" s="83" t="str">
        <f>HYPERLINK("https://pbs.twimg.com/profile_images/1554626465731383298/9KudSdu0_normal.jpg")</f>
        <v>https://pbs.twimg.com/profile_images/1554626465731383298/9KudSdu0_normal.jpg</v>
      </c>
      <c r="AW1053" s="81" t="s">
        <v>10175</v>
      </c>
      <c r="AX1053" s="81" t="s">
        <v>11268</v>
      </c>
      <c r="AY1053" s="81" t="s">
        <v>11334</v>
      </c>
      <c r="AZ1053" s="81" t="s">
        <v>11268</v>
      </c>
      <c r="BA1053" s="81" t="s">
        <v>11359</v>
      </c>
      <c r="BB1053" s="81" t="s">
        <v>11359</v>
      </c>
      <c r="BC1053" s="81" t="s">
        <v>11268</v>
      </c>
      <c r="BD1053" s="81" t="s">
        <v>11523</v>
      </c>
      <c r="BE1053" s="77"/>
      <c r="BF1053" s="77"/>
      <c r="BG1053" s="77"/>
      <c r="BH1053" s="77"/>
      <c r="BI1053" s="77"/>
    </row>
    <row r="1054" spans="1:61" x14ac:dyDescent="0.25">
      <c r="A1054" s="62" t="s">
        <v>460</v>
      </c>
      <c r="B1054" s="62" t="s">
        <v>923</v>
      </c>
      <c r="C1054" s="63"/>
      <c r="D1054" s="64"/>
      <c r="E1054" s="65"/>
      <c r="F1054" s="66"/>
      <c r="G1054" s="63"/>
      <c r="H1054" s="67"/>
      <c r="I1054" s="68"/>
      <c r="J1054" s="68"/>
      <c r="K1054" s="32"/>
      <c r="L1054" s="75">
        <v>1054</v>
      </c>
      <c r="M1054" s="75"/>
      <c r="N1054" s="70"/>
      <c r="O1054" s="77" t="s">
        <v>969</v>
      </c>
      <c r="P1054" s="79">
        <v>45026.270208333335</v>
      </c>
      <c r="Q1054" s="77" t="s">
        <v>1854</v>
      </c>
      <c r="R1054" s="77">
        <v>0</v>
      </c>
      <c r="S1054" s="77">
        <v>0</v>
      </c>
      <c r="T1054" s="77">
        <v>0</v>
      </c>
      <c r="U1054" s="77">
        <v>0</v>
      </c>
      <c r="V1054" s="77">
        <v>47</v>
      </c>
      <c r="W1054" s="81" t="s">
        <v>3454</v>
      </c>
      <c r="X1054" s="77"/>
      <c r="Y1054" s="77"/>
      <c r="Z1054" s="77" t="s">
        <v>4375</v>
      </c>
      <c r="AA1054" s="77"/>
      <c r="AB1054" s="77"/>
      <c r="AC1054" s="81" t="s">
        <v>5803</v>
      </c>
      <c r="AD1054" s="77" t="s">
        <v>5850</v>
      </c>
      <c r="AE1054" s="83" t="str">
        <f>HYPERLINK("https://twitter.com/mariana64692094/status/1645312935554588672")</f>
        <v>https://twitter.com/mariana64692094/status/1645312935554588672</v>
      </c>
      <c r="AF1054" s="79">
        <v>45026.270208333335</v>
      </c>
      <c r="AG1054" s="85">
        <v>45026</v>
      </c>
      <c r="AH1054" s="81" t="s">
        <v>6721</v>
      </c>
      <c r="AI1054" s="77"/>
      <c r="AJ1054" s="77"/>
      <c r="AK1054" s="77"/>
      <c r="AL1054" s="77"/>
      <c r="AM1054" s="77"/>
      <c r="AN1054" s="77"/>
      <c r="AO1054" s="77"/>
      <c r="AP1054" s="77"/>
      <c r="AQ1054" s="77"/>
      <c r="AR1054" s="77"/>
      <c r="AS1054" s="77"/>
      <c r="AT1054" s="77"/>
      <c r="AU1054" s="77"/>
      <c r="AV1054" s="83" t="str">
        <f>HYPERLINK("https://pbs.twimg.com/profile_images/1554626465731383298/9KudSdu0_normal.jpg")</f>
        <v>https://pbs.twimg.com/profile_images/1554626465731383298/9KudSdu0_normal.jpg</v>
      </c>
      <c r="AW1054" s="81" t="s">
        <v>10176</v>
      </c>
      <c r="AX1054" s="81" t="s">
        <v>11269</v>
      </c>
      <c r="AY1054" s="81" t="s">
        <v>11334</v>
      </c>
      <c r="AZ1054" s="81" t="s">
        <v>11269</v>
      </c>
      <c r="BA1054" s="81" t="s">
        <v>11359</v>
      </c>
      <c r="BB1054" s="81" t="s">
        <v>11359</v>
      </c>
      <c r="BC1054" s="81" t="s">
        <v>11269</v>
      </c>
      <c r="BD1054" s="81" t="s">
        <v>11523</v>
      </c>
      <c r="BE1054" s="77"/>
      <c r="BF1054" s="77"/>
      <c r="BG1054" s="77"/>
      <c r="BH1054" s="77"/>
      <c r="BI1054" s="77"/>
    </row>
    <row r="1055" spans="1:61" x14ac:dyDescent="0.25">
      <c r="A1055" s="62" t="s">
        <v>460</v>
      </c>
      <c r="B1055" s="62" t="s">
        <v>923</v>
      </c>
      <c r="C1055" s="63"/>
      <c r="D1055" s="64"/>
      <c r="E1055" s="65"/>
      <c r="F1055" s="66"/>
      <c r="G1055" s="63"/>
      <c r="H1055" s="67"/>
      <c r="I1055" s="68"/>
      <c r="J1055" s="68"/>
      <c r="K1055" s="32"/>
      <c r="L1055" s="75">
        <v>1055</v>
      </c>
      <c r="M1055" s="75"/>
      <c r="N1055" s="70"/>
      <c r="O1055" s="77" t="s">
        <v>969</v>
      </c>
      <c r="P1055" s="79">
        <v>45026.269224537034</v>
      </c>
      <c r="Q1055" s="77" t="s">
        <v>1855</v>
      </c>
      <c r="R1055" s="77">
        <v>0</v>
      </c>
      <c r="S1055" s="77">
        <v>0</v>
      </c>
      <c r="T1055" s="77">
        <v>0</v>
      </c>
      <c r="U1055" s="77">
        <v>0</v>
      </c>
      <c r="V1055" s="77">
        <v>48</v>
      </c>
      <c r="W1055" s="81" t="s">
        <v>3455</v>
      </c>
      <c r="X1055" s="77"/>
      <c r="Y1055" s="77"/>
      <c r="Z1055" s="77" t="s">
        <v>4375</v>
      </c>
      <c r="AA1055" s="77"/>
      <c r="AB1055" s="77"/>
      <c r="AC1055" s="81" t="s">
        <v>5803</v>
      </c>
      <c r="AD1055" s="77" t="s">
        <v>5850</v>
      </c>
      <c r="AE1055" s="83" t="str">
        <f>HYPERLINK("https://twitter.com/mariana64692094/status/1645312576350302209")</f>
        <v>https://twitter.com/mariana64692094/status/1645312576350302209</v>
      </c>
      <c r="AF1055" s="79">
        <v>45026.269224537034</v>
      </c>
      <c r="AG1055" s="85">
        <v>45026</v>
      </c>
      <c r="AH1055" s="81" t="s">
        <v>6722</v>
      </c>
      <c r="AI1055" s="77"/>
      <c r="AJ1055" s="77"/>
      <c r="AK1055" s="77"/>
      <c r="AL1055" s="77"/>
      <c r="AM1055" s="77"/>
      <c r="AN1055" s="77"/>
      <c r="AO1055" s="77"/>
      <c r="AP1055" s="77"/>
      <c r="AQ1055" s="77"/>
      <c r="AR1055" s="77"/>
      <c r="AS1055" s="77"/>
      <c r="AT1055" s="77"/>
      <c r="AU1055" s="77"/>
      <c r="AV1055" s="83" t="str">
        <f>HYPERLINK("https://pbs.twimg.com/profile_images/1554626465731383298/9KudSdu0_normal.jpg")</f>
        <v>https://pbs.twimg.com/profile_images/1554626465731383298/9KudSdu0_normal.jpg</v>
      </c>
      <c r="AW1055" s="81" t="s">
        <v>10177</v>
      </c>
      <c r="AX1055" s="81" t="s">
        <v>11270</v>
      </c>
      <c r="AY1055" s="81" t="s">
        <v>11334</v>
      </c>
      <c r="AZ1055" s="81" t="s">
        <v>11270</v>
      </c>
      <c r="BA1055" s="81" t="s">
        <v>11359</v>
      </c>
      <c r="BB1055" s="81" t="s">
        <v>11359</v>
      </c>
      <c r="BC1055" s="81" t="s">
        <v>11270</v>
      </c>
      <c r="BD1055" s="81" t="s">
        <v>11523</v>
      </c>
      <c r="BE1055" s="77"/>
      <c r="BF1055" s="77"/>
      <c r="BG1055" s="77"/>
      <c r="BH1055" s="77"/>
      <c r="BI1055" s="77"/>
    </row>
    <row r="1056" spans="1:61" x14ac:dyDescent="0.25">
      <c r="A1056" s="62" t="s">
        <v>460</v>
      </c>
      <c r="B1056" s="62" t="s">
        <v>923</v>
      </c>
      <c r="C1056" s="63"/>
      <c r="D1056" s="64"/>
      <c r="E1056" s="65"/>
      <c r="F1056" s="66"/>
      <c r="G1056" s="63"/>
      <c r="H1056" s="67"/>
      <c r="I1056" s="68"/>
      <c r="J1056" s="68"/>
      <c r="K1056" s="32"/>
      <c r="L1056" s="75">
        <v>1056</v>
      </c>
      <c r="M1056" s="75"/>
      <c r="N1056" s="70"/>
      <c r="O1056" s="77" t="s">
        <v>969</v>
      </c>
      <c r="P1056" s="79">
        <v>45024.010347222225</v>
      </c>
      <c r="Q1056" s="77" t="s">
        <v>1856</v>
      </c>
      <c r="R1056" s="77">
        <v>0</v>
      </c>
      <c r="S1056" s="77">
        <v>0</v>
      </c>
      <c r="T1056" s="77">
        <v>0</v>
      </c>
      <c r="U1056" s="77">
        <v>0</v>
      </c>
      <c r="V1056" s="77">
        <v>27</v>
      </c>
      <c r="W1056" s="81" t="s">
        <v>3456</v>
      </c>
      <c r="X1056" s="77"/>
      <c r="Y1056" s="77"/>
      <c r="Z1056" s="77" t="s">
        <v>4375</v>
      </c>
      <c r="AA1056" s="77"/>
      <c r="AB1056" s="77"/>
      <c r="AC1056" s="81" t="s">
        <v>5803</v>
      </c>
      <c r="AD1056" s="77" t="s">
        <v>5850</v>
      </c>
      <c r="AE1056" s="83" t="str">
        <f>HYPERLINK("https://twitter.com/mariana64692094/status/1644493987582205952")</f>
        <v>https://twitter.com/mariana64692094/status/1644493987582205952</v>
      </c>
      <c r="AF1056" s="79">
        <v>45024.010347222225</v>
      </c>
      <c r="AG1056" s="85">
        <v>45024</v>
      </c>
      <c r="AH1056" s="81" t="s">
        <v>6723</v>
      </c>
      <c r="AI1056" s="77"/>
      <c r="AJ1056" s="77"/>
      <c r="AK1056" s="77"/>
      <c r="AL1056" s="77"/>
      <c r="AM1056" s="77"/>
      <c r="AN1056" s="77"/>
      <c r="AO1056" s="77"/>
      <c r="AP1056" s="77"/>
      <c r="AQ1056" s="77"/>
      <c r="AR1056" s="77"/>
      <c r="AS1056" s="77"/>
      <c r="AT1056" s="77"/>
      <c r="AU1056" s="77"/>
      <c r="AV1056" s="83" t="str">
        <f>HYPERLINK("https://pbs.twimg.com/profile_images/1554626465731383298/9KudSdu0_normal.jpg")</f>
        <v>https://pbs.twimg.com/profile_images/1554626465731383298/9KudSdu0_normal.jpg</v>
      </c>
      <c r="AW1056" s="81" t="s">
        <v>10178</v>
      </c>
      <c r="AX1056" s="81" t="s">
        <v>11271</v>
      </c>
      <c r="AY1056" s="81" t="s">
        <v>11334</v>
      </c>
      <c r="AZ1056" s="81" t="s">
        <v>11271</v>
      </c>
      <c r="BA1056" s="81" t="s">
        <v>11359</v>
      </c>
      <c r="BB1056" s="81" t="s">
        <v>11359</v>
      </c>
      <c r="BC1056" s="81" t="s">
        <v>11271</v>
      </c>
      <c r="BD1056" s="81" t="s">
        <v>11523</v>
      </c>
      <c r="BE1056" s="77"/>
      <c r="BF1056" s="77"/>
      <c r="BG1056" s="77"/>
      <c r="BH1056" s="77"/>
      <c r="BI1056" s="77"/>
    </row>
    <row r="1057" spans="1:61" x14ac:dyDescent="0.25">
      <c r="A1057" s="62" t="s">
        <v>460</v>
      </c>
      <c r="B1057" s="62" t="s">
        <v>923</v>
      </c>
      <c r="C1057" s="63"/>
      <c r="D1057" s="64"/>
      <c r="E1057" s="65"/>
      <c r="F1057" s="66"/>
      <c r="G1057" s="63"/>
      <c r="H1057" s="67"/>
      <c r="I1057" s="68"/>
      <c r="J1057" s="68"/>
      <c r="K1057" s="32"/>
      <c r="L1057" s="75">
        <v>1057</v>
      </c>
      <c r="M1057" s="75"/>
      <c r="N1057" s="70"/>
      <c r="O1057" s="77" t="s">
        <v>969</v>
      </c>
      <c r="P1057" s="79">
        <v>45020.107187499998</v>
      </c>
      <c r="Q1057" s="77" t="s">
        <v>1857</v>
      </c>
      <c r="R1057" s="77">
        <v>0</v>
      </c>
      <c r="S1057" s="77">
        <v>0</v>
      </c>
      <c r="T1057" s="77">
        <v>0</v>
      </c>
      <c r="U1057" s="77">
        <v>0</v>
      </c>
      <c r="V1057" s="77">
        <v>16</v>
      </c>
      <c r="W1057" s="81" t="s">
        <v>3457</v>
      </c>
      <c r="X1057" s="77"/>
      <c r="Y1057" s="77"/>
      <c r="Z1057" s="77" t="s">
        <v>4375</v>
      </c>
      <c r="AA1057" s="77"/>
      <c r="AB1057" s="77"/>
      <c r="AC1057" s="81" t="s">
        <v>5803</v>
      </c>
      <c r="AD1057" s="77" t="s">
        <v>5850</v>
      </c>
      <c r="AE1057" s="83" t="str">
        <f>HYPERLINK("https://twitter.com/mariana64692094/status/1643079528548368387")</f>
        <v>https://twitter.com/mariana64692094/status/1643079528548368387</v>
      </c>
      <c r="AF1057" s="79">
        <v>45020.107187499998</v>
      </c>
      <c r="AG1057" s="85">
        <v>45020</v>
      </c>
      <c r="AH1057" s="81" t="s">
        <v>6724</v>
      </c>
      <c r="AI1057" s="77"/>
      <c r="AJ1057" s="77"/>
      <c r="AK1057" s="77"/>
      <c r="AL1057" s="77"/>
      <c r="AM1057" s="77"/>
      <c r="AN1057" s="77"/>
      <c r="AO1057" s="77"/>
      <c r="AP1057" s="77"/>
      <c r="AQ1057" s="77"/>
      <c r="AR1057" s="77"/>
      <c r="AS1057" s="77"/>
      <c r="AT1057" s="77"/>
      <c r="AU1057" s="77"/>
      <c r="AV1057" s="83" t="str">
        <f>HYPERLINK("https://pbs.twimg.com/profile_images/1554626465731383298/9KudSdu0_normal.jpg")</f>
        <v>https://pbs.twimg.com/profile_images/1554626465731383298/9KudSdu0_normal.jpg</v>
      </c>
      <c r="AW1057" s="81" t="s">
        <v>10179</v>
      </c>
      <c r="AX1057" s="81" t="s">
        <v>11272</v>
      </c>
      <c r="AY1057" s="81" t="s">
        <v>11334</v>
      </c>
      <c r="AZ1057" s="81" t="s">
        <v>11272</v>
      </c>
      <c r="BA1057" s="81" t="s">
        <v>11359</v>
      </c>
      <c r="BB1057" s="81" t="s">
        <v>11359</v>
      </c>
      <c r="BC1057" s="81" t="s">
        <v>11272</v>
      </c>
      <c r="BD1057" s="81" t="s">
        <v>11523</v>
      </c>
      <c r="BE1057" s="77"/>
      <c r="BF1057" s="77"/>
      <c r="BG1057" s="77"/>
      <c r="BH1057" s="77"/>
      <c r="BI1057" s="77"/>
    </row>
    <row r="1058" spans="1:61" x14ac:dyDescent="0.25">
      <c r="A1058" s="62" t="s">
        <v>460</v>
      </c>
      <c r="B1058" s="62" t="s">
        <v>923</v>
      </c>
      <c r="C1058" s="63"/>
      <c r="D1058" s="64"/>
      <c r="E1058" s="65"/>
      <c r="F1058" s="66"/>
      <c r="G1058" s="63"/>
      <c r="H1058" s="67"/>
      <c r="I1058" s="68"/>
      <c r="J1058" s="68"/>
      <c r="K1058" s="32"/>
      <c r="L1058" s="75">
        <v>1058</v>
      </c>
      <c r="M1058" s="75"/>
      <c r="N1058" s="70"/>
      <c r="O1058" s="77" t="s">
        <v>969</v>
      </c>
      <c r="P1058" s="79">
        <v>45041.24554398148</v>
      </c>
      <c r="Q1058" s="77" t="s">
        <v>1858</v>
      </c>
      <c r="R1058" s="77">
        <v>0</v>
      </c>
      <c r="S1058" s="77">
        <v>0</v>
      </c>
      <c r="T1058" s="77">
        <v>0</v>
      </c>
      <c r="U1058" s="77">
        <v>0</v>
      </c>
      <c r="V1058" s="77">
        <v>23</v>
      </c>
      <c r="W1058" s="81" t="s">
        <v>3458</v>
      </c>
      <c r="X1058" s="77"/>
      <c r="Y1058" s="77"/>
      <c r="Z1058" s="77" t="s">
        <v>4375</v>
      </c>
      <c r="AA1058" s="77"/>
      <c r="AB1058" s="77"/>
      <c r="AC1058" s="81" t="s">
        <v>5803</v>
      </c>
      <c r="AD1058" s="77" t="s">
        <v>5850</v>
      </c>
      <c r="AE1058" s="83" t="str">
        <f>HYPERLINK("https://twitter.com/mariana64692094/status/1650739811584540673")</f>
        <v>https://twitter.com/mariana64692094/status/1650739811584540673</v>
      </c>
      <c r="AF1058" s="79">
        <v>45041.24554398148</v>
      </c>
      <c r="AG1058" s="85">
        <v>45041</v>
      </c>
      <c r="AH1058" s="81" t="s">
        <v>6725</v>
      </c>
      <c r="AI1058" s="77"/>
      <c r="AJ1058" s="77"/>
      <c r="AK1058" s="77"/>
      <c r="AL1058" s="77"/>
      <c r="AM1058" s="77"/>
      <c r="AN1058" s="77"/>
      <c r="AO1058" s="77"/>
      <c r="AP1058" s="77"/>
      <c r="AQ1058" s="77"/>
      <c r="AR1058" s="77"/>
      <c r="AS1058" s="77"/>
      <c r="AT1058" s="77"/>
      <c r="AU1058" s="77"/>
      <c r="AV1058" s="83" t="str">
        <f>HYPERLINK("https://pbs.twimg.com/profile_images/1554626465731383298/9KudSdu0_normal.jpg")</f>
        <v>https://pbs.twimg.com/profile_images/1554626465731383298/9KudSdu0_normal.jpg</v>
      </c>
      <c r="AW1058" s="81" t="s">
        <v>10180</v>
      </c>
      <c r="AX1058" s="81" t="s">
        <v>11273</v>
      </c>
      <c r="AY1058" s="81" t="s">
        <v>11334</v>
      </c>
      <c r="AZ1058" s="81" t="s">
        <v>11273</v>
      </c>
      <c r="BA1058" s="81" t="s">
        <v>11359</v>
      </c>
      <c r="BB1058" s="81" t="s">
        <v>11359</v>
      </c>
      <c r="BC1058" s="81" t="s">
        <v>11273</v>
      </c>
      <c r="BD1058" s="81" t="s">
        <v>11523</v>
      </c>
      <c r="BE1058" s="77"/>
      <c r="BF1058" s="77"/>
      <c r="BG1058" s="77"/>
      <c r="BH1058" s="77"/>
      <c r="BI1058" s="77"/>
    </row>
    <row r="1059" spans="1:61" x14ac:dyDescent="0.25">
      <c r="A1059" s="62" t="s">
        <v>460</v>
      </c>
      <c r="B1059" s="62" t="s">
        <v>923</v>
      </c>
      <c r="C1059" s="63"/>
      <c r="D1059" s="64"/>
      <c r="E1059" s="65"/>
      <c r="F1059" s="66"/>
      <c r="G1059" s="63"/>
      <c r="H1059" s="67"/>
      <c r="I1059" s="68"/>
      <c r="J1059" s="68"/>
      <c r="K1059" s="32"/>
      <c r="L1059" s="75">
        <v>1059</v>
      </c>
      <c r="M1059" s="75"/>
      <c r="N1059" s="70"/>
      <c r="O1059" s="77" t="s">
        <v>969</v>
      </c>
      <c r="P1059" s="79">
        <v>45041.243460648147</v>
      </c>
      <c r="Q1059" s="77" t="s">
        <v>1859</v>
      </c>
      <c r="R1059" s="77">
        <v>0</v>
      </c>
      <c r="S1059" s="77">
        <v>0</v>
      </c>
      <c r="T1059" s="77">
        <v>0</v>
      </c>
      <c r="U1059" s="77">
        <v>0</v>
      </c>
      <c r="V1059" s="77">
        <v>26</v>
      </c>
      <c r="W1059" s="81" t="s">
        <v>3455</v>
      </c>
      <c r="X1059" s="77"/>
      <c r="Y1059" s="77"/>
      <c r="Z1059" s="77" t="s">
        <v>4375</v>
      </c>
      <c r="AA1059" s="77"/>
      <c r="AB1059" s="77"/>
      <c r="AC1059" s="81" t="s">
        <v>5803</v>
      </c>
      <c r="AD1059" s="77" t="s">
        <v>5850</v>
      </c>
      <c r="AE1059" s="83" t="str">
        <f>HYPERLINK("https://twitter.com/mariana64692094/status/1650739059294187520")</f>
        <v>https://twitter.com/mariana64692094/status/1650739059294187520</v>
      </c>
      <c r="AF1059" s="79">
        <v>45041.243460648147</v>
      </c>
      <c r="AG1059" s="85">
        <v>45041</v>
      </c>
      <c r="AH1059" s="81" t="s">
        <v>6726</v>
      </c>
      <c r="AI1059" s="77"/>
      <c r="AJ1059" s="77"/>
      <c r="AK1059" s="77"/>
      <c r="AL1059" s="77"/>
      <c r="AM1059" s="77"/>
      <c r="AN1059" s="77"/>
      <c r="AO1059" s="77"/>
      <c r="AP1059" s="77"/>
      <c r="AQ1059" s="77"/>
      <c r="AR1059" s="77"/>
      <c r="AS1059" s="77"/>
      <c r="AT1059" s="77"/>
      <c r="AU1059" s="77"/>
      <c r="AV1059" s="83" t="str">
        <f>HYPERLINK("https://pbs.twimg.com/profile_images/1554626465731383298/9KudSdu0_normal.jpg")</f>
        <v>https://pbs.twimg.com/profile_images/1554626465731383298/9KudSdu0_normal.jpg</v>
      </c>
      <c r="AW1059" s="81" t="s">
        <v>10181</v>
      </c>
      <c r="AX1059" s="81" t="s">
        <v>11274</v>
      </c>
      <c r="AY1059" s="81" t="s">
        <v>11334</v>
      </c>
      <c r="AZ1059" s="81" t="s">
        <v>11274</v>
      </c>
      <c r="BA1059" s="81" t="s">
        <v>11359</v>
      </c>
      <c r="BB1059" s="81" t="s">
        <v>11359</v>
      </c>
      <c r="BC1059" s="81" t="s">
        <v>11274</v>
      </c>
      <c r="BD1059" s="81" t="s">
        <v>11523</v>
      </c>
      <c r="BE1059" s="77"/>
      <c r="BF1059" s="77"/>
      <c r="BG1059" s="77"/>
      <c r="BH1059" s="77"/>
      <c r="BI1059" s="77"/>
    </row>
    <row r="1060" spans="1:61" x14ac:dyDescent="0.25">
      <c r="A1060" s="62" t="s">
        <v>460</v>
      </c>
      <c r="B1060" s="62" t="s">
        <v>923</v>
      </c>
      <c r="C1060" s="63"/>
      <c r="D1060" s="64"/>
      <c r="E1060" s="65"/>
      <c r="F1060" s="66"/>
      <c r="G1060" s="63"/>
      <c r="H1060" s="67"/>
      <c r="I1060" s="68"/>
      <c r="J1060" s="68"/>
      <c r="K1060" s="32"/>
      <c r="L1060" s="75">
        <v>1060</v>
      </c>
      <c r="M1060" s="75"/>
      <c r="N1060" s="70"/>
      <c r="O1060" s="77" t="s">
        <v>969</v>
      </c>
      <c r="P1060" s="79">
        <v>45039.068622685183</v>
      </c>
      <c r="Q1060" s="77" t="s">
        <v>1860</v>
      </c>
      <c r="R1060" s="77">
        <v>0</v>
      </c>
      <c r="S1060" s="77">
        <v>0</v>
      </c>
      <c r="T1060" s="77">
        <v>0</v>
      </c>
      <c r="U1060" s="77">
        <v>0</v>
      </c>
      <c r="V1060" s="77">
        <v>17</v>
      </c>
      <c r="W1060" s="81" t="s">
        <v>3454</v>
      </c>
      <c r="X1060" s="77"/>
      <c r="Y1060" s="77"/>
      <c r="Z1060" s="77" t="s">
        <v>4375</v>
      </c>
      <c r="AA1060" s="77"/>
      <c r="AB1060" s="77"/>
      <c r="AC1060" s="81" t="s">
        <v>5803</v>
      </c>
      <c r="AD1060" s="77" t="s">
        <v>5850</v>
      </c>
      <c r="AE1060" s="83" t="str">
        <f>HYPERLINK("https://twitter.com/mariana64692094/status/1649950925241368577")</f>
        <v>https://twitter.com/mariana64692094/status/1649950925241368577</v>
      </c>
      <c r="AF1060" s="79">
        <v>45039.068622685183</v>
      </c>
      <c r="AG1060" s="85">
        <v>45039</v>
      </c>
      <c r="AH1060" s="81" t="s">
        <v>6727</v>
      </c>
      <c r="AI1060" s="77"/>
      <c r="AJ1060" s="77"/>
      <c r="AK1060" s="77"/>
      <c r="AL1060" s="77"/>
      <c r="AM1060" s="77"/>
      <c r="AN1060" s="77"/>
      <c r="AO1060" s="77"/>
      <c r="AP1060" s="77"/>
      <c r="AQ1060" s="77"/>
      <c r="AR1060" s="77"/>
      <c r="AS1060" s="77"/>
      <c r="AT1060" s="77"/>
      <c r="AU1060" s="77"/>
      <c r="AV1060" s="83" t="str">
        <f>HYPERLINK("https://pbs.twimg.com/profile_images/1554626465731383298/9KudSdu0_normal.jpg")</f>
        <v>https://pbs.twimg.com/profile_images/1554626465731383298/9KudSdu0_normal.jpg</v>
      </c>
      <c r="AW1060" s="81" t="s">
        <v>10182</v>
      </c>
      <c r="AX1060" s="81" t="s">
        <v>11275</v>
      </c>
      <c r="AY1060" s="81" t="s">
        <v>11334</v>
      </c>
      <c r="AZ1060" s="81" t="s">
        <v>11275</v>
      </c>
      <c r="BA1060" s="81" t="s">
        <v>11359</v>
      </c>
      <c r="BB1060" s="81" t="s">
        <v>11359</v>
      </c>
      <c r="BC1060" s="81" t="s">
        <v>11275</v>
      </c>
      <c r="BD1060" s="81" t="s">
        <v>11523</v>
      </c>
      <c r="BE1060" s="77"/>
      <c r="BF1060" s="77"/>
      <c r="BG1060" s="77"/>
      <c r="BH1060" s="77"/>
      <c r="BI1060" s="77"/>
    </row>
    <row r="1061" spans="1:61" x14ac:dyDescent="0.25">
      <c r="A1061" s="62" t="s">
        <v>460</v>
      </c>
      <c r="B1061" s="62" t="s">
        <v>923</v>
      </c>
      <c r="C1061" s="63"/>
      <c r="D1061" s="64"/>
      <c r="E1061" s="65"/>
      <c r="F1061" s="66"/>
      <c r="G1061" s="63"/>
      <c r="H1061" s="67"/>
      <c r="I1061" s="68"/>
      <c r="J1061" s="68"/>
      <c r="K1061" s="32"/>
      <c r="L1061" s="75">
        <v>1061</v>
      </c>
      <c r="M1061" s="75"/>
      <c r="N1061" s="70"/>
      <c r="O1061" s="77" t="s">
        <v>969</v>
      </c>
      <c r="P1061" s="79">
        <v>45048.088692129626</v>
      </c>
      <c r="Q1061" s="77" t="s">
        <v>1861</v>
      </c>
      <c r="R1061" s="77">
        <v>0</v>
      </c>
      <c r="S1061" s="77">
        <v>0</v>
      </c>
      <c r="T1061" s="77">
        <v>0</v>
      </c>
      <c r="U1061" s="77">
        <v>0</v>
      </c>
      <c r="V1061" s="77">
        <v>24</v>
      </c>
      <c r="W1061" s="81" t="s">
        <v>3459</v>
      </c>
      <c r="X1061" s="77"/>
      <c r="Y1061" s="77"/>
      <c r="Z1061" s="77" t="s">
        <v>4375</v>
      </c>
      <c r="AA1061" s="77"/>
      <c r="AB1061" s="77"/>
      <c r="AC1061" s="81" t="s">
        <v>5803</v>
      </c>
      <c r="AD1061" s="77" t="s">
        <v>5850</v>
      </c>
      <c r="AE1061" s="83" t="str">
        <f>HYPERLINK("https://twitter.com/mariana64692094/status/1653219687285628929")</f>
        <v>https://twitter.com/mariana64692094/status/1653219687285628929</v>
      </c>
      <c r="AF1061" s="79">
        <v>45048.088692129626</v>
      </c>
      <c r="AG1061" s="85">
        <v>45048</v>
      </c>
      <c r="AH1061" s="81" t="s">
        <v>6493</v>
      </c>
      <c r="AI1061" s="77"/>
      <c r="AJ1061" s="77"/>
      <c r="AK1061" s="77"/>
      <c r="AL1061" s="77"/>
      <c r="AM1061" s="77"/>
      <c r="AN1061" s="77"/>
      <c r="AO1061" s="77"/>
      <c r="AP1061" s="77"/>
      <c r="AQ1061" s="77"/>
      <c r="AR1061" s="77"/>
      <c r="AS1061" s="77"/>
      <c r="AT1061" s="77"/>
      <c r="AU1061" s="77"/>
      <c r="AV1061" s="83" t="str">
        <f>HYPERLINK("https://pbs.twimg.com/profile_images/1554626465731383298/9KudSdu0_normal.jpg")</f>
        <v>https://pbs.twimg.com/profile_images/1554626465731383298/9KudSdu0_normal.jpg</v>
      </c>
      <c r="AW1061" s="81" t="s">
        <v>10183</v>
      </c>
      <c r="AX1061" s="81" t="s">
        <v>11276</v>
      </c>
      <c r="AY1061" s="81" t="s">
        <v>11334</v>
      </c>
      <c r="AZ1061" s="81" t="s">
        <v>11276</v>
      </c>
      <c r="BA1061" s="81" t="s">
        <v>11359</v>
      </c>
      <c r="BB1061" s="81" t="s">
        <v>11359</v>
      </c>
      <c r="BC1061" s="81" t="s">
        <v>11276</v>
      </c>
      <c r="BD1061" s="81" t="s">
        <v>11523</v>
      </c>
      <c r="BE1061" s="77"/>
      <c r="BF1061" s="77"/>
      <c r="BG1061" s="77"/>
      <c r="BH1061" s="77"/>
      <c r="BI1061" s="77"/>
    </row>
    <row r="1062" spans="1:61" x14ac:dyDescent="0.25">
      <c r="A1062" s="62" t="s">
        <v>460</v>
      </c>
      <c r="B1062" s="62" t="s">
        <v>923</v>
      </c>
      <c r="C1062" s="63"/>
      <c r="D1062" s="64"/>
      <c r="E1062" s="65"/>
      <c r="F1062" s="66"/>
      <c r="G1062" s="63"/>
      <c r="H1062" s="67"/>
      <c r="I1062" s="68"/>
      <c r="J1062" s="68"/>
      <c r="K1062" s="32"/>
      <c r="L1062" s="75">
        <v>1062</v>
      </c>
      <c r="M1062" s="75"/>
      <c r="N1062" s="70"/>
      <c r="O1062" s="77" t="s">
        <v>969</v>
      </c>
      <c r="P1062" s="79">
        <v>45046.123553240737</v>
      </c>
      <c r="Q1062" s="77" t="s">
        <v>1862</v>
      </c>
      <c r="R1062" s="77">
        <v>0</v>
      </c>
      <c r="S1062" s="77">
        <v>0</v>
      </c>
      <c r="T1062" s="77">
        <v>0</v>
      </c>
      <c r="U1062" s="77">
        <v>0</v>
      </c>
      <c r="V1062" s="77">
        <v>33</v>
      </c>
      <c r="W1062" s="81" t="s">
        <v>3453</v>
      </c>
      <c r="X1062" s="77"/>
      <c r="Y1062" s="77"/>
      <c r="Z1062" s="77" t="s">
        <v>4375</v>
      </c>
      <c r="AA1062" s="77"/>
      <c r="AB1062" s="77"/>
      <c r="AC1062" s="81" t="s">
        <v>5803</v>
      </c>
      <c r="AD1062" s="77" t="s">
        <v>5850</v>
      </c>
      <c r="AE1062" s="83" t="str">
        <f>HYPERLINK("https://twitter.com/mariana64692094/status/1652507543720148992")</f>
        <v>https://twitter.com/mariana64692094/status/1652507543720148992</v>
      </c>
      <c r="AF1062" s="79">
        <v>45046.123553240737</v>
      </c>
      <c r="AG1062" s="85">
        <v>45046</v>
      </c>
      <c r="AH1062" s="81" t="s">
        <v>6728</v>
      </c>
      <c r="AI1062" s="77"/>
      <c r="AJ1062" s="77"/>
      <c r="AK1062" s="77"/>
      <c r="AL1062" s="77"/>
      <c r="AM1062" s="77"/>
      <c r="AN1062" s="77"/>
      <c r="AO1062" s="77"/>
      <c r="AP1062" s="77"/>
      <c r="AQ1062" s="77"/>
      <c r="AR1062" s="77"/>
      <c r="AS1062" s="77"/>
      <c r="AT1062" s="77"/>
      <c r="AU1062" s="77"/>
      <c r="AV1062" s="83" t="str">
        <f>HYPERLINK("https://pbs.twimg.com/profile_images/1554626465731383298/9KudSdu0_normal.jpg")</f>
        <v>https://pbs.twimg.com/profile_images/1554626465731383298/9KudSdu0_normal.jpg</v>
      </c>
      <c r="AW1062" s="81" t="s">
        <v>10184</v>
      </c>
      <c r="AX1062" s="81" t="s">
        <v>11277</v>
      </c>
      <c r="AY1062" s="81" t="s">
        <v>11334</v>
      </c>
      <c r="AZ1062" s="81" t="s">
        <v>11277</v>
      </c>
      <c r="BA1062" s="81" t="s">
        <v>11359</v>
      </c>
      <c r="BB1062" s="81" t="s">
        <v>11359</v>
      </c>
      <c r="BC1062" s="81" t="s">
        <v>11277</v>
      </c>
      <c r="BD1062" s="81" t="s">
        <v>11523</v>
      </c>
      <c r="BE1062" s="77"/>
      <c r="BF1062" s="77"/>
      <c r="BG1062" s="77"/>
      <c r="BH1062" s="77"/>
      <c r="BI1062" s="77"/>
    </row>
    <row r="1063" spans="1:61" x14ac:dyDescent="0.25">
      <c r="A1063" s="62" t="s">
        <v>460</v>
      </c>
      <c r="B1063" s="62" t="s">
        <v>923</v>
      </c>
      <c r="C1063" s="63"/>
      <c r="D1063" s="64"/>
      <c r="E1063" s="65"/>
      <c r="F1063" s="66"/>
      <c r="G1063" s="63"/>
      <c r="H1063" s="67"/>
      <c r="I1063" s="68"/>
      <c r="J1063" s="68"/>
      <c r="K1063" s="32"/>
      <c r="L1063" s="75">
        <v>1063</v>
      </c>
      <c r="M1063" s="75"/>
      <c r="N1063" s="70"/>
      <c r="O1063" s="77" t="s">
        <v>969</v>
      </c>
      <c r="P1063" s="79">
        <v>45044.241956018515</v>
      </c>
      <c r="Q1063" s="77" t="s">
        <v>1863</v>
      </c>
      <c r="R1063" s="77">
        <v>0</v>
      </c>
      <c r="S1063" s="77">
        <v>0</v>
      </c>
      <c r="T1063" s="77">
        <v>0</v>
      </c>
      <c r="U1063" s="77">
        <v>0</v>
      </c>
      <c r="V1063" s="77">
        <v>22</v>
      </c>
      <c r="W1063" s="81" t="s">
        <v>3453</v>
      </c>
      <c r="X1063" s="77"/>
      <c r="Y1063" s="77"/>
      <c r="Z1063" s="77" t="s">
        <v>4375</v>
      </c>
      <c r="AA1063" s="77"/>
      <c r="AB1063" s="77"/>
      <c r="AC1063" s="81" t="s">
        <v>5803</v>
      </c>
      <c r="AD1063" s="77" t="s">
        <v>5850</v>
      </c>
      <c r="AE1063" s="83" t="str">
        <f>HYPERLINK("https://twitter.com/mariana64692094/status/1651825678495502336")</f>
        <v>https://twitter.com/mariana64692094/status/1651825678495502336</v>
      </c>
      <c r="AF1063" s="79">
        <v>45044.241956018515</v>
      </c>
      <c r="AG1063" s="85">
        <v>45044</v>
      </c>
      <c r="AH1063" s="81" t="s">
        <v>6729</v>
      </c>
      <c r="AI1063" s="77"/>
      <c r="AJ1063" s="77"/>
      <c r="AK1063" s="77"/>
      <c r="AL1063" s="77"/>
      <c r="AM1063" s="77"/>
      <c r="AN1063" s="77"/>
      <c r="AO1063" s="77"/>
      <c r="AP1063" s="77"/>
      <c r="AQ1063" s="77"/>
      <c r="AR1063" s="77"/>
      <c r="AS1063" s="77"/>
      <c r="AT1063" s="77"/>
      <c r="AU1063" s="77"/>
      <c r="AV1063" s="83" t="str">
        <f>HYPERLINK("https://pbs.twimg.com/profile_images/1554626465731383298/9KudSdu0_normal.jpg")</f>
        <v>https://pbs.twimg.com/profile_images/1554626465731383298/9KudSdu0_normal.jpg</v>
      </c>
      <c r="AW1063" s="81" t="s">
        <v>10185</v>
      </c>
      <c r="AX1063" s="81" t="s">
        <v>11278</v>
      </c>
      <c r="AY1063" s="81" t="s">
        <v>11334</v>
      </c>
      <c r="AZ1063" s="81" t="s">
        <v>11278</v>
      </c>
      <c r="BA1063" s="81" t="s">
        <v>11359</v>
      </c>
      <c r="BB1063" s="81" t="s">
        <v>11359</v>
      </c>
      <c r="BC1063" s="81" t="s">
        <v>11278</v>
      </c>
      <c r="BD1063" s="81" t="s">
        <v>11523</v>
      </c>
      <c r="BE1063" s="77"/>
      <c r="BF1063" s="77"/>
      <c r="BG1063" s="77"/>
      <c r="BH1063" s="77"/>
      <c r="BI1063" s="77"/>
    </row>
    <row r="1064" spans="1:61" x14ac:dyDescent="0.25">
      <c r="A1064" s="62" t="s">
        <v>460</v>
      </c>
      <c r="B1064" s="62" t="s">
        <v>923</v>
      </c>
      <c r="C1064" s="63"/>
      <c r="D1064" s="64"/>
      <c r="E1064" s="65"/>
      <c r="F1064" s="66"/>
      <c r="G1064" s="63"/>
      <c r="H1064" s="67"/>
      <c r="I1064" s="68"/>
      <c r="J1064" s="68"/>
      <c r="K1064" s="32"/>
      <c r="L1064" s="75">
        <v>1064</v>
      </c>
      <c r="M1064" s="75"/>
      <c r="N1064" s="70"/>
      <c r="O1064" s="77" t="s">
        <v>969</v>
      </c>
      <c r="P1064" s="79">
        <v>45004.147870370369</v>
      </c>
      <c r="Q1064" s="77" t="s">
        <v>1864</v>
      </c>
      <c r="R1064" s="77">
        <v>0</v>
      </c>
      <c r="S1064" s="77">
        <v>0</v>
      </c>
      <c r="T1064" s="77">
        <v>0</v>
      </c>
      <c r="U1064" s="77">
        <v>0</v>
      </c>
      <c r="V1064" s="77">
        <v>27</v>
      </c>
      <c r="W1064" s="81" t="s">
        <v>3460</v>
      </c>
      <c r="X1064" s="77"/>
      <c r="Y1064" s="77"/>
      <c r="Z1064" s="77" t="s">
        <v>4375</v>
      </c>
      <c r="AA1064" s="77"/>
      <c r="AB1064" s="77"/>
      <c r="AC1064" s="81" t="s">
        <v>5803</v>
      </c>
      <c r="AD1064" s="77" t="s">
        <v>5850</v>
      </c>
      <c r="AE1064" s="83" t="str">
        <f>HYPERLINK("https://twitter.com/mariana64692094/status/1637296065215885315")</f>
        <v>https://twitter.com/mariana64692094/status/1637296065215885315</v>
      </c>
      <c r="AF1064" s="79">
        <v>45004.147870370369</v>
      </c>
      <c r="AG1064" s="85">
        <v>45004</v>
      </c>
      <c r="AH1064" s="81" t="s">
        <v>6730</v>
      </c>
      <c r="AI1064" s="77"/>
      <c r="AJ1064" s="77"/>
      <c r="AK1064" s="77"/>
      <c r="AL1064" s="77"/>
      <c r="AM1064" s="77"/>
      <c r="AN1064" s="77"/>
      <c r="AO1064" s="77"/>
      <c r="AP1064" s="77"/>
      <c r="AQ1064" s="77"/>
      <c r="AR1064" s="77"/>
      <c r="AS1064" s="77"/>
      <c r="AT1064" s="77"/>
      <c r="AU1064" s="77"/>
      <c r="AV1064" s="83" t="str">
        <f>HYPERLINK("https://pbs.twimg.com/profile_images/1554626465731383298/9KudSdu0_normal.jpg")</f>
        <v>https://pbs.twimg.com/profile_images/1554626465731383298/9KudSdu0_normal.jpg</v>
      </c>
      <c r="AW1064" s="81" t="s">
        <v>10186</v>
      </c>
      <c r="AX1064" s="81" t="s">
        <v>11279</v>
      </c>
      <c r="AY1064" s="81" t="s">
        <v>11334</v>
      </c>
      <c r="AZ1064" s="81" t="s">
        <v>11279</v>
      </c>
      <c r="BA1064" s="81" t="s">
        <v>11359</v>
      </c>
      <c r="BB1064" s="81" t="s">
        <v>11359</v>
      </c>
      <c r="BC1064" s="81" t="s">
        <v>11279</v>
      </c>
      <c r="BD1064" s="81" t="s">
        <v>11523</v>
      </c>
      <c r="BE1064" s="77"/>
      <c r="BF1064" s="77"/>
      <c r="BG1064" s="77"/>
      <c r="BH1064" s="77"/>
      <c r="BI1064" s="77"/>
    </row>
    <row r="1065" spans="1:61" x14ac:dyDescent="0.25">
      <c r="A1065" s="62" t="s">
        <v>460</v>
      </c>
      <c r="B1065" s="62" t="s">
        <v>923</v>
      </c>
      <c r="C1065" s="63"/>
      <c r="D1065" s="64"/>
      <c r="E1065" s="65"/>
      <c r="F1065" s="66"/>
      <c r="G1065" s="63"/>
      <c r="H1065" s="67"/>
      <c r="I1065" s="68"/>
      <c r="J1065" s="68"/>
      <c r="K1065" s="32"/>
      <c r="L1065" s="75">
        <v>1065</v>
      </c>
      <c r="M1065" s="75"/>
      <c r="N1065" s="70"/>
      <c r="O1065" s="77" t="s">
        <v>969</v>
      </c>
      <c r="P1065" s="79">
        <v>45057.135324074072</v>
      </c>
      <c r="Q1065" s="77" t="s">
        <v>1865</v>
      </c>
      <c r="R1065" s="77">
        <v>0</v>
      </c>
      <c r="S1065" s="77">
        <v>0</v>
      </c>
      <c r="T1065" s="77">
        <v>0</v>
      </c>
      <c r="U1065" s="77">
        <v>0</v>
      </c>
      <c r="V1065" s="77">
        <v>24</v>
      </c>
      <c r="W1065" s="81" t="s">
        <v>3453</v>
      </c>
      <c r="X1065" s="77"/>
      <c r="Y1065" s="77"/>
      <c r="Z1065" s="77" t="s">
        <v>4375</v>
      </c>
      <c r="AA1065" s="77"/>
      <c r="AB1065" s="77"/>
      <c r="AC1065" s="81" t="s">
        <v>5803</v>
      </c>
      <c r="AD1065" s="77" t="s">
        <v>5850</v>
      </c>
      <c r="AE1065" s="83" t="str">
        <f>HYPERLINK("https://twitter.com/mariana64692094/status/1656498077530824706")</f>
        <v>https://twitter.com/mariana64692094/status/1656498077530824706</v>
      </c>
      <c r="AF1065" s="79">
        <v>45057.135324074072</v>
      </c>
      <c r="AG1065" s="85">
        <v>45057</v>
      </c>
      <c r="AH1065" s="81" t="s">
        <v>6731</v>
      </c>
      <c r="AI1065" s="77"/>
      <c r="AJ1065" s="77"/>
      <c r="AK1065" s="77"/>
      <c r="AL1065" s="77"/>
      <c r="AM1065" s="77"/>
      <c r="AN1065" s="77"/>
      <c r="AO1065" s="77"/>
      <c r="AP1065" s="77"/>
      <c r="AQ1065" s="77"/>
      <c r="AR1065" s="77"/>
      <c r="AS1065" s="77"/>
      <c r="AT1065" s="77"/>
      <c r="AU1065" s="77"/>
      <c r="AV1065" s="83" t="str">
        <f>HYPERLINK("https://pbs.twimg.com/profile_images/1554626465731383298/9KudSdu0_normal.jpg")</f>
        <v>https://pbs.twimg.com/profile_images/1554626465731383298/9KudSdu0_normal.jpg</v>
      </c>
      <c r="AW1065" s="81" t="s">
        <v>10187</v>
      </c>
      <c r="AX1065" s="81" t="s">
        <v>11280</v>
      </c>
      <c r="AY1065" s="81" t="s">
        <v>11334</v>
      </c>
      <c r="AZ1065" s="81" t="s">
        <v>11280</v>
      </c>
      <c r="BA1065" s="81" t="s">
        <v>11359</v>
      </c>
      <c r="BB1065" s="81" t="s">
        <v>11359</v>
      </c>
      <c r="BC1065" s="81" t="s">
        <v>11280</v>
      </c>
      <c r="BD1065" s="81" t="s">
        <v>11523</v>
      </c>
      <c r="BE1065" s="77"/>
      <c r="BF1065" s="77"/>
      <c r="BG1065" s="77"/>
      <c r="BH1065" s="77"/>
      <c r="BI1065" s="77"/>
    </row>
    <row r="1066" spans="1:61" x14ac:dyDescent="0.25">
      <c r="A1066" s="62" t="s">
        <v>460</v>
      </c>
      <c r="B1066" s="62" t="s">
        <v>923</v>
      </c>
      <c r="C1066" s="63"/>
      <c r="D1066" s="64"/>
      <c r="E1066" s="65"/>
      <c r="F1066" s="66"/>
      <c r="G1066" s="63"/>
      <c r="H1066" s="67"/>
      <c r="I1066" s="68"/>
      <c r="J1066" s="68"/>
      <c r="K1066" s="32"/>
      <c r="L1066" s="75">
        <v>1066</v>
      </c>
      <c r="M1066" s="75"/>
      <c r="N1066" s="70"/>
      <c r="O1066" s="77" t="s">
        <v>969</v>
      </c>
      <c r="P1066" s="79">
        <v>45056.25409722222</v>
      </c>
      <c r="Q1066" s="77" t="s">
        <v>1866</v>
      </c>
      <c r="R1066" s="77">
        <v>0</v>
      </c>
      <c r="S1066" s="77">
        <v>0</v>
      </c>
      <c r="T1066" s="77">
        <v>0</v>
      </c>
      <c r="U1066" s="77">
        <v>0</v>
      </c>
      <c r="V1066" s="77">
        <v>23</v>
      </c>
      <c r="W1066" s="81" t="s">
        <v>3461</v>
      </c>
      <c r="X1066" s="77"/>
      <c r="Y1066" s="77"/>
      <c r="Z1066" s="77" t="s">
        <v>4375</v>
      </c>
      <c r="AA1066" s="77"/>
      <c r="AB1066" s="77"/>
      <c r="AC1066" s="81" t="s">
        <v>5803</v>
      </c>
      <c r="AD1066" s="77" t="s">
        <v>5850</v>
      </c>
      <c r="AE1066" s="83" t="str">
        <f>HYPERLINK("https://twitter.com/mariana64692094/status/1656178731075923969")</f>
        <v>https://twitter.com/mariana64692094/status/1656178731075923969</v>
      </c>
      <c r="AF1066" s="79">
        <v>45056.25409722222</v>
      </c>
      <c r="AG1066" s="85">
        <v>45056</v>
      </c>
      <c r="AH1066" s="81" t="s">
        <v>6732</v>
      </c>
      <c r="AI1066" s="77"/>
      <c r="AJ1066" s="77"/>
      <c r="AK1066" s="77"/>
      <c r="AL1066" s="77"/>
      <c r="AM1066" s="77"/>
      <c r="AN1066" s="77"/>
      <c r="AO1066" s="77"/>
      <c r="AP1066" s="77"/>
      <c r="AQ1066" s="77"/>
      <c r="AR1066" s="77"/>
      <c r="AS1066" s="77"/>
      <c r="AT1066" s="77"/>
      <c r="AU1066" s="77"/>
      <c r="AV1066" s="83" t="str">
        <f>HYPERLINK("https://pbs.twimg.com/profile_images/1554626465731383298/9KudSdu0_normal.jpg")</f>
        <v>https://pbs.twimg.com/profile_images/1554626465731383298/9KudSdu0_normal.jpg</v>
      </c>
      <c r="AW1066" s="81" t="s">
        <v>10188</v>
      </c>
      <c r="AX1066" s="81" t="s">
        <v>11281</v>
      </c>
      <c r="AY1066" s="81" t="s">
        <v>11334</v>
      </c>
      <c r="AZ1066" s="81" t="s">
        <v>11281</v>
      </c>
      <c r="BA1066" s="81" t="s">
        <v>11359</v>
      </c>
      <c r="BB1066" s="81" t="s">
        <v>11359</v>
      </c>
      <c r="BC1066" s="81" t="s">
        <v>11281</v>
      </c>
      <c r="BD1066" s="81" t="s">
        <v>11523</v>
      </c>
      <c r="BE1066" s="77"/>
      <c r="BF1066" s="77"/>
      <c r="BG1066" s="77"/>
      <c r="BH1066" s="77"/>
      <c r="BI1066" s="77"/>
    </row>
    <row r="1067" spans="1:61" x14ac:dyDescent="0.25">
      <c r="A1067" s="62" t="s">
        <v>460</v>
      </c>
      <c r="B1067" s="62" t="s">
        <v>923</v>
      </c>
      <c r="C1067" s="63"/>
      <c r="D1067" s="64"/>
      <c r="E1067" s="65"/>
      <c r="F1067" s="66"/>
      <c r="G1067" s="63"/>
      <c r="H1067" s="67"/>
      <c r="I1067" s="68"/>
      <c r="J1067" s="68"/>
      <c r="K1067" s="32"/>
      <c r="L1067" s="75">
        <v>1067</v>
      </c>
      <c r="M1067" s="75"/>
      <c r="N1067" s="70"/>
      <c r="O1067" s="77" t="s">
        <v>969</v>
      </c>
      <c r="P1067" s="79">
        <v>45036.143252314818</v>
      </c>
      <c r="Q1067" s="77" t="s">
        <v>1867</v>
      </c>
      <c r="R1067" s="77">
        <v>0</v>
      </c>
      <c r="S1067" s="77">
        <v>0</v>
      </c>
      <c r="T1067" s="77">
        <v>0</v>
      </c>
      <c r="U1067" s="77">
        <v>0</v>
      </c>
      <c r="V1067" s="77">
        <v>17</v>
      </c>
      <c r="W1067" s="81" t="s">
        <v>3455</v>
      </c>
      <c r="X1067" s="77"/>
      <c r="Y1067" s="77"/>
      <c r="Z1067" s="77" t="s">
        <v>4375</v>
      </c>
      <c r="AA1067" s="77"/>
      <c r="AB1067" s="77"/>
      <c r="AC1067" s="81" t="s">
        <v>5803</v>
      </c>
      <c r="AD1067" s="77" t="s">
        <v>5850</v>
      </c>
      <c r="AE1067" s="83" t="str">
        <f>HYPERLINK("https://twitter.com/mariana64692094/status/1648890804755111937")</f>
        <v>https://twitter.com/mariana64692094/status/1648890804755111937</v>
      </c>
      <c r="AF1067" s="79">
        <v>45036.143252314818</v>
      </c>
      <c r="AG1067" s="85">
        <v>45036</v>
      </c>
      <c r="AH1067" s="81" t="s">
        <v>6733</v>
      </c>
      <c r="AI1067" s="77"/>
      <c r="AJ1067" s="77"/>
      <c r="AK1067" s="77"/>
      <c r="AL1067" s="77"/>
      <c r="AM1067" s="77"/>
      <c r="AN1067" s="77"/>
      <c r="AO1067" s="77"/>
      <c r="AP1067" s="77"/>
      <c r="AQ1067" s="77"/>
      <c r="AR1067" s="77"/>
      <c r="AS1067" s="77"/>
      <c r="AT1067" s="77"/>
      <c r="AU1067" s="77"/>
      <c r="AV1067" s="83" t="str">
        <f>HYPERLINK("https://pbs.twimg.com/profile_images/1554626465731383298/9KudSdu0_normal.jpg")</f>
        <v>https://pbs.twimg.com/profile_images/1554626465731383298/9KudSdu0_normal.jpg</v>
      </c>
      <c r="AW1067" s="81" t="s">
        <v>10189</v>
      </c>
      <c r="AX1067" s="81" t="s">
        <v>11282</v>
      </c>
      <c r="AY1067" s="81" t="s">
        <v>11334</v>
      </c>
      <c r="AZ1067" s="81" t="s">
        <v>11282</v>
      </c>
      <c r="BA1067" s="81" t="s">
        <v>11359</v>
      </c>
      <c r="BB1067" s="81" t="s">
        <v>11359</v>
      </c>
      <c r="BC1067" s="81" t="s">
        <v>11282</v>
      </c>
      <c r="BD1067" s="81" t="s">
        <v>11523</v>
      </c>
      <c r="BE1067" s="77"/>
      <c r="BF1067" s="77"/>
      <c r="BG1067" s="77"/>
      <c r="BH1067" s="77"/>
      <c r="BI1067" s="77"/>
    </row>
    <row r="1068" spans="1:61" x14ac:dyDescent="0.25">
      <c r="A1068" s="62" t="s">
        <v>460</v>
      </c>
      <c r="B1068" s="62" t="s">
        <v>923</v>
      </c>
      <c r="C1068" s="63"/>
      <c r="D1068" s="64"/>
      <c r="E1068" s="65"/>
      <c r="F1068" s="66"/>
      <c r="G1068" s="63"/>
      <c r="H1068" s="67"/>
      <c r="I1068" s="68"/>
      <c r="J1068" s="68"/>
      <c r="K1068" s="32"/>
      <c r="L1068" s="75">
        <v>1068</v>
      </c>
      <c r="M1068" s="75"/>
      <c r="N1068" s="70"/>
      <c r="O1068" s="77" t="s">
        <v>969</v>
      </c>
      <c r="P1068" s="79">
        <v>45035.200162037036</v>
      </c>
      <c r="Q1068" s="77" t="s">
        <v>1868</v>
      </c>
      <c r="R1068" s="77">
        <v>0</v>
      </c>
      <c r="S1068" s="77">
        <v>0</v>
      </c>
      <c r="T1068" s="77">
        <v>0</v>
      </c>
      <c r="U1068" s="77">
        <v>0</v>
      </c>
      <c r="V1068" s="77">
        <v>9</v>
      </c>
      <c r="W1068" s="81" t="s">
        <v>3455</v>
      </c>
      <c r="X1068" s="77"/>
      <c r="Y1068" s="77"/>
      <c r="Z1068" s="77" t="s">
        <v>4375</v>
      </c>
      <c r="AA1068" s="77"/>
      <c r="AB1068" s="77"/>
      <c r="AC1068" s="81" t="s">
        <v>5803</v>
      </c>
      <c r="AD1068" s="77" t="s">
        <v>5850</v>
      </c>
      <c r="AE1068" s="83" t="str">
        <f>HYPERLINK("https://twitter.com/mariana64692094/status/1648549040961777666")</f>
        <v>https://twitter.com/mariana64692094/status/1648549040961777666</v>
      </c>
      <c r="AF1068" s="79">
        <v>45035.200162037036</v>
      </c>
      <c r="AG1068" s="85">
        <v>45035</v>
      </c>
      <c r="AH1068" s="81" t="s">
        <v>6734</v>
      </c>
      <c r="AI1068" s="77"/>
      <c r="AJ1068" s="77"/>
      <c r="AK1068" s="77"/>
      <c r="AL1068" s="77"/>
      <c r="AM1068" s="77"/>
      <c r="AN1068" s="77"/>
      <c r="AO1068" s="77"/>
      <c r="AP1068" s="77"/>
      <c r="AQ1068" s="77"/>
      <c r="AR1068" s="77"/>
      <c r="AS1068" s="77"/>
      <c r="AT1068" s="77"/>
      <c r="AU1068" s="77"/>
      <c r="AV1068" s="83" t="str">
        <f>HYPERLINK("https://pbs.twimg.com/profile_images/1554626465731383298/9KudSdu0_normal.jpg")</f>
        <v>https://pbs.twimg.com/profile_images/1554626465731383298/9KudSdu0_normal.jpg</v>
      </c>
      <c r="AW1068" s="81" t="s">
        <v>10190</v>
      </c>
      <c r="AX1068" s="81" t="s">
        <v>11283</v>
      </c>
      <c r="AY1068" s="81" t="s">
        <v>11334</v>
      </c>
      <c r="AZ1068" s="81" t="s">
        <v>11283</v>
      </c>
      <c r="BA1068" s="81" t="s">
        <v>11359</v>
      </c>
      <c r="BB1068" s="81" t="s">
        <v>11359</v>
      </c>
      <c r="BC1068" s="81" t="s">
        <v>11283</v>
      </c>
      <c r="BD1068" s="81" t="s">
        <v>11523</v>
      </c>
      <c r="BE1068" s="77"/>
      <c r="BF1068" s="77"/>
      <c r="BG1068" s="77"/>
      <c r="BH1068" s="77"/>
      <c r="BI1068" s="77"/>
    </row>
    <row r="1069" spans="1:61" x14ac:dyDescent="0.25">
      <c r="A1069" s="62" t="s">
        <v>460</v>
      </c>
      <c r="B1069" s="62" t="s">
        <v>923</v>
      </c>
      <c r="C1069" s="63"/>
      <c r="D1069" s="64"/>
      <c r="E1069" s="65"/>
      <c r="F1069" s="66"/>
      <c r="G1069" s="63"/>
      <c r="H1069" s="67"/>
      <c r="I1069" s="68"/>
      <c r="J1069" s="68"/>
      <c r="K1069" s="32"/>
      <c r="L1069" s="75">
        <v>1069</v>
      </c>
      <c r="M1069" s="75"/>
      <c r="N1069" s="70"/>
      <c r="O1069" s="77" t="s">
        <v>969</v>
      </c>
      <c r="P1069" s="79">
        <v>44997.055717592593</v>
      </c>
      <c r="Q1069" s="77" t="s">
        <v>1869</v>
      </c>
      <c r="R1069" s="77">
        <v>0</v>
      </c>
      <c r="S1069" s="77">
        <v>0</v>
      </c>
      <c r="T1069" s="77">
        <v>0</v>
      </c>
      <c r="U1069" s="77">
        <v>0</v>
      </c>
      <c r="V1069" s="77">
        <v>14</v>
      </c>
      <c r="W1069" s="81" t="s">
        <v>3462</v>
      </c>
      <c r="X1069" s="77"/>
      <c r="Y1069" s="77"/>
      <c r="Z1069" s="77" t="s">
        <v>4375</v>
      </c>
      <c r="AA1069" s="77"/>
      <c r="AB1069" s="77"/>
      <c r="AC1069" s="81" t="s">
        <v>5803</v>
      </c>
      <c r="AD1069" s="77" t="s">
        <v>5850</v>
      </c>
      <c r="AE1069" s="83" t="str">
        <f>HYPERLINK("https://twitter.com/mariana64692094/status/1634725957159223296")</f>
        <v>https://twitter.com/mariana64692094/status/1634725957159223296</v>
      </c>
      <c r="AF1069" s="79">
        <v>44997.055717592593</v>
      </c>
      <c r="AG1069" s="85">
        <v>44997</v>
      </c>
      <c r="AH1069" s="81" t="s">
        <v>6735</v>
      </c>
      <c r="AI1069" s="77"/>
      <c r="AJ1069" s="77"/>
      <c r="AK1069" s="77"/>
      <c r="AL1069" s="77"/>
      <c r="AM1069" s="77"/>
      <c r="AN1069" s="77"/>
      <c r="AO1069" s="77"/>
      <c r="AP1069" s="77"/>
      <c r="AQ1069" s="77"/>
      <c r="AR1069" s="77"/>
      <c r="AS1069" s="77"/>
      <c r="AT1069" s="77"/>
      <c r="AU1069" s="77"/>
      <c r="AV1069" s="83" t="str">
        <f>HYPERLINK("https://pbs.twimg.com/profile_images/1554626465731383298/9KudSdu0_normal.jpg")</f>
        <v>https://pbs.twimg.com/profile_images/1554626465731383298/9KudSdu0_normal.jpg</v>
      </c>
      <c r="AW1069" s="81" t="s">
        <v>10191</v>
      </c>
      <c r="AX1069" s="81" t="s">
        <v>11284</v>
      </c>
      <c r="AY1069" s="81" t="s">
        <v>11334</v>
      </c>
      <c r="AZ1069" s="81" t="s">
        <v>11284</v>
      </c>
      <c r="BA1069" s="81" t="s">
        <v>11359</v>
      </c>
      <c r="BB1069" s="81" t="s">
        <v>11359</v>
      </c>
      <c r="BC1069" s="81" t="s">
        <v>11284</v>
      </c>
      <c r="BD1069" s="81" t="s">
        <v>11523</v>
      </c>
      <c r="BE1069" s="77"/>
      <c r="BF1069" s="77"/>
      <c r="BG1069" s="77"/>
      <c r="BH1069" s="77"/>
      <c r="BI1069" s="77"/>
    </row>
    <row r="1070" spans="1:61" x14ac:dyDescent="0.25">
      <c r="A1070" s="62" t="s">
        <v>460</v>
      </c>
      <c r="B1070" s="62" t="s">
        <v>923</v>
      </c>
      <c r="C1070" s="63"/>
      <c r="D1070" s="64"/>
      <c r="E1070" s="65"/>
      <c r="F1070" s="66"/>
      <c r="G1070" s="63"/>
      <c r="H1070" s="67"/>
      <c r="I1070" s="68"/>
      <c r="J1070" s="68"/>
      <c r="K1070" s="32"/>
      <c r="L1070" s="75">
        <v>1070</v>
      </c>
      <c r="M1070" s="75"/>
      <c r="N1070" s="70"/>
      <c r="O1070" s="77" t="s">
        <v>969</v>
      </c>
      <c r="P1070" s="79">
        <v>44997.016608796293</v>
      </c>
      <c r="Q1070" s="77" t="s">
        <v>1870</v>
      </c>
      <c r="R1070" s="77">
        <v>0</v>
      </c>
      <c r="S1070" s="77">
        <v>0</v>
      </c>
      <c r="T1070" s="77">
        <v>0</v>
      </c>
      <c r="U1070" s="77">
        <v>0</v>
      </c>
      <c r="V1070" s="77">
        <v>14</v>
      </c>
      <c r="W1070" s="81" t="s">
        <v>3463</v>
      </c>
      <c r="X1070" s="77"/>
      <c r="Y1070" s="77"/>
      <c r="Z1070" s="77" t="s">
        <v>4376</v>
      </c>
      <c r="AA1070" s="77"/>
      <c r="AB1070" s="77"/>
      <c r="AC1070" s="81" t="s">
        <v>5803</v>
      </c>
      <c r="AD1070" s="77" t="s">
        <v>5850</v>
      </c>
      <c r="AE1070" s="83" t="str">
        <f>HYPERLINK("https://twitter.com/mariana64692094/status/1634711785662996482")</f>
        <v>https://twitter.com/mariana64692094/status/1634711785662996482</v>
      </c>
      <c r="AF1070" s="79">
        <v>44997.016608796293</v>
      </c>
      <c r="AG1070" s="85">
        <v>44997</v>
      </c>
      <c r="AH1070" s="81" t="s">
        <v>6736</v>
      </c>
      <c r="AI1070" s="77"/>
      <c r="AJ1070" s="77"/>
      <c r="AK1070" s="77"/>
      <c r="AL1070" s="77"/>
      <c r="AM1070" s="77"/>
      <c r="AN1070" s="77"/>
      <c r="AO1070" s="77"/>
      <c r="AP1070" s="77"/>
      <c r="AQ1070" s="77"/>
      <c r="AR1070" s="77"/>
      <c r="AS1070" s="77"/>
      <c r="AT1070" s="77"/>
      <c r="AU1070" s="77"/>
      <c r="AV1070" s="83" t="str">
        <f>HYPERLINK("https://pbs.twimg.com/profile_images/1554626465731383298/9KudSdu0_normal.jpg")</f>
        <v>https://pbs.twimg.com/profile_images/1554626465731383298/9KudSdu0_normal.jpg</v>
      </c>
      <c r="AW1070" s="81" t="s">
        <v>10192</v>
      </c>
      <c r="AX1070" s="81" t="s">
        <v>11285</v>
      </c>
      <c r="AY1070" s="81" t="s">
        <v>11334</v>
      </c>
      <c r="AZ1070" s="81" t="s">
        <v>11285</v>
      </c>
      <c r="BA1070" s="81" t="s">
        <v>11359</v>
      </c>
      <c r="BB1070" s="81" t="s">
        <v>11359</v>
      </c>
      <c r="BC1070" s="81" t="s">
        <v>11285</v>
      </c>
      <c r="BD1070" s="81" t="s">
        <v>11523</v>
      </c>
      <c r="BE1070" s="77"/>
      <c r="BF1070" s="77"/>
      <c r="BG1070" s="77"/>
      <c r="BH1070" s="77"/>
      <c r="BI1070" s="77"/>
    </row>
    <row r="1071" spans="1:61" x14ac:dyDescent="0.25">
      <c r="A1071" s="62" t="s">
        <v>461</v>
      </c>
      <c r="B1071" s="62" t="s">
        <v>461</v>
      </c>
      <c r="C1071" s="63"/>
      <c r="D1071" s="64"/>
      <c r="E1071" s="65"/>
      <c r="F1071" s="66"/>
      <c r="G1071" s="63"/>
      <c r="H1071" s="67"/>
      <c r="I1071" s="68"/>
      <c r="J1071" s="68"/>
      <c r="K1071" s="32"/>
      <c r="L1071" s="75">
        <v>1071</v>
      </c>
      <c r="M1071" s="75"/>
      <c r="N1071" s="70"/>
      <c r="O1071" s="77" t="s">
        <v>179</v>
      </c>
      <c r="P1071" s="79">
        <v>44930.666967592595</v>
      </c>
      <c r="Q1071" s="77" t="s">
        <v>1871</v>
      </c>
      <c r="R1071" s="77">
        <v>0</v>
      </c>
      <c r="S1071" s="77">
        <v>0</v>
      </c>
      <c r="T1071" s="77">
        <v>0</v>
      </c>
      <c r="U1071" s="77">
        <v>0</v>
      </c>
      <c r="V1071" s="77">
        <v>241</v>
      </c>
      <c r="W1071" s="81" t="s">
        <v>3464</v>
      </c>
      <c r="X1071" s="83" t="str">
        <f>HYPERLINK("https://buff.ly/3WRSxnx")</f>
        <v>https://buff.ly/3WRSxnx</v>
      </c>
      <c r="Y1071" s="77" t="s">
        <v>4281</v>
      </c>
      <c r="Z1071" s="77"/>
      <c r="AA1071" s="77" t="s">
        <v>5092</v>
      </c>
      <c r="AB1071" s="77" t="s">
        <v>5794</v>
      </c>
      <c r="AC1071" s="81" t="s">
        <v>5828</v>
      </c>
      <c r="AD1071" s="77" t="s">
        <v>5850</v>
      </c>
      <c r="AE1071" s="83" t="str">
        <f>HYPERLINK("https://twitter.com/jobomas/status/1610667478819930116")</f>
        <v>https://twitter.com/jobomas/status/1610667478819930116</v>
      </c>
      <c r="AF1071" s="79">
        <v>44930.666967592595</v>
      </c>
      <c r="AG1071" s="85">
        <v>44930</v>
      </c>
      <c r="AH1071" s="81" t="s">
        <v>6737</v>
      </c>
      <c r="AI1071" s="77" t="b">
        <v>0</v>
      </c>
      <c r="AJ1071" s="77"/>
      <c r="AK1071" s="77"/>
      <c r="AL1071" s="77"/>
      <c r="AM1071" s="77"/>
      <c r="AN1071" s="77"/>
      <c r="AO1071" s="77"/>
      <c r="AP1071" s="77"/>
      <c r="AQ1071" s="77" t="s">
        <v>8595</v>
      </c>
      <c r="AR1071" s="77"/>
      <c r="AS1071" s="77"/>
      <c r="AT1071" s="77"/>
      <c r="AU1071" s="77"/>
      <c r="AV1071" s="83" t="str">
        <f>HYPERLINK("https://pbs.twimg.com/media/Flo9iLYWIAsN06x.jpg")</f>
        <v>https://pbs.twimg.com/media/Flo9iLYWIAsN06x.jpg</v>
      </c>
      <c r="AW1071" s="81" t="s">
        <v>10193</v>
      </c>
      <c r="AX1071" s="81" t="s">
        <v>10193</v>
      </c>
      <c r="AY1071" s="77"/>
      <c r="AZ1071" s="81" t="s">
        <v>11359</v>
      </c>
      <c r="BA1071" s="81" t="s">
        <v>11359</v>
      </c>
      <c r="BB1071" s="81" t="s">
        <v>11359</v>
      </c>
      <c r="BC1071" s="81" t="s">
        <v>10193</v>
      </c>
      <c r="BD1071" s="77">
        <v>85383413</v>
      </c>
      <c r="BE1071" s="77"/>
      <c r="BF1071" s="77"/>
      <c r="BG1071" s="77"/>
      <c r="BH1071" s="77"/>
      <c r="BI1071" s="77"/>
    </row>
    <row r="1072" spans="1:61" x14ac:dyDescent="0.25">
      <c r="A1072" s="62" t="s">
        <v>462</v>
      </c>
      <c r="B1072" s="62" t="s">
        <v>462</v>
      </c>
      <c r="C1072" s="63"/>
      <c r="D1072" s="64"/>
      <c r="E1072" s="65"/>
      <c r="F1072" s="66"/>
      <c r="G1072" s="63"/>
      <c r="H1072" s="67"/>
      <c r="I1072" s="68"/>
      <c r="J1072" s="68"/>
      <c r="K1072" s="32"/>
      <c r="L1072" s="75">
        <v>1072</v>
      </c>
      <c r="M1072" s="75"/>
      <c r="N1072" s="70"/>
      <c r="O1072" s="77" t="s">
        <v>179</v>
      </c>
      <c r="P1072" s="79">
        <v>45131.573171296295</v>
      </c>
      <c r="Q1072" s="77" t="s">
        <v>1872</v>
      </c>
      <c r="R1072" s="77">
        <v>0</v>
      </c>
      <c r="S1072" s="77">
        <v>0</v>
      </c>
      <c r="T1072" s="77">
        <v>0</v>
      </c>
      <c r="U1072" s="77">
        <v>0</v>
      </c>
      <c r="V1072" s="77">
        <v>37</v>
      </c>
      <c r="W1072" s="81" t="s">
        <v>3465</v>
      </c>
      <c r="X1072" s="77"/>
      <c r="Y1072" s="77"/>
      <c r="Z1072" s="77"/>
      <c r="AA1072" s="77" t="s">
        <v>5093</v>
      </c>
      <c r="AB1072" s="77" t="s">
        <v>5794</v>
      </c>
      <c r="AC1072" s="81" t="s">
        <v>5808</v>
      </c>
      <c r="AD1072" s="77" t="s">
        <v>5851</v>
      </c>
      <c r="AE1072" s="83" t="str">
        <f>HYPERLINK("https://twitter.com/automafast/status/1683473450105446403")</f>
        <v>https://twitter.com/automafast/status/1683473450105446403</v>
      </c>
      <c r="AF1072" s="79">
        <v>45131.573171296295</v>
      </c>
      <c r="AG1072" s="85">
        <v>45131</v>
      </c>
      <c r="AH1072" s="81" t="s">
        <v>6738</v>
      </c>
      <c r="AI1072" s="77" t="b">
        <v>0</v>
      </c>
      <c r="AJ1072" s="77"/>
      <c r="AK1072" s="77"/>
      <c r="AL1072" s="77"/>
      <c r="AM1072" s="77"/>
      <c r="AN1072" s="77"/>
      <c r="AO1072" s="77"/>
      <c r="AP1072" s="77"/>
      <c r="AQ1072" s="77" t="s">
        <v>8596</v>
      </c>
      <c r="AR1072" s="77"/>
      <c r="AS1072" s="77"/>
      <c r="AT1072" s="77"/>
      <c r="AU1072" s="77"/>
      <c r="AV1072" s="83" t="str">
        <f>HYPERLINK("https://pbs.twimg.com/media/F1zmLhfXwAIasKr.jpg")</f>
        <v>https://pbs.twimg.com/media/F1zmLhfXwAIasKr.jpg</v>
      </c>
      <c r="AW1072" s="81" t="s">
        <v>10194</v>
      </c>
      <c r="AX1072" s="81" t="s">
        <v>10194</v>
      </c>
      <c r="AY1072" s="77"/>
      <c r="AZ1072" s="81" t="s">
        <v>11359</v>
      </c>
      <c r="BA1072" s="81" t="s">
        <v>11359</v>
      </c>
      <c r="BB1072" s="81" t="s">
        <v>11359</v>
      </c>
      <c r="BC1072" s="81" t="s">
        <v>10194</v>
      </c>
      <c r="BD1072" s="77">
        <v>140144336</v>
      </c>
      <c r="BE1072" s="77"/>
      <c r="BF1072" s="77"/>
      <c r="BG1072" s="77"/>
      <c r="BH1072" s="77"/>
      <c r="BI1072" s="77"/>
    </row>
    <row r="1073" spans="1:61" x14ac:dyDescent="0.25">
      <c r="A1073" s="62" t="s">
        <v>463</v>
      </c>
      <c r="B1073" s="62" t="s">
        <v>463</v>
      </c>
      <c r="C1073" s="63"/>
      <c r="D1073" s="64"/>
      <c r="E1073" s="65"/>
      <c r="F1073" s="66"/>
      <c r="G1073" s="63"/>
      <c r="H1073" s="67"/>
      <c r="I1073" s="68"/>
      <c r="J1073" s="68"/>
      <c r="K1073" s="32"/>
      <c r="L1073" s="75">
        <v>1073</v>
      </c>
      <c r="M1073" s="75"/>
      <c r="N1073" s="70"/>
      <c r="O1073" s="77" t="s">
        <v>179</v>
      </c>
      <c r="P1073" s="79">
        <v>44972.914247685185</v>
      </c>
      <c r="Q1073" s="77" t="s">
        <v>1873</v>
      </c>
      <c r="R1073" s="77">
        <v>1</v>
      </c>
      <c r="S1073" s="77">
        <v>0</v>
      </c>
      <c r="T1073" s="77">
        <v>0</v>
      </c>
      <c r="U1073" s="77">
        <v>0</v>
      </c>
      <c r="V1073" s="77">
        <v>94</v>
      </c>
      <c r="W1073" s="81" t="s">
        <v>3466</v>
      </c>
      <c r="X1073" s="77" t="s">
        <v>4186</v>
      </c>
      <c r="Y1073" s="77" t="s">
        <v>4282</v>
      </c>
      <c r="Z1073" s="77"/>
      <c r="AA1073" s="77"/>
      <c r="AB1073" s="77"/>
      <c r="AC1073" s="81" t="s">
        <v>5810</v>
      </c>
      <c r="AD1073" s="77" t="s">
        <v>5850</v>
      </c>
      <c r="AE1073" s="83" t="str">
        <f>HYPERLINK("https://twitter.com/molkiades/status/1625977381377769476")</f>
        <v>https://twitter.com/molkiades/status/1625977381377769476</v>
      </c>
      <c r="AF1073" s="79">
        <v>44972.914247685185</v>
      </c>
      <c r="AG1073" s="85">
        <v>44972</v>
      </c>
      <c r="AH1073" s="81" t="s">
        <v>6739</v>
      </c>
      <c r="AI1073" s="77" t="b">
        <v>0</v>
      </c>
      <c r="AJ1073" s="77"/>
      <c r="AK1073" s="77"/>
      <c r="AL1073" s="77"/>
      <c r="AM1073" s="77"/>
      <c r="AN1073" s="77"/>
      <c r="AO1073" s="77"/>
      <c r="AP1073" s="77"/>
      <c r="AQ1073" s="77"/>
      <c r="AR1073" s="77"/>
      <c r="AS1073" s="77"/>
      <c r="AT1073" s="77"/>
      <c r="AU1073" s="77"/>
      <c r="AV1073" s="83" t="str">
        <f>HYPERLINK("https://pbs.twimg.com/profile_images/1412179882155589633/dwDG_mG3_normal.jpg")</f>
        <v>https://pbs.twimg.com/profile_images/1412179882155589633/dwDG_mG3_normal.jpg</v>
      </c>
      <c r="AW1073" s="81" t="s">
        <v>10195</v>
      </c>
      <c r="AX1073" s="81" t="s">
        <v>10195</v>
      </c>
      <c r="AY1073" s="77"/>
      <c r="AZ1073" s="81" t="s">
        <v>11359</v>
      </c>
      <c r="BA1073" s="81" t="s">
        <v>11359</v>
      </c>
      <c r="BB1073" s="81" t="s">
        <v>11359</v>
      </c>
      <c r="BC1073" s="81" t="s">
        <v>10195</v>
      </c>
      <c r="BD1073" s="77">
        <v>294798908</v>
      </c>
      <c r="BE1073" s="77"/>
      <c r="BF1073" s="77"/>
      <c r="BG1073" s="77"/>
      <c r="BH1073" s="77"/>
      <c r="BI1073" s="77"/>
    </row>
    <row r="1074" spans="1:61" x14ac:dyDescent="0.25">
      <c r="A1074" s="62" t="s">
        <v>464</v>
      </c>
      <c r="B1074" s="62" t="s">
        <v>464</v>
      </c>
      <c r="C1074" s="63"/>
      <c r="D1074" s="64"/>
      <c r="E1074" s="65"/>
      <c r="F1074" s="66"/>
      <c r="G1074" s="63"/>
      <c r="H1074" s="67"/>
      <c r="I1074" s="68"/>
      <c r="J1074" s="68"/>
      <c r="K1074" s="32"/>
      <c r="L1074" s="75">
        <v>1074</v>
      </c>
      <c r="M1074" s="75"/>
      <c r="N1074" s="70"/>
      <c r="O1074" s="77" t="s">
        <v>179</v>
      </c>
      <c r="P1074" s="79">
        <v>44993.719502314816</v>
      </c>
      <c r="Q1074" s="77" t="s">
        <v>1874</v>
      </c>
      <c r="R1074" s="77">
        <v>0</v>
      </c>
      <c r="S1074" s="77">
        <v>0</v>
      </c>
      <c r="T1074" s="77">
        <v>0</v>
      </c>
      <c r="U1074" s="77">
        <v>0</v>
      </c>
      <c r="V1074" s="77">
        <v>21</v>
      </c>
      <c r="W1074" s="81" t="s">
        <v>3467</v>
      </c>
      <c r="X1074" s="83" t="str">
        <f>HYPERLINK("https://www.netcarreiras.com.br/vaga-vendedor-interno-112431#.ZAjC1HxTPNE.twitter")</f>
        <v>https://www.netcarreiras.com.br/vaga-vendedor-interno-112431#.ZAjC1HxTPNE.twitter</v>
      </c>
      <c r="Y1074" s="77" t="s">
        <v>4223</v>
      </c>
      <c r="Z1074" s="77"/>
      <c r="AA1074" s="77"/>
      <c r="AB1074" s="77"/>
      <c r="AC1074" s="81" t="s">
        <v>5805</v>
      </c>
      <c r="AD1074" s="77" t="s">
        <v>5851</v>
      </c>
      <c r="AE1074" s="83" t="str">
        <f>HYPERLINK("https://twitter.com/netcarreiras/status/1633516952860729359")</f>
        <v>https://twitter.com/netcarreiras/status/1633516952860729359</v>
      </c>
      <c r="AF1074" s="79">
        <v>44993.719502314816</v>
      </c>
      <c r="AG1074" s="85">
        <v>44993</v>
      </c>
      <c r="AH1074" s="81" t="s">
        <v>6740</v>
      </c>
      <c r="AI1074" s="77" t="b">
        <v>0</v>
      </c>
      <c r="AJ1074" s="77"/>
      <c r="AK1074" s="77"/>
      <c r="AL1074" s="77"/>
      <c r="AM1074" s="77"/>
      <c r="AN1074" s="77"/>
      <c r="AO1074" s="77"/>
      <c r="AP1074" s="77"/>
      <c r="AQ1074" s="77"/>
      <c r="AR1074" s="77"/>
      <c r="AS1074" s="77"/>
      <c r="AT1074" s="77"/>
      <c r="AU1074" s="77"/>
      <c r="AV1074" s="83" t="str">
        <f>HYPERLINK("https://pbs.twimg.com/profile_images/1608159721793507329/Ze5iV_bj_normal.jpg")</f>
        <v>https://pbs.twimg.com/profile_images/1608159721793507329/Ze5iV_bj_normal.jpg</v>
      </c>
      <c r="AW1074" s="81" t="s">
        <v>10196</v>
      </c>
      <c r="AX1074" s="81" t="s">
        <v>10196</v>
      </c>
      <c r="AY1074" s="77"/>
      <c r="AZ1074" s="81" t="s">
        <v>11359</v>
      </c>
      <c r="BA1074" s="81" t="s">
        <v>11359</v>
      </c>
      <c r="BB1074" s="81" t="s">
        <v>11359</v>
      </c>
      <c r="BC1074" s="81" t="s">
        <v>10196</v>
      </c>
      <c r="BD1074" s="77">
        <v>119107732</v>
      </c>
      <c r="BE1074" s="77"/>
      <c r="BF1074" s="77"/>
      <c r="BG1074" s="77"/>
      <c r="BH1074" s="77"/>
      <c r="BI1074" s="77"/>
    </row>
    <row r="1075" spans="1:61" x14ac:dyDescent="0.25">
      <c r="A1075" s="62" t="s">
        <v>464</v>
      </c>
      <c r="B1075" s="62" t="s">
        <v>464</v>
      </c>
      <c r="C1075" s="63"/>
      <c r="D1075" s="64"/>
      <c r="E1075" s="65"/>
      <c r="F1075" s="66"/>
      <c r="G1075" s="63"/>
      <c r="H1075" s="67"/>
      <c r="I1075" s="68"/>
      <c r="J1075" s="68"/>
      <c r="K1075" s="32"/>
      <c r="L1075" s="75">
        <v>1075</v>
      </c>
      <c r="M1075" s="75"/>
      <c r="N1075" s="70"/>
      <c r="O1075" s="77" t="s">
        <v>179</v>
      </c>
      <c r="P1075" s="79">
        <v>45042.751469907409</v>
      </c>
      <c r="Q1075" s="77" t="s">
        <v>1875</v>
      </c>
      <c r="R1075" s="77">
        <v>0</v>
      </c>
      <c r="S1075" s="77">
        <v>0</v>
      </c>
      <c r="T1075" s="77">
        <v>0</v>
      </c>
      <c r="U1075" s="77">
        <v>0</v>
      </c>
      <c r="V1075" s="77">
        <v>68</v>
      </c>
      <c r="W1075" s="81" t="s">
        <v>3468</v>
      </c>
      <c r="X1075" s="83" t="str">
        <f>HYPERLINK("https://www.netcarreiras.com.br/vaga-vendedor-e-commerce-112614#.ZElnFjP5GLs.twitter")</f>
        <v>https://www.netcarreiras.com.br/vaga-vendedor-e-commerce-112614#.ZElnFjP5GLs.twitter</v>
      </c>
      <c r="Y1075" s="77" t="s">
        <v>4223</v>
      </c>
      <c r="Z1075" s="77"/>
      <c r="AA1075" s="77"/>
      <c r="AB1075" s="77"/>
      <c r="AC1075" s="81" t="s">
        <v>5805</v>
      </c>
      <c r="AD1075" s="77" t="s">
        <v>5851</v>
      </c>
      <c r="AE1075" s="83" t="str">
        <f>HYPERLINK("https://twitter.com/netcarreiras/status/1651285542754025473")</f>
        <v>https://twitter.com/netcarreiras/status/1651285542754025473</v>
      </c>
      <c r="AF1075" s="79">
        <v>45042.751469907409</v>
      </c>
      <c r="AG1075" s="85">
        <v>45042</v>
      </c>
      <c r="AH1075" s="81" t="s">
        <v>6741</v>
      </c>
      <c r="AI1075" s="77" t="b">
        <v>0</v>
      </c>
      <c r="AJ1075" s="77"/>
      <c r="AK1075" s="77"/>
      <c r="AL1075" s="77"/>
      <c r="AM1075" s="77"/>
      <c r="AN1075" s="77"/>
      <c r="AO1075" s="77"/>
      <c r="AP1075" s="77"/>
      <c r="AQ1075" s="77"/>
      <c r="AR1075" s="77"/>
      <c r="AS1075" s="77"/>
      <c r="AT1075" s="77"/>
      <c r="AU1075" s="77"/>
      <c r="AV1075" s="83" t="str">
        <f>HYPERLINK("https://pbs.twimg.com/profile_images/1608159721793507329/Ze5iV_bj_normal.jpg")</f>
        <v>https://pbs.twimg.com/profile_images/1608159721793507329/Ze5iV_bj_normal.jpg</v>
      </c>
      <c r="AW1075" s="81" t="s">
        <v>10197</v>
      </c>
      <c r="AX1075" s="81" t="s">
        <v>10197</v>
      </c>
      <c r="AY1075" s="77"/>
      <c r="AZ1075" s="81" t="s">
        <v>11359</v>
      </c>
      <c r="BA1075" s="81" t="s">
        <v>11359</v>
      </c>
      <c r="BB1075" s="81" t="s">
        <v>11359</v>
      </c>
      <c r="BC1075" s="81" t="s">
        <v>10197</v>
      </c>
      <c r="BD1075" s="77">
        <v>119107732</v>
      </c>
      <c r="BE1075" s="77"/>
      <c r="BF1075" s="77"/>
      <c r="BG1075" s="77"/>
      <c r="BH1075" s="77"/>
      <c r="BI1075" s="77"/>
    </row>
    <row r="1076" spans="1:61" x14ac:dyDescent="0.25">
      <c r="A1076" s="62" t="s">
        <v>464</v>
      </c>
      <c r="B1076" s="62" t="s">
        <v>464</v>
      </c>
      <c r="C1076" s="63"/>
      <c r="D1076" s="64"/>
      <c r="E1076" s="65"/>
      <c r="F1076" s="66"/>
      <c r="G1076" s="63"/>
      <c r="H1076" s="67"/>
      <c r="I1076" s="68"/>
      <c r="J1076" s="68"/>
      <c r="K1076" s="32"/>
      <c r="L1076" s="75">
        <v>1076</v>
      </c>
      <c r="M1076" s="75"/>
      <c r="N1076" s="70"/>
      <c r="O1076" s="77" t="s">
        <v>179</v>
      </c>
      <c r="P1076" s="79">
        <v>45002.156747685185</v>
      </c>
      <c r="Q1076" s="77" t="s">
        <v>1876</v>
      </c>
      <c r="R1076" s="77">
        <v>0</v>
      </c>
      <c r="S1076" s="77">
        <v>0</v>
      </c>
      <c r="T1076" s="77">
        <v>0</v>
      </c>
      <c r="U1076" s="77">
        <v>0</v>
      </c>
      <c r="V1076" s="77">
        <v>26</v>
      </c>
      <c r="W1076" s="81" t="s">
        <v>3469</v>
      </c>
      <c r="X1076" s="83" t="str">
        <f>HYPERLINK("https://www.netcarreiras.com.br/vaga-vendedor-externo-112495#.ZBPiZXvSa0s.twitter")</f>
        <v>https://www.netcarreiras.com.br/vaga-vendedor-externo-112495#.ZBPiZXvSa0s.twitter</v>
      </c>
      <c r="Y1076" s="77" t="s">
        <v>4223</v>
      </c>
      <c r="Z1076" s="77"/>
      <c r="AA1076" s="77"/>
      <c r="AB1076" s="77"/>
      <c r="AC1076" s="81" t="s">
        <v>5805</v>
      </c>
      <c r="AD1076" s="77" t="s">
        <v>5851</v>
      </c>
      <c r="AE1076" s="83" t="str">
        <f>HYPERLINK("https://twitter.com/netcarreiras/status/1636574506629120000")</f>
        <v>https://twitter.com/netcarreiras/status/1636574506629120000</v>
      </c>
      <c r="AF1076" s="79">
        <v>45002.156747685185</v>
      </c>
      <c r="AG1076" s="85">
        <v>45002</v>
      </c>
      <c r="AH1076" s="81" t="s">
        <v>6742</v>
      </c>
      <c r="AI1076" s="77" t="b">
        <v>0</v>
      </c>
      <c r="AJ1076" s="77"/>
      <c r="AK1076" s="77"/>
      <c r="AL1076" s="77"/>
      <c r="AM1076" s="77"/>
      <c r="AN1076" s="77"/>
      <c r="AO1076" s="77"/>
      <c r="AP1076" s="77"/>
      <c r="AQ1076" s="77"/>
      <c r="AR1076" s="77"/>
      <c r="AS1076" s="77"/>
      <c r="AT1076" s="77"/>
      <c r="AU1076" s="77"/>
      <c r="AV1076" s="83" t="str">
        <f>HYPERLINK("https://pbs.twimg.com/profile_images/1608159721793507329/Ze5iV_bj_normal.jpg")</f>
        <v>https://pbs.twimg.com/profile_images/1608159721793507329/Ze5iV_bj_normal.jpg</v>
      </c>
      <c r="AW1076" s="81" t="s">
        <v>10198</v>
      </c>
      <c r="AX1076" s="81" t="s">
        <v>10198</v>
      </c>
      <c r="AY1076" s="77"/>
      <c r="AZ1076" s="81" t="s">
        <v>11359</v>
      </c>
      <c r="BA1076" s="81" t="s">
        <v>11359</v>
      </c>
      <c r="BB1076" s="81" t="s">
        <v>11359</v>
      </c>
      <c r="BC1076" s="81" t="s">
        <v>10198</v>
      </c>
      <c r="BD1076" s="77">
        <v>119107732</v>
      </c>
      <c r="BE1076" s="77"/>
      <c r="BF1076" s="77"/>
      <c r="BG1076" s="77"/>
      <c r="BH1076" s="77"/>
      <c r="BI1076" s="77"/>
    </row>
    <row r="1077" spans="1:61" x14ac:dyDescent="0.25">
      <c r="A1077" s="62" t="s">
        <v>464</v>
      </c>
      <c r="B1077" s="62" t="s">
        <v>464</v>
      </c>
      <c r="C1077" s="63"/>
      <c r="D1077" s="64"/>
      <c r="E1077" s="65"/>
      <c r="F1077" s="66"/>
      <c r="G1077" s="63"/>
      <c r="H1077" s="67"/>
      <c r="I1077" s="68"/>
      <c r="J1077" s="68"/>
      <c r="K1077" s="32"/>
      <c r="L1077" s="75">
        <v>1077</v>
      </c>
      <c r="M1077" s="75"/>
      <c r="N1077" s="70"/>
      <c r="O1077" s="77" t="s">
        <v>179</v>
      </c>
      <c r="P1077" s="79">
        <v>45002.156712962962</v>
      </c>
      <c r="Q1077" s="77" t="s">
        <v>1877</v>
      </c>
      <c r="R1077" s="77">
        <v>0</v>
      </c>
      <c r="S1077" s="77">
        <v>0</v>
      </c>
      <c r="T1077" s="77">
        <v>0</v>
      </c>
      <c r="U1077" s="77">
        <v>0</v>
      </c>
      <c r="V1077" s="77">
        <v>31</v>
      </c>
      <c r="W1077" s="81" t="s">
        <v>3470</v>
      </c>
      <c r="X1077" s="83" t="str">
        <f>HYPERLINK("https://www.netcarreiras.com.br/vaga-vendedor-internacional-112494#.ZBPiYp1gPIg.twitter")</f>
        <v>https://www.netcarreiras.com.br/vaga-vendedor-internacional-112494#.ZBPiYp1gPIg.twitter</v>
      </c>
      <c r="Y1077" s="77" t="s">
        <v>4223</v>
      </c>
      <c r="Z1077" s="77"/>
      <c r="AA1077" s="77"/>
      <c r="AB1077" s="77"/>
      <c r="AC1077" s="81" t="s">
        <v>5805</v>
      </c>
      <c r="AD1077" s="77" t="s">
        <v>5851</v>
      </c>
      <c r="AE1077" s="83" t="str">
        <f>HYPERLINK("https://twitter.com/netcarreiras/status/1636574497284190208")</f>
        <v>https://twitter.com/netcarreiras/status/1636574497284190208</v>
      </c>
      <c r="AF1077" s="79">
        <v>45002.156712962962</v>
      </c>
      <c r="AG1077" s="85">
        <v>45002</v>
      </c>
      <c r="AH1077" s="81" t="s">
        <v>6743</v>
      </c>
      <c r="AI1077" s="77" t="b">
        <v>0</v>
      </c>
      <c r="AJ1077" s="77"/>
      <c r="AK1077" s="77"/>
      <c r="AL1077" s="77"/>
      <c r="AM1077" s="77"/>
      <c r="AN1077" s="77"/>
      <c r="AO1077" s="77"/>
      <c r="AP1077" s="77"/>
      <c r="AQ1077" s="77"/>
      <c r="AR1077" s="77"/>
      <c r="AS1077" s="77"/>
      <c r="AT1077" s="77"/>
      <c r="AU1077" s="77"/>
      <c r="AV1077" s="83" t="str">
        <f>HYPERLINK("https://pbs.twimg.com/profile_images/1608159721793507329/Ze5iV_bj_normal.jpg")</f>
        <v>https://pbs.twimg.com/profile_images/1608159721793507329/Ze5iV_bj_normal.jpg</v>
      </c>
      <c r="AW1077" s="81" t="s">
        <v>10199</v>
      </c>
      <c r="AX1077" s="81" t="s">
        <v>10199</v>
      </c>
      <c r="AY1077" s="77"/>
      <c r="AZ1077" s="81" t="s">
        <v>11359</v>
      </c>
      <c r="BA1077" s="81" t="s">
        <v>11359</v>
      </c>
      <c r="BB1077" s="81" t="s">
        <v>11359</v>
      </c>
      <c r="BC1077" s="81" t="s">
        <v>10199</v>
      </c>
      <c r="BD1077" s="77">
        <v>119107732</v>
      </c>
      <c r="BE1077" s="77"/>
      <c r="BF1077" s="77"/>
      <c r="BG1077" s="77"/>
      <c r="BH1077" s="77"/>
      <c r="BI1077" s="77"/>
    </row>
    <row r="1078" spans="1:61" x14ac:dyDescent="0.25">
      <c r="A1078" s="62" t="s">
        <v>464</v>
      </c>
      <c r="B1078" s="62" t="s">
        <v>464</v>
      </c>
      <c r="C1078" s="63"/>
      <c r="D1078" s="64"/>
      <c r="E1078" s="65"/>
      <c r="F1078" s="66"/>
      <c r="G1078" s="63"/>
      <c r="H1078" s="67"/>
      <c r="I1078" s="68"/>
      <c r="J1078" s="68"/>
      <c r="K1078" s="32"/>
      <c r="L1078" s="75">
        <v>1078</v>
      </c>
      <c r="M1078" s="75"/>
      <c r="N1078" s="70"/>
      <c r="O1078" s="77" t="s">
        <v>179</v>
      </c>
      <c r="P1078" s="79">
        <v>45001.776134259257</v>
      </c>
      <c r="Q1078" s="77" t="s">
        <v>1878</v>
      </c>
      <c r="R1078" s="77">
        <v>0</v>
      </c>
      <c r="S1078" s="77">
        <v>0</v>
      </c>
      <c r="T1078" s="77">
        <v>0</v>
      </c>
      <c r="U1078" s="77">
        <v>0</v>
      </c>
      <c r="V1078" s="77">
        <v>31</v>
      </c>
      <c r="W1078" s="81" t="s">
        <v>3471</v>
      </c>
      <c r="X1078" s="83" t="str">
        <f>HYPERLINK("https://www.netcarreiras.com.br/vaga-vendedor-112488#.ZBNh8LvMPVk.twitter")</f>
        <v>https://www.netcarreiras.com.br/vaga-vendedor-112488#.ZBNh8LvMPVk.twitter</v>
      </c>
      <c r="Y1078" s="77" t="s">
        <v>4223</v>
      </c>
      <c r="Z1078" s="77"/>
      <c r="AA1078" s="77"/>
      <c r="AB1078" s="77"/>
      <c r="AC1078" s="81" t="s">
        <v>5805</v>
      </c>
      <c r="AD1078" s="77" t="s">
        <v>5851</v>
      </c>
      <c r="AE1078" s="83" t="str">
        <f>HYPERLINK("https://twitter.com/netcarreiras/status/1636436576463929351")</f>
        <v>https://twitter.com/netcarreiras/status/1636436576463929351</v>
      </c>
      <c r="AF1078" s="79">
        <v>45001.776134259257</v>
      </c>
      <c r="AG1078" s="85">
        <v>45001</v>
      </c>
      <c r="AH1078" s="81" t="s">
        <v>6744</v>
      </c>
      <c r="AI1078" s="77" t="b">
        <v>0</v>
      </c>
      <c r="AJ1078" s="77"/>
      <c r="AK1078" s="77"/>
      <c r="AL1078" s="77"/>
      <c r="AM1078" s="77"/>
      <c r="AN1078" s="77"/>
      <c r="AO1078" s="77"/>
      <c r="AP1078" s="77"/>
      <c r="AQ1078" s="77"/>
      <c r="AR1078" s="77"/>
      <c r="AS1078" s="77"/>
      <c r="AT1078" s="77"/>
      <c r="AU1078" s="77"/>
      <c r="AV1078" s="83" t="str">
        <f>HYPERLINK("https://pbs.twimg.com/profile_images/1608159721793507329/Ze5iV_bj_normal.jpg")</f>
        <v>https://pbs.twimg.com/profile_images/1608159721793507329/Ze5iV_bj_normal.jpg</v>
      </c>
      <c r="AW1078" s="81" t="s">
        <v>10200</v>
      </c>
      <c r="AX1078" s="81" t="s">
        <v>10200</v>
      </c>
      <c r="AY1078" s="77"/>
      <c r="AZ1078" s="81" t="s">
        <v>11359</v>
      </c>
      <c r="BA1078" s="81" t="s">
        <v>11359</v>
      </c>
      <c r="BB1078" s="81" t="s">
        <v>11359</v>
      </c>
      <c r="BC1078" s="81" t="s">
        <v>10200</v>
      </c>
      <c r="BD1078" s="77">
        <v>119107732</v>
      </c>
      <c r="BE1078" s="77"/>
      <c r="BF1078" s="77"/>
      <c r="BG1078" s="77"/>
      <c r="BH1078" s="77"/>
      <c r="BI1078" s="77"/>
    </row>
    <row r="1079" spans="1:61" x14ac:dyDescent="0.25">
      <c r="A1079" s="62" t="s">
        <v>464</v>
      </c>
      <c r="B1079" s="62" t="s">
        <v>464</v>
      </c>
      <c r="C1079" s="63"/>
      <c r="D1079" s="64"/>
      <c r="E1079" s="65"/>
      <c r="F1079" s="66"/>
      <c r="G1079" s="63"/>
      <c r="H1079" s="67"/>
      <c r="I1079" s="68"/>
      <c r="J1079" s="68"/>
      <c r="K1079" s="32"/>
      <c r="L1079" s="75">
        <v>1079</v>
      </c>
      <c r="M1079" s="75"/>
      <c r="N1079" s="70"/>
      <c r="O1079" s="77" t="s">
        <v>179</v>
      </c>
      <c r="P1079" s="79">
        <v>45077.594826388886</v>
      </c>
      <c r="Q1079" s="77" t="s">
        <v>1879</v>
      </c>
      <c r="R1079" s="77">
        <v>0</v>
      </c>
      <c r="S1079" s="77">
        <v>0</v>
      </c>
      <c r="T1079" s="77">
        <v>0</v>
      </c>
      <c r="U1079" s="77">
        <v>0</v>
      </c>
      <c r="V1079" s="77">
        <v>101</v>
      </c>
      <c r="W1079" s="81" t="s">
        <v>3472</v>
      </c>
      <c r="X1079" s="83" t="str">
        <f>HYPERLINK("https://www.netcarreiras.com.br/vaga-vendedor-de-material-de-construcao-a-seco-112810")</f>
        <v>https://www.netcarreiras.com.br/vaga-vendedor-de-material-de-construcao-a-seco-112810</v>
      </c>
      <c r="Y1079" s="77" t="s">
        <v>4223</v>
      </c>
      <c r="Z1079" s="77"/>
      <c r="AA1079" s="77"/>
      <c r="AB1079" s="77"/>
      <c r="AC1079" s="81" t="s">
        <v>5805</v>
      </c>
      <c r="AD1079" s="77" t="s">
        <v>5851</v>
      </c>
      <c r="AE1079" s="83" t="str">
        <f>HYPERLINK("https://twitter.com/netcarreiras/status/1663912351676989440")</f>
        <v>https://twitter.com/netcarreiras/status/1663912351676989440</v>
      </c>
      <c r="AF1079" s="79">
        <v>45077.594826388886</v>
      </c>
      <c r="AG1079" s="85">
        <v>45077</v>
      </c>
      <c r="AH1079" s="81" t="s">
        <v>6745</v>
      </c>
      <c r="AI1079" s="77" t="b">
        <v>0</v>
      </c>
      <c r="AJ1079" s="77"/>
      <c r="AK1079" s="77"/>
      <c r="AL1079" s="77"/>
      <c r="AM1079" s="77"/>
      <c r="AN1079" s="77"/>
      <c r="AO1079" s="77"/>
      <c r="AP1079" s="77"/>
      <c r="AQ1079" s="77"/>
      <c r="AR1079" s="77"/>
      <c r="AS1079" s="77"/>
      <c r="AT1079" s="77"/>
      <c r="AU1079" s="77"/>
      <c r="AV1079" s="83" t="str">
        <f>HYPERLINK("https://pbs.twimg.com/profile_images/1608159721793507329/Ze5iV_bj_normal.jpg")</f>
        <v>https://pbs.twimg.com/profile_images/1608159721793507329/Ze5iV_bj_normal.jpg</v>
      </c>
      <c r="AW1079" s="81" t="s">
        <v>10201</v>
      </c>
      <c r="AX1079" s="81" t="s">
        <v>10201</v>
      </c>
      <c r="AY1079" s="77"/>
      <c r="AZ1079" s="81" t="s">
        <v>11359</v>
      </c>
      <c r="BA1079" s="81" t="s">
        <v>11359</v>
      </c>
      <c r="BB1079" s="81" t="s">
        <v>11359</v>
      </c>
      <c r="BC1079" s="81" t="s">
        <v>10201</v>
      </c>
      <c r="BD1079" s="77">
        <v>119107732</v>
      </c>
      <c r="BE1079" s="77"/>
      <c r="BF1079" s="77"/>
      <c r="BG1079" s="77"/>
      <c r="BH1079" s="77"/>
      <c r="BI1079" s="77"/>
    </row>
    <row r="1080" spans="1:61" x14ac:dyDescent="0.25">
      <c r="A1080" s="62" t="s">
        <v>464</v>
      </c>
      <c r="B1080" s="62" t="s">
        <v>464</v>
      </c>
      <c r="C1080" s="63"/>
      <c r="D1080" s="64"/>
      <c r="E1080" s="65"/>
      <c r="F1080" s="66"/>
      <c r="G1080" s="63"/>
      <c r="H1080" s="67"/>
      <c r="I1080" s="68"/>
      <c r="J1080" s="68"/>
      <c r="K1080" s="32"/>
      <c r="L1080" s="75">
        <v>1080</v>
      </c>
      <c r="M1080" s="75"/>
      <c r="N1080" s="70"/>
      <c r="O1080" s="77" t="s">
        <v>179</v>
      </c>
      <c r="P1080" s="79">
        <v>45079.763668981483</v>
      </c>
      <c r="Q1080" s="77" t="s">
        <v>1880</v>
      </c>
      <c r="R1080" s="77">
        <v>0</v>
      </c>
      <c r="S1080" s="77">
        <v>0</v>
      </c>
      <c r="T1080" s="77">
        <v>0</v>
      </c>
      <c r="U1080" s="77">
        <v>0</v>
      </c>
      <c r="V1080" s="77">
        <v>206</v>
      </c>
      <c r="W1080" s="81" t="s">
        <v>3473</v>
      </c>
      <c r="X1080" s="83" t="str">
        <f>HYPERLINK("https://www.netcarreiras.com.br/vaga-vendedor-consultor-112820")</f>
        <v>https://www.netcarreiras.com.br/vaga-vendedor-consultor-112820</v>
      </c>
      <c r="Y1080" s="77" t="s">
        <v>4223</v>
      </c>
      <c r="Z1080" s="77"/>
      <c r="AA1080" s="77"/>
      <c r="AB1080" s="77"/>
      <c r="AC1080" s="81" t="s">
        <v>5805</v>
      </c>
      <c r="AD1080" s="77" t="s">
        <v>5851</v>
      </c>
      <c r="AE1080" s="83" t="str">
        <f>HYPERLINK("https://twitter.com/netcarreiras/status/1664698315756261376")</f>
        <v>https://twitter.com/netcarreiras/status/1664698315756261376</v>
      </c>
      <c r="AF1080" s="79">
        <v>45079.763668981483</v>
      </c>
      <c r="AG1080" s="85">
        <v>45079</v>
      </c>
      <c r="AH1080" s="81" t="s">
        <v>6746</v>
      </c>
      <c r="AI1080" s="77" t="b">
        <v>0</v>
      </c>
      <c r="AJ1080" s="77"/>
      <c r="AK1080" s="77"/>
      <c r="AL1080" s="77"/>
      <c r="AM1080" s="77"/>
      <c r="AN1080" s="77"/>
      <c r="AO1080" s="77"/>
      <c r="AP1080" s="77"/>
      <c r="AQ1080" s="77"/>
      <c r="AR1080" s="77"/>
      <c r="AS1080" s="77"/>
      <c r="AT1080" s="77"/>
      <c r="AU1080" s="77"/>
      <c r="AV1080" s="83" t="str">
        <f>HYPERLINK("https://pbs.twimg.com/profile_images/1608159721793507329/Ze5iV_bj_normal.jpg")</f>
        <v>https://pbs.twimg.com/profile_images/1608159721793507329/Ze5iV_bj_normal.jpg</v>
      </c>
      <c r="AW1080" s="81" t="s">
        <v>10202</v>
      </c>
      <c r="AX1080" s="81" t="s">
        <v>10202</v>
      </c>
      <c r="AY1080" s="77"/>
      <c r="AZ1080" s="81" t="s">
        <v>11359</v>
      </c>
      <c r="BA1080" s="81" t="s">
        <v>11359</v>
      </c>
      <c r="BB1080" s="81" t="s">
        <v>11359</v>
      </c>
      <c r="BC1080" s="81" t="s">
        <v>10202</v>
      </c>
      <c r="BD1080" s="77">
        <v>119107732</v>
      </c>
      <c r="BE1080" s="77"/>
      <c r="BF1080" s="77"/>
      <c r="BG1080" s="77"/>
      <c r="BH1080" s="77"/>
      <c r="BI1080" s="77"/>
    </row>
    <row r="1081" spans="1:61" x14ac:dyDescent="0.25">
      <c r="A1081" s="62" t="s">
        <v>464</v>
      </c>
      <c r="B1081" s="62" t="s">
        <v>464</v>
      </c>
      <c r="C1081" s="63"/>
      <c r="D1081" s="64"/>
      <c r="E1081" s="65"/>
      <c r="F1081" s="66"/>
      <c r="G1081" s="63"/>
      <c r="H1081" s="67"/>
      <c r="I1081" s="68"/>
      <c r="J1081" s="68"/>
      <c r="K1081" s="32"/>
      <c r="L1081" s="75">
        <v>1081</v>
      </c>
      <c r="M1081" s="75"/>
      <c r="N1081" s="70"/>
      <c r="O1081" s="77" t="s">
        <v>179</v>
      </c>
      <c r="P1081" s="79">
        <v>45105.800613425927</v>
      </c>
      <c r="Q1081" s="77" t="s">
        <v>1881</v>
      </c>
      <c r="R1081" s="77">
        <v>0</v>
      </c>
      <c r="S1081" s="77">
        <v>0</v>
      </c>
      <c r="T1081" s="77">
        <v>0</v>
      </c>
      <c r="U1081" s="77">
        <v>0</v>
      </c>
      <c r="V1081" s="77">
        <v>41</v>
      </c>
      <c r="W1081" s="81" t="s">
        <v>3474</v>
      </c>
      <c r="X1081" s="83" t="str">
        <f>HYPERLINK("https://www.netcarreiras.com.br/vaga-vendedor-autonomo-imobiliario-112933")</f>
        <v>https://www.netcarreiras.com.br/vaga-vendedor-autonomo-imobiliario-112933</v>
      </c>
      <c r="Y1081" s="77" t="s">
        <v>4223</v>
      </c>
      <c r="Z1081" s="77"/>
      <c r="AA1081" s="77"/>
      <c r="AB1081" s="77"/>
      <c r="AC1081" s="81" t="s">
        <v>5805</v>
      </c>
      <c r="AD1081" s="77" t="s">
        <v>5851</v>
      </c>
      <c r="AE1081" s="83" t="str">
        <f>HYPERLINK("https://twitter.com/netcarreiras/status/1674133788253737013")</f>
        <v>https://twitter.com/netcarreiras/status/1674133788253737013</v>
      </c>
      <c r="AF1081" s="79">
        <v>45105.800613425927</v>
      </c>
      <c r="AG1081" s="85">
        <v>45105</v>
      </c>
      <c r="AH1081" s="81" t="s">
        <v>6438</v>
      </c>
      <c r="AI1081" s="77" t="b">
        <v>0</v>
      </c>
      <c r="AJ1081" s="77"/>
      <c r="AK1081" s="77"/>
      <c r="AL1081" s="77"/>
      <c r="AM1081" s="77"/>
      <c r="AN1081" s="77"/>
      <c r="AO1081" s="77"/>
      <c r="AP1081" s="77"/>
      <c r="AQ1081" s="77"/>
      <c r="AR1081" s="77"/>
      <c r="AS1081" s="77"/>
      <c r="AT1081" s="77"/>
      <c r="AU1081" s="77"/>
      <c r="AV1081" s="83" t="str">
        <f>HYPERLINK("https://pbs.twimg.com/profile_images/1608159721793507329/Ze5iV_bj_normal.jpg")</f>
        <v>https://pbs.twimg.com/profile_images/1608159721793507329/Ze5iV_bj_normal.jpg</v>
      </c>
      <c r="AW1081" s="81" t="s">
        <v>10203</v>
      </c>
      <c r="AX1081" s="81" t="s">
        <v>10203</v>
      </c>
      <c r="AY1081" s="77"/>
      <c r="AZ1081" s="81" t="s">
        <v>11359</v>
      </c>
      <c r="BA1081" s="81" t="s">
        <v>11359</v>
      </c>
      <c r="BB1081" s="81" t="s">
        <v>11359</v>
      </c>
      <c r="BC1081" s="81" t="s">
        <v>10203</v>
      </c>
      <c r="BD1081" s="77">
        <v>119107732</v>
      </c>
      <c r="BE1081" s="77"/>
      <c r="BF1081" s="77"/>
      <c r="BG1081" s="77"/>
      <c r="BH1081" s="77"/>
      <c r="BI1081" s="77"/>
    </row>
    <row r="1082" spans="1:61" x14ac:dyDescent="0.25">
      <c r="A1082" s="62" t="s">
        <v>464</v>
      </c>
      <c r="B1082" s="62" t="s">
        <v>464</v>
      </c>
      <c r="C1082" s="63"/>
      <c r="D1082" s="64"/>
      <c r="E1082" s="65"/>
      <c r="F1082" s="66"/>
      <c r="G1082" s="63"/>
      <c r="H1082" s="67"/>
      <c r="I1082" s="68"/>
      <c r="J1082" s="68"/>
      <c r="K1082" s="32"/>
      <c r="L1082" s="75">
        <v>1082</v>
      </c>
      <c r="M1082" s="75"/>
      <c r="N1082" s="70"/>
      <c r="O1082" s="77" t="s">
        <v>179</v>
      </c>
      <c r="P1082" s="79">
        <v>45105.71429398148</v>
      </c>
      <c r="Q1082" s="77" t="s">
        <v>1882</v>
      </c>
      <c r="R1082" s="77">
        <v>0</v>
      </c>
      <c r="S1082" s="77">
        <v>0</v>
      </c>
      <c r="T1082" s="77">
        <v>0</v>
      </c>
      <c r="U1082" s="77">
        <v>0</v>
      </c>
      <c r="V1082" s="77">
        <v>17</v>
      </c>
      <c r="W1082" s="81" t="s">
        <v>3475</v>
      </c>
      <c r="X1082" s="83" t="str">
        <f>HYPERLINK("https://www.netcarreiras.com.br/vaga-consultor-vendedor-112912")</f>
        <v>https://www.netcarreiras.com.br/vaga-consultor-vendedor-112912</v>
      </c>
      <c r="Y1082" s="77" t="s">
        <v>4223</v>
      </c>
      <c r="Z1082" s="77"/>
      <c r="AA1082" s="77"/>
      <c r="AB1082" s="77"/>
      <c r="AC1082" s="81" t="s">
        <v>5805</v>
      </c>
      <c r="AD1082" s="77" t="s">
        <v>5851</v>
      </c>
      <c r="AE1082" s="83" t="str">
        <f>HYPERLINK("https://twitter.com/netcarreiras/status/1674102504466833410")</f>
        <v>https://twitter.com/netcarreiras/status/1674102504466833410</v>
      </c>
      <c r="AF1082" s="79">
        <v>45105.71429398148</v>
      </c>
      <c r="AG1082" s="85">
        <v>45105</v>
      </c>
      <c r="AH1082" s="81" t="s">
        <v>6747</v>
      </c>
      <c r="AI1082" s="77" t="b">
        <v>0</v>
      </c>
      <c r="AJ1082" s="77"/>
      <c r="AK1082" s="77"/>
      <c r="AL1082" s="77"/>
      <c r="AM1082" s="77"/>
      <c r="AN1082" s="77"/>
      <c r="AO1082" s="77"/>
      <c r="AP1082" s="77"/>
      <c r="AQ1082" s="77"/>
      <c r="AR1082" s="77"/>
      <c r="AS1082" s="77"/>
      <c r="AT1082" s="77"/>
      <c r="AU1082" s="77"/>
      <c r="AV1082" s="83" t="str">
        <f>HYPERLINK("https://pbs.twimg.com/profile_images/1608159721793507329/Ze5iV_bj_normal.jpg")</f>
        <v>https://pbs.twimg.com/profile_images/1608159721793507329/Ze5iV_bj_normal.jpg</v>
      </c>
      <c r="AW1082" s="81" t="s">
        <v>10204</v>
      </c>
      <c r="AX1082" s="81" t="s">
        <v>10204</v>
      </c>
      <c r="AY1082" s="77"/>
      <c r="AZ1082" s="81" t="s">
        <v>11359</v>
      </c>
      <c r="BA1082" s="81" t="s">
        <v>11359</v>
      </c>
      <c r="BB1082" s="81" t="s">
        <v>11359</v>
      </c>
      <c r="BC1082" s="81" t="s">
        <v>10204</v>
      </c>
      <c r="BD1082" s="77">
        <v>119107732</v>
      </c>
      <c r="BE1082" s="77"/>
      <c r="BF1082" s="77"/>
      <c r="BG1082" s="77"/>
      <c r="BH1082" s="77"/>
      <c r="BI1082" s="77"/>
    </row>
    <row r="1083" spans="1:61" x14ac:dyDescent="0.25">
      <c r="A1083" s="62" t="s">
        <v>464</v>
      </c>
      <c r="B1083" s="62" t="s">
        <v>464</v>
      </c>
      <c r="C1083" s="63"/>
      <c r="D1083" s="64"/>
      <c r="E1083" s="65"/>
      <c r="F1083" s="66"/>
      <c r="G1083" s="63"/>
      <c r="H1083" s="67"/>
      <c r="I1083" s="68"/>
      <c r="J1083" s="68"/>
      <c r="K1083" s="32"/>
      <c r="L1083" s="75">
        <v>1083</v>
      </c>
      <c r="M1083" s="75"/>
      <c r="N1083" s="70"/>
      <c r="O1083" s="77" t="s">
        <v>179</v>
      </c>
      <c r="P1083" s="79">
        <v>45105.714259259257</v>
      </c>
      <c r="Q1083" s="77" t="s">
        <v>1883</v>
      </c>
      <c r="R1083" s="77">
        <v>0</v>
      </c>
      <c r="S1083" s="77">
        <v>0</v>
      </c>
      <c r="T1083" s="77">
        <v>0</v>
      </c>
      <c r="U1083" s="77">
        <v>0</v>
      </c>
      <c r="V1083" s="77">
        <v>11</v>
      </c>
      <c r="W1083" s="81" t="s">
        <v>3476</v>
      </c>
      <c r="X1083" s="83" t="str">
        <f>HYPERLINK("https://www.netcarreiras.com.br/vaga-vendedor-112911")</f>
        <v>https://www.netcarreiras.com.br/vaga-vendedor-112911</v>
      </c>
      <c r="Y1083" s="77" t="s">
        <v>4223</v>
      </c>
      <c r="Z1083" s="77"/>
      <c r="AA1083" s="77"/>
      <c r="AB1083" s="77"/>
      <c r="AC1083" s="81" t="s">
        <v>5805</v>
      </c>
      <c r="AD1083" s="77" t="s">
        <v>5851</v>
      </c>
      <c r="AE1083" s="83" t="str">
        <f>HYPERLINK("https://twitter.com/netcarreiras/status/1674102494845075480")</f>
        <v>https://twitter.com/netcarreiras/status/1674102494845075480</v>
      </c>
      <c r="AF1083" s="79">
        <v>45105.714259259257</v>
      </c>
      <c r="AG1083" s="85">
        <v>45105</v>
      </c>
      <c r="AH1083" s="81" t="s">
        <v>6748</v>
      </c>
      <c r="AI1083" s="77" t="b">
        <v>0</v>
      </c>
      <c r="AJ1083" s="77"/>
      <c r="AK1083" s="77"/>
      <c r="AL1083" s="77"/>
      <c r="AM1083" s="77"/>
      <c r="AN1083" s="77"/>
      <c r="AO1083" s="77"/>
      <c r="AP1083" s="77"/>
      <c r="AQ1083" s="77"/>
      <c r="AR1083" s="77"/>
      <c r="AS1083" s="77"/>
      <c r="AT1083" s="77"/>
      <c r="AU1083" s="77"/>
      <c r="AV1083" s="83" t="str">
        <f>HYPERLINK("https://pbs.twimg.com/profile_images/1608159721793507329/Ze5iV_bj_normal.jpg")</f>
        <v>https://pbs.twimg.com/profile_images/1608159721793507329/Ze5iV_bj_normal.jpg</v>
      </c>
      <c r="AW1083" s="81" t="s">
        <v>10205</v>
      </c>
      <c r="AX1083" s="81" t="s">
        <v>10205</v>
      </c>
      <c r="AY1083" s="77"/>
      <c r="AZ1083" s="81" t="s">
        <v>11359</v>
      </c>
      <c r="BA1083" s="81" t="s">
        <v>11359</v>
      </c>
      <c r="BB1083" s="81" t="s">
        <v>11359</v>
      </c>
      <c r="BC1083" s="81" t="s">
        <v>10205</v>
      </c>
      <c r="BD1083" s="77">
        <v>119107732</v>
      </c>
      <c r="BE1083" s="77"/>
      <c r="BF1083" s="77"/>
      <c r="BG1083" s="77"/>
      <c r="BH1083" s="77"/>
      <c r="BI1083" s="77"/>
    </row>
    <row r="1084" spans="1:61" x14ac:dyDescent="0.25">
      <c r="A1084" s="62" t="s">
        <v>464</v>
      </c>
      <c r="B1084" s="62" t="s">
        <v>464</v>
      </c>
      <c r="C1084" s="63"/>
      <c r="D1084" s="64"/>
      <c r="E1084" s="65"/>
      <c r="F1084" s="66"/>
      <c r="G1084" s="63"/>
      <c r="H1084" s="67"/>
      <c r="I1084" s="68"/>
      <c r="J1084" s="68"/>
      <c r="K1084" s="32"/>
      <c r="L1084" s="75">
        <v>1084</v>
      </c>
      <c r="M1084" s="75"/>
      <c r="N1084" s="70"/>
      <c r="O1084" s="77" t="s">
        <v>179</v>
      </c>
      <c r="P1084" s="79">
        <v>45105.714236111111</v>
      </c>
      <c r="Q1084" s="77" t="s">
        <v>1884</v>
      </c>
      <c r="R1084" s="77">
        <v>0</v>
      </c>
      <c r="S1084" s="77">
        <v>0</v>
      </c>
      <c r="T1084" s="77">
        <v>0</v>
      </c>
      <c r="U1084" s="77">
        <v>0</v>
      </c>
      <c r="V1084" s="77">
        <v>20</v>
      </c>
      <c r="W1084" s="81" t="s">
        <v>3477</v>
      </c>
      <c r="X1084" s="83" t="str">
        <f>HYPERLINK("https://www.netcarreiras.com.br/vaga-vendedor-externo-imobiliario-112910")</f>
        <v>https://www.netcarreiras.com.br/vaga-vendedor-externo-imobiliario-112910</v>
      </c>
      <c r="Y1084" s="77" t="s">
        <v>4223</v>
      </c>
      <c r="Z1084" s="77"/>
      <c r="AA1084" s="77"/>
      <c r="AB1084" s="77"/>
      <c r="AC1084" s="81" t="s">
        <v>5805</v>
      </c>
      <c r="AD1084" s="77" t="s">
        <v>5851</v>
      </c>
      <c r="AE1084" s="83" t="str">
        <f>HYPERLINK("https://twitter.com/netcarreiras/status/1674102484749385747")</f>
        <v>https://twitter.com/netcarreiras/status/1674102484749385747</v>
      </c>
      <c r="AF1084" s="79">
        <v>45105.714236111111</v>
      </c>
      <c r="AG1084" s="85">
        <v>45105</v>
      </c>
      <c r="AH1084" s="81" t="s">
        <v>6749</v>
      </c>
      <c r="AI1084" s="77" t="b">
        <v>0</v>
      </c>
      <c r="AJ1084" s="77"/>
      <c r="AK1084" s="77"/>
      <c r="AL1084" s="77"/>
      <c r="AM1084" s="77"/>
      <c r="AN1084" s="77"/>
      <c r="AO1084" s="77"/>
      <c r="AP1084" s="77"/>
      <c r="AQ1084" s="77"/>
      <c r="AR1084" s="77"/>
      <c r="AS1084" s="77"/>
      <c r="AT1084" s="77"/>
      <c r="AU1084" s="77"/>
      <c r="AV1084" s="83" t="str">
        <f>HYPERLINK("https://pbs.twimg.com/profile_images/1608159721793507329/Ze5iV_bj_normal.jpg")</f>
        <v>https://pbs.twimg.com/profile_images/1608159721793507329/Ze5iV_bj_normal.jpg</v>
      </c>
      <c r="AW1084" s="81" t="s">
        <v>10206</v>
      </c>
      <c r="AX1084" s="81" t="s">
        <v>10206</v>
      </c>
      <c r="AY1084" s="77"/>
      <c r="AZ1084" s="81" t="s">
        <v>11359</v>
      </c>
      <c r="BA1084" s="81" t="s">
        <v>11359</v>
      </c>
      <c r="BB1084" s="81" t="s">
        <v>11359</v>
      </c>
      <c r="BC1084" s="81" t="s">
        <v>10206</v>
      </c>
      <c r="BD1084" s="77">
        <v>119107732</v>
      </c>
      <c r="BE1084" s="77"/>
      <c r="BF1084" s="77"/>
      <c r="BG1084" s="77"/>
      <c r="BH1084" s="77"/>
      <c r="BI1084" s="77"/>
    </row>
    <row r="1085" spans="1:61" x14ac:dyDescent="0.25">
      <c r="A1085" s="62" t="s">
        <v>464</v>
      </c>
      <c r="B1085" s="62" t="s">
        <v>464</v>
      </c>
      <c r="C1085" s="63"/>
      <c r="D1085" s="64"/>
      <c r="E1085" s="65"/>
      <c r="F1085" s="66"/>
      <c r="G1085" s="63"/>
      <c r="H1085" s="67"/>
      <c r="I1085" s="68"/>
      <c r="J1085" s="68"/>
      <c r="K1085" s="32"/>
      <c r="L1085" s="75">
        <v>1085</v>
      </c>
      <c r="M1085" s="75"/>
      <c r="N1085" s="70"/>
      <c r="O1085" s="77" t="s">
        <v>179</v>
      </c>
      <c r="P1085" s="79">
        <v>45105.714097222219</v>
      </c>
      <c r="Q1085" s="77" t="s">
        <v>1885</v>
      </c>
      <c r="R1085" s="77">
        <v>0</v>
      </c>
      <c r="S1085" s="77">
        <v>0</v>
      </c>
      <c r="T1085" s="77">
        <v>0</v>
      </c>
      <c r="U1085" s="77">
        <v>0</v>
      </c>
      <c r="V1085" s="77">
        <v>20</v>
      </c>
      <c r="W1085" s="81" t="s">
        <v>3478</v>
      </c>
      <c r="X1085" s="83" t="str">
        <f>HYPERLINK("https://www.netcarreiras.com.br/vaga-vendedor-autonomo-lopes-112905")</f>
        <v>https://www.netcarreiras.com.br/vaga-vendedor-autonomo-lopes-112905</v>
      </c>
      <c r="Y1085" s="77" t="s">
        <v>4223</v>
      </c>
      <c r="Z1085" s="77"/>
      <c r="AA1085" s="77"/>
      <c r="AB1085" s="77"/>
      <c r="AC1085" s="81" t="s">
        <v>5805</v>
      </c>
      <c r="AD1085" s="77" t="s">
        <v>5851</v>
      </c>
      <c r="AE1085" s="83" t="str">
        <f>HYPERLINK("https://twitter.com/netcarreiras/status/1674102433184636928")</f>
        <v>https://twitter.com/netcarreiras/status/1674102433184636928</v>
      </c>
      <c r="AF1085" s="79">
        <v>45105.714097222219</v>
      </c>
      <c r="AG1085" s="85">
        <v>45105</v>
      </c>
      <c r="AH1085" s="81" t="s">
        <v>6750</v>
      </c>
      <c r="AI1085" s="77" t="b">
        <v>0</v>
      </c>
      <c r="AJ1085" s="77"/>
      <c r="AK1085" s="77"/>
      <c r="AL1085" s="77"/>
      <c r="AM1085" s="77"/>
      <c r="AN1085" s="77"/>
      <c r="AO1085" s="77"/>
      <c r="AP1085" s="77"/>
      <c r="AQ1085" s="77"/>
      <c r="AR1085" s="77"/>
      <c r="AS1085" s="77"/>
      <c r="AT1085" s="77"/>
      <c r="AU1085" s="77"/>
      <c r="AV1085" s="83" t="str">
        <f>HYPERLINK("https://pbs.twimg.com/profile_images/1608159721793507329/Ze5iV_bj_normal.jpg")</f>
        <v>https://pbs.twimg.com/profile_images/1608159721793507329/Ze5iV_bj_normal.jpg</v>
      </c>
      <c r="AW1085" s="81" t="s">
        <v>10207</v>
      </c>
      <c r="AX1085" s="81" t="s">
        <v>10207</v>
      </c>
      <c r="AY1085" s="77"/>
      <c r="AZ1085" s="81" t="s">
        <v>11359</v>
      </c>
      <c r="BA1085" s="81" t="s">
        <v>11359</v>
      </c>
      <c r="BB1085" s="81" t="s">
        <v>11359</v>
      </c>
      <c r="BC1085" s="81" t="s">
        <v>10207</v>
      </c>
      <c r="BD1085" s="77">
        <v>119107732</v>
      </c>
      <c r="BE1085" s="77"/>
      <c r="BF1085" s="77"/>
      <c r="BG1085" s="77"/>
      <c r="BH1085" s="77"/>
      <c r="BI1085" s="77"/>
    </row>
    <row r="1086" spans="1:61" x14ac:dyDescent="0.25">
      <c r="A1086" s="62" t="s">
        <v>464</v>
      </c>
      <c r="B1086" s="62" t="s">
        <v>464</v>
      </c>
      <c r="C1086" s="63"/>
      <c r="D1086" s="64"/>
      <c r="E1086" s="65"/>
      <c r="F1086" s="66"/>
      <c r="G1086" s="63"/>
      <c r="H1086" s="67"/>
      <c r="I1086" s="68"/>
      <c r="J1086" s="68"/>
      <c r="K1086" s="32"/>
      <c r="L1086" s="75">
        <v>1086</v>
      </c>
      <c r="M1086" s="75"/>
      <c r="N1086" s="70"/>
      <c r="O1086" s="77" t="s">
        <v>179</v>
      </c>
      <c r="P1086" s="79">
        <v>45105.714039351849</v>
      </c>
      <c r="Q1086" s="77" t="s">
        <v>1886</v>
      </c>
      <c r="R1086" s="77">
        <v>0</v>
      </c>
      <c r="S1086" s="77">
        <v>0</v>
      </c>
      <c r="T1086" s="77">
        <v>0</v>
      </c>
      <c r="U1086" s="77">
        <v>0</v>
      </c>
      <c r="V1086" s="77">
        <v>14</v>
      </c>
      <c r="W1086" s="81" t="s">
        <v>3479</v>
      </c>
      <c r="X1086" s="83" t="str">
        <f>HYPERLINK("https://www.netcarreiras.com.br/vaga-vendedor-autonomo-imobiliaro-112903")</f>
        <v>https://www.netcarreiras.com.br/vaga-vendedor-autonomo-imobiliaro-112903</v>
      </c>
      <c r="Y1086" s="77" t="s">
        <v>4223</v>
      </c>
      <c r="Z1086" s="77"/>
      <c r="AA1086" s="77"/>
      <c r="AB1086" s="77"/>
      <c r="AC1086" s="81" t="s">
        <v>5805</v>
      </c>
      <c r="AD1086" s="77" t="s">
        <v>5851</v>
      </c>
      <c r="AE1086" s="83" t="str">
        <f>HYPERLINK("https://twitter.com/netcarreiras/status/1674102413978894336")</f>
        <v>https://twitter.com/netcarreiras/status/1674102413978894336</v>
      </c>
      <c r="AF1086" s="79">
        <v>45105.714039351849</v>
      </c>
      <c r="AG1086" s="85">
        <v>45105</v>
      </c>
      <c r="AH1086" s="81" t="s">
        <v>6751</v>
      </c>
      <c r="AI1086" s="77" t="b">
        <v>0</v>
      </c>
      <c r="AJ1086" s="77"/>
      <c r="AK1086" s="77"/>
      <c r="AL1086" s="77"/>
      <c r="AM1086" s="77"/>
      <c r="AN1086" s="77"/>
      <c r="AO1086" s="77"/>
      <c r="AP1086" s="77"/>
      <c r="AQ1086" s="77"/>
      <c r="AR1086" s="77"/>
      <c r="AS1086" s="77"/>
      <c r="AT1086" s="77"/>
      <c r="AU1086" s="77"/>
      <c r="AV1086" s="83" t="str">
        <f>HYPERLINK("https://pbs.twimg.com/profile_images/1608159721793507329/Ze5iV_bj_normal.jpg")</f>
        <v>https://pbs.twimg.com/profile_images/1608159721793507329/Ze5iV_bj_normal.jpg</v>
      </c>
      <c r="AW1086" s="81" t="s">
        <v>10208</v>
      </c>
      <c r="AX1086" s="81" t="s">
        <v>10208</v>
      </c>
      <c r="AY1086" s="77"/>
      <c r="AZ1086" s="81" t="s">
        <v>11359</v>
      </c>
      <c r="BA1086" s="81" t="s">
        <v>11359</v>
      </c>
      <c r="BB1086" s="81" t="s">
        <v>11359</v>
      </c>
      <c r="BC1086" s="81" t="s">
        <v>10208</v>
      </c>
      <c r="BD1086" s="77">
        <v>119107732</v>
      </c>
      <c r="BE1086" s="77"/>
      <c r="BF1086" s="77"/>
      <c r="BG1086" s="77"/>
      <c r="BH1086" s="77"/>
      <c r="BI1086" s="77"/>
    </row>
    <row r="1087" spans="1:61" x14ac:dyDescent="0.25">
      <c r="A1087" s="62" t="s">
        <v>464</v>
      </c>
      <c r="B1087" s="62" t="s">
        <v>464</v>
      </c>
      <c r="C1087" s="63"/>
      <c r="D1087" s="64"/>
      <c r="E1087" s="65"/>
      <c r="F1087" s="66"/>
      <c r="G1087" s="63"/>
      <c r="H1087" s="67"/>
      <c r="I1087" s="68"/>
      <c r="J1087" s="68"/>
      <c r="K1087" s="32"/>
      <c r="L1087" s="75">
        <v>1087</v>
      </c>
      <c r="M1087" s="75"/>
      <c r="N1087" s="70"/>
      <c r="O1087" s="77" t="s">
        <v>179</v>
      </c>
      <c r="P1087" s="79">
        <v>44966.788321759261</v>
      </c>
      <c r="Q1087" s="77" t="s">
        <v>1887</v>
      </c>
      <c r="R1087" s="77">
        <v>0</v>
      </c>
      <c r="S1087" s="77">
        <v>0</v>
      </c>
      <c r="T1087" s="77">
        <v>0</v>
      </c>
      <c r="U1087" s="77">
        <v>0</v>
      </c>
      <c r="V1087" s="77">
        <v>36</v>
      </c>
      <c r="W1087" s="81" t="s">
        <v>3480</v>
      </c>
      <c r="X1087" s="83" t="str">
        <f>HYPERLINK("https://www.netcarreiras.com.br/vaga-vendedor-tecnico-trainee-112147#.Y-VBjd7Clx4.twitter")</f>
        <v>https://www.netcarreiras.com.br/vaga-vendedor-tecnico-trainee-112147#.Y-VBjd7Clx4.twitter</v>
      </c>
      <c r="Y1087" s="77" t="s">
        <v>4223</v>
      </c>
      <c r="Z1087" s="77"/>
      <c r="AA1087" s="77"/>
      <c r="AB1087" s="77"/>
      <c r="AC1087" s="81" t="s">
        <v>5805</v>
      </c>
      <c r="AD1087" s="77" t="s">
        <v>5851</v>
      </c>
      <c r="AE1087" s="83" t="str">
        <f>HYPERLINK("https://twitter.com/netcarreiras/status/1623757419754008576")</f>
        <v>https://twitter.com/netcarreiras/status/1623757419754008576</v>
      </c>
      <c r="AF1087" s="79">
        <v>44966.788321759261</v>
      </c>
      <c r="AG1087" s="85">
        <v>44966</v>
      </c>
      <c r="AH1087" s="81" t="s">
        <v>6752</v>
      </c>
      <c r="AI1087" s="77" t="b">
        <v>0</v>
      </c>
      <c r="AJ1087" s="77"/>
      <c r="AK1087" s="77"/>
      <c r="AL1087" s="77"/>
      <c r="AM1087" s="77"/>
      <c r="AN1087" s="77"/>
      <c r="AO1087" s="77"/>
      <c r="AP1087" s="77"/>
      <c r="AQ1087" s="77"/>
      <c r="AR1087" s="77"/>
      <c r="AS1087" s="77"/>
      <c r="AT1087" s="77"/>
      <c r="AU1087" s="77"/>
      <c r="AV1087" s="83" t="str">
        <f>HYPERLINK("https://pbs.twimg.com/profile_images/1608159721793507329/Ze5iV_bj_normal.jpg")</f>
        <v>https://pbs.twimg.com/profile_images/1608159721793507329/Ze5iV_bj_normal.jpg</v>
      </c>
      <c r="AW1087" s="81" t="s">
        <v>10209</v>
      </c>
      <c r="AX1087" s="81" t="s">
        <v>10209</v>
      </c>
      <c r="AY1087" s="77"/>
      <c r="AZ1087" s="81" t="s">
        <v>11359</v>
      </c>
      <c r="BA1087" s="81" t="s">
        <v>11359</v>
      </c>
      <c r="BB1087" s="81" t="s">
        <v>11359</v>
      </c>
      <c r="BC1087" s="81" t="s">
        <v>10209</v>
      </c>
      <c r="BD1087" s="77">
        <v>119107732</v>
      </c>
      <c r="BE1087" s="77"/>
      <c r="BF1087" s="77"/>
      <c r="BG1087" s="77"/>
      <c r="BH1087" s="77"/>
      <c r="BI1087" s="77"/>
    </row>
    <row r="1088" spans="1:61" x14ac:dyDescent="0.25">
      <c r="A1088" s="62" t="s">
        <v>464</v>
      </c>
      <c r="B1088" s="62" t="s">
        <v>464</v>
      </c>
      <c r="C1088" s="63"/>
      <c r="D1088" s="64"/>
      <c r="E1088" s="65"/>
      <c r="F1088" s="66"/>
      <c r="G1088" s="63"/>
      <c r="H1088" s="67"/>
      <c r="I1088" s="68"/>
      <c r="J1088" s="68"/>
      <c r="K1088" s="32"/>
      <c r="L1088" s="75">
        <v>1088</v>
      </c>
      <c r="M1088" s="75"/>
      <c r="N1088" s="70"/>
      <c r="O1088" s="77" t="s">
        <v>179</v>
      </c>
      <c r="P1088" s="79">
        <v>45112.007557870369</v>
      </c>
      <c r="Q1088" s="77" t="s">
        <v>1888</v>
      </c>
      <c r="R1088" s="77">
        <v>0</v>
      </c>
      <c r="S1088" s="77">
        <v>0</v>
      </c>
      <c r="T1088" s="77">
        <v>0</v>
      </c>
      <c r="U1088" s="77">
        <v>0</v>
      </c>
      <c r="V1088" s="77">
        <v>41</v>
      </c>
      <c r="W1088" s="81" t="s">
        <v>3481</v>
      </c>
      <c r="X1088" s="83" t="str">
        <f>HYPERLINK("https://www.netcarreiras.com.br/vaga-vendedor-imobiliario-112984")</f>
        <v>https://www.netcarreiras.com.br/vaga-vendedor-imobiliario-112984</v>
      </c>
      <c r="Y1088" s="77" t="s">
        <v>4223</v>
      </c>
      <c r="Z1088" s="77"/>
      <c r="AA1088" s="77"/>
      <c r="AB1088" s="77"/>
      <c r="AC1088" s="81" t="s">
        <v>5805</v>
      </c>
      <c r="AD1088" s="77" t="s">
        <v>5851</v>
      </c>
      <c r="AE1088" s="83" t="str">
        <f>HYPERLINK("https://twitter.com/netcarreiras/status/1676383110227787776")</f>
        <v>https://twitter.com/netcarreiras/status/1676383110227787776</v>
      </c>
      <c r="AF1088" s="79">
        <v>45112.007557870369</v>
      </c>
      <c r="AG1088" s="85">
        <v>45112</v>
      </c>
      <c r="AH1088" s="81" t="s">
        <v>6753</v>
      </c>
      <c r="AI1088" s="77" t="b">
        <v>0</v>
      </c>
      <c r="AJ1088" s="77"/>
      <c r="AK1088" s="77"/>
      <c r="AL1088" s="77"/>
      <c r="AM1088" s="77"/>
      <c r="AN1088" s="77"/>
      <c r="AO1088" s="77"/>
      <c r="AP1088" s="77"/>
      <c r="AQ1088" s="77"/>
      <c r="AR1088" s="77"/>
      <c r="AS1088" s="77"/>
      <c r="AT1088" s="77"/>
      <c r="AU1088" s="77"/>
      <c r="AV1088" s="83" t="str">
        <f>HYPERLINK("https://pbs.twimg.com/profile_images/1608159721793507329/Ze5iV_bj_normal.jpg")</f>
        <v>https://pbs.twimg.com/profile_images/1608159721793507329/Ze5iV_bj_normal.jpg</v>
      </c>
      <c r="AW1088" s="81" t="s">
        <v>10210</v>
      </c>
      <c r="AX1088" s="81" t="s">
        <v>10210</v>
      </c>
      <c r="AY1088" s="77"/>
      <c r="AZ1088" s="81" t="s">
        <v>11359</v>
      </c>
      <c r="BA1088" s="81" t="s">
        <v>11359</v>
      </c>
      <c r="BB1088" s="81" t="s">
        <v>11359</v>
      </c>
      <c r="BC1088" s="81" t="s">
        <v>10210</v>
      </c>
      <c r="BD1088" s="77">
        <v>119107732</v>
      </c>
      <c r="BE1088" s="77"/>
      <c r="BF1088" s="77"/>
      <c r="BG1088" s="77"/>
      <c r="BH1088" s="77"/>
      <c r="BI1088" s="77"/>
    </row>
    <row r="1089" spans="1:61" x14ac:dyDescent="0.25">
      <c r="A1089" s="62" t="s">
        <v>464</v>
      </c>
      <c r="B1089" s="62" t="s">
        <v>464</v>
      </c>
      <c r="C1089" s="63"/>
      <c r="D1089" s="64"/>
      <c r="E1089" s="65"/>
      <c r="F1089" s="66"/>
      <c r="G1089" s="63"/>
      <c r="H1089" s="67"/>
      <c r="I1089" s="68"/>
      <c r="J1089" s="68"/>
      <c r="K1089" s="32"/>
      <c r="L1089" s="75">
        <v>1089</v>
      </c>
      <c r="M1089" s="75"/>
      <c r="N1089" s="70"/>
      <c r="O1089" s="77" t="s">
        <v>179</v>
      </c>
      <c r="P1089" s="79">
        <v>45070.779062499998</v>
      </c>
      <c r="Q1089" s="77" t="s">
        <v>1889</v>
      </c>
      <c r="R1089" s="77">
        <v>0</v>
      </c>
      <c r="S1089" s="77">
        <v>0</v>
      </c>
      <c r="T1089" s="77">
        <v>0</v>
      </c>
      <c r="U1089" s="77">
        <v>0</v>
      </c>
      <c r="V1089" s="77">
        <v>26</v>
      </c>
      <c r="W1089" s="81" t="s">
        <v>3482</v>
      </c>
      <c r="X1089" s="83" t="str">
        <f>HYPERLINK("https://www.netcarreiras.com.br/vaga-vendedor-112759")</f>
        <v>https://www.netcarreiras.com.br/vaga-vendedor-112759</v>
      </c>
      <c r="Y1089" s="77" t="s">
        <v>4223</v>
      </c>
      <c r="Z1089" s="77"/>
      <c r="AA1089" s="77"/>
      <c r="AB1089" s="77"/>
      <c r="AC1089" s="81" t="s">
        <v>5805</v>
      </c>
      <c r="AD1089" s="77" t="s">
        <v>5851</v>
      </c>
      <c r="AE1089" s="83" t="str">
        <f>HYPERLINK("https://twitter.com/netcarreiras/status/1661442400525451264")</f>
        <v>https://twitter.com/netcarreiras/status/1661442400525451264</v>
      </c>
      <c r="AF1089" s="79">
        <v>45070.779062499998</v>
      </c>
      <c r="AG1089" s="85">
        <v>45070</v>
      </c>
      <c r="AH1089" s="81" t="s">
        <v>6754</v>
      </c>
      <c r="AI1089" s="77" t="b">
        <v>0</v>
      </c>
      <c r="AJ1089" s="77"/>
      <c r="AK1089" s="77"/>
      <c r="AL1089" s="77"/>
      <c r="AM1089" s="77"/>
      <c r="AN1089" s="77"/>
      <c r="AO1089" s="77"/>
      <c r="AP1089" s="77"/>
      <c r="AQ1089" s="77"/>
      <c r="AR1089" s="77"/>
      <c r="AS1089" s="77"/>
      <c r="AT1089" s="77"/>
      <c r="AU1089" s="77"/>
      <c r="AV1089" s="83" t="str">
        <f>HYPERLINK("https://pbs.twimg.com/profile_images/1608159721793507329/Ze5iV_bj_normal.jpg")</f>
        <v>https://pbs.twimg.com/profile_images/1608159721793507329/Ze5iV_bj_normal.jpg</v>
      </c>
      <c r="AW1089" s="81" t="s">
        <v>10211</v>
      </c>
      <c r="AX1089" s="81" t="s">
        <v>10211</v>
      </c>
      <c r="AY1089" s="77"/>
      <c r="AZ1089" s="81" t="s">
        <v>11359</v>
      </c>
      <c r="BA1089" s="81" t="s">
        <v>11359</v>
      </c>
      <c r="BB1089" s="81" t="s">
        <v>11359</v>
      </c>
      <c r="BC1089" s="81" t="s">
        <v>10211</v>
      </c>
      <c r="BD1089" s="77">
        <v>119107732</v>
      </c>
      <c r="BE1089" s="77"/>
      <c r="BF1089" s="77"/>
      <c r="BG1089" s="77"/>
      <c r="BH1089" s="77"/>
      <c r="BI1089" s="77"/>
    </row>
    <row r="1090" spans="1:61" x14ac:dyDescent="0.25">
      <c r="A1090" s="62" t="s">
        <v>464</v>
      </c>
      <c r="B1090" s="62" t="s">
        <v>464</v>
      </c>
      <c r="C1090" s="63"/>
      <c r="D1090" s="64"/>
      <c r="E1090" s="65"/>
      <c r="F1090" s="66"/>
      <c r="G1090" s="63"/>
      <c r="H1090" s="67"/>
      <c r="I1090" s="68"/>
      <c r="J1090" s="68"/>
      <c r="K1090" s="32"/>
      <c r="L1090" s="75">
        <v>1090</v>
      </c>
      <c r="M1090" s="75"/>
      <c r="N1090" s="70"/>
      <c r="O1090" s="77" t="s">
        <v>179</v>
      </c>
      <c r="P1090" s="79">
        <v>45114.736331018517</v>
      </c>
      <c r="Q1090" s="77" t="s">
        <v>1890</v>
      </c>
      <c r="R1090" s="77">
        <v>0</v>
      </c>
      <c r="S1090" s="77">
        <v>0</v>
      </c>
      <c r="T1090" s="77">
        <v>0</v>
      </c>
      <c r="U1090" s="77">
        <v>0</v>
      </c>
      <c r="V1090" s="77">
        <v>36</v>
      </c>
      <c r="W1090" s="81" t="s">
        <v>3483</v>
      </c>
      <c r="X1090" s="83" t="str">
        <f>HYPERLINK("https://www.netcarreiras.com.br/vaga-vendedor-de-imoveis-113070")</f>
        <v>https://www.netcarreiras.com.br/vaga-vendedor-de-imoveis-113070</v>
      </c>
      <c r="Y1090" s="77" t="s">
        <v>4223</v>
      </c>
      <c r="Z1090" s="77"/>
      <c r="AA1090" s="77"/>
      <c r="AB1090" s="77"/>
      <c r="AC1090" s="81" t="s">
        <v>5805</v>
      </c>
      <c r="AD1090" s="77" t="s">
        <v>5851</v>
      </c>
      <c r="AE1090" s="83" t="str">
        <f>HYPERLINK("https://twitter.com/netcarreiras/status/1677371981493309441")</f>
        <v>https://twitter.com/netcarreiras/status/1677371981493309441</v>
      </c>
      <c r="AF1090" s="79">
        <v>45114.736331018517</v>
      </c>
      <c r="AG1090" s="85">
        <v>45114</v>
      </c>
      <c r="AH1090" s="81" t="s">
        <v>6755</v>
      </c>
      <c r="AI1090" s="77" t="b">
        <v>0</v>
      </c>
      <c r="AJ1090" s="77"/>
      <c r="AK1090" s="77"/>
      <c r="AL1090" s="77"/>
      <c r="AM1090" s="77"/>
      <c r="AN1090" s="77"/>
      <c r="AO1090" s="77"/>
      <c r="AP1090" s="77"/>
      <c r="AQ1090" s="77"/>
      <c r="AR1090" s="77"/>
      <c r="AS1090" s="77"/>
      <c r="AT1090" s="77"/>
      <c r="AU1090" s="77"/>
      <c r="AV1090" s="83" t="str">
        <f>HYPERLINK("https://pbs.twimg.com/profile_images/1608159721793507329/Ze5iV_bj_normal.jpg")</f>
        <v>https://pbs.twimg.com/profile_images/1608159721793507329/Ze5iV_bj_normal.jpg</v>
      </c>
      <c r="AW1090" s="81" t="s">
        <v>10212</v>
      </c>
      <c r="AX1090" s="81" t="s">
        <v>10212</v>
      </c>
      <c r="AY1090" s="77"/>
      <c r="AZ1090" s="81" t="s">
        <v>11359</v>
      </c>
      <c r="BA1090" s="81" t="s">
        <v>11359</v>
      </c>
      <c r="BB1090" s="81" t="s">
        <v>11359</v>
      </c>
      <c r="BC1090" s="81" t="s">
        <v>10212</v>
      </c>
      <c r="BD1090" s="77">
        <v>119107732</v>
      </c>
      <c r="BE1090" s="77"/>
      <c r="BF1090" s="77"/>
      <c r="BG1090" s="77"/>
      <c r="BH1090" s="77"/>
      <c r="BI1090" s="77"/>
    </row>
    <row r="1091" spans="1:61" x14ac:dyDescent="0.25">
      <c r="A1091" s="62" t="s">
        <v>464</v>
      </c>
      <c r="B1091" s="62" t="s">
        <v>464</v>
      </c>
      <c r="C1091" s="63"/>
      <c r="D1091" s="64"/>
      <c r="E1091" s="65"/>
      <c r="F1091" s="66"/>
      <c r="G1091" s="63"/>
      <c r="H1091" s="67"/>
      <c r="I1091" s="68"/>
      <c r="J1091" s="68"/>
      <c r="K1091" s="32"/>
      <c r="L1091" s="75">
        <v>1091</v>
      </c>
      <c r="M1091" s="75"/>
      <c r="N1091" s="70"/>
      <c r="O1091" s="77" t="s">
        <v>179</v>
      </c>
      <c r="P1091" s="79">
        <v>45113.899108796293</v>
      </c>
      <c r="Q1091" s="77" t="s">
        <v>1891</v>
      </c>
      <c r="R1091" s="77">
        <v>0</v>
      </c>
      <c r="S1091" s="77">
        <v>0</v>
      </c>
      <c r="T1091" s="77">
        <v>0</v>
      </c>
      <c r="U1091" s="77">
        <v>0</v>
      </c>
      <c r="V1091" s="77">
        <v>31</v>
      </c>
      <c r="W1091" s="81" t="s">
        <v>3484</v>
      </c>
      <c r="X1091" s="83" t="str">
        <f>HYPERLINK("https://www.netcarreiras.com.br/vaga-vendedor-a-externo-a-lages-serra-catarinense-113062")</f>
        <v>https://www.netcarreiras.com.br/vaga-vendedor-a-externo-a-lages-serra-catarinense-113062</v>
      </c>
      <c r="Y1091" s="77" t="s">
        <v>4223</v>
      </c>
      <c r="Z1091" s="77"/>
      <c r="AA1091" s="77"/>
      <c r="AB1091" s="77"/>
      <c r="AC1091" s="81" t="s">
        <v>5805</v>
      </c>
      <c r="AD1091" s="77" t="s">
        <v>5851</v>
      </c>
      <c r="AE1091" s="83" t="str">
        <f>HYPERLINK("https://twitter.com/netcarreiras/status/1677068583933714436")</f>
        <v>https://twitter.com/netcarreiras/status/1677068583933714436</v>
      </c>
      <c r="AF1091" s="79">
        <v>45113.899108796293</v>
      </c>
      <c r="AG1091" s="85">
        <v>45113</v>
      </c>
      <c r="AH1091" s="81" t="s">
        <v>6756</v>
      </c>
      <c r="AI1091" s="77" t="b">
        <v>0</v>
      </c>
      <c r="AJ1091" s="77"/>
      <c r="AK1091" s="77"/>
      <c r="AL1091" s="77"/>
      <c r="AM1091" s="77"/>
      <c r="AN1091" s="77"/>
      <c r="AO1091" s="77"/>
      <c r="AP1091" s="77"/>
      <c r="AQ1091" s="77"/>
      <c r="AR1091" s="77"/>
      <c r="AS1091" s="77"/>
      <c r="AT1091" s="77"/>
      <c r="AU1091" s="77"/>
      <c r="AV1091" s="83" t="str">
        <f>HYPERLINK("https://pbs.twimg.com/profile_images/1608159721793507329/Ze5iV_bj_normal.jpg")</f>
        <v>https://pbs.twimg.com/profile_images/1608159721793507329/Ze5iV_bj_normal.jpg</v>
      </c>
      <c r="AW1091" s="81" t="s">
        <v>10213</v>
      </c>
      <c r="AX1091" s="81" t="s">
        <v>10213</v>
      </c>
      <c r="AY1091" s="77"/>
      <c r="AZ1091" s="81" t="s">
        <v>11359</v>
      </c>
      <c r="BA1091" s="81" t="s">
        <v>11359</v>
      </c>
      <c r="BB1091" s="81" t="s">
        <v>11359</v>
      </c>
      <c r="BC1091" s="81" t="s">
        <v>10213</v>
      </c>
      <c r="BD1091" s="77">
        <v>119107732</v>
      </c>
      <c r="BE1091" s="77"/>
      <c r="BF1091" s="77"/>
      <c r="BG1091" s="77"/>
      <c r="BH1091" s="77"/>
      <c r="BI1091" s="77"/>
    </row>
    <row r="1092" spans="1:61" x14ac:dyDescent="0.25">
      <c r="A1092" s="62" t="s">
        <v>464</v>
      </c>
      <c r="B1092" s="62" t="s">
        <v>464</v>
      </c>
      <c r="C1092" s="63"/>
      <c r="D1092" s="64"/>
      <c r="E1092" s="65"/>
      <c r="F1092" s="66"/>
      <c r="G1092" s="63"/>
      <c r="H1092" s="67"/>
      <c r="I1092" s="68"/>
      <c r="J1092" s="68"/>
      <c r="K1092" s="32"/>
      <c r="L1092" s="75">
        <v>1092</v>
      </c>
      <c r="M1092" s="75"/>
      <c r="N1092" s="70"/>
      <c r="O1092" s="77" t="s">
        <v>179</v>
      </c>
      <c r="P1092" s="79">
        <v>45113.771608796298</v>
      </c>
      <c r="Q1092" s="77" t="s">
        <v>1892</v>
      </c>
      <c r="R1092" s="77">
        <v>0</v>
      </c>
      <c r="S1092" s="77">
        <v>0</v>
      </c>
      <c r="T1092" s="77">
        <v>0</v>
      </c>
      <c r="U1092" s="77">
        <v>0</v>
      </c>
      <c r="V1092" s="77">
        <v>42</v>
      </c>
      <c r="W1092" s="81" t="s">
        <v>3485</v>
      </c>
      <c r="X1092" s="83" t="str">
        <f>HYPERLINK("https://www.netcarreiras.com.br/vaga-vendedor-a-externo-a-joinville-113053")</f>
        <v>https://www.netcarreiras.com.br/vaga-vendedor-a-externo-a-joinville-113053</v>
      </c>
      <c r="Y1092" s="77" t="s">
        <v>4223</v>
      </c>
      <c r="Z1092" s="77"/>
      <c r="AA1092" s="77"/>
      <c r="AB1092" s="77"/>
      <c r="AC1092" s="81" t="s">
        <v>5805</v>
      </c>
      <c r="AD1092" s="77" t="s">
        <v>5851</v>
      </c>
      <c r="AE1092" s="83" t="str">
        <f>HYPERLINK("https://twitter.com/netcarreiras/status/1677022378293878797")</f>
        <v>https://twitter.com/netcarreiras/status/1677022378293878797</v>
      </c>
      <c r="AF1092" s="79">
        <v>45113.771608796298</v>
      </c>
      <c r="AG1092" s="85">
        <v>45113</v>
      </c>
      <c r="AH1092" s="81" t="s">
        <v>6757</v>
      </c>
      <c r="AI1092" s="77" t="b">
        <v>0</v>
      </c>
      <c r="AJ1092" s="77"/>
      <c r="AK1092" s="77"/>
      <c r="AL1092" s="77"/>
      <c r="AM1092" s="77"/>
      <c r="AN1092" s="77"/>
      <c r="AO1092" s="77"/>
      <c r="AP1092" s="77"/>
      <c r="AQ1092" s="77"/>
      <c r="AR1092" s="77"/>
      <c r="AS1092" s="77"/>
      <c r="AT1092" s="77"/>
      <c r="AU1092" s="77"/>
      <c r="AV1092" s="83" t="str">
        <f>HYPERLINK("https://pbs.twimg.com/profile_images/1608159721793507329/Ze5iV_bj_normal.jpg")</f>
        <v>https://pbs.twimg.com/profile_images/1608159721793507329/Ze5iV_bj_normal.jpg</v>
      </c>
      <c r="AW1092" s="81" t="s">
        <v>10214</v>
      </c>
      <c r="AX1092" s="81" t="s">
        <v>10214</v>
      </c>
      <c r="AY1092" s="77"/>
      <c r="AZ1092" s="81" t="s">
        <v>11359</v>
      </c>
      <c r="BA1092" s="81" t="s">
        <v>11359</v>
      </c>
      <c r="BB1092" s="81" t="s">
        <v>11359</v>
      </c>
      <c r="BC1092" s="81" t="s">
        <v>10214</v>
      </c>
      <c r="BD1092" s="77">
        <v>119107732</v>
      </c>
      <c r="BE1092" s="77"/>
      <c r="BF1092" s="77"/>
      <c r="BG1092" s="77"/>
      <c r="BH1092" s="77"/>
      <c r="BI1092" s="77"/>
    </row>
    <row r="1093" spans="1:61" x14ac:dyDescent="0.25">
      <c r="A1093" s="62" t="s">
        <v>464</v>
      </c>
      <c r="B1093" s="62" t="s">
        <v>464</v>
      </c>
      <c r="C1093" s="63"/>
      <c r="D1093" s="64"/>
      <c r="E1093" s="65"/>
      <c r="F1093" s="66"/>
      <c r="G1093" s="63"/>
      <c r="H1093" s="67"/>
      <c r="I1093" s="68"/>
      <c r="J1093" s="68"/>
      <c r="K1093" s="32"/>
      <c r="L1093" s="75">
        <v>1093</v>
      </c>
      <c r="M1093" s="75"/>
      <c r="N1093" s="70"/>
      <c r="O1093" s="77" t="s">
        <v>179</v>
      </c>
      <c r="P1093" s="79">
        <v>45084.788240740738</v>
      </c>
      <c r="Q1093" s="77" t="s">
        <v>1893</v>
      </c>
      <c r="R1093" s="77">
        <v>0</v>
      </c>
      <c r="S1093" s="77">
        <v>0</v>
      </c>
      <c r="T1093" s="77">
        <v>0</v>
      </c>
      <c r="U1093" s="77">
        <v>0</v>
      </c>
      <c r="V1093" s="77">
        <v>160</v>
      </c>
      <c r="W1093" s="81" t="s">
        <v>3486</v>
      </c>
      <c r="X1093" s="83" t="str">
        <f>HYPERLINK("https://www.netcarreiras.com.br/vaga-vendedor-assistente-112837")</f>
        <v>https://www.netcarreiras.com.br/vaga-vendedor-assistente-112837</v>
      </c>
      <c r="Y1093" s="77" t="s">
        <v>4223</v>
      </c>
      <c r="Z1093" s="77"/>
      <c r="AA1093" s="77"/>
      <c r="AB1093" s="77"/>
      <c r="AC1093" s="81" t="s">
        <v>5805</v>
      </c>
      <c r="AD1093" s="77" t="s">
        <v>5851</v>
      </c>
      <c r="AE1093" s="83" t="str">
        <f>HYPERLINK("https://twitter.com/netcarreiras/status/1666519157125292054")</f>
        <v>https://twitter.com/netcarreiras/status/1666519157125292054</v>
      </c>
      <c r="AF1093" s="79">
        <v>45084.788240740738</v>
      </c>
      <c r="AG1093" s="85">
        <v>45084</v>
      </c>
      <c r="AH1093" s="81" t="s">
        <v>6758</v>
      </c>
      <c r="AI1093" s="77" t="b">
        <v>0</v>
      </c>
      <c r="AJ1093" s="77"/>
      <c r="AK1093" s="77"/>
      <c r="AL1093" s="77"/>
      <c r="AM1093" s="77"/>
      <c r="AN1093" s="77"/>
      <c r="AO1093" s="77"/>
      <c r="AP1093" s="77"/>
      <c r="AQ1093" s="77"/>
      <c r="AR1093" s="77"/>
      <c r="AS1093" s="77"/>
      <c r="AT1093" s="77"/>
      <c r="AU1093" s="77"/>
      <c r="AV1093" s="83" t="str">
        <f>HYPERLINK("https://pbs.twimg.com/profile_images/1608159721793507329/Ze5iV_bj_normal.jpg")</f>
        <v>https://pbs.twimg.com/profile_images/1608159721793507329/Ze5iV_bj_normal.jpg</v>
      </c>
      <c r="AW1093" s="81" t="s">
        <v>10215</v>
      </c>
      <c r="AX1093" s="81" t="s">
        <v>10215</v>
      </c>
      <c r="AY1093" s="77"/>
      <c r="AZ1093" s="81" t="s">
        <v>11359</v>
      </c>
      <c r="BA1093" s="81" t="s">
        <v>11359</v>
      </c>
      <c r="BB1093" s="81" t="s">
        <v>11359</v>
      </c>
      <c r="BC1093" s="81" t="s">
        <v>10215</v>
      </c>
      <c r="BD1093" s="77">
        <v>119107732</v>
      </c>
      <c r="BE1093" s="77"/>
      <c r="BF1093" s="77"/>
      <c r="BG1093" s="77"/>
      <c r="BH1093" s="77"/>
      <c r="BI1093" s="77"/>
    </row>
    <row r="1094" spans="1:61" x14ac:dyDescent="0.25">
      <c r="A1094" s="62" t="s">
        <v>464</v>
      </c>
      <c r="B1094" s="62" t="s">
        <v>464</v>
      </c>
      <c r="C1094" s="63"/>
      <c r="D1094" s="64"/>
      <c r="E1094" s="65"/>
      <c r="F1094" s="66"/>
      <c r="G1094" s="63"/>
      <c r="H1094" s="67"/>
      <c r="I1094" s="68"/>
      <c r="J1094" s="68"/>
      <c r="K1094" s="32"/>
      <c r="L1094" s="75">
        <v>1094</v>
      </c>
      <c r="M1094" s="75"/>
      <c r="N1094" s="70"/>
      <c r="O1094" s="77" t="s">
        <v>179</v>
      </c>
      <c r="P1094" s="79">
        <v>45084.787893518522</v>
      </c>
      <c r="Q1094" s="77" t="s">
        <v>1894</v>
      </c>
      <c r="R1094" s="77">
        <v>0</v>
      </c>
      <c r="S1094" s="77">
        <v>0</v>
      </c>
      <c r="T1094" s="77">
        <v>0</v>
      </c>
      <c r="U1094" s="77">
        <v>0</v>
      </c>
      <c r="V1094" s="77">
        <v>22</v>
      </c>
      <c r="W1094" s="81" t="s">
        <v>3487</v>
      </c>
      <c r="X1094" s="83" t="str">
        <f>HYPERLINK("https://www.netcarreiras.com.br/vaga-vendedor-autonomo-112828")</f>
        <v>https://www.netcarreiras.com.br/vaga-vendedor-autonomo-112828</v>
      </c>
      <c r="Y1094" s="77" t="s">
        <v>4223</v>
      </c>
      <c r="Z1094" s="77"/>
      <c r="AA1094" s="77"/>
      <c r="AB1094" s="77"/>
      <c r="AC1094" s="81" t="s">
        <v>5805</v>
      </c>
      <c r="AD1094" s="77" t="s">
        <v>5851</v>
      </c>
      <c r="AE1094" s="83" t="str">
        <f>HYPERLINK("https://twitter.com/netcarreiras/status/1666519030721552405")</f>
        <v>https://twitter.com/netcarreiras/status/1666519030721552405</v>
      </c>
      <c r="AF1094" s="79">
        <v>45084.787893518522</v>
      </c>
      <c r="AG1094" s="85">
        <v>45084</v>
      </c>
      <c r="AH1094" s="81" t="s">
        <v>6759</v>
      </c>
      <c r="AI1094" s="77" t="b">
        <v>0</v>
      </c>
      <c r="AJ1094" s="77"/>
      <c r="AK1094" s="77"/>
      <c r="AL1094" s="77"/>
      <c r="AM1094" s="77"/>
      <c r="AN1094" s="77"/>
      <c r="AO1094" s="77"/>
      <c r="AP1094" s="77"/>
      <c r="AQ1094" s="77"/>
      <c r="AR1094" s="77"/>
      <c r="AS1094" s="77"/>
      <c r="AT1094" s="77"/>
      <c r="AU1094" s="77"/>
      <c r="AV1094" s="83" t="str">
        <f>HYPERLINK("https://pbs.twimg.com/profile_images/1608159721793507329/Ze5iV_bj_normal.jpg")</f>
        <v>https://pbs.twimg.com/profile_images/1608159721793507329/Ze5iV_bj_normal.jpg</v>
      </c>
      <c r="AW1094" s="81" t="s">
        <v>10216</v>
      </c>
      <c r="AX1094" s="81" t="s">
        <v>10216</v>
      </c>
      <c r="AY1094" s="77"/>
      <c r="AZ1094" s="81" t="s">
        <v>11359</v>
      </c>
      <c r="BA1094" s="81" t="s">
        <v>11359</v>
      </c>
      <c r="BB1094" s="81" t="s">
        <v>11359</v>
      </c>
      <c r="BC1094" s="81" t="s">
        <v>10216</v>
      </c>
      <c r="BD1094" s="77">
        <v>119107732</v>
      </c>
      <c r="BE1094" s="77"/>
      <c r="BF1094" s="77"/>
      <c r="BG1094" s="77"/>
      <c r="BH1094" s="77"/>
      <c r="BI1094" s="77"/>
    </row>
    <row r="1095" spans="1:61" x14ac:dyDescent="0.25">
      <c r="A1095" s="62" t="s">
        <v>464</v>
      </c>
      <c r="B1095" s="62" t="s">
        <v>464</v>
      </c>
      <c r="C1095" s="63"/>
      <c r="D1095" s="64"/>
      <c r="E1095" s="65"/>
      <c r="F1095" s="66"/>
      <c r="G1095" s="63"/>
      <c r="H1095" s="67"/>
      <c r="I1095" s="68"/>
      <c r="J1095" s="68"/>
      <c r="K1095" s="32"/>
      <c r="L1095" s="75">
        <v>1095</v>
      </c>
      <c r="M1095" s="75"/>
      <c r="N1095" s="70"/>
      <c r="O1095" s="77" t="s">
        <v>179</v>
      </c>
      <c r="P1095" s="79">
        <v>45062.850393518522</v>
      </c>
      <c r="Q1095" s="77" t="s">
        <v>1895</v>
      </c>
      <c r="R1095" s="77">
        <v>0</v>
      </c>
      <c r="S1095" s="77">
        <v>0</v>
      </c>
      <c r="T1095" s="77">
        <v>0</v>
      </c>
      <c r="U1095" s="77">
        <v>0</v>
      </c>
      <c r="V1095" s="77">
        <v>30</v>
      </c>
      <c r="W1095" s="81" t="s">
        <v>3471</v>
      </c>
      <c r="X1095" s="83" t="str">
        <f>HYPERLINK("https://www.netcarreiras.com.br/vaga-vendedor-112488")</f>
        <v>https://www.netcarreiras.com.br/vaga-vendedor-112488</v>
      </c>
      <c r="Y1095" s="77" t="s">
        <v>4223</v>
      </c>
      <c r="Z1095" s="77"/>
      <c r="AA1095" s="77"/>
      <c r="AB1095" s="77"/>
      <c r="AC1095" s="81" t="s">
        <v>5805</v>
      </c>
      <c r="AD1095" s="77" t="s">
        <v>5851</v>
      </c>
      <c r="AE1095" s="83" t="str">
        <f>HYPERLINK("https://twitter.com/netcarreiras/status/1658569149348474880")</f>
        <v>https://twitter.com/netcarreiras/status/1658569149348474880</v>
      </c>
      <c r="AF1095" s="79">
        <v>45062.850393518522</v>
      </c>
      <c r="AG1095" s="85">
        <v>45062</v>
      </c>
      <c r="AH1095" s="81" t="s">
        <v>6760</v>
      </c>
      <c r="AI1095" s="77" t="b">
        <v>0</v>
      </c>
      <c r="AJ1095" s="77"/>
      <c r="AK1095" s="77"/>
      <c r="AL1095" s="77"/>
      <c r="AM1095" s="77"/>
      <c r="AN1095" s="77"/>
      <c r="AO1095" s="77"/>
      <c r="AP1095" s="77"/>
      <c r="AQ1095" s="77"/>
      <c r="AR1095" s="77"/>
      <c r="AS1095" s="77"/>
      <c r="AT1095" s="77"/>
      <c r="AU1095" s="77"/>
      <c r="AV1095" s="83" t="str">
        <f>HYPERLINK("https://pbs.twimg.com/profile_images/1608159721793507329/Ze5iV_bj_normal.jpg")</f>
        <v>https://pbs.twimg.com/profile_images/1608159721793507329/Ze5iV_bj_normal.jpg</v>
      </c>
      <c r="AW1095" s="81" t="s">
        <v>10217</v>
      </c>
      <c r="AX1095" s="81" t="s">
        <v>10217</v>
      </c>
      <c r="AY1095" s="77"/>
      <c r="AZ1095" s="81" t="s">
        <v>11359</v>
      </c>
      <c r="BA1095" s="81" t="s">
        <v>11359</v>
      </c>
      <c r="BB1095" s="81" t="s">
        <v>11359</v>
      </c>
      <c r="BC1095" s="81" t="s">
        <v>10217</v>
      </c>
      <c r="BD1095" s="77">
        <v>119107732</v>
      </c>
      <c r="BE1095" s="77"/>
      <c r="BF1095" s="77"/>
      <c r="BG1095" s="77"/>
      <c r="BH1095" s="77"/>
      <c r="BI1095" s="77"/>
    </row>
    <row r="1096" spans="1:61" x14ac:dyDescent="0.25">
      <c r="A1096" s="62" t="s">
        <v>464</v>
      </c>
      <c r="B1096" s="62" t="s">
        <v>464</v>
      </c>
      <c r="C1096" s="63"/>
      <c r="D1096" s="64"/>
      <c r="E1096" s="65"/>
      <c r="F1096" s="66"/>
      <c r="G1096" s="63"/>
      <c r="H1096" s="67"/>
      <c r="I1096" s="68"/>
      <c r="J1096" s="68"/>
      <c r="K1096" s="32"/>
      <c r="L1096" s="75">
        <v>1096</v>
      </c>
      <c r="M1096" s="75"/>
      <c r="N1096" s="70"/>
      <c r="O1096" s="77" t="s">
        <v>179</v>
      </c>
      <c r="P1096" s="79">
        <v>45118.803043981483</v>
      </c>
      <c r="Q1096" s="77" t="s">
        <v>1896</v>
      </c>
      <c r="R1096" s="77">
        <v>0</v>
      </c>
      <c r="S1096" s="77">
        <v>0</v>
      </c>
      <c r="T1096" s="77">
        <v>0</v>
      </c>
      <c r="U1096" s="77">
        <v>0</v>
      </c>
      <c r="V1096" s="77">
        <v>34</v>
      </c>
      <c r="W1096" s="81" t="s">
        <v>3488</v>
      </c>
      <c r="X1096" s="83" t="str">
        <f>HYPERLINK("https://www.netcarreiras.com.br/vaga-vendedor-externo-florianopolis-113125")</f>
        <v>https://www.netcarreiras.com.br/vaga-vendedor-externo-florianopolis-113125</v>
      </c>
      <c r="Y1096" s="77" t="s">
        <v>4223</v>
      </c>
      <c r="Z1096" s="77"/>
      <c r="AA1096" s="77"/>
      <c r="AB1096" s="77"/>
      <c r="AC1096" s="81" t="s">
        <v>5805</v>
      </c>
      <c r="AD1096" s="77" t="s">
        <v>5851</v>
      </c>
      <c r="AE1096" s="83" t="str">
        <f>HYPERLINK("https://twitter.com/netcarreiras/status/1678845708584009728")</f>
        <v>https://twitter.com/netcarreiras/status/1678845708584009728</v>
      </c>
      <c r="AF1096" s="79">
        <v>45118.803043981483</v>
      </c>
      <c r="AG1096" s="85">
        <v>45118</v>
      </c>
      <c r="AH1096" s="81" t="s">
        <v>6761</v>
      </c>
      <c r="AI1096" s="77" t="b">
        <v>0</v>
      </c>
      <c r="AJ1096" s="77"/>
      <c r="AK1096" s="77"/>
      <c r="AL1096" s="77"/>
      <c r="AM1096" s="77"/>
      <c r="AN1096" s="77"/>
      <c r="AO1096" s="77"/>
      <c r="AP1096" s="77"/>
      <c r="AQ1096" s="77"/>
      <c r="AR1096" s="77"/>
      <c r="AS1096" s="77"/>
      <c r="AT1096" s="77"/>
      <c r="AU1096" s="77"/>
      <c r="AV1096" s="83" t="str">
        <f>HYPERLINK("https://pbs.twimg.com/profile_images/1608159721793507329/Ze5iV_bj_normal.jpg")</f>
        <v>https://pbs.twimg.com/profile_images/1608159721793507329/Ze5iV_bj_normal.jpg</v>
      </c>
      <c r="AW1096" s="81" t="s">
        <v>10218</v>
      </c>
      <c r="AX1096" s="81" t="s">
        <v>10218</v>
      </c>
      <c r="AY1096" s="77"/>
      <c r="AZ1096" s="81" t="s">
        <v>11359</v>
      </c>
      <c r="BA1096" s="81" t="s">
        <v>11359</v>
      </c>
      <c r="BB1096" s="81" t="s">
        <v>11359</v>
      </c>
      <c r="BC1096" s="81" t="s">
        <v>10218</v>
      </c>
      <c r="BD1096" s="77">
        <v>119107732</v>
      </c>
      <c r="BE1096" s="77"/>
      <c r="BF1096" s="77"/>
      <c r="BG1096" s="77"/>
      <c r="BH1096" s="77"/>
      <c r="BI1096" s="77"/>
    </row>
    <row r="1097" spans="1:61" x14ac:dyDescent="0.25">
      <c r="A1097" s="62" t="s">
        <v>464</v>
      </c>
      <c r="B1097" s="62" t="s">
        <v>464</v>
      </c>
      <c r="C1097" s="63"/>
      <c r="D1097" s="64"/>
      <c r="E1097" s="65"/>
      <c r="F1097" s="66"/>
      <c r="G1097" s="63"/>
      <c r="H1097" s="67"/>
      <c r="I1097" s="68"/>
      <c r="J1097" s="68"/>
      <c r="K1097" s="32"/>
      <c r="L1097" s="75">
        <v>1097</v>
      </c>
      <c r="M1097" s="75"/>
      <c r="N1097" s="70"/>
      <c r="O1097" s="77" t="s">
        <v>179</v>
      </c>
      <c r="P1097" s="79">
        <v>45110.818425925929</v>
      </c>
      <c r="Q1097" s="77" t="s">
        <v>1897</v>
      </c>
      <c r="R1097" s="77">
        <v>0</v>
      </c>
      <c r="S1097" s="77">
        <v>0</v>
      </c>
      <c r="T1097" s="77">
        <v>0</v>
      </c>
      <c r="U1097" s="77">
        <v>0</v>
      </c>
      <c r="V1097" s="77">
        <v>37</v>
      </c>
      <c r="W1097" s="81" t="s">
        <v>3481</v>
      </c>
      <c r="X1097" s="83" t="str">
        <f>HYPERLINK("https://www.netcarreiras.com.br/vaga-vendedor-imobiliario-112970")</f>
        <v>https://www.netcarreiras.com.br/vaga-vendedor-imobiliario-112970</v>
      </c>
      <c r="Y1097" s="77" t="s">
        <v>4223</v>
      </c>
      <c r="Z1097" s="77"/>
      <c r="AA1097" s="77"/>
      <c r="AB1097" s="77"/>
      <c r="AC1097" s="81" t="s">
        <v>5805</v>
      </c>
      <c r="AD1097" s="77" t="s">
        <v>5851</v>
      </c>
      <c r="AE1097" s="83" t="str">
        <f>HYPERLINK("https://twitter.com/netcarreiras/status/1675952183374753793")</f>
        <v>https://twitter.com/netcarreiras/status/1675952183374753793</v>
      </c>
      <c r="AF1097" s="79">
        <v>45110.818425925929</v>
      </c>
      <c r="AG1097" s="85">
        <v>45110</v>
      </c>
      <c r="AH1097" s="81" t="s">
        <v>6762</v>
      </c>
      <c r="AI1097" s="77" t="b">
        <v>0</v>
      </c>
      <c r="AJ1097" s="77"/>
      <c r="AK1097" s="77"/>
      <c r="AL1097" s="77"/>
      <c r="AM1097" s="77"/>
      <c r="AN1097" s="77"/>
      <c r="AO1097" s="77"/>
      <c r="AP1097" s="77"/>
      <c r="AQ1097" s="77"/>
      <c r="AR1097" s="77"/>
      <c r="AS1097" s="77"/>
      <c r="AT1097" s="77"/>
      <c r="AU1097" s="77"/>
      <c r="AV1097" s="83" t="str">
        <f>HYPERLINK("https://pbs.twimg.com/profile_images/1608159721793507329/Ze5iV_bj_normal.jpg")</f>
        <v>https://pbs.twimg.com/profile_images/1608159721793507329/Ze5iV_bj_normal.jpg</v>
      </c>
      <c r="AW1097" s="81" t="s">
        <v>10219</v>
      </c>
      <c r="AX1097" s="81" t="s">
        <v>10219</v>
      </c>
      <c r="AY1097" s="77"/>
      <c r="AZ1097" s="81" t="s">
        <v>11359</v>
      </c>
      <c r="BA1097" s="81" t="s">
        <v>11359</v>
      </c>
      <c r="BB1097" s="81" t="s">
        <v>11359</v>
      </c>
      <c r="BC1097" s="81" t="s">
        <v>10219</v>
      </c>
      <c r="BD1097" s="77">
        <v>119107732</v>
      </c>
      <c r="BE1097" s="77"/>
      <c r="BF1097" s="77"/>
      <c r="BG1097" s="77"/>
      <c r="BH1097" s="77"/>
      <c r="BI1097" s="77"/>
    </row>
    <row r="1098" spans="1:61" x14ac:dyDescent="0.25">
      <c r="A1098" s="62" t="s">
        <v>464</v>
      </c>
      <c r="B1098" s="62" t="s">
        <v>464</v>
      </c>
      <c r="C1098" s="63"/>
      <c r="D1098" s="64"/>
      <c r="E1098" s="65"/>
      <c r="F1098" s="66"/>
      <c r="G1098" s="63"/>
      <c r="H1098" s="67"/>
      <c r="I1098" s="68"/>
      <c r="J1098" s="68"/>
      <c r="K1098" s="32"/>
      <c r="L1098" s="75">
        <v>1098</v>
      </c>
      <c r="M1098" s="75"/>
      <c r="N1098" s="70"/>
      <c r="O1098" s="77" t="s">
        <v>179</v>
      </c>
      <c r="P1098" s="79">
        <v>45110.703680555554</v>
      </c>
      <c r="Q1098" s="77" t="s">
        <v>1898</v>
      </c>
      <c r="R1098" s="77">
        <v>0</v>
      </c>
      <c r="S1098" s="77">
        <v>0</v>
      </c>
      <c r="T1098" s="77">
        <v>0</v>
      </c>
      <c r="U1098" s="77">
        <v>0</v>
      </c>
      <c r="V1098" s="77">
        <v>21</v>
      </c>
      <c r="W1098" s="81" t="s">
        <v>3489</v>
      </c>
      <c r="X1098" s="83" t="str">
        <f>HYPERLINK("https://www.netcarreiras.com.br/vaga-vendedor-externo-i-112966")</f>
        <v>https://www.netcarreiras.com.br/vaga-vendedor-externo-i-112966</v>
      </c>
      <c r="Y1098" s="77" t="s">
        <v>4223</v>
      </c>
      <c r="Z1098" s="77"/>
      <c r="AA1098" s="77"/>
      <c r="AB1098" s="77"/>
      <c r="AC1098" s="81" t="s">
        <v>5805</v>
      </c>
      <c r="AD1098" s="77" t="s">
        <v>5851</v>
      </c>
      <c r="AE1098" s="83" t="str">
        <f>HYPERLINK("https://twitter.com/netcarreiras/status/1675910599669166087")</f>
        <v>https://twitter.com/netcarreiras/status/1675910599669166087</v>
      </c>
      <c r="AF1098" s="79">
        <v>45110.703680555554</v>
      </c>
      <c r="AG1098" s="85">
        <v>45110</v>
      </c>
      <c r="AH1098" s="81" t="s">
        <v>6763</v>
      </c>
      <c r="AI1098" s="77" t="b">
        <v>0</v>
      </c>
      <c r="AJ1098" s="77"/>
      <c r="AK1098" s="77"/>
      <c r="AL1098" s="77"/>
      <c r="AM1098" s="77"/>
      <c r="AN1098" s="77"/>
      <c r="AO1098" s="77"/>
      <c r="AP1098" s="77"/>
      <c r="AQ1098" s="77"/>
      <c r="AR1098" s="77"/>
      <c r="AS1098" s="77"/>
      <c r="AT1098" s="77"/>
      <c r="AU1098" s="77"/>
      <c r="AV1098" s="83" t="str">
        <f>HYPERLINK("https://pbs.twimg.com/profile_images/1608159721793507329/Ze5iV_bj_normal.jpg")</f>
        <v>https://pbs.twimg.com/profile_images/1608159721793507329/Ze5iV_bj_normal.jpg</v>
      </c>
      <c r="AW1098" s="81" t="s">
        <v>10220</v>
      </c>
      <c r="AX1098" s="81" t="s">
        <v>10220</v>
      </c>
      <c r="AY1098" s="77"/>
      <c r="AZ1098" s="81" t="s">
        <v>11359</v>
      </c>
      <c r="BA1098" s="81" t="s">
        <v>11359</v>
      </c>
      <c r="BB1098" s="81" t="s">
        <v>11359</v>
      </c>
      <c r="BC1098" s="81" t="s">
        <v>10220</v>
      </c>
      <c r="BD1098" s="77">
        <v>119107732</v>
      </c>
      <c r="BE1098" s="77"/>
      <c r="BF1098" s="77"/>
      <c r="BG1098" s="77"/>
      <c r="BH1098" s="77"/>
      <c r="BI1098" s="77"/>
    </row>
    <row r="1099" spans="1:61" x14ac:dyDescent="0.25">
      <c r="A1099" s="62" t="s">
        <v>464</v>
      </c>
      <c r="B1099" s="62" t="s">
        <v>464</v>
      </c>
      <c r="C1099" s="63"/>
      <c r="D1099" s="64"/>
      <c r="E1099" s="65"/>
      <c r="F1099" s="66"/>
      <c r="G1099" s="63"/>
      <c r="H1099" s="67"/>
      <c r="I1099" s="68"/>
      <c r="J1099" s="68"/>
      <c r="K1099" s="32"/>
      <c r="L1099" s="75">
        <v>1099</v>
      </c>
      <c r="M1099" s="75"/>
      <c r="N1099" s="70"/>
      <c r="O1099" s="77" t="s">
        <v>179</v>
      </c>
      <c r="P1099" s="79">
        <v>45110.703518518516</v>
      </c>
      <c r="Q1099" s="77" t="s">
        <v>1899</v>
      </c>
      <c r="R1099" s="77">
        <v>0</v>
      </c>
      <c r="S1099" s="77">
        <v>0</v>
      </c>
      <c r="T1099" s="77">
        <v>0</v>
      </c>
      <c r="U1099" s="77">
        <v>0</v>
      </c>
      <c r="V1099" s="77">
        <v>31</v>
      </c>
      <c r="W1099" s="81" t="s">
        <v>3490</v>
      </c>
      <c r="X1099" s="83" t="str">
        <f>HYPERLINK("https://www.netcarreiras.com.br/vaga-vendedor-externo-112960")</f>
        <v>https://www.netcarreiras.com.br/vaga-vendedor-externo-112960</v>
      </c>
      <c r="Y1099" s="77" t="s">
        <v>4223</v>
      </c>
      <c r="Z1099" s="77"/>
      <c r="AA1099" s="77"/>
      <c r="AB1099" s="77"/>
      <c r="AC1099" s="81" t="s">
        <v>5805</v>
      </c>
      <c r="AD1099" s="77" t="s">
        <v>5851</v>
      </c>
      <c r="AE1099" s="83" t="str">
        <f>HYPERLINK("https://twitter.com/netcarreiras/status/1675910542354001921")</f>
        <v>https://twitter.com/netcarreiras/status/1675910542354001921</v>
      </c>
      <c r="AF1099" s="79">
        <v>45110.703518518516</v>
      </c>
      <c r="AG1099" s="85">
        <v>45110</v>
      </c>
      <c r="AH1099" s="81" t="s">
        <v>6764</v>
      </c>
      <c r="AI1099" s="77" t="b">
        <v>0</v>
      </c>
      <c r="AJ1099" s="77"/>
      <c r="AK1099" s="77"/>
      <c r="AL1099" s="77"/>
      <c r="AM1099" s="77"/>
      <c r="AN1099" s="77"/>
      <c r="AO1099" s="77"/>
      <c r="AP1099" s="77"/>
      <c r="AQ1099" s="77"/>
      <c r="AR1099" s="77"/>
      <c r="AS1099" s="77"/>
      <c r="AT1099" s="77"/>
      <c r="AU1099" s="77"/>
      <c r="AV1099" s="83" t="str">
        <f>HYPERLINK("https://pbs.twimg.com/profile_images/1608159721793507329/Ze5iV_bj_normal.jpg")</f>
        <v>https://pbs.twimg.com/profile_images/1608159721793507329/Ze5iV_bj_normal.jpg</v>
      </c>
      <c r="AW1099" s="81" t="s">
        <v>10221</v>
      </c>
      <c r="AX1099" s="81" t="s">
        <v>10221</v>
      </c>
      <c r="AY1099" s="77"/>
      <c r="AZ1099" s="81" t="s">
        <v>11359</v>
      </c>
      <c r="BA1099" s="81" t="s">
        <v>11359</v>
      </c>
      <c r="BB1099" s="81" t="s">
        <v>11359</v>
      </c>
      <c r="BC1099" s="81" t="s">
        <v>10221</v>
      </c>
      <c r="BD1099" s="77">
        <v>119107732</v>
      </c>
      <c r="BE1099" s="77"/>
      <c r="BF1099" s="77"/>
      <c r="BG1099" s="77"/>
      <c r="BH1099" s="77"/>
      <c r="BI1099" s="77"/>
    </row>
    <row r="1100" spans="1:61" x14ac:dyDescent="0.25">
      <c r="A1100" s="62" t="s">
        <v>464</v>
      </c>
      <c r="B1100" s="62" t="s">
        <v>464</v>
      </c>
      <c r="C1100" s="63"/>
      <c r="D1100" s="64"/>
      <c r="E1100" s="65"/>
      <c r="F1100" s="66"/>
      <c r="G1100" s="63"/>
      <c r="H1100" s="67"/>
      <c r="I1100" s="68"/>
      <c r="J1100" s="68"/>
      <c r="K1100" s="32"/>
      <c r="L1100" s="75">
        <v>1100</v>
      </c>
      <c r="M1100" s="75"/>
      <c r="N1100" s="70"/>
      <c r="O1100" s="77" t="s">
        <v>179</v>
      </c>
      <c r="P1100" s="79">
        <v>45064.77988425926</v>
      </c>
      <c r="Q1100" s="77" t="s">
        <v>1900</v>
      </c>
      <c r="R1100" s="77">
        <v>0</v>
      </c>
      <c r="S1100" s="77">
        <v>0</v>
      </c>
      <c r="T1100" s="77">
        <v>0</v>
      </c>
      <c r="U1100" s="77">
        <v>0</v>
      </c>
      <c r="V1100" s="77">
        <v>104</v>
      </c>
      <c r="W1100" s="81" t="s">
        <v>3491</v>
      </c>
      <c r="X1100" s="83" t="str">
        <f>HYPERLINK("https://www.netcarreiras.com.br/vaga-vendedor-de-reservas-112743")</f>
        <v>https://www.netcarreiras.com.br/vaga-vendedor-de-reservas-112743</v>
      </c>
      <c r="Y1100" s="77" t="s">
        <v>4223</v>
      </c>
      <c r="Z1100" s="77"/>
      <c r="AA1100" s="77"/>
      <c r="AB1100" s="77"/>
      <c r="AC1100" s="81" t="s">
        <v>5805</v>
      </c>
      <c r="AD1100" s="77" t="s">
        <v>5851</v>
      </c>
      <c r="AE1100" s="83" t="str">
        <f>HYPERLINK("https://twitter.com/netcarreiras/status/1659268371010011136")</f>
        <v>https://twitter.com/netcarreiras/status/1659268371010011136</v>
      </c>
      <c r="AF1100" s="79">
        <v>45064.77988425926</v>
      </c>
      <c r="AG1100" s="85">
        <v>45064</v>
      </c>
      <c r="AH1100" s="81" t="s">
        <v>6765</v>
      </c>
      <c r="AI1100" s="77" t="b">
        <v>0</v>
      </c>
      <c r="AJ1100" s="77"/>
      <c r="AK1100" s="77"/>
      <c r="AL1100" s="77"/>
      <c r="AM1100" s="77"/>
      <c r="AN1100" s="77"/>
      <c r="AO1100" s="77"/>
      <c r="AP1100" s="77"/>
      <c r="AQ1100" s="77"/>
      <c r="AR1100" s="77"/>
      <c r="AS1100" s="77"/>
      <c r="AT1100" s="77"/>
      <c r="AU1100" s="77"/>
      <c r="AV1100" s="83" t="str">
        <f>HYPERLINK("https://pbs.twimg.com/profile_images/1608159721793507329/Ze5iV_bj_normal.jpg")</f>
        <v>https://pbs.twimg.com/profile_images/1608159721793507329/Ze5iV_bj_normal.jpg</v>
      </c>
      <c r="AW1100" s="81" t="s">
        <v>10222</v>
      </c>
      <c r="AX1100" s="81" t="s">
        <v>10222</v>
      </c>
      <c r="AY1100" s="77"/>
      <c r="AZ1100" s="81" t="s">
        <v>11359</v>
      </c>
      <c r="BA1100" s="81" t="s">
        <v>11359</v>
      </c>
      <c r="BB1100" s="81" t="s">
        <v>11359</v>
      </c>
      <c r="BC1100" s="81" t="s">
        <v>10222</v>
      </c>
      <c r="BD1100" s="77">
        <v>119107732</v>
      </c>
      <c r="BE1100" s="77"/>
      <c r="BF1100" s="77"/>
      <c r="BG1100" s="77"/>
      <c r="BH1100" s="77"/>
      <c r="BI1100" s="77"/>
    </row>
    <row r="1101" spans="1:61" x14ac:dyDescent="0.25">
      <c r="A1101" s="62" t="s">
        <v>465</v>
      </c>
      <c r="B1101" s="62" t="s">
        <v>465</v>
      </c>
      <c r="C1101" s="63"/>
      <c r="D1101" s="64"/>
      <c r="E1101" s="65"/>
      <c r="F1101" s="66"/>
      <c r="G1101" s="63"/>
      <c r="H1101" s="67"/>
      <c r="I1101" s="68"/>
      <c r="J1101" s="68"/>
      <c r="K1101" s="32"/>
      <c r="L1101" s="75">
        <v>1101</v>
      </c>
      <c r="M1101" s="75"/>
      <c r="N1101" s="70"/>
      <c r="O1101" s="77" t="s">
        <v>179</v>
      </c>
      <c r="P1101" s="79">
        <v>44985.94871527778</v>
      </c>
      <c r="Q1101" s="77" t="s">
        <v>1901</v>
      </c>
      <c r="R1101" s="77">
        <v>0</v>
      </c>
      <c r="S1101" s="77">
        <v>0</v>
      </c>
      <c r="T1101" s="77">
        <v>0</v>
      </c>
      <c r="U1101" s="77">
        <v>0</v>
      </c>
      <c r="V1101" s="77">
        <v>14</v>
      </c>
      <c r="W1101" s="81" t="s">
        <v>3492</v>
      </c>
      <c r="X1101" s="77"/>
      <c r="Y1101" s="77"/>
      <c r="Z1101" s="77"/>
      <c r="AA1101" s="77" t="s">
        <v>5094</v>
      </c>
      <c r="AB1101" s="77" t="s">
        <v>5794</v>
      </c>
      <c r="AC1101" s="81" t="s">
        <v>5801</v>
      </c>
      <c r="AD1101" s="77" t="s">
        <v>5851</v>
      </c>
      <c r="AE1101" s="83" t="str">
        <f>HYPERLINK("https://twitter.com/ederzardin/status/1630700912296570880")</f>
        <v>https://twitter.com/ederzardin/status/1630700912296570880</v>
      </c>
      <c r="AF1101" s="79">
        <v>44985.94871527778</v>
      </c>
      <c r="AG1101" s="85">
        <v>44985</v>
      </c>
      <c r="AH1101" s="81" t="s">
        <v>6766</v>
      </c>
      <c r="AI1101" s="77" t="b">
        <v>0</v>
      </c>
      <c r="AJ1101" s="77"/>
      <c r="AK1101" s="77"/>
      <c r="AL1101" s="77"/>
      <c r="AM1101" s="77"/>
      <c r="AN1101" s="77"/>
      <c r="AO1101" s="77"/>
      <c r="AP1101" s="77"/>
      <c r="AQ1101" s="77" t="s">
        <v>8597</v>
      </c>
      <c r="AR1101" s="77"/>
      <c r="AS1101" s="77"/>
      <c r="AT1101" s="77"/>
      <c r="AU1101" s="77"/>
      <c r="AV1101" s="83" t="str">
        <f>HYPERLINK("https://pbs.twimg.com/media/FqFp1mZXoAElZ5W.jpg")</f>
        <v>https://pbs.twimg.com/media/FqFp1mZXoAElZ5W.jpg</v>
      </c>
      <c r="AW1101" s="81" t="s">
        <v>10223</v>
      </c>
      <c r="AX1101" s="81" t="s">
        <v>10223</v>
      </c>
      <c r="AY1101" s="77"/>
      <c r="AZ1101" s="81" t="s">
        <v>11359</v>
      </c>
      <c r="BA1101" s="81" t="s">
        <v>11359</v>
      </c>
      <c r="BB1101" s="81" t="s">
        <v>11359</v>
      </c>
      <c r="BC1101" s="81" t="s">
        <v>10223</v>
      </c>
      <c r="BD1101" s="81" t="s">
        <v>11524</v>
      </c>
      <c r="BE1101" s="77"/>
      <c r="BF1101" s="77"/>
      <c r="BG1101" s="77"/>
      <c r="BH1101" s="77"/>
      <c r="BI1101" s="77"/>
    </row>
    <row r="1102" spans="1:61" x14ac:dyDescent="0.25">
      <c r="A1102" s="62" t="s">
        <v>465</v>
      </c>
      <c r="B1102" s="62" t="s">
        <v>465</v>
      </c>
      <c r="C1102" s="63"/>
      <c r="D1102" s="64"/>
      <c r="E1102" s="65"/>
      <c r="F1102" s="66"/>
      <c r="G1102" s="63"/>
      <c r="H1102" s="67"/>
      <c r="I1102" s="68"/>
      <c r="J1102" s="68"/>
      <c r="K1102" s="32"/>
      <c r="L1102" s="75">
        <v>1102</v>
      </c>
      <c r="M1102" s="75"/>
      <c r="N1102" s="70"/>
      <c r="O1102" s="77" t="s">
        <v>179</v>
      </c>
      <c r="P1102" s="79">
        <v>44957.421053240738</v>
      </c>
      <c r="Q1102" s="77" t="s">
        <v>1902</v>
      </c>
      <c r="R1102" s="77">
        <v>0</v>
      </c>
      <c r="S1102" s="77">
        <v>0</v>
      </c>
      <c r="T1102" s="77">
        <v>0</v>
      </c>
      <c r="U1102" s="77">
        <v>0</v>
      </c>
      <c r="V1102" s="77">
        <v>8</v>
      </c>
      <c r="W1102" s="81" t="s">
        <v>3493</v>
      </c>
      <c r="X1102" s="77"/>
      <c r="Y1102" s="77"/>
      <c r="Z1102" s="77"/>
      <c r="AA1102" s="77" t="s">
        <v>5095</v>
      </c>
      <c r="AB1102" s="77" t="s">
        <v>5794</v>
      </c>
      <c r="AC1102" s="81" t="s">
        <v>5801</v>
      </c>
      <c r="AD1102" s="77" t="s">
        <v>5851</v>
      </c>
      <c r="AE1102" s="83" t="str">
        <f>HYPERLINK("https://twitter.com/ederzardin/status/1620362837259603969")</f>
        <v>https://twitter.com/ederzardin/status/1620362837259603969</v>
      </c>
      <c r="AF1102" s="79">
        <v>44957.421053240738</v>
      </c>
      <c r="AG1102" s="85">
        <v>44957</v>
      </c>
      <c r="AH1102" s="81" t="s">
        <v>6767</v>
      </c>
      <c r="AI1102" s="77" t="b">
        <v>0</v>
      </c>
      <c r="AJ1102" s="77"/>
      <c r="AK1102" s="77"/>
      <c r="AL1102" s="77"/>
      <c r="AM1102" s="77"/>
      <c r="AN1102" s="77"/>
      <c r="AO1102" s="77"/>
      <c r="AP1102" s="77"/>
      <c r="AQ1102" s="77" t="s">
        <v>8598</v>
      </c>
      <c r="AR1102" s="77"/>
      <c r="AS1102" s="77"/>
      <c r="AT1102" s="77"/>
      <c r="AU1102" s="77"/>
      <c r="AV1102" s="83" t="str">
        <f>HYPERLINK("https://pbs.twimg.com/media/FnyvaaqXoAAdMu0.jpg")</f>
        <v>https://pbs.twimg.com/media/FnyvaaqXoAAdMu0.jpg</v>
      </c>
      <c r="AW1102" s="81" t="s">
        <v>10224</v>
      </c>
      <c r="AX1102" s="81" t="s">
        <v>10224</v>
      </c>
      <c r="AY1102" s="77"/>
      <c r="AZ1102" s="81" t="s">
        <v>11359</v>
      </c>
      <c r="BA1102" s="81" t="s">
        <v>11359</v>
      </c>
      <c r="BB1102" s="81" t="s">
        <v>11359</v>
      </c>
      <c r="BC1102" s="81" t="s">
        <v>10224</v>
      </c>
      <c r="BD1102" s="81" t="s">
        <v>11524</v>
      </c>
      <c r="BE1102" s="77"/>
      <c r="BF1102" s="77"/>
      <c r="BG1102" s="77"/>
      <c r="BH1102" s="77"/>
      <c r="BI1102" s="77"/>
    </row>
    <row r="1103" spans="1:61" x14ac:dyDescent="0.25">
      <c r="A1103" s="62" t="s">
        <v>465</v>
      </c>
      <c r="B1103" s="62" t="s">
        <v>465</v>
      </c>
      <c r="C1103" s="63"/>
      <c r="D1103" s="64"/>
      <c r="E1103" s="65"/>
      <c r="F1103" s="66"/>
      <c r="G1103" s="63"/>
      <c r="H1103" s="67"/>
      <c r="I1103" s="68"/>
      <c r="J1103" s="68"/>
      <c r="K1103" s="32"/>
      <c r="L1103" s="75">
        <v>1103</v>
      </c>
      <c r="M1103" s="75"/>
      <c r="N1103" s="70"/>
      <c r="O1103" s="77" t="s">
        <v>179</v>
      </c>
      <c r="P1103" s="79">
        <v>44956.443067129629</v>
      </c>
      <c r="Q1103" s="77" t="s">
        <v>1903</v>
      </c>
      <c r="R1103" s="77">
        <v>0</v>
      </c>
      <c r="S1103" s="77">
        <v>0</v>
      </c>
      <c r="T1103" s="77">
        <v>0</v>
      </c>
      <c r="U1103" s="77">
        <v>0</v>
      </c>
      <c r="V1103" s="77">
        <v>8</v>
      </c>
      <c r="W1103" s="81" t="s">
        <v>3494</v>
      </c>
      <c r="X1103" s="77"/>
      <c r="Y1103" s="77"/>
      <c r="Z1103" s="77"/>
      <c r="AA1103" s="77" t="s">
        <v>5096</v>
      </c>
      <c r="AB1103" s="77" t="s">
        <v>5794</v>
      </c>
      <c r="AC1103" s="81" t="s">
        <v>5801</v>
      </c>
      <c r="AD1103" s="77" t="s">
        <v>5851</v>
      </c>
      <c r="AE1103" s="83" t="str">
        <f>HYPERLINK("https://twitter.com/ederzardin/status/1620008423709618177")</f>
        <v>https://twitter.com/ederzardin/status/1620008423709618177</v>
      </c>
      <c r="AF1103" s="79">
        <v>44956.443067129629</v>
      </c>
      <c r="AG1103" s="85">
        <v>44956</v>
      </c>
      <c r="AH1103" s="81" t="s">
        <v>6768</v>
      </c>
      <c r="AI1103" s="77" t="b">
        <v>0</v>
      </c>
      <c r="AJ1103" s="77"/>
      <c r="AK1103" s="77"/>
      <c r="AL1103" s="77"/>
      <c r="AM1103" s="77"/>
      <c r="AN1103" s="77"/>
      <c r="AO1103" s="77"/>
      <c r="AP1103" s="77"/>
      <c r="AQ1103" s="77" t="s">
        <v>8599</v>
      </c>
      <c r="AR1103" s="77"/>
      <c r="AS1103" s="77"/>
      <c r="AT1103" s="77"/>
      <c r="AU1103" s="77"/>
      <c r="AV1103" s="83" t="str">
        <f>HYPERLINK("https://pbs.twimg.com/media/FnttE1RXgAMmFD0.jpg")</f>
        <v>https://pbs.twimg.com/media/FnttE1RXgAMmFD0.jpg</v>
      </c>
      <c r="AW1103" s="81" t="s">
        <v>10225</v>
      </c>
      <c r="AX1103" s="81" t="s">
        <v>10225</v>
      </c>
      <c r="AY1103" s="77"/>
      <c r="AZ1103" s="81" t="s">
        <v>11359</v>
      </c>
      <c r="BA1103" s="81" t="s">
        <v>11359</v>
      </c>
      <c r="BB1103" s="81" t="s">
        <v>11359</v>
      </c>
      <c r="BC1103" s="81" t="s">
        <v>10225</v>
      </c>
      <c r="BD1103" s="81" t="s">
        <v>11524</v>
      </c>
      <c r="BE1103" s="77"/>
      <c r="BF1103" s="77"/>
      <c r="BG1103" s="77"/>
      <c r="BH1103" s="77"/>
      <c r="BI1103" s="77"/>
    </row>
    <row r="1104" spans="1:61" x14ac:dyDescent="0.25">
      <c r="A1104" s="62" t="s">
        <v>465</v>
      </c>
      <c r="B1104" s="62" t="s">
        <v>465</v>
      </c>
      <c r="C1104" s="63"/>
      <c r="D1104" s="64"/>
      <c r="E1104" s="65"/>
      <c r="F1104" s="66"/>
      <c r="G1104" s="63"/>
      <c r="H1104" s="67"/>
      <c r="I1104" s="68"/>
      <c r="J1104" s="68"/>
      <c r="K1104" s="32"/>
      <c r="L1104" s="75">
        <v>1104</v>
      </c>
      <c r="M1104" s="75"/>
      <c r="N1104" s="70"/>
      <c r="O1104" s="77" t="s">
        <v>179</v>
      </c>
      <c r="P1104" s="79">
        <v>44955.469733796293</v>
      </c>
      <c r="Q1104" s="77" t="s">
        <v>1904</v>
      </c>
      <c r="R1104" s="77">
        <v>0</v>
      </c>
      <c r="S1104" s="77">
        <v>0</v>
      </c>
      <c r="T1104" s="77">
        <v>0</v>
      </c>
      <c r="U1104" s="77">
        <v>0</v>
      </c>
      <c r="V1104" s="77">
        <v>13</v>
      </c>
      <c r="W1104" s="81" t="s">
        <v>3495</v>
      </c>
      <c r="X1104" s="77"/>
      <c r="Y1104" s="77"/>
      <c r="Z1104" s="77"/>
      <c r="AA1104" s="77" t="s">
        <v>5097</v>
      </c>
      <c r="AB1104" s="77" t="s">
        <v>5794</v>
      </c>
      <c r="AC1104" s="81" t="s">
        <v>5801</v>
      </c>
      <c r="AD1104" s="77" t="s">
        <v>5851</v>
      </c>
      <c r="AE1104" s="83" t="str">
        <f>HYPERLINK("https://twitter.com/ederzardin/status/1619655699226820615")</f>
        <v>https://twitter.com/ederzardin/status/1619655699226820615</v>
      </c>
      <c r="AF1104" s="79">
        <v>44955.469733796293</v>
      </c>
      <c r="AG1104" s="85">
        <v>44955</v>
      </c>
      <c r="AH1104" s="81" t="s">
        <v>6769</v>
      </c>
      <c r="AI1104" s="77" t="b">
        <v>0</v>
      </c>
      <c r="AJ1104" s="77"/>
      <c r="AK1104" s="77"/>
      <c r="AL1104" s="77"/>
      <c r="AM1104" s="77"/>
      <c r="AN1104" s="77"/>
      <c r="AO1104" s="77"/>
      <c r="AP1104" s="77"/>
      <c r="AQ1104" s="77" t="s">
        <v>8600</v>
      </c>
      <c r="AR1104" s="77"/>
      <c r="AS1104" s="77"/>
      <c r="AT1104" s="77"/>
      <c r="AU1104" s="77"/>
      <c r="AV1104" s="83" t="str">
        <f>HYPERLINK("https://pbs.twimg.com/media/FnosRmWWAAA-y6y.jpg")</f>
        <v>https://pbs.twimg.com/media/FnosRmWWAAA-y6y.jpg</v>
      </c>
      <c r="AW1104" s="81" t="s">
        <v>10226</v>
      </c>
      <c r="AX1104" s="81" t="s">
        <v>10226</v>
      </c>
      <c r="AY1104" s="77"/>
      <c r="AZ1104" s="81" t="s">
        <v>11359</v>
      </c>
      <c r="BA1104" s="81" t="s">
        <v>11359</v>
      </c>
      <c r="BB1104" s="81" t="s">
        <v>11359</v>
      </c>
      <c r="BC1104" s="81" t="s">
        <v>10226</v>
      </c>
      <c r="BD1104" s="81" t="s">
        <v>11524</v>
      </c>
      <c r="BE1104" s="77"/>
      <c r="BF1104" s="77"/>
      <c r="BG1104" s="77"/>
      <c r="BH1104" s="77"/>
      <c r="BI1104" s="77"/>
    </row>
    <row r="1105" spans="1:61" x14ac:dyDescent="0.25">
      <c r="A1105" s="62" t="s">
        <v>465</v>
      </c>
      <c r="B1105" s="62" t="s">
        <v>465</v>
      </c>
      <c r="C1105" s="63"/>
      <c r="D1105" s="64"/>
      <c r="E1105" s="65"/>
      <c r="F1105" s="66"/>
      <c r="G1105" s="63"/>
      <c r="H1105" s="67"/>
      <c r="I1105" s="68"/>
      <c r="J1105" s="68"/>
      <c r="K1105" s="32"/>
      <c r="L1105" s="75">
        <v>1105</v>
      </c>
      <c r="M1105" s="75"/>
      <c r="N1105" s="70"/>
      <c r="O1105" s="77" t="s">
        <v>179</v>
      </c>
      <c r="P1105" s="79">
        <v>44954.47247685185</v>
      </c>
      <c r="Q1105" s="77" t="s">
        <v>1905</v>
      </c>
      <c r="R1105" s="77">
        <v>0</v>
      </c>
      <c r="S1105" s="77">
        <v>0</v>
      </c>
      <c r="T1105" s="77">
        <v>0</v>
      </c>
      <c r="U1105" s="77">
        <v>0</v>
      </c>
      <c r="V1105" s="77">
        <v>7</v>
      </c>
      <c r="W1105" s="81" t="s">
        <v>3496</v>
      </c>
      <c r="X1105" s="77"/>
      <c r="Y1105" s="77"/>
      <c r="Z1105" s="77"/>
      <c r="AA1105" s="77" t="s">
        <v>5098</v>
      </c>
      <c r="AB1105" s="77" t="s">
        <v>5794</v>
      </c>
      <c r="AC1105" s="81" t="s">
        <v>5801</v>
      </c>
      <c r="AD1105" s="77" t="s">
        <v>5851</v>
      </c>
      <c r="AE1105" s="83" t="str">
        <f>HYPERLINK("https://twitter.com/ederzardin/status/1619294305692286977")</f>
        <v>https://twitter.com/ederzardin/status/1619294305692286977</v>
      </c>
      <c r="AF1105" s="79">
        <v>44954.47247685185</v>
      </c>
      <c r="AG1105" s="85">
        <v>44954</v>
      </c>
      <c r="AH1105" s="81" t="s">
        <v>6770</v>
      </c>
      <c r="AI1105" s="77" t="b">
        <v>0</v>
      </c>
      <c r="AJ1105" s="77"/>
      <c r="AK1105" s="77"/>
      <c r="AL1105" s="77"/>
      <c r="AM1105" s="77"/>
      <c r="AN1105" s="77"/>
      <c r="AO1105" s="77"/>
      <c r="AP1105" s="77"/>
      <c r="AQ1105" s="77" t="s">
        <v>8601</v>
      </c>
      <c r="AR1105" s="77"/>
      <c r="AS1105" s="77"/>
      <c r="AT1105" s="77"/>
      <c r="AU1105" s="77"/>
      <c r="AV1105" s="83" t="str">
        <f>HYPERLINK("https://pbs.twimg.com/media/FnjjlsNXgAI3See.jpg")</f>
        <v>https://pbs.twimg.com/media/FnjjlsNXgAI3See.jpg</v>
      </c>
      <c r="AW1105" s="81" t="s">
        <v>10227</v>
      </c>
      <c r="AX1105" s="81" t="s">
        <v>10227</v>
      </c>
      <c r="AY1105" s="77"/>
      <c r="AZ1105" s="81" t="s">
        <v>11359</v>
      </c>
      <c r="BA1105" s="81" t="s">
        <v>11359</v>
      </c>
      <c r="BB1105" s="81" t="s">
        <v>11359</v>
      </c>
      <c r="BC1105" s="81" t="s">
        <v>10227</v>
      </c>
      <c r="BD1105" s="81" t="s">
        <v>11524</v>
      </c>
      <c r="BE1105" s="77"/>
      <c r="BF1105" s="77"/>
      <c r="BG1105" s="77"/>
      <c r="BH1105" s="77"/>
      <c r="BI1105" s="77"/>
    </row>
    <row r="1106" spans="1:61" x14ac:dyDescent="0.25">
      <c r="A1106" s="62" t="s">
        <v>465</v>
      </c>
      <c r="B1106" s="62" t="s">
        <v>465</v>
      </c>
      <c r="C1106" s="63"/>
      <c r="D1106" s="64"/>
      <c r="E1106" s="65"/>
      <c r="F1106" s="66"/>
      <c r="G1106" s="63"/>
      <c r="H1106" s="67"/>
      <c r="I1106" s="68"/>
      <c r="J1106" s="68"/>
      <c r="K1106" s="32"/>
      <c r="L1106" s="75">
        <v>1106</v>
      </c>
      <c r="M1106" s="75"/>
      <c r="N1106" s="70"/>
      <c r="O1106" s="77" t="s">
        <v>179</v>
      </c>
      <c r="P1106" s="79">
        <v>44953.429583333331</v>
      </c>
      <c r="Q1106" s="77" t="s">
        <v>1906</v>
      </c>
      <c r="R1106" s="77">
        <v>0</v>
      </c>
      <c r="S1106" s="77">
        <v>0</v>
      </c>
      <c r="T1106" s="77">
        <v>0</v>
      </c>
      <c r="U1106" s="77">
        <v>0</v>
      </c>
      <c r="V1106" s="77">
        <v>5</v>
      </c>
      <c r="W1106" s="81" t="s">
        <v>3494</v>
      </c>
      <c r="X1106" s="77"/>
      <c r="Y1106" s="77"/>
      <c r="Z1106" s="77"/>
      <c r="AA1106" s="77" t="s">
        <v>5099</v>
      </c>
      <c r="AB1106" s="77" t="s">
        <v>5794</v>
      </c>
      <c r="AC1106" s="81" t="s">
        <v>5801</v>
      </c>
      <c r="AD1106" s="77" t="s">
        <v>5851</v>
      </c>
      <c r="AE1106" s="83" t="str">
        <f>HYPERLINK("https://twitter.com/ederzardin/status/1618916374155509760")</f>
        <v>https://twitter.com/ederzardin/status/1618916374155509760</v>
      </c>
      <c r="AF1106" s="79">
        <v>44953.429583333331</v>
      </c>
      <c r="AG1106" s="85">
        <v>44953</v>
      </c>
      <c r="AH1106" s="81" t="s">
        <v>6771</v>
      </c>
      <c r="AI1106" s="77" t="b">
        <v>0</v>
      </c>
      <c r="AJ1106" s="77"/>
      <c r="AK1106" s="77"/>
      <c r="AL1106" s="77"/>
      <c r="AM1106" s="77"/>
      <c r="AN1106" s="77"/>
      <c r="AO1106" s="77"/>
      <c r="AP1106" s="77"/>
      <c r="AQ1106" s="77" t="s">
        <v>8602</v>
      </c>
      <c r="AR1106" s="77"/>
      <c r="AS1106" s="77"/>
      <c r="AT1106" s="77"/>
      <c r="AU1106" s="77"/>
      <c r="AV1106" s="83" t="str">
        <f>HYPERLINK("https://pbs.twimg.com/media/FneL28HXoAAgfxY.jpg")</f>
        <v>https://pbs.twimg.com/media/FneL28HXoAAgfxY.jpg</v>
      </c>
      <c r="AW1106" s="81" t="s">
        <v>10228</v>
      </c>
      <c r="AX1106" s="81" t="s">
        <v>10228</v>
      </c>
      <c r="AY1106" s="77"/>
      <c r="AZ1106" s="81" t="s">
        <v>11359</v>
      </c>
      <c r="BA1106" s="81" t="s">
        <v>11359</v>
      </c>
      <c r="BB1106" s="81" t="s">
        <v>11359</v>
      </c>
      <c r="BC1106" s="81" t="s">
        <v>10228</v>
      </c>
      <c r="BD1106" s="81" t="s">
        <v>11524</v>
      </c>
      <c r="BE1106" s="77"/>
      <c r="BF1106" s="77"/>
      <c r="BG1106" s="77"/>
      <c r="BH1106" s="77"/>
      <c r="BI1106" s="77"/>
    </row>
    <row r="1107" spans="1:61" x14ac:dyDescent="0.25">
      <c r="A1107" s="62" t="s">
        <v>465</v>
      </c>
      <c r="B1107" s="62" t="s">
        <v>465</v>
      </c>
      <c r="C1107" s="63"/>
      <c r="D1107" s="64"/>
      <c r="E1107" s="65"/>
      <c r="F1107" s="66"/>
      <c r="G1107" s="63"/>
      <c r="H1107" s="67"/>
      <c r="I1107" s="68"/>
      <c r="J1107" s="68"/>
      <c r="K1107" s="32"/>
      <c r="L1107" s="75">
        <v>1107</v>
      </c>
      <c r="M1107" s="75"/>
      <c r="N1107" s="70"/>
      <c r="O1107" s="77" t="s">
        <v>179</v>
      </c>
      <c r="P1107" s="79">
        <v>44952.688668981478</v>
      </c>
      <c r="Q1107" s="77" t="s">
        <v>1907</v>
      </c>
      <c r="R1107" s="77">
        <v>0</v>
      </c>
      <c r="S1107" s="77">
        <v>0</v>
      </c>
      <c r="T1107" s="77">
        <v>0</v>
      </c>
      <c r="U1107" s="77">
        <v>0</v>
      </c>
      <c r="V1107" s="77">
        <v>11</v>
      </c>
      <c r="W1107" s="81" t="s">
        <v>3495</v>
      </c>
      <c r="X1107" s="77"/>
      <c r="Y1107" s="77"/>
      <c r="Z1107" s="77"/>
      <c r="AA1107" s="77" t="s">
        <v>5100</v>
      </c>
      <c r="AB1107" s="77" t="s">
        <v>5794</v>
      </c>
      <c r="AC1107" s="81" t="s">
        <v>5801</v>
      </c>
      <c r="AD1107" s="77" t="s">
        <v>5851</v>
      </c>
      <c r="AE1107" s="83" t="str">
        <f>HYPERLINK("https://twitter.com/ederzardin/status/1618647877777235968")</f>
        <v>https://twitter.com/ederzardin/status/1618647877777235968</v>
      </c>
      <c r="AF1107" s="79">
        <v>44952.688668981478</v>
      </c>
      <c r="AG1107" s="85">
        <v>44952</v>
      </c>
      <c r="AH1107" s="81" t="s">
        <v>6772</v>
      </c>
      <c r="AI1107" s="77" t="b">
        <v>0</v>
      </c>
      <c r="AJ1107" s="77"/>
      <c r="AK1107" s="77"/>
      <c r="AL1107" s="77"/>
      <c r="AM1107" s="77"/>
      <c r="AN1107" s="77"/>
      <c r="AO1107" s="77"/>
      <c r="AP1107" s="77"/>
      <c r="AQ1107" s="77" t="s">
        <v>8603</v>
      </c>
      <c r="AR1107" s="77"/>
      <c r="AS1107" s="77"/>
      <c r="AT1107" s="77"/>
      <c r="AU1107" s="77"/>
      <c r="AV1107" s="83" t="str">
        <f>HYPERLINK("https://pbs.twimg.com/media/FnaXqnSXwAEFGJs.jpg")</f>
        <v>https://pbs.twimg.com/media/FnaXqnSXwAEFGJs.jpg</v>
      </c>
      <c r="AW1107" s="81" t="s">
        <v>10229</v>
      </c>
      <c r="AX1107" s="81" t="s">
        <v>10229</v>
      </c>
      <c r="AY1107" s="77"/>
      <c r="AZ1107" s="81" t="s">
        <v>11359</v>
      </c>
      <c r="BA1107" s="81" t="s">
        <v>11359</v>
      </c>
      <c r="BB1107" s="81" t="s">
        <v>11359</v>
      </c>
      <c r="BC1107" s="81" t="s">
        <v>10229</v>
      </c>
      <c r="BD1107" s="81" t="s">
        <v>11524</v>
      </c>
      <c r="BE1107" s="77"/>
      <c r="BF1107" s="77"/>
      <c r="BG1107" s="77"/>
      <c r="BH1107" s="77"/>
      <c r="BI1107" s="77"/>
    </row>
    <row r="1108" spans="1:61" x14ac:dyDescent="0.25">
      <c r="A1108" s="62" t="s">
        <v>465</v>
      </c>
      <c r="B1108" s="62" t="s">
        <v>465</v>
      </c>
      <c r="C1108" s="63"/>
      <c r="D1108" s="64"/>
      <c r="E1108" s="65"/>
      <c r="F1108" s="66"/>
      <c r="G1108" s="63"/>
      <c r="H1108" s="67"/>
      <c r="I1108" s="68"/>
      <c r="J1108" s="68"/>
      <c r="K1108" s="32"/>
      <c r="L1108" s="75">
        <v>1108</v>
      </c>
      <c r="M1108" s="75"/>
      <c r="N1108" s="70"/>
      <c r="O1108" s="77" t="s">
        <v>179</v>
      </c>
      <c r="P1108" s="79">
        <v>44951.443784722222</v>
      </c>
      <c r="Q1108" s="77" t="s">
        <v>1908</v>
      </c>
      <c r="R1108" s="77">
        <v>0</v>
      </c>
      <c r="S1108" s="77">
        <v>0</v>
      </c>
      <c r="T1108" s="77">
        <v>0</v>
      </c>
      <c r="U1108" s="77">
        <v>0</v>
      </c>
      <c r="V1108" s="77">
        <v>11</v>
      </c>
      <c r="W1108" s="81" t="s">
        <v>3495</v>
      </c>
      <c r="X1108" s="77"/>
      <c r="Y1108" s="77"/>
      <c r="Z1108" s="77"/>
      <c r="AA1108" s="77" t="s">
        <v>5101</v>
      </c>
      <c r="AB1108" s="77" t="s">
        <v>5794</v>
      </c>
      <c r="AC1108" s="81" t="s">
        <v>5801</v>
      </c>
      <c r="AD1108" s="77" t="s">
        <v>5851</v>
      </c>
      <c r="AE1108" s="83" t="str">
        <f>HYPERLINK("https://twitter.com/ederzardin/status/1618196746009731072")</f>
        <v>https://twitter.com/ederzardin/status/1618196746009731072</v>
      </c>
      <c r="AF1108" s="79">
        <v>44951.443784722222</v>
      </c>
      <c r="AG1108" s="85">
        <v>44951</v>
      </c>
      <c r="AH1108" s="81" t="s">
        <v>6773</v>
      </c>
      <c r="AI1108" s="77" t="b">
        <v>0</v>
      </c>
      <c r="AJ1108" s="77"/>
      <c r="AK1108" s="77"/>
      <c r="AL1108" s="77"/>
      <c r="AM1108" s="77"/>
      <c r="AN1108" s="77"/>
      <c r="AO1108" s="77"/>
      <c r="AP1108" s="77"/>
      <c r="AQ1108" s="77" t="s">
        <v>8604</v>
      </c>
      <c r="AR1108" s="77"/>
      <c r="AS1108" s="77"/>
      <c r="AT1108" s="77"/>
      <c r="AU1108" s="77"/>
      <c r="AV1108" s="83" t="str">
        <f>HYPERLINK("https://pbs.twimg.com/media/FnT9XSEWQAArrAe.jpg")</f>
        <v>https://pbs.twimg.com/media/FnT9XSEWQAArrAe.jpg</v>
      </c>
      <c r="AW1108" s="81" t="s">
        <v>10230</v>
      </c>
      <c r="AX1108" s="81" t="s">
        <v>10230</v>
      </c>
      <c r="AY1108" s="77"/>
      <c r="AZ1108" s="81" t="s">
        <v>11359</v>
      </c>
      <c r="BA1108" s="81" t="s">
        <v>11359</v>
      </c>
      <c r="BB1108" s="81" t="s">
        <v>11359</v>
      </c>
      <c r="BC1108" s="81" t="s">
        <v>10230</v>
      </c>
      <c r="BD1108" s="81" t="s">
        <v>11524</v>
      </c>
      <c r="BE1108" s="77"/>
      <c r="BF1108" s="77"/>
      <c r="BG1108" s="77"/>
      <c r="BH1108" s="77"/>
      <c r="BI1108" s="77"/>
    </row>
    <row r="1109" spans="1:61" x14ac:dyDescent="0.25">
      <c r="A1109" s="62" t="s">
        <v>465</v>
      </c>
      <c r="B1109" s="62" t="s">
        <v>465</v>
      </c>
      <c r="C1109" s="63"/>
      <c r="D1109" s="64"/>
      <c r="E1109" s="65"/>
      <c r="F1109" s="66"/>
      <c r="G1109" s="63"/>
      <c r="H1109" s="67"/>
      <c r="I1109" s="68"/>
      <c r="J1109" s="68"/>
      <c r="K1109" s="32"/>
      <c r="L1109" s="75">
        <v>1109</v>
      </c>
      <c r="M1109" s="75"/>
      <c r="N1109" s="70"/>
      <c r="O1109" s="77" t="s">
        <v>179</v>
      </c>
      <c r="P1109" s="79">
        <v>44950.459756944445</v>
      </c>
      <c r="Q1109" s="77" t="s">
        <v>1909</v>
      </c>
      <c r="R1109" s="77">
        <v>0</v>
      </c>
      <c r="S1109" s="77">
        <v>0</v>
      </c>
      <c r="T1109" s="77">
        <v>0</v>
      </c>
      <c r="U1109" s="77">
        <v>0</v>
      </c>
      <c r="V1109" s="77">
        <v>15</v>
      </c>
      <c r="W1109" s="81" t="s">
        <v>3495</v>
      </c>
      <c r="X1109" s="77"/>
      <c r="Y1109" s="77"/>
      <c r="Z1109" s="77"/>
      <c r="AA1109" s="77" t="s">
        <v>5102</v>
      </c>
      <c r="AB1109" s="77" t="s">
        <v>5794</v>
      </c>
      <c r="AC1109" s="81" t="s">
        <v>5801</v>
      </c>
      <c r="AD1109" s="77" t="s">
        <v>5851</v>
      </c>
      <c r="AE1109" s="83" t="str">
        <f>HYPERLINK("https://twitter.com/ederzardin/status/1617840144605933568")</f>
        <v>https://twitter.com/ederzardin/status/1617840144605933568</v>
      </c>
      <c r="AF1109" s="79">
        <v>44950.459756944445</v>
      </c>
      <c r="AG1109" s="85">
        <v>44950</v>
      </c>
      <c r="AH1109" s="81" t="s">
        <v>6774</v>
      </c>
      <c r="AI1109" s="77" t="b">
        <v>0</v>
      </c>
      <c r="AJ1109" s="77"/>
      <c r="AK1109" s="77"/>
      <c r="AL1109" s="77"/>
      <c r="AM1109" s="77"/>
      <c r="AN1109" s="77"/>
      <c r="AO1109" s="77"/>
      <c r="AP1109" s="77"/>
      <c r="AQ1109" s="77" t="s">
        <v>8605</v>
      </c>
      <c r="AR1109" s="77"/>
      <c r="AS1109" s="77"/>
      <c r="AT1109" s="77"/>
      <c r="AU1109" s="77"/>
      <c r="AV1109" s="83" t="str">
        <f>HYPERLINK("https://pbs.twimg.com/media/FnO5CYyXkAAYwNM.jpg")</f>
        <v>https://pbs.twimg.com/media/FnO5CYyXkAAYwNM.jpg</v>
      </c>
      <c r="AW1109" s="81" t="s">
        <v>10231</v>
      </c>
      <c r="AX1109" s="81" t="s">
        <v>10231</v>
      </c>
      <c r="AY1109" s="77"/>
      <c r="AZ1109" s="81" t="s">
        <v>11359</v>
      </c>
      <c r="BA1109" s="81" t="s">
        <v>11359</v>
      </c>
      <c r="BB1109" s="81" t="s">
        <v>11359</v>
      </c>
      <c r="BC1109" s="81" t="s">
        <v>10231</v>
      </c>
      <c r="BD1109" s="81" t="s">
        <v>11524</v>
      </c>
      <c r="BE1109" s="77"/>
      <c r="BF1109" s="77"/>
      <c r="BG1109" s="77"/>
      <c r="BH1109" s="77"/>
      <c r="BI1109" s="77"/>
    </row>
    <row r="1110" spans="1:61" x14ac:dyDescent="0.25">
      <c r="A1110" s="62" t="s">
        <v>465</v>
      </c>
      <c r="B1110" s="62" t="s">
        <v>465</v>
      </c>
      <c r="C1110" s="63"/>
      <c r="D1110" s="64"/>
      <c r="E1110" s="65"/>
      <c r="F1110" s="66"/>
      <c r="G1110" s="63"/>
      <c r="H1110" s="67"/>
      <c r="I1110" s="68"/>
      <c r="J1110" s="68"/>
      <c r="K1110" s="32"/>
      <c r="L1110" s="75">
        <v>1110</v>
      </c>
      <c r="M1110" s="75"/>
      <c r="N1110" s="70"/>
      <c r="O1110" s="77" t="s">
        <v>179</v>
      </c>
      <c r="P1110" s="79">
        <v>44970.458356481482</v>
      </c>
      <c r="Q1110" s="77" t="s">
        <v>1910</v>
      </c>
      <c r="R1110" s="77">
        <v>0</v>
      </c>
      <c r="S1110" s="77">
        <v>0</v>
      </c>
      <c r="T1110" s="77">
        <v>0</v>
      </c>
      <c r="U1110" s="77">
        <v>0</v>
      </c>
      <c r="V1110" s="77">
        <v>16</v>
      </c>
      <c r="W1110" s="81" t="s">
        <v>3497</v>
      </c>
      <c r="X1110" s="77"/>
      <c r="Y1110" s="77"/>
      <c r="Z1110" s="77"/>
      <c r="AA1110" s="77" t="s">
        <v>5103</v>
      </c>
      <c r="AB1110" s="77" t="s">
        <v>5794</v>
      </c>
      <c r="AC1110" s="81" t="s">
        <v>5801</v>
      </c>
      <c r="AD1110" s="77" t="s">
        <v>5851</v>
      </c>
      <c r="AE1110" s="83" t="str">
        <f>HYPERLINK("https://twitter.com/ederzardin/status/1625087397577867264")</f>
        <v>https://twitter.com/ederzardin/status/1625087397577867264</v>
      </c>
      <c r="AF1110" s="79">
        <v>44970.458356481482</v>
      </c>
      <c r="AG1110" s="85">
        <v>44970</v>
      </c>
      <c r="AH1110" s="81" t="s">
        <v>6775</v>
      </c>
      <c r="AI1110" s="77" t="b">
        <v>0</v>
      </c>
      <c r="AJ1110" s="77"/>
      <c r="AK1110" s="77"/>
      <c r="AL1110" s="77"/>
      <c r="AM1110" s="77"/>
      <c r="AN1110" s="77"/>
      <c r="AO1110" s="77"/>
      <c r="AP1110" s="77"/>
      <c r="AQ1110" s="77" t="s">
        <v>8606</v>
      </c>
      <c r="AR1110" s="77"/>
      <c r="AS1110" s="77"/>
      <c r="AT1110" s="77"/>
      <c r="AU1110" s="77"/>
      <c r="AV1110" s="83" t="str">
        <f>HYPERLINK("https://pbs.twimg.com/media/Fo14X6YWAAADhsg.jpg")</f>
        <v>https://pbs.twimg.com/media/Fo14X6YWAAADhsg.jpg</v>
      </c>
      <c r="AW1110" s="81" t="s">
        <v>10232</v>
      </c>
      <c r="AX1110" s="81" t="s">
        <v>10232</v>
      </c>
      <c r="AY1110" s="77"/>
      <c r="AZ1110" s="81" t="s">
        <v>11359</v>
      </c>
      <c r="BA1110" s="81" t="s">
        <v>11359</v>
      </c>
      <c r="BB1110" s="81" t="s">
        <v>11359</v>
      </c>
      <c r="BC1110" s="81" t="s">
        <v>10232</v>
      </c>
      <c r="BD1110" s="81" t="s">
        <v>11524</v>
      </c>
      <c r="BE1110" s="77"/>
      <c r="BF1110" s="77"/>
      <c r="BG1110" s="77"/>
      <c r="BH1110" s="77"/>
      <c r="BI1110" s="77"/>
    </row>
    <row r="1111" spans="1:61" x14ac:dyDescent="0.25">
      <c r="A1111" s="62" t="s">
        <v>465</v>
      </c>
      <c r="B1111" s="62" t="s">
        <v>465</v>
      </c>
      <c r="C1111" s="63"/>
      <c r="D1111" s="64"/>
      <c r="E1111" s="65"/>
      <c r="F1111" s="66"/>
      <c r="G1111" s="63"/>
      <c r="H1111" s="67"/>
      <c r="I1111" s="68"/>
      <c r="J1111" s="68"/>
      <c r="K1111" s="32"/>
      <c r="L1111" s="75">
        <v>1111</v>
      </c>
      <c r="M1111" s="75"/>
      <c r="N1111" s="70"/>
      <c r="O1111" s="77" t="s">
        <v>179</v>
      </c>
      <c r="P1111" s="79">
        <v>44969.526041666664</v>
      </c>
      <c r="Q1111" s="77" t="s">
        <v>1911</v>
      </c>
      <c r="R1111" s="77">
        <v>0</v>
      </c>
      <c r="S1111" s="77">
        <v>0</v>
      </c>
      <c r="T1111" s="77">
        <v>0</v>
      </c>
      <c r="U1111" s="77">
        <v>0</v>
      </c>
      <c r="V1111" s="77">
        <v>9</v>
      </c>
      <c r="W1111" s="81" t="s">
        <v>3497</v>
      </c>
      <c r="X1111" s="77"/>
      <c r="Y1111" s="77"/>
      <c r="Z1111" s="77"/>
      <c r="AA1111" s="77" t="s">
        <v>5104</v>
      </c>
      <c r="AB1111" s="77" t="s">
        <v>5794</v>
      </c>
      <c r="AC1111" s="81" t="s">
        <v>5801</v>
      </c>
      <c r="AD1111" s="77" t="s">
        <v>5851</v>
      </c>
      <c r="AE1111" s="83" t="str">
        <f>HYPERLINK("https://twitter.com/ederzardin/status/1624749535820931076")</f>
        <v>https://twitter.com/ederzardin/status/1624749535820931076</v>
      </c>
      <c r="AF1111" s="79">
        <v>44969.526041666664</v>
      </c>
      <c r="AG1111" s="85">
        <v>44969</v>
      </c>
      <c r="AH1111" s="81" t="s">
        <v>6776</v>
      </c>
      <c r="AI1111" s="77" t="b">
        <v>0</v>
      </c>
      <c r="AJ1111" s="77"/>
      <c r="AK1111" s="77"/>
      <c r="AL1111" s="77"/>
      <c r="AM1111" s="77"/>
      <c r="AN1111" s="77"/>
      <c r="AO1111" s="77"/>
      <c r="AP1111" s="77"/>
      <c r="AQ1111" s="77" t="s">
        <v>8607</v>
      </c>
      <c r="AR1111" s="77"/>
      <c r="AS1111" s="77"/>
      <c r="AT1111" s="77"/>
      <c r="AU1111" s="77"/>
      <c r="AV1111" s="83" t="str">
        <f>HYPERLINK("https://pbs.twimg.com/media/FoxFF1YXwAAgzeC.jpg")</f>
        <v>https://pbs.twimg.com/media/FoxFF1YXwAAgzeC.jpg</v>
      </c>
      <c r="AW1111" s="81" t="s">
        <v>10233</v>
      </c>
      <c r="AX1111" s="81" t="s">
        <v>10233</v>
      </c>
      <c r="AY1111" s="77"/>
      <c r="AZ1111" s="81" t="s">
        <v>11359</v>
      </c>
      <c r="BA1111" s="81" t="s">
        <v>11359</v>
      </c>
      <c r="BB1111" s="81" t="s">
        <v>11359</v>
      </c>
      <c r="BC1111" s="81" t="s">
        <v>10233</v>
      </c>
      <c r="BD1111" s="81" t="s">
        <v>11524</v>
      </c>
      <c r="BE1111" s="77"/>
      <c r="BF1111" s="77"/>
      <c r="BG1111" s="77"/>
      <c r="BH1111" s="77"/>
      <c r="BI1111" s="77"/>
    </row>
    <row r="1112" spans="1:61" x14ac:dyDescent="0.25">
      <c r="A1112" s="62" t="s">
        <v>465</v>
      </c>
      <c r="B1112" s="62" t="s">
        <v>465</v>
      </c>
      <c r="C1112" s="63"/>
      <c r="D1112" s="64"/>
      <c r="E1112" s="65"/>
      <c r="F1112" s="66"/>
      <c r="G1112" s="63"/>
      <c r="H1112" s="67"/>
      <c r="I1112" s="68"/>
      <c r="J1112" s="68"/>
      <c r="K1112" s="32"/>
      <c r="L1112" s="75">
        <v>1112</v>
      </c>
      <c r="M1112" s="75"/>
      <c r="N1112" s="70"/>
      <c r="O1112" s="77" t="s">
        <v>179</v>
      </c>
      <c r="P1112" s="79">
        <v>44968.551736111112</v>
      </c>
      <c r="Q1112" s="77" t="s">
        <v>1912</v>
      </c>
      <c r="R1112" s="77">
        <v>0</v>
      </c>
      <c r="S1112" s="77">
        <v>0</v>
      </c>
      <c r="T1112" s="77">
        <v>0</v>
      </c>
      <c r="U1112" s="77">
        <v>0</v>
      </c>
      <c r="V1112" s="77">
        <v>7</v>
      </c>
      <c r="W1112" s="81" t="s">
        <v>3494</v>
      </c>
      <c r="X1112" s="77"/>
      <c r="Y1112" s="77"/>
      <c r="Z1112" s="77"/>
      <c r="AA1112" s="77" t="s">
        <v>5105</v>
      </c>
      <c r="AB1112" s="77" t="s">
        <v>5794</v>
      </c>
      <c r="AC1112" s="81" t="s">
        <v>5801</v>
      </c>
      <c r="AD1112" s="77" t="s">
        <v>5851</v>
      </c>
      <c r="AE1112" s="83" t="str">
        <f>HYPERLINK("https://twitter.com/ederzardin/status/1624396458148392960")</f>
        <v>https://twitter.com/ederzardin/status/1624396458148392960</v>
      </c>
      <c r="AF1112" s="79">
        <v>44968.551736111112</v>
      </c>
      <c r="AG1112" s="85">
        <v>44968</v>
      </c>
      <c r="AH1112" s="81" t="s">
        <v>6777</v>
      </c>
      <c r="AI1112" s="77" t="b">
        <v>0</v>
      </c>
      <c r="AJ1112" s="77"/>
      <c r="AK1112" s="77"/>
      <c r="AL1112" s="77"/>
      <c r="AM1112" s="77"/>
      <c r="AN1112" s="77"/>
      <c r="AO1112" s="77"/>
      <c r="AP1112" s="77"/>
      <c r="AQ1112" s="77" t="s">
        <v>8608</v>
      </c>
      <c r="AR1112" s="77"/>
      <c r="AS1112" s="77"/>
      <c r="AT1112" s="77"/>
      <c r="AU1112" s="77"/>
      <c r="AV1112" s="83" t="str">
        <f>HYPERLINK("https://pbs.twimg.com/media/FosD-DkWcAEkbc2.jpg")</f>
        <v>https://pbs.twimg.com/media/FosD-DkWcAEkbc2.jpg</v>
      </c>
      <c r="AW1112" s="81" t="s">
        <v>10234</v>
      </c>
      <c r="AX1112" s="81" t="s">
        <v>10234</v>
      </c>
      <c r="AY1112" s="77"/>
      <c r="AZ1112" s="81" t="s">
        <v>11359</v>
      </c>
      <c r="BA1112" s="81" t="s">
        <v>11359</v>
      </c>
      <c r="BB1112" s="81" t="s">
        <v>11359</v>
      </c>
      <c r="BC1112" s="81" t="s">
        <v>10234</v>
      </c>
      <c r="BD1112" s="81" t="s">
        <v>11524</v>
      </c>
      <c r="BE1112" s="77"/>
      <c r="BF1112" s="77"/>
      <c r="BG1112" s="77"/>
      <c r="BH1112" s="77"/>
      <c r="BI1112" s="77"/>
    </row>
    <row r="1113" spans="1:61" x14ac:dyDescent="0.25">
      <c r="A1113" s="62" t="s">
        <v>465</v>
      </c>
      <c r="B1113" s="62" t="s">
        <v>465</v>
      </c>
      <c r="C1113" s="63"/>
      <c r="D1113" s="64"/>
      <c r="E1113" s="65"/>
      <c r="F1113" s="66"/>
      <c r="G1113" s="63"/>
      <c r="H1113" s="67"/>
      <c r="I1113" s="68"/>
      <c r="J1113" s="68"/>
      <c r="K1113" s="32"/>
      <c r="L1113" s="75">
        <v>1113</v>
      </c>
      <c r="M1113" s="75"/>
      <c r="N1113" s="70"/>
      <c r="O1113" s="77" t="s">
        <v>179</v>
      </c>
      <c r="P1113" s="79">
        <v>44967.794849537036</v>
      </c>
      <c r="Q1113" s="77" t="s">
        <v>1913</v>
      </c>
      <c r="R1113" s="77">
        <v>0</v>
      </c>
      <c r="S1113" s="77">
        <v>0</v>
      </c>
      <c r="T1113" s="77">
        <v>0</v>
      </c>
      <c r="U1113" s="77">
        <v>0</v>
      </c>
      <c r="V1113" s="77">
        <v>5</v>
      </c>
      <c r="W1113" s="81" t="s">
        <v>3497</v>
      </c>
      <c r="X1113" s="77"/>
      <c r="Y1113" s="77"/>
      <c r="Z1113" s="77"/>
      <c r="AA1113" s="77" t="s">
        <v>5106</v>
      </c>
      <c r="AB1113" s="77" t="s">
        <v>5794</v>
      </c>
      <c r="AC1113" s="81" t="s">
        <v>5801</v>
      </c>
      <c r="AD1113" s="77" t="s">
        <v>5851</v>
      </c>
      <c r="AE1113" s="83" t="str">
        <f>HYPERLINK("https://twitter.com/ederzardin/status/1624122173102096413")</f>
        <v>https://twitter.com/ederzardin/status/1624122173102096413</v>
      </c>
      <c r="AF1113" s="79">
        <v>44967.794849537036</v>
      </c>
      <c r="AG1113" s="85">
        <v>44967</v>
      </c>
      <c r="AH1113" s="81" t="s">
        <v>6778</v>
      </c>
      <c r="AI1113" s="77" t="b">
        <v>0</v>
      </c>
      <c r="AJ1113" s="77"/>
      <c r="AK1113" s="77"/>
      <c r="AL1113" s="77"/>
      <c r="AM1113" s="77"/>
      <c r="AN1113" s="77"/>
      <c r="AO1113" s="77"/>
      <c r="AP1113" s="77"/>
      <c r="AQ1113" s="77" t="s">
        <v>8609</v>
      </c>
      <c r="AR1113" s="77"/>
      <c r="AS1113" s="77"/>
      <c r="AT1113" s="77"/>
      <c r="AU1113" s="77"/>
      <c r="AV1113" s="83" t="str">
        <f>HYPERLINK("https://pbs.twimg.com/media/FooKglaWAAI81Q6.jpg")</f>
        <v>https://pbs.twimg.com/media/FooKglaWAAI81Q6.jpg</v>
      </c>
      <c r="AW1113" s="81" t="s">
        <v>10235</v>
      </c>
      <c r="AX1113" s="81" t="s">
        <v>10235</v>
      </c>
      <c r="AY1113" s="77"/>
      <c r="AZ1113" s="81" t="s">
        <v>11359</v>
      </c>
      <c r="BA1113" s="81" t="s">
        <v>11359</v>
      </c>
      <c r="BB1113" s="81" t="s">
        <v>11359</v>
      </c>
      <c r="BC1113" s="81" t="s">
        <v>10235</v>
      </c>
      <c r="BD1113" s="81" t="s">
        <v>11524</v>
      </c>
      <c r="BE1113" s="77"/>
      <c r="BF1113" s="77"/>
      <c r="BG1113" s="77"/>
      <c r="BH1113" s="77"/>
      <c r="BI1113" s="77"/>
    </row>
    <row r="1114" spans="1:61" x14ac:dyDescent="0.25">
      <c r="A1114" s="62" t="s">
        <v>465</v>
      </c>
      <c r="B1114" s="62" t="s">
        <v>465</v>
      </c>
      <c r="C1114" s="63"/>
      <c r="D1114" s="64"/>
      <c r="E1114" s="65"/>
      <c r="F1114" s="66"/>
      <c r="G1114" s="63"/>
      <c r="H1114" s="67"/>
      <c r="I1114" s="68"/>
      <c r="J1114" s="68"/>
      <c r="K1114" s="32"/>
      <c r="L1114" s="75">
        <v>1114</v>
      </c>
      <c r="M1114" s="75"/>
      <c r="N1114" s="70"/>
      <c r="O1114" s="77" t="s">
        <v>179</v>
      </c>
      <c r="P1114" s="79">
        <v>44966.725011574075</v>
      </c>
      <c r="Q1114" s="77" t="s">
        <v>1914</v>
      </c>
      <c r="R1114" s="77">
        <v>0</v>
      </c>
      <c r="S1114" s="77">
        <v>0</v>
      </c>
      <c r="T1114" s="77">
        <v>0</v>
      </c>
      <c r="U1114" s="77">
        <v>0</v>
      </c>
      <c r="V1114" s="77">
        <v>14</v>
      </c>
      <c r="W1114" s="81" t="s">
        <v>3494</v>
      </c>
      <c r="X1114" s="77"/>
      <c r="Y1114" s="77"/>
      <c r="Z1114" s="77"/>
      <c r="AA1114" s="77" t="s">
        <v>5107</v>
      </c>
      <c r="AB1114" s="77" t="s">
        <v>5794</v>
      </c>
      <c r="AC1114" s="81" t="s">
        <v>5801</v>
      </c>
      <c r="AD1114" s="77" t="s">
        <v>5851</v>
      </c>
      <c r="AE1114" s="83" t="str">
        <f>HYPERLINK("https://twitter.com/ederzardin/status/1623734475812225030")</f>
        <v>https://twitter.com/ederzardin/status/1623734475812225030</v>
      </c>
      <c r="AF1114" s="79">
        <v>44966.725011574075</v>
      </c>
      <c r="AG1114" s="85">
        <v>44966</v>
      </c>
      <c r="AH1114" s="81" t="s">
        <v>6779</v>
      </c>
      <c r="AI1114" s="77" t="b">
        <v>0</v>
      </c>
      <c r="AJ1114" s="77"/>
      <c r="AK1114" s="77"/>
      <c r="AL1114" s="77"/>
      <c r="AM1114" s="77"/>
      <c r="AN1114" s="77"/>
      <c r="AO1114" s="77"/>
      <c r="AP1114" s="77"/>
      <c r="AQ1114" s="77" t="s">
        <v>8610</v>
      </c>
      <c r="AR1114" s="77"/>
      <c r="AS1114" s="77"/>
      <c r="AT1114" s="77"/>
      <c r="AU1114" s="77"/>
      <c r="AV1114" s="83" t="str">
        <f>HYPERLINK("https://pbs.twimg.com/media/Foip5moWYAA__2t.jpg")</f>
        <v>https://pbs.twimg.com/media/Foip5moWYAA__2t.jpg</v>
      </c>
      <c r="AW1114" s="81" t="s">
        <v>10236</v>
      </c>
      <c r="AX1114" s="81" t="s">
        <v>10236</v>
      </c>
      <c r="AY1114" s="77"/>
      <c r="AZ1114" s="81" t="s">
        <v>11359</v>
      </c>
      <c r="BA1114" s="81" t="s">
        <v>11359</v>
      </c>
      <c r="BB1114" s="81" t="s">
        <v>11359</v>
      </c>
      <c r="BC1114" s="81" t="s">
        <v>10236</v>
      </c>
      <c r="BD1114" s="81" t="s">
        <v>11524</v>
      </c>
      <c r="BE1114" s="77"/>
      <c r="BF1114" s="77"/>
      <c r="BG1114" s="77"/>
      <c r="BH1114" s="77"/>
      <c r="BI1114" s="77"/>
    </row>
    <row r="1115" spans="1:61" x14ac:dyDescent="0.25">
      <c r="A1115" s="62" t="s">
        <v>465</v>
      </c>
      <c r="B1115" s="62" t="s">
        <v>465</v>
      </c>
      <c r="C1115" s="63"/>
      <c r="D1115" s="64"/>
      <c r="E1115" s="65"/>
      <c r="F1115" s="66"/>
      <c r="G1115" s="63"/>
      <c r="H1115" s="67"/>
      <c r="I1115" s="68"/>
      <c r="J1115" s="68"/>
      <c r="K1115" s="32"/>
      <c r="L1115" s="75">
        <v>1115</v>
      </c>
      <c r="M1115" s="75"/>
      <c r="N1115" s="70"/>
      <c r="O1115" s="77" t="s">
        <v>179</v>
      </c>
      <c r="P1115" s="79">
        <v>44966.052361111113</v>
      </c>
      <c r="Q1115" s="77" t="s">
        <v>1915</v>
      </c>
      <c r="R1115" s="77">
        <v>0</v>
      </c>
      <c r="S1115" s="77">
        <v>0</v>
      </c>
      <c r="T1115" s="77">
        <v>0</v>
      </c>
      <c r="U1115" s="77">
        <v>0</v>
      </c>
      <c r="V1115" s="77">
        <v>8</v>
      </c>
      <c r="W1115" s="81" t="s">
        <v>3494</v>
      </c>
      <c r="X1115" s="77"/>
      <c r="Y1115" s="77"/>
      <c r="Z1115" s="77"/>
      <c r="AA1115" s="77" t="s">
        <v>5108</v>
      </c>
      <c r="AB1115" s="77" t="s">
        <v>5794</v>
      </c>
      <c r="AC1115" s="81" t="s">
        <v>5801</v>
      </c>
      <c r="AD1115" s="77" t="s">
        <v>5851</v>
      </c>
      <c r="AE1115" s="83" t="str">
        <f>HYPERLINK("https://twitter.com/ederzardin/status/1623490718135365634")</f>
        <v>https://twitter.com/ederzardin/status/1623490718135365634</v>
      </c>
      <c r="AF1115" s="79">
        <v>44966.052361111113</v>
      </c>
      <c r="AG1115" s="85">
        <v>44966</v>
      </c>
      <c r="AH1115" s="81" t="s">
        <v>6780</v>
      </c>
      <c r="AI1115" s="77" t="b">
        <v>0</v>
      </c>
      <c r="AJ1115" s="77"/>
      <c r="AK1115" s="77"/>
      <c r="AL1115" s="77"/>
      <c r="AM1115" s="77"/>
      <c r="AN1115" s="77"/>
      <c r="AO1115" s="77"/>
      <c r="AP1115" s="77"/>
      <c r="AQ1115" s="77" t="s">
        <v>8611</v>
      </c>
      <c r="AR1115" s="77"/>
      <c r="AS1115" s="77"/>
      <c r="AT1115" s="77"/>
      <c r="AU1115" s="77"/>
      <c r="AV1115" s="83" t="str">
        <f>HYPERLINK("https://pbs.twimg.com/media/FofMM9ZWcAMkod2.jpg")</f>
        <v>https://pbs.twimg.com/media/FofMM9ZWcAMkod2.jpg</v>
      </c>
      <c r="AW1115" s="81" t="s">
        <v>10237</v>
      </c>
      <c r="AX1115" s="81" t="s">
        <v>10237</v>
      </c>
      <c r="AY1115" s="77"/>
      <c r="AZ1115" s="81" t="s">
        <v>11359</v>
      </c>
      <c r="BA1115" s="81" t="s">
        <v>11359</v>
      </c>
      <c r="BB1115" s="81" t="s">
        <v>11359</v>
      </c>
      <c r="BC1115" s="81" t="s">
        <v>10237</v>
      </c>
      <c r="BD1115" s="81" t="s">
        <v>11524</v>
      </c>
      <c r="BE1115" s="77"/>
      <c r="BF1115" s="77"/>
      <c r="BG1115" s="77"/>
      <c r="BH1115" s="77"/>
      <c r="BI1115" s="77"/>
    </row>
    <row r="1116" spans="1:61" x14ac:dyDescent="0.25">
      <c r="A1116" s="62" t="s">
        <v>465</v>
      </c>
      <c r="B1116" s="62" t="s">
        <v>465</v>
      </c>
      <c r="C1116" s="63"/>
      <c r="D1116" s="64"/>
      <c r="E1116" s="65"/>
      <c r="F1116" s="66"/>
      <c r="G1116" s="63"/>
      <c r="H1116" s="67"/>
      <c r="I1116" s="68"/>
      <c r="J1116" s="68"/>
      <c r="K1116" s="32"/>
      <c r="L1116" s="75">
        <v>1116</v>
      </c>
      <c r="M1116" s="75"/>
      <c r="N1116" s="70"/>
      <c r="O1116" s="77" t="s">
        <v>179</v>
      </c>
      <c r="P1116" s="79">
        <v>44964.905081018522</v>
      </c>
      <c r="Q1116" s="77" t="s">
        <v>1916</v>
      </c>
      <c r="R1116" s="77">
        <v>0</v>
      </c>
      <c r="S1116" s="77">
        <v>0</v>
      </c>
      <c r="T1116" s="77">
        <v>0</v>
      </c>
      <c r="U1116" s="77">
        <v>0</v>
      </c>
      <c r="V1116" s="77">
        <v>10</v>
      </c>
      <c r="W1116" s="81" t="s">
        <v>3498</v>
      </c>
      <c r="X1116" s="77"/>
      <c r="Y1116" s="77"/>
      <c r="Z1116" s="77"/>
      <c r="AA1116" s="77" t="s">
        <v>5109</v>
      </c>
      <c r="AB1116" s="77" t="s">
        <v>5794</v>
      </c>
      <c r="AC1116" s="81" t="s">
        <v>5801</v>
      </c>
      <c r="AD1116" s="77" t="s">
        <v>5851</v>
      </c>
      <c r="AE1116" s="83" t="str">
        <f>HYPERLINK("https://twitter.com/ederzardin/status/1623074956727681024")</f>
        <v>https://twitter.com/ederzardin/status/1623074956727681024</v>
      </c>
      <c r="AF1116" s="79">
        <v>44964.905081018522</v>
      </c>
      <c r="AG1116" s="85">
        <v>44964</v>
      </c>
      <c r="AH1116" s="81" t="s">
        <v>6781</v>
      </c>
      <c r="AI1116" s="77" t="b">
        <v>0</v>
      </c>
      <c r="AJ1116" s="77"/>
      <c r="AK1116" s="77"/>
      <c r="AL1116" s="77"/>
      <c r="AM1116" s="77"/>
      <c r="AN1116" s="77"/>
      <c r="AO1116" s="77"/>
      <c r="AP1116" s="77"/>
      <c r="AQ1116" s="77" t="s">
        <v>8612</v>
      </c>
      <c r="AR1116" s="77"/>
      <c r="AS1116" s="77"/>
      <c r="AT1116" s="77"/>
      <c r="AU1116" s="77"/>
      <c r="AV1116" s="83" t="str">
        <f>HYPERLINK("https://pbs.twimg.com/media/FoZSEf3XEAMO_DD.jpg")</f>
        <v>https://pbs.twimg.com/media/FoZSEf3XEAMO_DD.jpg</v>
      </c>
      <c r="AW1116" s="81" t="s">
        <v>10238</v>
      </c>
      <c r="AX1116" s="81" t="s">
        <v>10238</v>
      </c>
      <c r="AY1116" s="77"/>
      <c r="AZ1116" s="81" t="s">
        <v>11359</v>
      </c>
      <c r="BA1116" s="81" t="s">
        <v>11359</v>
      </c>
      <c r="BB1116" s="81" t="s">
        <v>11359</v>
      </c>
      <c r="BC1116" s="81" t="s">
        <v>10238</v>
      </c>
      <c r="BD1116" s="81" t="s">
        <v>11524</v>
      </c>
      <c r="BE1116" s="77"/>
      <c r="BF1116" s="77"/>
      <c r="BG1116" s="77"/>
      <c r="BH1116" s="77"/>
      <c r="BI1116" s="77"/>
    </row>
    <row r="1117" spans="1:61" x14ac:dyDescent="0.25">
      <c r="A1117" s="62" t="s">
        <v>465</v>
      </c>
      <c r="B1117" s="62" t="s">
        <v>465</v>
      </c>
      <c r="C1117" s="63"/>
      <c r="D1117" s="64"/>
      <c r="E1117" s="65"/>
      <c r="F1117" s="66"/>
      <c r="G1117" s="63"/>
      <c r="H1117" s="67"/>
      <c r="I1117" s="68"/>
      <c r="J1117" s="68"/>
      <c r="K1117" s="32"/>
      <c r="L1117" s="75">
        <v>1117</v>
      </c>
      <c r="M1117" s="75"/>
      <c r="N1117" s="70"/>
      <c r="O1117" s="77" t="s">
        <v>179</v>
      </c>
      <c r="P1117" s="79">
        <v>44977.971550925926</v>
      </c>
      <c r="Q1117" s="77" t="s">
        <v>1917</v>
      </c>
      <c r="R1117" s="77">
        <v>0</v>
      </c>
      <c r="S1117" s="77">
        <v>0</v>
      </c>
      <c r="T1117" s="77">
        <v>0</v>
      </c>
      <c r="U1117" s="77">
        <v>0</v>
      </c>
      <c r="V1117" s="77">
        <v>17</v>
      </c>
      <c r="W1117" s="81" t="s">
        <v>3494</v>
      </c>
      <c r="X1117" s="77"/>
      <c r="Y1117" s="77"/>
      <c r="Z1117" s="77"/>
      <c r="AA1117" s="77" t="s">
        <v>5110</v>
      </c>
      <c r="AB1117" s="77" t="s">
        <v>5794</v>
      </c>
      <c r="AC1117" s="81" t="s">
        <v>5801</v>
      </c>
      <c r="AD1117" s="77" t="s">
        <v>5851</v>
      </c>
      <c r="AE1117" s="83" t="str">
        <f>HYPERLINK("https://twitter.com/ederzardin/status/1627810086792970243")</f>
        <v>https://twitter.com/ederzardin/status/1627810086792970243</v>
      </c>
      <c r="AF1117" s="79">
        <v>44977.971550925926</v>
      </c>
      <c r="AG1117" s="85">
        <v>44977</v>
      </c>
      <c r="AH1117" s="81" t="s">
        <v>6782</v>
      </c>
      <c r="AI1117" s="77" t="b">
        <v>0</v>
      </c>
      <c r="AJ1117" s="77"/>
      <c r="AK1117" s="77"/>
      <c r="AL1117" s="77"/>
      <c r="AM1117" s="77"/>
      <c r="AN1117" s="77"/>
      <c r="AO1117" s="77"/>
      <c r="AP1117" s="77"/>
      <c r="AQ1117" s="77" t="s">
        <v>8613</v>
      </c>
      <c r="AR1117" s="77"/>
      <c r="AS1117" s="77"/>
      <c r="AT1117" s="77"/>
      <c r="AU1117" s="77"/>
      <c r="AV1117" s="83" t="str">
        <f>HYPERLINK("https://pbs.twimg.com/media/FpckpbNX0AIXAyO.jpg")</f>
        <v>https://pbs.twimg.com/media/FpckpbNX0AIXAyO.jpg</v>
      </c>
      <c r="AW1117" s="81" t="s">
        <v>10239</v>
      </c>
      <c r="AX1117" s="81" t="s">
        <v>10239</v>
      </c>
      <c r="AY1117" s="77"/>
      <c r="AZ1117" s="81" t="s">
        <v>11359</v>
      </c>
      <c r="BA1117" s="81" t="s">
        <v>11359</v>
      </c>
      <c r="BB1117" s="81" t="s">
        <v>11359</v>
      </c>
      <c r="BC1117" s="81" t="s">
        <v>10239</v>
      </c>
      <c r="BD1117" s="81" t="s">
        <v>11524</v>
      </c>
      <c r="BE1117" s="77"/>
      <c r="BF1117" s="77"/>
      <c r="BG1117" s="77"/>
      <c r="BH1117" s="77"/>
      <c r="BI1117" s="77"/>
    </row>
    <row r="1118" spans="1:61" x14ac:dyDescent="0.25">
      <c r="A1118" s="62" t="s">
        <v>465</v>
      </c>
      <c r="B1118" s="62" t="s">
        <v>465</v>
      </c>
      <c r="C1118" s="63"/>
      <c r="D1118" s="64"/>
      <c r="E1118" s="65"/>
      <c r="F1118" s="66"/>
      <c r="G1118" s="63"/>
      <c r="H1118" s="67"/>
      <c r="I1118" s="68"/>
      <c r="J1118" s="68"/>
      <c r="K1118" s="32"/>
      <c r="L1118" s="75">
        <v>1118</v>
      </c>
      <c r="M1118" s="75"/>
      <c r="N1118" s="70"/>
      <c r="O1118" s="77" t="s">
        <v>179</v>
      </c>
      <c r="P1118" s="79">
        <v>44976.528437499997</v>
      </c>
      <c r="Q1118" s="77" t="s">
        <v>1918</v>
      </c>
      <c r="R1118" s="77">
        <v>0</v>
      </c>
      <c r="S1118" s="77">
        <v>0</v>
      </c>
      <c r="T1118" s="77">
        <v>0</v>
      </c>
      <c r="U1118" s="77">
        <v>0</v>
      </c>
      <c r="V1118" s="77">
        <v>5</v>
      </c>
      <c r="W1118" s="81" t="s">
        <v>3497</v>
      </c>
      <c r="X1118" s="77"/>
      <c r="Y1118" s="77"/>
      <c r="Z1118" s="77"/>
      <c r="AA1118" s="77" t="s">
        <v>5111</v>
      </c>
      <c r="AB1118" s="77" t="s">
        <v>5794</v>
      </c>
      <c r="AC1118" s="81" t="s">
        <v>5801</v>
      </c>
      <c r="AD1118" s="77" t="s">
        <v>5851</v>
      </c>
      <c r="AE1118" s="83" t="str">
        <f>HYPERLINK("https://twitter.com/ederzardin/status/1627287118035795968")</f>
        <v>https://twitter.com/ederzardin/status/1627287118035795968</v>
      </c>
      <c r="AF1118" s="79">
        <v>44976.528437499997</v>
      </c>
      <c r="AG1118" s="85">
        <v>44976</v>
      </c>
      <c r="AH1118" s="81" t="s">
        <v>6783</v>
      </c>
      <c r="AI1118" s="77" t="b">
        <v>0</v>
      </c>
      <c r="AJ1118" s="77"/>
      <c r="AK1118" s="77"/>
      <c r="AL1118" s="77"/>
      <c r="AM1118" s="77"/>
      <c r="AN1118" s="77"/>
      <c r="AO1118" s="77"/>
      <c r="AP1118" s="77"/>
      <c r="AQ1118" s="77" t="s">
        <v>8614</v>
      </c>
      <c r="AR1118" s="77"/>
      <c r="AS1118" s="77"/>
      <c r="AT1118" s="77"/>
      <c r="AU1118" s="77"/>
      <c r="AV1118" s="83" t="str">
        <f>HYPERLINK("https://pbs.twimg.com/media/FpVJAnDWIAAtwys.jpg")</f>
        <v>https://pbs.twimg.com/media/FpVJAnDWIAAtwys.jpg</v>
      </c>
      <c r="AW1118" s="81" t="s">
        <v>10240</v>
      </c>
      <c r="AX1118" s="81" t="s">
        <v>10240</v>
      </c>
      <c r="AY1118" s="77"/>
      <c r="AZ1118" s="81" t="s">
        <v>11359</v>
      </c>
      <c r="BA1118" s="81" t="s">
        <v>11359</v>
      </c>
      <c r="BB1118" s="81" t="s">
        <v>11359</v>
      </c>
      <c r="BC1118" s="81" t="s">
        <v>10240</v>
      </c>
      <c r="BD1118" s="81" t="s">
        <v>11524</v>
      </c>
      <c r="BE1118" s="77"/>
      <c r="BF1118" s="77"/>
      <c r="BG1118" s="77"/>
      <c r="BH1118" s="77"/>
      <c r="BI1118" s="77"/>
    </row>
    <row r="1119" spans="1:61" x14ac:dyDescent="0.25">
      <c r="A1119" s="62" t="s">
        <v>465</v>
      </c>
      <c r="B1119" s="62" t="s">
        <v>465</v>
      </c>
      <c r="C1119" s="63"/>
      <c r="D1119" s="64"/>
      <c r="E1119" s="65"/>
      <c r="F1119" s="66"/>
      <c r="G1119" s="63"/>
      <c r="H1119" s="67"/>
      <c r="I1119" s="68"/>
      <c r="J1119" s="68"/>
      <c r="K1119" s="32"/>
      <c r="L1119" s="75">
        <v>1119</v>
      </c>
      <c r="M1119" s="75"/>
      <c r="N1119" s="70"/>
      <c r="O1119" s="77" t="s">
        <v>179</v>
      </c>
      <c r="P1119" s="79">
        <v>44975.539467592593</v>
      </c>
      <c r="Q1119" s="77" t="s">
        <v>1919</v>
      </c>
      <c r="R1119" s="77">
        <v>0</v>
      </c>
      <c r="S1119" s="77">
        <v>0</v>
      </c>
      <c r="T1119" s="77">
        <v>0</v>
      </c>
      <c r="U1119" s="77">
        <v>0</v>
      </c>
      <c r="V1119" s="77">
        <v>5</v>
      </c>
      <c r="W1119" s="81" t="s">
        <v>3494</v>
      </c>
      <c r="X1119" s="77"/>
      <c r="Y1119" s="77"/>
      <c r="Z1119" s="77"/>
      <c r="AA1119" s="77" t="s">
        <v>5112</v>
      </c>
      <c r="AB1119" s="77" t="s">
        <v>5794</v>
      </c>
      <c r="AC1119" s="81" t="s">
        <v>5801</v>
      </c>
      <c r="AD1119" s="77" t="s">
        <v>5851</v>
      </c>
      <c r="AE1119" s="83" t="str">
        <f>HYPERLINK("https://twitter.com/ederzardin/status/1626928729309032451")</f>
        <v>https://twitter.com/ederzardin/status/1626928729309032451</v>
      </c>
      <c r="AF1119" s="79">
        <v>44975.539467592593</v>
      </c>
      <c r="AG1119" s="85">
        <v>44975</v>
      </c>
      <c r="AH1119" s="81" t="s">
        <v>6784</v>
      </c>
      <c r="AI1119" s="77" t="b">
        <v>0</v>
      </c>
      <c r="AJ1119" s="77"/>
      <c r="AK1119" s="77"/>
      <c r="AL1119" s="77"/>
      <c r="AM1119" s="77"/>
      <c r="AN1119" s="77"/>
      <c r="AO1119" s="77"/>
      <c r="AP1119" s="77"/>
      <c r="AQ1119" s="77" t="s">
        <v>8615</v>
      </c>
      <c r="AR1119" s="77"/>
      <c r="AS1119" s="77"/>
      <c r="AT1119" s="77"/>
      <c r="AU1119" s="77"/>
      <c r="AV1119" s="83" t="str">
        <f>HYPERLINK("https://pbs.twimg.com/media/FpQDDnrWIAM5Bfh.jpg")</f>
        <v>https://pbs.twimg.com/media/FpQDDnrWIAM5Bfh.jpg</v>
      </c>
      <c r="AW1119" s="81" t="s">
        <v>10241</v>
      </c>
      <c r="AX1119" s="81" t="s">
        <v>10241</v>
      </c>
      <c r="AY1119" s="77"/>
      <c r="AZ1119" s="81" t="s">
        <v>11359</v>
      </c>
      <c r="BA1119" s="81" t="s">
        <v>11359</v>
      </c>
      <c r="BB1119" s="81" t="s">
        <v>11359</v>
      </c>
      <c r="BC1119" s="81" t="s">
        <v>10241</v>
      </c>
      <c r="BD1119" s="81" t="s">
        <v>11524</v>
      </c>
      <c r="BE1119" s="77"/>
      <c r="BF1119" s="77"/>
      <c r="BG1119" s="77"/>
      <c r="BH1119" s="77"/>
      <c r="BI1119" s="77"/>
    </row>
    <row r="1120" spans="1:61" x14ac:dyDescent="0.25">
      <c r="A1120" s="62" t="s">
        <v>465</v>
      </c>
      <c r="B1120" s="62" t="s">
        <v>465</v>
      </c>
      <c r="C1120" s="63"/>
      <c r="D1120" s="64"/>
      <c r="E1120" s="65"/>
      <c r="F1120" s="66"/>
      <c r="G1120" s="63"/>
      <c r="H1120" s="67"/>
      <c r="I1120" s="68"/>
      <c r="J1120" s="68"/>
      <c r="K1120" s="32"/>
      <c r="L1120" s="75">
        <v>1120</v>
      </c>
      <c r="M1120" s="75"/>
      <c r="N1120" s="70"/>
      <c r="O1120" s="77" t="s">
        <v>179</v>
      </c>
      <c r="P1120" s="79">
        <v>44974.523611111108</v>
      </c>
      <c r="Q1120" s="77" t="s">
        <v>1920</v>
      </c>
      <c r="R1120" s="77">
        <v>0</v>
      </c>
      <c r="S1120" s="77">
        <v>0</v>
      </c>
      <c r="T1120" s="77">
        <v>0</v>
      </c>
      <c r="U1120" s="77">
        <v>0</v>
      </c>
      <c r="V1120" s="77">
        <v>4</v>
      </c>
      <c r="W1120" s="81" t="s">
        <v>3497</v>
      </c>
      <c r="X1120" s="77"/>
      <c r="Y1120" s="77"/>
      <c r="Z1120" s="77"/>
      <c r="AA1120" s="77" t="s">
        <v>5113</v>
      </c>
      <c r="AB1120" s="77" t="s">
        <v>5794</v>
      </c>
      <c r="AC1120" s="81" t="s">
        <v>5801</v>
      </c>
      <c r="AD1120" s="77" t="s">
        <v>5851</v>
      </c>
      <c r="AE1120" s="83" t="str">
        <f>HYPERLINK("https://twitter.com/ederzardin/status/1626560594923978752")</f>
        <v>https://twitter.com/ederzardin/status/1626560594923978752</v>
      </c>
      <c r="AF1120" s="79">
        <v>44974.523611111108</v>
      </c>
      <c r="AG1120" s="85">
        <v>44974</v>
      </c>
      <c r="AH1120" s="81" t="s">
        <v>6785</v>
      </c>
      <c r="AI1120" s="77" t="b">
        <v>0</v>
      </c>
      <c r="AJ1120" s="77"/>
      <c r="AK1120" s="77"/>
      <c r="AL1120" s="77"/>
      <c r="AM1120" s="77"/>
      <c r="AN1120" s="77"/>
      <c r="AO1120" s="77"/>
      <c r="AP1120" s="77"/>
      <c r="AQ1120" s="77" t="s">
        <v>8616</v>
      </c>
      <c r="AR1120" s="77"/>
      <c r="AS1120" s="77"/>
      <c r="AT1120" s="77"/>
      <c r="AU1120" s="77"/>
      <c r="AV1120" s="83" t="str">
        <f>HYPERLINK("https://pbs.twimg.com/media/FpK0PXJXEAUX8O2.jpg")</f>
        <v>https://pbs.twimg.com/media/FpK0PXJXEAUX8O2.jpg</v>
      </c>
      <c r="AW1120" s="81" t="s">
        <v>10242</v>
      </c>
      <c r="AX1120" s="81" t="s">
        <v>10242</v>
      </c>
      <c r="AY1120" s="77"/>
      <c r="AZ1120" s="81" t="s">
        <v>11359</v>
      </c>
      <c r="BA1120" s="81" t="s">
        <v>11359</v>
      </c>
      <c r="BB1120" s="81" t="s">
        <v>11359</v>
      </c>
      <c r="BC1120" s="81" t="s">
        <v>10242</v>
      </c>
      <c r="BD1120" s="81" t="s">
        <v>11524</v>
      </c>
      <c r="BE1120" s="77"/>
      <c r="BF1120" s="77"/>
      <c r="BG1120" s="77"/>
      <c r="BH1120" s="77"/>
      <c r="BI1120" s="77"/>
    </row>
    <row r="1121" spans="1:61" x14ac:dyDescent="0.25">
      <c r="A1121" s="62" t="s">
        <v>465</v>
      </c>
      <c r="B1121" s="62" t="s">
        <v>465</v>
      </c>
      <c r="C1121" s="63"/>
      <c r="D1121" s="64"/>
      <c r="E1121" s="65"/>
      <c r="F1121" s="66"/>
      <c r="G1121" s="63"/>
      <c r="H1121" s="67"/>
      <c r="I1121" s="68"/>
      <c r="J1121" s="68"/>
      <c r="K1121" s="32"/>
      <c r="L1121" s="75">
        <v>1121</v>
      </c>
      <c r="M1121" s="75"/>
      <c r="N1121" s="70"/>
      <c r="O1121" s="77" t="s">
        <v>179</v>
      </c>
      <c r="P1121" s="79">
        <v>44973.51289351852</v>
      </c>
      <c r="Q1121" s="77" t="s">
        <v>1921</v>
      </c>
      <c r="R1121" s="77">
        <v>0</v>
      </c>
      <c r="S1121" s="77">
        <v>0</v>
      </c>
      <c r="T1121" s="77">
        <v>0</v>
      </c>
      <c r="U1121" s="77">
        <v>0</v>
      </c>
      <c r="V1121" s="77">
        <v>7</v>
      </c>
      <c r="W1121" s="81" t="s">
        <v>3497</v>
      </c>
      <c r="X1121" s="77"/>
      <c r="Y1121" s="77"/>
      <c r="Z1121" s="77"/>
      <c r="AA1121" s="77" t="s">
        <v>5114</v>
      </c>
      <c r="AB1121" s="77" t="s">
        <v>5794</v>
      </c>
      <c r="AC1121" s="81" t="s">
        <v>5801</v>
      </c>
      <c r="AD1121" s="77" t="s">
        <v>5851</v>
      </c>
      <c r="AE1121" s="83" t="str">
        <f>HYPERLINK("https://twitter.com/ederzardin/status/1626194322931568642")</f>
        <v>https://twitter.com/ederzardin/status/1626194322931568642</v>
      </c>
      <c r="AF1121" s="79">
        <v>44973.51289351852</v>
      </c>
      <c r="AG1121" s="85">
        <v>44973</v>
      </c>
      <c r="AH1121" s="81" t="s">
        <v>6786</v>
      </c>
      <c r="AI1121" s="77" t="b">
        <v>0</v>
      </c>
      <c r="AJ1121" s="77"/>
      <c r="AK1121" s="77"/>
      <c r="AL1121" s="77"/>
      <c r="AM1121" s="77"/>
      <c r="AN1121" s="77"/>
      <c r="AO1121" s="77"/>
      <c r="AP1121" s="77"/>
      <c r="AQ1121" s="77" t="s">
        <v>8617</v>
      </c>
      <c r="AR1121" s="77"/>
      <c r="AS1121" s="77"/>
      <c r="AT1121" s="77"/>
      <c r="AU1121" s="77"/>
      <c r="AV1121" s="83" t="str">
        <f>HYPERLINK("https://pbs.twimg.com/media/FpFnHjIWYAAVq0r.jpg")</f>
        <v>https://pbs.twimg.com/media/FpFnHjIWYAAVq0r.jpg</v>
      </c>
      <c r="AW1121" s="81" t="s">
        <v>10243</v>
      </c>
      <c r="AX1121" s="81" t="s">
        <v>10243</v>
      </c>
      <c r="AY1121" s="77"/>
      <c r="AZ1121" s="81" t="s">
        <v>11359</v>
      </c>
      <c r="BA1121" s="81" t="s">
        <v>11359</v>
      </c>
      <c r="BB1121" s="81" t="s">
        <v>11359</v>
      </c>
      <c r="BC1121" s="81" t="s">
        <v>10243</v>
      </c>
      <c r="BD1121" s="81" t="s">
        <v>11524</v>
      </c>
      <c r="BE1121" s="77"/>
      <c r="BF1121" s="77"/>
      <c r="BG1121" s="77"/>
      <c r="BH1121" s="77"/>
      <c r="BI1121" s="77"/>
    </row>
    <row r="1122" spans="1:61" x14ac:dyDescent="0.25">
      <c r="A1122" s="62" t="s">
        <v>465</v>
      </c>
      <c r="B1122" s="62" t="s">
        <v>465</v>
      </c>
      <c r="C1122" s="63"/>
      <c r="D1122" s="64"/>
      <c r="E1122" s="65"/>
      <c r="F1122" s="66"/>
      <c r="G1122" s="63"/>
      <c r="H1122" s="67"/>
      <c r="I1122" s="68"/>
      <c r="J1122" s="68"/>
      <c r="K1122" s="32"/>
      <c r="L1122" s="75">
        <v>1122</v>
      </c>
      <c r="M1122" s="75"/>
      <c r="N1122" s="70"/>
      <c r="O1122" s="77" t="s">
        <v>179</v>
      </c>
      <c r="P1122" s="79">
        <v>44972.46603009259</v>
      </c>
      <c r="Q1122" s="77" t="s">
        <v>1922</v>
      </c>
      <c r="R1122" s="77">
        <v>0</v>
      </c>
      <c r="S1122" s="77">
        <v>0</v>
      </c>
      <c r="T1122" s="77">
        <v>0</v>
      </c>
      <c r="U1122" s="77">
        <v>0</v>
      </c>
      <c r="V1122" s="77">
        <v>15</v>
      </c>
      <c r="W1122" s="81" t="s">
        <v>3494</v>
      </c>
      <c r="X1122" s="77"/>
      <c r="Y1122" s="77"/>
      <c r="Z1122" s="77"/>
      <c r="AA1122" s="77" t="s">
        <v>5115</v>
      </c>
      <c r="AB1122" s="77" t="s">
        <v>5794</v>
      </c>
      <c r="AC1122" s="81" t="s">
        <v>5801</v>
      </c>
      <c r="AD1122" s="77" t="s">
        <v>5851</v>
      </c>
      <c r="AE1122" s="83" t="str">
        <f>HYPERLINK("https://twitter.com/ederzardin/status/1625814953801265159")</f>
        <v>https://twitter.com/ederzardin/status/1625814953801265159</v>
      </c>
      <c r="AF1122" s="79">
        <v>44972.46603009259</v>
      </c>
      <c r="AG1122" s="85">
        <v>44972</v>
      </c>
      <c r="AH1122" s="81" t="s">
        <v>6787</v>
      </c>
      <c r="AI1122" s="77" t="b">
        <v>0</v>
      </c>
      <c r="AJ1122" s="77"/>
      <c r="AK1122" s="77"/>
      <c r="AL1122" s="77"/>
      <c r="AM1122" s="77"/>
      <c r="AN1122" s="77"/>
      <c r="AO1122" s="77"/>
      <c r="AP1122" s="77"/>
      <c r="AQ1122" s="77" t="s">
        <v>8618</v>
      </c>
      <c r="AR1122" s="77"/>
      <c r="AS1122" s="77"/>
      <c r="AT1122" s="77"/>
      <c r="AU1122" s="77"/>
      <c r="AV1122" s="83" t="str">
        <f>HYPERLINK("https://pbs.twimg.com/media/FpAOFXSXwAAu6KT.jpg")</f>
        <v>https://pbs.twimg.com/media/FpAOFXSXwAAu6KT.jpg</v>
      </c>
      <c r="AW1122" s="81" t="s">
        <v>10244</v>
      </c>
      <c r="AX1122" s="81" t="s">
        <v>10244</v>
      </c>
      <c r="AY1122" s="77"/>
      <c r="AZ1122" s="81" t="s">
        <v>11359</v>
      </c>
      <c r="BA1122" s="81" t="s">
        <v>11359</v>
      </c>
      <c r="BB1122" s="81" t="s">
        <v>11359</v>
      </c>
      <c r="BC1122" s="81" t="s">
        <v>10244</v>
      </c>
      <c r="BD1122" s="81" t="s">
        <v>11524</v>
      </c>
      <c r="BE1122" s="77"/>
      <c r="BF1122" s="77"/>
      <c r="BG1122" s="77"/>
      <c r="BH1122" s="77"/>
      <c r="BI1122" s="77"/>
    </row>
    <row r="1123" spans="1:61" x14ac:dyDescent="0.25">
      <c r="A1123" s="62" t="s">
        <v>465</v>
      </c>
      <c r="B1123" s="62" t="s">
        <v>465</v>
      </c>
      <c r="C1123" s="63"/>
      <c r="D1123" s="64"/>
      <c r="E1123" s="65"/>
      <c r="F1123" s="66"/>
      <c r="G1123" s="63"/>
      <c r="H1123" s="67"/>
      <c r="I1123" s="68"/>
      <c r="J1123" s="68"/>
      <c r="K1123" s="32"/>
      <c r="L1123" s="75">
        <v>1123</v>
      </c>
      <c r="M1123" s="75"/>
      <c r="N1123" s="70"/>
      <c r="O1123" s="77" t="s">
        <v>179</v>
      </c>
      <c r="P1123" s="79">
        <v>44971.474282407406</v>
      </c>
      <c r="Q1123" s="77" t="s">
        <v>1923</v>
      </c>
      <c r="R1123" s="77">
        <v>0</v>
      </c>
      <c r="S1123" s="77">
        <v>0</v>
      </c>
      <c r="T1123" s="77">
        <v>0</v>
      </c>
      <c r="U1123" s="77">
        <v>0</v>
      </c>
      <c r="V1123" s="77">
        <v>6</v>
      </c>
      <c r="W1123" s="81" t="s">
        <v>3497</v>
      </c>
      <c r="X1123" s="77"/>
      <c r="Y1123" s="77"/>
      <c r="Z1123" s="77"/>
      <c r="AA1123" s="77" t="s">
        <v>5116</v>
      </c>
      <c r="AB1123" s="77" t="s">
        <v>5794</v>
      </c>
      <c r="AC1123" s="81" t="s">
        <v>5801</v>
      </c>
      <c r="AD1123" s="77" t="s">
        <v>5851</v>
      </c>
      <c r="AE1123" s="83" t="str">
        <f>HYPERLINK("https://twitter.com/ederzardin/status/1625455556470136837")</f>
        <v>https://twitter.com/ederzardin/status/1625455556470136837</v>
      </c>
      <c r="AF1123" s="79">
        <v>44971.474282407406</v>
      </c>
      <c r="AG1123" s="85">
        <v>44971</v>
      </c>
      <c r="AH1123" s="81" t="s">
        <v>6788</v>
      </c>
      <c r="AI1123" s="77" t="b">
        <v>0</v>
      </c>
      <c r="AJ1123" s="77"/>
      <c r="AK1123" s="77"/>
      <c r="AL1123" s="77"/>
      <c r="AM1123" s="77"/>
      <c r="AN1123" s="77"/>
      <c r="AO1123" s="77"/>
      <c r="AP1123" s="77"/>
      <c r="AQ1123" s="77" t="s">
        <v>8619</v>
      </c>
      <c r="AR1123" s="77"/>
      <c r="AS1123" s="77"/>
      <c r="AT1123" s="77"/>
      <c r="AU1123" s="77"/>
      <c r="AV1123" s="83" t="str">
        <f>HYPERLINK("https://pbs.twimg.com/media/Fo7HNt-XsAEz9gG.jpg")</f>
        <v>https://pbs.twimg.com/media/Fo7HNt-XsAEz9gG.jpg</v>
      </c>
      <c r="AW1123" s="81" t="s">
        <v>10245</v>
      </c>
      <c r="AX1123" s="81" t="s">
        <v>10245</v>
      </c>
      <c r="AY1123" s="77"/>
      <c r="AZ1123" s="81" t="s">
        <v>11359</v>
      </c>
      <c r="BA1123" s="81" t="s">
        <v>11359</v>
      </c>
      <c r="BB1123" s="81" t="s">
        <v>11359</v>
      </c>
      <c r="BC1123" s="81" t="s">
        <v>10245</v>
      </c>
      <c r="BD1123" s="81" t="s">
        <v>11524</v>
      </c>
      <c r="BE1123" s="77"/>
      <c r="BF1123" s="77"/>
      <c r="BG1123" s="77"/>
      <c r="BH1123" s="77"/>
      <c r="BI1123" s="77"/>
    </row>
    <row r="1124" spans="1:61" x14ac:dyDescent="0.25">
      <c r="A1124" s="62" t="s">
        <v>465</v>
      </c>
      <c r="B1124" s="62" t="s">
        <v>465</v>
      </c>
      <c r="C1124" s="63"/>
      <c r="D1124" s="64"/>
      <c r="E1124" s="65"/>
      <c r="F1124" s="66"/>
      <c r="G1124" s="63"/>
      <c r="H1124" s="67"/>
      <c r="I1124" s="68"/>
      <c r="J1124" s="68"/>
      <c r="K1124" s="32"/>
      <c r="L1124" s="75">
        <v>1124</v>
      </c>
      <c r="M1124" s="75"/>
      <c r="N1124" s="70"/>
      <c r="O1124" s="77" t="s">
        <v>179</v>
      </c>
      <c r="P1124" s="79">
        <v>44981.055543981478</v>
      </c>
      <c r="Q1124" s="77" t="s">
        <v>1924</v>
      </c>
      <c r="R1124" s="77">
        <v>0</v>
      </c>
      <c r="S1124" s="77">
        <v>0</v>
      </c>
      <c r="T1124" s="77">
        <v>0</v>
      </c>
      <c r="U1124" s="77">
        <v>0</v>
      </c>
      <c r="V1124" s="77">
        <v>9</v>
      </c>
      <c r="W1124" s="81" t="s">
        <v>3495</v>
      </c>
      <c r="X1124" s="77"/>
      <c r="Y1124" s="77"/>
      <c r="Z1124" s="77"/>
      <c r="AA1124" s="77" t="s">
        <v>5117</v>
      </c>
      <c r="AB1124" s="77" t="s">
        <v>5794</v>
      </c>
      <c r="AC1124" s="81" t="s">
        <v>5801</v>
      </c>
      <c r="AD1124" s="77" t="s">
        <v>5851</v>
      </c>
      <c r="AE1124" s="83" t="str">
        <f>HYPERLINK("https://twitter.com/ederzardin/status/1628927687879163904")</f>
        <v>https://twitter.com/ederzardin/status/1628927687879163904</v>
      </c>
      <c r="AF1124" s="79">
        <v>44981.055543981478</v>
      </c>
      <c r="AG1124" s="85">
        <v>44981</v>
      </c>
      <c r="AH1124" s="81" t="s">
        <v>6789</v>
      </c>
      <c r="AI1124" s="77" t="b">
        <v>0</v>
      </c>
      <c r="AJ1124" s="77"/>
      <c r="AK1124" s="77"/>
      <c r="AL1124" s="77"/>
      <c r="AM1124" s="77"/>
      <c r="AN1124" s="77"/>
      <c r="AO1124" s="77"/>
      <c r="AP1124" s="77"/>
      <c r="AQ1124" s="77" t="s">
        <v>8620</v>
      </c>
      <c r="AR1124" s="77"/>
      <c r="AS1124" s="77"/>
      <c r="AT1124" s="77"/>
      <c r="AU1124" s="77"/>
      <c r="AV1124" s="83" t="str">
        <f>HYPERLINK("https://pbs.twimg.com/media/FpsdGXNWAAALLy4.jpg")</f>
        <v>https://pbs.twimg.com/media/FpsdGXNWAAALLy4.jpg</v>
      </c>
      <c r="AW1124" s="81" t="s">
        <v>10246</v>
      </c>
      <c r="AX1124" s="81" t="s">
        <v>10246</v>
      </c>
      <c r="AY1124" s="77"/>
      <c r="AZ1124" s="81" t="s">
        <v>11359</v>
      </c>
      <c r="BA1124" s="81" t="s">
        <v>11359</v>
      </c>
      <c r="BB1124" s="81" t="s">
        <v>11359</v>
      </c>
      <c r="BC1124" s="81" t="s">
        <v>10246</v>
      </c>
      <c r="BD1124" s="81" t="s">
        <v>11524</v>
      </c>
      <c r="BE1124" s="77"/>
      <c r="BF1124" s="77"/>
      <c r="BG1124" s="77"/>
      <c r="BH1124" s="77"/>
      <c r="BI1124" s="77"/>
    </row>
    <row r="1125" spans="1:61" x14ac:dyDescent="0.25">
      <c r="A1125" s="62" t="s">
        <v>465</v>
      </c>
      <c r="B1125" s="62" t="s">
        <v>465</v>
      </c>
      <c r="C1125" s="63"/>
      <c r="D1125" s="64"/>
      <c r="E1125" s="65"/>
      <c r="F1125" s="66"/>
      <c r="G1125" s="63"/>
      <c r="H1125" s="67"/>
      <c r="I1125" s="68"/>
      <c r="J1125" s="68"/>
      <c r="K1125" s="32"/>
      <c r="L1125" s="75">
        <v>1125</v>
      </c>
      <c r="M1125" s="75"/>
      <c r="N1125" s="70"/>
      <c r="O1125" s="77" t="s">
        <v>179</v>
      </c>
      <c r="P1125" s="79">
        <v>44979.954479166663</v>
      </c>
      <c r="Q1125" s="77" t="s">
        <v>1925</v>
      </c>
      <c r="R1125" s="77">
        <v>0</v>
      </c>
      <c r="S1125" s="77">
        <v>0</v>
      </c>
      <c r="T1125" s="77">
        <v>0</v>
      </c>
      <c r="U1125" s="77">
        <v>0</v>
      </c>
      <c r="V1125" s="77">
        <v>10</v>
      </c>
      <c r="W1125" s="81" t="s">
        <v>3492</v>
      </c>
      <c r="X1125" s="77"/>
      <c r="Y1125" s="77"/>
      <c r="Z1125" s="77"/>
      <c r="AA1125" s="77" t="s">
        <v>5118</v>
      </c>
      <c r="AB1125" s="77" t="s">
        <v>5794</v>
      </c>
      <c r="AC1125" s="81" t="s">
        <v>5801</v>
      </c>
      <c r="AD1125" s="77" t="s">
        <v>5851</v>
      </c>
      <c r="AE1125" s="83" t="str">
        <f>HYPERLINK("https://twitter.com/ederzardin/status/1628528674281586689")</f>
        <v>https://twitter.com/ederzardin/status/1628528674281586689</v>
      </c>
      <c r="AF1125" s="79">
        <v>44979.954479166663</v>
      </c>
      <c r="AG1125" s="85">
        <v>44979</v>
      </c>
      <c r="AH1125" s="81" t="s">
        <v>6790</v>
      </c>
      <c r="AI1125" s="77" t="b">
        <v>0</v>
      </c>
      <c r="AJ1125" s="77"/>
      <c r="AK1125" s="77"/>
      <c r="AL1125" s="77"/>
      <c r="AM1125" s="77"/>
      <c r="AN1125" s="77"/>
      <c r="AO1125" s="77"/>
      <c r="AP1125" s="77"/>
      <c r="AQ1125" s="77" t="s">
        <v>8621</v>
      </c>
      <c r="AR1125" s="77"/>
      <c r="AS1125" s="77"/>
      <c r="AT1125" s="77"/>
      <c r="AU1125" s="77"/>
      <c r="AV1125" s="83" t="str">
        <f>HYPERLINK("https://pbs.twimg.com/media/FpmyMvmXsAEZwj2.jpg")</f>
        <v>https://pbs.twimg.com/media/FpmyMvmXsAEZwj2.jpg</v>
      </c>
      <c r="AW1125" s="81" t="s">
        <v>10247</v>
      </c>
      <c r="AX1125" s="81" t="s">
        <v>10247</v>
      </c>
      <c r="AY1125" s="77"/>
      <c r="AZ1125" s="81" t="s">
        <v>11359</v>
      </c>
      <c r="BA1125" s="81" t="s">
        <v>11359</v>
      </c>
      <c r="BB1125" s="81" t="s">
        <v>11359</v>
      </c>
      <c r="BC1125" s="81" t="s">
        <v>10247</v>
      </c>
      <c r="BD1125" s="81" t="s">
        <v>11524</v>
      </c>
      <c r="BE1125" s="77"/>
      <c r="BF1125" s="77"/>
      <c r="BG1125" s="77"/>
      <c r="BH1125" s="77"/>
      <c r="BI1125" s="77"/>
    </row>
    <row r="1126" spans="1:61" x14ac:dyDescent="0.25">
      <c r="A1126" s="62" t="s">
        <v>465</v>
      </c>
      <c r="B1126" s="62" t="s">
        <v>465</v>
      </c>
      <c r="C1126" s="63"/>
      <c r="D1126" s="64"/>
      <c r="E1126" s="65"/>
      <c r="F1126" s="66"/>
      <c r="G1126" s="63"/>
      <c r="H1126" s="67"/>
      <c r="I1126" s="68"/>
      <c r="J1126" s="68"/>
      <c r="K1126" s="32"/>
      <c r="L1126" s="75">
        <v>1126</v>
      </c>
      <c r="M1126" s="75"/>
      <c r="N1126" s="70"/>
      <c r="O1126" s="77" t="s">
        <v>179</v>
      </c>
      <c r="P1126" s="79">
        <v>44978.885092592594</v>
      </c>
      <c r="Q1126" s="77" t="s">
        <v>1926</v>
      </c>
      <c r="R1126" s="77">
        <v>0</v>
      </c>
      <c r="S1126" s="77">
        <v>0</v>
      </c>
      <c r="T1126" s="77">
        <v>0</v>
      </c>
      <c r="U1126" s="77">
        <v>0</v>
      </c>
      <c r="V1126" s="77">
        <v>6</v>
      </c>
      <c r="W1126" s="81" t="s">
        <v>3492</v>
      </c>
      <c r="X1126" s="77"/>
      <c r="Y1126" s="77"/>
      <c r="Z1126" s="77"/>
      <c r="AA1126" s="77" t="s">
        <v>5119</v>
      </c>
      <c r="AB1126" s="77" t="s">
        <v>5794</v>
      </c>
      <c r="AC1126" s="81" t="s">
        <v>5801</v>
      </c>
      <c r="AD1126" s="77" t="s">
        <v>5851</v>
      </c>
      <c r="AE1126" s="83" t="str">
        <f>HYPERLINK("https://twitter.com/ederzardin/status/1628141142289092615")</f>
        <v>https://twitter.com/ederzardin/status/1628141142289092615</v>
      </c>
      <c r="AF1126" s="79">
        <v>44978.885092592594</v>
      </c>
      <c r="AG1126" s="85">
        <v>44978</v>
      </c>
      <c r="AH1126" s="81" t="s">
        <v>6791</v>
      </c>
      <c r="AI1126" s="77" t="b">
        <v>0</v>
      </c>
      <c r="AJ1126" s="77"/>
      <c r="AK1126" s="77"/>
      <c r="AL1126" s="77"/>
      <c r="AM1126" s="77"/>
      <c r="AN1126" s="77"/>
      <c r="AO1126" s="77"/>
      <c r="AP1126" s="77"/>
      <c r="AQ1126" s="77" t="s">
        <v>8622</v>
      </c>
      <c r="AR1126" s="77"/>
      <c r="AS1126" s="77"/>
      <c r="AT1126" s="77"/>
      <c r="AU1126" s="77"/>
      <c r="AV1126" s="83" t="str">
        <f>HYPERLINK("https://pbs.twimg.com/media/FphRvYkXEAIp07r.jpg")</f>
        <v>https://pbs.twimg.com/media/FphRvYkXEAIp07r.jpg</v>
      </c>
      <c r="AW1126" s="81" t="s">
        <v>10248</v>
      </c>
      <c r="AX1126" s="81" t="s">
        <v>10248</v>
      </c>
      <c r="AY1126" s="77"/>
      <c r="AZ1126" s="81" t="s">
        <v>11359</v>
      </c>
      <c r="BA1126" s="81" t="s">
        <v>11359</v>
      </c>
      <c r="BB1126" s="81" t="s">
        <v>11359</v>
      </c>
      <c r="BC1126" s="81" t="s">
        <v>10248</v>
      </c>
      <c r="BD1126" s="81" t="s">
        <v>11524</v>
      </c>
      <c r="BE1126" s="77"/>
      <c r="BF1126" s="77"/>
      <c r="BG1126" s="77"/>
      <c r="BH1126" s="77"/>
      <c r="BI1126" s="77"/>
    </row>
    <row r="1127" spans="1:61" x14ac:dyDescent="0.25">
      <c r="A1127" s="62" t="s">
        <v>465</v>
      </c>
      <c r="B1127" s="62" t="s">
        <v>465</v>
      </c>
      <c r="C1127" s="63"/>
      <c r="D1127" s="64"/>
      <c r="E1127" s="65"/>
      <c r="F1127" s="66"/>
      <c r="G1127" s="63"/>
      <c r="H1127" s="67"/>
      <c r="I1127" s="68"/>
      <c r="J1127" s="68"/>
      <c r="K1127" s="32"/>
      <c r="L1127" s="75">
        <v>1127</v>
      </c>
      <c r="M1127" s="75"/>
      <c r="N1127" s="70"/>
      <c r="O1127" s="77" t="s">
        <v>179</v>
      </c>
      <c r="P1127" s="79">
        <v>44949.401284722226</v>
      </c>
      <c r="Q1127" s="77" t="s">
        <v>1927</v>
      </c>
      <c r="R1127" s="77">
        <v>0</v>
      </c>
      <c r="S1127" s="77">
        <v>0</v>
      </c>
      <c r="T1127" s="77">
        <v>0</v>
      </c>
      <c r="U1127" s="77">
        <v>0</v>
      </c>
      <c r="V1127" s="77">
        <v>10</v>
      </c>
      <c r="W1127" s="81" t="s">
        <v>3495</v>
      </c>
      <c r="X1127" s="77"/>
      <c r="Y1127" s="77"/>
      <c r="Z1127" s="77"/>
      <c r="AA1127" s="77" t="s">
        <v>5120</v>
      </c>
      <c r="AB1127" s="77" t="s">
        <v>5794</v>
      </c>
      <c r="AC1127" s="81" t="s">
        <v>5801</v>
      </c>
      <c r="AD1127" s="77" t="s">
        <v>5851</v>
      </c>
      <c r="AE1127" s="83" t="str">
        <f>HYPERLINK("https://twitter.com/ederzardin/status/1617456566902599680")</f>
        <v>https://twitter.com/ederzardin/status/1617456566902599680</v>
      </c>
      <c r="AF1127" s="79">
        <v>44949.401284722226</v>
      </c>
      <c r="AG1127" s="85">
        <v>44949</v>
      </c>
      <c r="AH1127" s="81" t="s">
        <v>6792</v>
      </c>
      <c r="AI1127" s="77" t="b">
        <v>0</v>
      </c>
      <c r="AJ1127" s="77"/>
      <c r="AK1127" s="77"/>
      <c r="AL1127" s="77"/>
      <c r="AM1127" s="77"/>
      <c r="AN1127" s="77"/>
      <c r="AO1127" s="77"/>
      <c r="AP1127" s="77"/>
      <c r="AQ1127" s="77" t="s">
        <v>8623</v>
      </c>
      <c r="AR1127" s="77"/>
      <c r="AS1127" s="77"/>
      <c r="AT1127" s="77"/>
      <c r="AU1127" s="77"/>
      <c r="AV1127" s="83" t="str">
        <f>HYPERLINK("https://pbs.twimg.com/media/FnJcLNQX0AAgXDw.jpg")</f>
        <v>https://pbs.twimg.com/media/FnJcLNQX0AAgXDw.jpg</v>
      </c>
      <c r="AW1127" s="81" t="s">
        <v>10249</v>
      </c>
      <c r="AX1127" s="81" t="s">
        <v>10249</v>
      </c>
      <c r="AY1127" s="77"/>
      <c r="AZ1127" s="81" t="s">
        <v>11359</v>
      </c>
      <c r="BA1127" s="81" t="s">
        <v>11359</v>
      </c>
      <c r="BB1127" s="81" t="s">
        <v>11359</v>
      </c>
      <c r="BC1127" s="81" t="s">
        <v>10249</v>
      </c>
      <c r="BD1127" s="81" t="s">
        <v>11524</v>
      </c>
      <c r="BE1127" s="77"/>
      <c r="BF1127" s="77"/>
      <c r="BG1127" s="77"/>
      <c r="BH1127" s="77"/>
      <c r="BI1127" s="77"/>
    </row>
    <row r="1128" spans="1:61" x14ac:dyDescent="0.25">
      <c r="A1128" s="62" t="s">
        <v>465</v>
      </c>
      <c r="B1128" s="62" t="s">
        <v>465</v>
      </c>
      <c r="C1128" s="63"/>
      <c r="D1128" s="64"/>
      <c r="E1128" s="65"/>
      <c r="F1128" s="66"/>
      <c r="G1128" s="63"/>
      <c r="H1128" s="67"/>
      <c r="I1128" s="68"/>
      <c r="J1128" s="68"/>
      <c r="K1128" s="32"/>
      <c r="L1128" s="75">
        <v>1128</v>
      </c>
      <c r="M1128" s="75"/>
      <c r="N1128" s="70"/>
      <c r="O1128" s="77" t="s">
        <v>179</v>
      </c>
      <c r="P1128" s="79">
        <v>44948.544999999998</v>
      </c>
      <c r="Q1128" s="77" t="s">
        <v>1928</v>
      </c>
      <c r="R1128" s="77">
        <v>0</v>
      </c>
      <c r="S1128" s="77">
        <v>0</v>
      </c>
      <c r="T1128" s="77">
        <v>0</v>
      </c>
      <c r="U1128" s="77">
        <v>0</v>
      </c>
      <c r="V1128" s="77">
        <v>12</v>
      </c>
      <c r="W1128" s="81" t="s">
        <v>3498</v>
      </c>
      <c r="X1128" s="77"/>
      <c r="Y1128" s="77"/>
      <c r="Z1128" s="77"/>
      <c r="AA1128" s="77" t="s">
        <v>5121</v>
      </c>
      <c r="AB1128" s="77" t="s">
        <v>5794</v>
      </c>
      <c r="AC1128" s="81" t="s">
        <v>5801</v>
      </c>
      <c r="AD1128" s="77" t="s">
        <v>5851</v>
      </c>
      <c r="AE1128" s="83" t="str">
        <f>HYPERLINK("https://twitter.com/ederzardin/status/1617146261617901573")</f>
        <v>https://twitter.com/ederzardin/status/1617146261617901573</v>
      </c>
      <c r="AF1128" s="79">
        <v>44948.544999999998</v>
      </c>
      <c r="AG1128" s="85">
        <v>44948</v>
      </c>
      <c r="AH1128" s="81" t="s">
        <v>6793</v>
      </c>
      <c r="AI1128" s="77" t="b">
        <v>0</v>
      </c>
      <c r="AJ1128" s="77"/>
      <c r="AK1128" s="77"/>
      <c r="AL1128" s="77"/>
      <c r="AM1128" s="77"/>
      <c r="AN1128" s="77"/>
      <c r="AO1128" s="77"/>
      <c r="AP1128" s="77"/>
      <c r="AQ1128" s="77" t="s">
        <v>8624</v>
      </c>
      <c r="AR1128" s="77"/>
      <c r="AS1128" s="77"/>
      <c r="AT1128" s="77"/>
      <c r="AU1128" s="77"/>
      <c r="AV1128" s="83" t="str">
        <f>HYPERLINK("https://pbs.twimg.com/media/FnFB9C4WAAAc85V.jpg")</f>
        <v>https://pbs.twimg.com/media/FnFB9C4WAAAc85V.jpg</v>
      </c>
      <c r="AW1128" s="81" t="s">
        <v>10250</v>
      </c>
      <c r="AX1128" s="81" t="s">
        <v>10250</v>
      </c>
      <c r="AY1128" s="77"/>
      <c r="AZ1128" s="81" t="s">
        <v>11359</v>
      </c>
      <c r="BA1128" s="81" t="s">
        <v>11359</v>
      </c>
      <c r="BB1128" s="81" t="s">
        <v>11359</v>
      </c>
      <c r="BC1128" s="81" t="s">
        <v>10250</v>
      </c>
      <c r="BD1128" s="81" t="s">
        <v>11524</v>
      </c>
      <c r="BE1128" s="77"/>
      <c r="BF1128" s="77"/>
      <c r="BG1128" s="77"/>
      <c r="BH1128" s="77"/>
      <c r="BI1128" s="77"/>
    </row>
    <row r="1129" spans="1:61" x14ac:dyDescent="0.25">
      <c r="A1129" s="62" t="s">
        <v>465</v>
      </c>
      <c r="B1129" s="62" t="s">
        <v>465</v>
      </c>
      <c r="C1129" s="63"/>
      <c r="D1129" s="64"/>
      <c r="E1129" s="65"/>
      <c r="F1129" s="66"/>
      <c r="G1129" s="63"/>
      <c r="H1129" s="67"/>
      <c r="I1129" s="68"/>
      <c r="J1129" s="68"/>
      <c r="K1129" s="32"/>
      <c r="L1129" s="75">
        <v>1129</v>
      </c>
      <c r="M1129" s="75"/>
      <c r="N1129" s="70"/>
      <c r="O1129" s="77" t="s">
        <v>179</v>
      </c>
      <c r="P1129" s="79">
        <v>44947.52039351852</v>
      </c>
      <c r="Q1129" s="77" t="s">
        <v>1929</v>
      </c>
      <c r="R1129" s="77">
        <v>0</v>
      </c>
      <c r="S1129" s="77">
        <v>0</v>
      </c>
      <c r="T1129" s="77">
        <v>0</v>
      </c>
      <c r="U1129" s="77">
        <v>0</v>
      </c>
      <c r="V1129" s="77">
        <v>10</v>
      </c>
      <c r="W1129" s="81" t="s">
        <v>3498</v>
      </c>
      <c r="X1129" s="77"/>
      <c r="Y1129" s="77"/>
      <c r="Z1129" s="77"/>
      <c r="AA1129" s="77" t="s">
        <v>5122</v>
      </c>
      <c r="AB1129" s="77" t="s">
        <v>5794</v>
      </c>
      <c r="AC1129" s="81" t="s">
        <v>5801</v>
      </c>
      <c r="AD1129" s="77" t="s">
        <v>5851</v>
      </c>
      <c r="AE1129" s="83" t="str">
        <f>HYPERLINK("https://twitter.com/ederzardin/status/1616774956599373824")</f>
        <v>https://twitter.com/ederzardin/status/1616774956599373824</v>
      </c>
      <c r="AF1129" s="79">
        <v>44947.52039351852</v>
      </c>
      <c r="AG1129" s="85">
        <v>44947</v>
      </c>
      <c r="AH1129" s="81" t="s">
        <v>6794</v>
      </c>
      <c r="AI1129" s="77" t="b">
        <v>0</v>
      </c>
      <c r="AJ1129" s="77"/>
      <c r="AK1129" s="77"/>
      <c r="AL1129" s="77"/>
      <c r="AM1129" s="77"/>
      <c r="AN1129" s="77"/>
      <c r="AO1129" s="77"/>
      <c r="AP1129" s="77"/>
      <c r="AQ1129" s="77" t="s">
        <v>8625</v>
      </c>
      <c r="AR1129" s="77"/>
      <c r="AS1129" s="77"/>
      <c r="AT1129" s="77"/>
      <c r="AU1129" s="77"/>
      <c r="AV1129" s="83" t="str">
        <f>HYPERLINK("https://pbs.twimg.com/media/Fm_wQTnXwAAs5bL.jpg")</f>
        <v>https://pbs.twimg.com/media/Fm_wQTnXwAAs5bL.jpg</v>
      </c>
      <c r="AW1129" s="81" t="s">
        <v>10251</v>
      </c>
      <c r="AX1129" s="81" t="s">
        <v>10251</v>
      </c>
      <c r="AY1129" s="77"/>
      <c r="AZ1129" s="81" t="s">
        <v>11359</v>
      </c>
      <c r="BA1129" s="81" t="s">
        <v>11359</v>
      </c>
      <c r="BB1129" s="81" t="s">
        <v>11359</v>
      </c>
      <c r="BC1129" s="81" t="s">
        <v>10251</v>
      </c>
      <c r="BD1129" s="81" t="s">
        <v>11524</v>
      </c>
      <c r="BE1129" s="77"/>
      <c r="BF1129" s="77"/>
      <c r="BG1129" s="77"/>
      <c r="BH1129" s="77"/>
      <c r="BI1129" s="77"/>
    </row>
    <row r="1130" spans="1:61" x14ac:dyDescent="0.25">
      <c r="A1130" s="62" t="s">
        <v>465</v>
      </c>
      <c r="B1130" s="62" t="s">
        <v>465</v>
      </c>
      <c r="C1130" s="63"/>
      <c r="D1130" s="64"/>
      <c r="E1130" s="65"/>
      <c r="F1130" s="66"/>
      <c r="G1130" s="63"/>
      <c r="H1130" s="67"/>
      <c r="I1130" s="68"/>
      <c r="J1130" s="68"/>
      <c r="K1130" s="32"/>
      <c r="L1130" s="75">
        <v>1130</v>
      </c>
      <c r="M1130" s="75"/>
      <c r="N1130" s="70"/>
      <c r="O1130" s="77" t="s">
        <v>179</v>
      </c>
      <c r="P1130" s="79">
        <v>44984.430104166669</v>
      </c>
      <c r="Q1130" s="77" t="s">
        <v>1930</v>
      </c>
      <c r="R1130" s="77">
        <v>0</v>
      </c>
      <c r="S1130" s="77">
        <v>0</v>
      </c>
      <c r="T1130" s="77">
        <v>0</v>
      </c>
      <c r="U1130" s="77">
        <v>0</v>
      </c>
      <c r="V1130" s="77">
        <v>12</v>
      </c>
      <c r="W1130" s="81" t="s">
        <v>3492</v>
      </c>
      <c r="X1130" s="77"/>
      <c r="Y1130" s="77"/>
      <c r="Z1130" s="77"/>
      <c r="AA1130" s="77" t="s">
        <v>5123</v>
      </c>
      <c r="AB1130" s="77" t="s">
        <v>5794</v>
      </c>
      <c r="AC1130" s="81" t="s">
        <v>5801</v>
      </c>
      <c r="AD1130" s="77" t="s">
        <v>5851</v>
      </c>
      <c r="AE1130" s="83" t="str">
        <f>HYPERLINK("https://twitter.com/ederzardin/status/1630150589127487490")</f>
        <v>https://twitter.com/ederzardin/status/1630150589127487490</v>
      </c>
      <c r="AF1130" s="79">
        <v>44984.430104166669</v>
      </c>
      <c r="AG1130" s="85">
        <v>44984</v>
      </c>
      <c r="AH1130" s="81" t="s">
        <v>6795</v>
      </c>
      <c r="AI1130" s="77" t="b">
        <v>0</v>
      </c>
      <c r="AJ1130" s="77"/>
      <c r="AK1130" s="77"/>
      <c r="AL1130" s="77"/>
      <c r="AM1130" s="77"/>
      <c r="AN1130" s="77"/>
      <c r="AO1130" s="77"/>
      <c r="AP1130" s="77"/>
      <c r="AQ1130" s="77" t="s">
        <v>8626</v>
      </c>
      <c r="AR1130" s="77"/>
      <c r="AS1130" s="77"/>
      <c r="AT1130" s="77"/>
      <c r="AU1130" s="77"/>
      <c r="AV1130" s="83" t="str">
        <f>HYPERLINK("https://pbs.twimg.com/media/Fp91UnFXgAA25F2.jpg")</f>
        <v>https://pbs.twimg.com/media/Fp91UnFXgAA25F2.jpg</v>
      </c>
      <c r="AW1130" s="81" t="s">
        <v>10252</v>
      </c>
      <c r="AX1130" s="81" t="s">
        <v>10252</v>
      </c>
      <c r="AY1130" s="77"/>
      <c r="AZ1130" s="81" t="s">
        <v>11359</v>
      </c>
      <c r="BA1130" s="81" t="s">
        <v>11359</v>
      </c>
      <c r="BB1130" s="81" t="s">
        <v>11359</v>
      </c>
      <c r="BC1130" s="81" t="s">
        <v>10252</v>
      </c>
      <c r="BD1130" s="81" t="s">
        <v>11524</v>
      </c>
      <c r="BE1130" s="77"/>
      <c r="BF1130" s="77"/>
      <c r="BG1130" s="77"/>
      <c r="BH1130" s="77"/>
      <c r="BI1130" s="77"/>
    </row>
    <row r="1131" spans="1:61" x14ac:dyDescent="0.25">
      <c r="A1131" s="62" t="s">
        <v>465</v>
      </c>
      <c r="B1131" s="62" t="s">
        <v>465</v>
      </c>
      <c r="C1131" s="63"/>
      <c r="D1131" s="64"/>
      <c r="E1131" s="65"/>
      <c r="F1131" s="66"/>
      <c r="G1131" s="63"/>
      <c r="H1131" s="67"/>
      <c r="I1131" s="68"/>
      <c r="J1131" s="68"/>
      <c r="K1131" s="32"/>
      <c r="L1131" s="75">
        <v>1131</v>
      </c>
      <c r="M1131" s="75"/>
      <c r="N1131" s="70"/>
      <c r="O1131" s="77" t="s">
        <v>179</v>
      </c>
      <c r="P1131" s="79">
        <v>44983.587881944448</v>
      </c>
      <c r="Q1131" s="77" t="s">
        <v>1931</v>
      </c>
      <c r="R1131" s="77">
        <v>0</v>
      </c>
      <c r="S1131" s="77">
        <v>0</v>
      </c>
      <c r="T1131" s="77">
        <v>0</v>
      </c>
      <c r="U1131" s="77">
        <v>0</v>
      </c>
      <c r="V1131" s="77">
        <v>15</v>
      </c>
      <c r="W1131" s="81" t="s">
        <v>3495</v>
      </c>
      <c r="X1131" s="77"/>
      <c r="Y1131" s="77"/>
      <c r="Z1131" s="77"/>
      <c r="AA1131" s="77" t="s">
        <v>5124</v>
      </c>
      <c r="AB1131" s="77" t="s">
        <v>5794</v>
      </c>
      <c r="AC1131" s="81" t="s">
        <v>5801</v>
      </c>
      <c r="AD1131" s="77" t="s">
        <v>5851</v>
      </c>
      <c r="AE1131" s="83" t="str">
        <f>HYPERLINK("https://twitter.com/ederzardin/status/1629845375732334598")</f>
        <v>https://twitter.com/ederzardin/status/1629845375732334598</v>
      </c>
      <c r="AF1131" s="79">
        <v>44983.587881944448</v>
      </c>
      <c r="AG1131" s="85">
        <v>44983</v>
      </c>
      <c r="AH1131" s="81" t="s">
        <v>6796</v>
      </c>
      <c r="AI1131" s="77" t="b">
        <v>0</v>
      </c>
      <c r="AJ1131" s="77"/>
      <c r="AK1131" s="77"/>
      <c r="AL1131" s="77"/>
      <c r="AM1131" s="77"/>
      <c r="AN1131" s="77"/>
      <c r="AO1131" s="77"/>
      <c r="AP1131" s="77"/>
      <c r="AQ1131" s="77" t="s">
        <v>8627</v>
      </c>
      <c r="AR1131" s="77"/>
      <c r="AS1131" s="77"/>
      <c r="AT1131" s="77"/>
      <c r="AU1131" s="77"/>
      <c r="AV1131" s="83" t="str">
        <f>HYPERLINK("https://pbs.twimg.com/media/Fp5fu1OXsAMBB5D.jpg")</f>
        <v>https://pbs.twimg.com/media/Fp5fu1OXsAMBB5D.jpg</v>
      </c>
      <c r="AW1131" s="81" t="s">
        <v>10253</v>
      </c>
      <c r="AX1131" s="81" t="s">
        <v>10253</v>
      </c>
      <c r="AY1131" s="77"/>
      <c r="AZ1131" s="81" t="s">
        <v>11359</v>
      </c>
      <c r="BA1131" s="81" t="s">
        <v>11359</v>
      </c>
      <c r="BB1131" s="81" t="s">
        <v>11359</v>
      </c>
      <c r="BC1131" s="81" t="s">
        <v>10253</v>
      </c>
      <c r="BD1131" s="81" t="s">
        <v>11524</v>
      </c>
      <c r="BE1131" s="77"/>
      <c r="BF1131" s="77"/>
      <c r="BG1131" s="77"/>
      <c r="BH1131" s="77"/>
      <c r="BI1131" s="77"/>
    </row>
    <row r="1132" spans="1:61" x14ac:dyDescent="0.25">
      <c r="A1132" s="62" t="s">
        <v>465</v>
      </c>
      <c r="B1132" s="62" t="s">
        <v>465</v>
      </c>
      <c r="C1132" s="63"/>
      <c r="D1132" s="64"/>
      <c r="E1132" s="65"/>
      <c r="F1132" s="66"/>
      <c r="G1132" s="63"/>
      <c r="H1132" s="67"/>
      <c r="I1132" s="68"/>
      <c r="J1132" s="68"/>
      <c r="K1132" s="32"/>
      <c r="L1132" s="75">
        <v>1132</v>
      </c>
      <c r="M1132" s="75"/>
      <c r="N1132" s="70"/>
      <c r="O1132" s="77" t="s">
        <v>179</v>
      </c>
      <c r="P1132" s="79">
        <v>44983.01226851852</v>
      </c>
      <c r="Q1132" s="77" t="s">
        <v>1932</v>
      </c>
      <c r="R1132" s="77">
        <v>0</v>
      </c>
      <c r="S1132" s="77">
        <v>0</v>
      </c>
      <c r="T1132" s="77">
        <v>0</v>
      </c>
      <c r="U1132" s="77">
        <v>0</v>
      </c>
      <c r="V1132" s="77">
        <v>11</v>
      </c>
      <c r="W1132" s="81" t="s">
        <v>3492</v>
      </c>
      <c r="X1132" s="77"/>
      <c r="Y1132" s="77"/>
      <c r="Z1132" s="77"/>
      <c r="AA1132" s="77" t="s">
        <v>5125</v>
      </c>
      <c r="AB1132" s="77" t="s">
        <v>5794</v>
      </c>
      <c r="AC1132" s="81" t="s">
        <v>5801</v>
      </c>
      <c r="AD1132" s="77" t="s">
        <v>5851</v>
      </c>
      <c r="AE1132" s="83" t="str">
        <f>HYPERLINK("https://twitter.com/ederzardin/status/1629636780818329604")</f>
        <v>https://twitter.com/ederzardin/status/1629636780818329604</v>
      </c>
      <c r="AF1132" s="79">
        <v>44983.01226851852</v>
      </c>
      <c r="AG1132" s="85">
        <v>44983</v>
      </c>
      <c r="AH1132" s="81" t="s">
        <v>6797</v>
      </c>
      <c r="AI1132" s="77" t="b">
        <v>0</v>
      </c>
      <c r="AJ1132" s="77"/>
      <c r="AK1132" s="77"/>
      <c r="AL1132" s="77"/>
      <c r="AM1132" s="77"/>
      <c r="AN1132" s="77"/>
      <c r="AO1132" s="77"/>
      <c r="AP1132" s="77"/>
      <c r="AQ1132" s="77" t="s">
        <v>8628</v>
      </c>
      <c r="AR1132" s="77"/>
      <c r="AS1132" s="77"/>
      <c r="AT1132" s="77"/>
      <c r="AU1132" s="77"/>
      <c r="AV1132" s="83" t="str">
        <f>HYPERLINK("https://pbs.twimg.com/media/Fp2iA-hXoAEvokM.jpg")</f>
        <v>https://pbs.twimg.com/media/Fp2iA-hXoAEvokM.jpg</v>
      </c>
      <c r="AW1132" s="81" t="s">
        <v>10254</v>
      </c>
      <c r="AX1132" s="81" t="s">
        <v>10254</v>
      </c>
      <c r="AY1132" s="77"/>
      <c r="AZ1132" s="81" t="s">
        <v>11359</v>
      </c>
      <c r="BA1132" s="81" t="s">
        <v>11359</v>
      </c>
      <c r="BB1132" s="81" t="s">
        <v>11359</v>
      </c>
      <c r="BC1132" s="81" t="s">
        <v>10254</v>
      </c>
      <c r="BD1132" s="81" t="s">
        <v>11524</v>
      </c>
      <c r="BE1132" s="77"/>
      <c r="BF1132" s="77"/>
      <c r="BG1132" s="77"/>
      <c r="BH1132" s="77"/>
      <c r="BI1132" s="77"/>
    </row>
    <row r="1133" spans="1:61" x14ac:dyDescent="0.25">
      <c r="A1133" s="62" t="s">
        <v>465</v>
      </c>
      <c r="B1133" s="62" t="s">
        <v>465</v>
      </c>
      <c r="C1133" s="63"/>
      <c r="D1133" s="64"/>
      <c r="E1133" s="65"/>
      <c r="F1133" s="66"/>
      <c r="G1133" s="63"/>
      <c r="H1133" s="67"/>
      <c r="I1133" s="68"/>
      <c r="J1133" s="68"/>
      <c r="K1133" s="32"/>
      <c r="L1133" s="75">
        <v>1133</v>
      </c>
      <c r="M1133" s="75"/>
      <c r="N1133" s="70"/>
      <c r="O1133" s="77" t="s">
        <v>179</v>
      </c>
      <c r="P1133" s="79">
        <v>44982.044247685182</v>
      </c>
      <c r="Q1133" s="77" t="s">
        <v>1933</v>
      </c>
      <c r="R1133" s="77">
        <v>0</v>
      </c>
      <c r="S1133" s="77">
        <v>0</v>
      </c>
      <c r="T1133" s="77">
        <v>0</v>
      </c>
      <c r="U1133" s="77">
        <v>0</v>
      </c>
      <c r="V1133" s="77">
        <v>6</v>
      </c>
      <c r="W1133" s="81" t="s">
        <v>3495</v>
      </c>
      <c r="X1133" s="77"/>
      <c r="Y1133" s="77"/>
      <c r="Z1133" s="77"/>
      <c r="AA1133" s="77" t="s">
        <v>5126</v>
      </c>
      <c r="AB1133" s="77" t="s">
        <v>5794</v>
      </c>
      <c r="AC1133" s="81" t="s">
        <v>5801</v>
      </c>
      <c r="AD1133" s="77" t="s">
        <v>5851</v>
      </c>
      <c r="AE1133" s="83" t="str">
        <f>HYPERLINK("https://twitter.com/ederzardin/status/1629285984310288384")</f>
        <v>https://twitter.com/ederzardin/status/1629285984310288384</v>
      </c>
      <c r="AF1133" s="79">
        <v>44982.044247685182</v>
      </c>
      <c r="AG1133" s="85">
        <v>44982</v>
      </c>
      <c r="AH1133" s="81" t="s">
        <v>6798</v>
      </c>
      <c r="AI1133" s="77" t="b">
        <v>0</v>
      </c>
      <c r="AJ1133" s="77"/>
      <c r="AK1133" s="77"/>
      <c r="AL1133" s="77"/>
      <c r="AM1133" s="77"/>
      <c r="AN1133" s="77"/>
      <c r="AO1133" s="77"/>
      <c r="AP1133" s="77"/>
      <c r="AQ1133" s="77" t="s">
        <v>8629</v>
      </c>
      <c r="AR1133" s="77"/>
      <c r="AS1133" s="77"/>
      <c r="AT1133" s="77"/>
      <c r="AU1133" s="77"/>
      <c r="AV1133" s="83" t="str">
        <f>HYPERLINK("https://pbs.twimg.com/media/Fpxi99_X0AAdQIo.jpg")</f>
        <v>https://pbs.twimg.com/media/Fpxi99_X0AAdQIo.jpg</v>
      </c>
      <c r="AW1133" s="81" t="s">
        <v>10255</v>
      </c>
      <c r="AX1133" s="81" t="s">
        <v>10255</v>
      </c>
      <c r="AY1133" s="77"/>
      <c r="AZ1133" s="81" t="s">
        <v>11359</v>
      </c>
      <c r="BA1133" s="81" t="s">
        <v>11359</v>
      </c>
      <c r="BB1133" s="81" t="s">
        <v>11359</v>
      </c>
      <c r="BC1133" s="81" t="s">
        <v>10255</v>
      </c>
      <c r="BD1133" s="81" t="s">
        <v>11524</v>
      </c>
      <c r="BE1133" s="77"/>
      <c r="BF1133" s="77"/>
      <c r="BG1133" s="77"/>
      <c r="BH1133" s="77"/>
      <c r="BI1133" s="77"/>
    </row>
    <row r="1134" spans="1:61" x14ac:dyDescent="0.25">
      <c r="A1134" s="62" t="s">
        <v>465</v>
      </c>
      <c r="B1134" s="62" t="s">
        <v>465</v>
      </c>
      <c r="C1134" s="63"/>
      <c r="D1134" s="64"/>
      <c r="E1134" s="65"/>
      <c r="F1134" s="66"/>
      <c r="G1134" s="63"/>
      <c r="H1134" s="67"/>
      <c r="I1134" s="68"/>
      <c r="J1134" s="68"/>
      <c r="K1134" s="32"/>
      <c r="L1134" s="75">
        <v>1134</v>
      </c>
      <c r="M1134" s="75"/>
      <c r="N1134" s="70"/>
      <c r="O1134" s="77" t="s">
        <v>179</v>
      </c>
      <c r="P1134" s="79">
        <v>44963.873449074075</v>
      </c>
      <c r="Q1134" s="77" t="s">
        <v>1934</v>
      </c>
      <c r="R1134" s="77">
        <v>0</v>
      </c>
      <c r="S1134" s="77">
        <v>0</v>
      </c>
      <c r="T1134" s="77">
        <v>0</v>
      </c>
      <c r="U1134" s="77">
        <v>0</v>
      </c>
      <c r="V1134" s="77">
        <v>6</v>
      </c>
      <c r="W1134" s="81" t="s">
        <v>3493</v>
      </c>
      <c r="X1134" s="77"/>
      <c r="Y1134" s="77"/>
      <c r="Z1134" s="77"/>
      <c r="AA1134" s="77" t="s">
        <v>5127</v>
      </c>
      <c r="AB1134" s="77" t="s">
        <v>5794</v>
      </c>
      <c r="AC1134" s="81" t="s">
        <v>5801</v>
      </c>
      <c r="AD1134" s="77" t="s">
        <v>5851</v>
      </c>
      <c r="AE1134" s="83" t="str">
        <f>HYPERLINK("https://twitter.com/ederzardin/status/1622701105003069450")</f>
        <v>https://twitter.com/ederzardin/status/1622701105003069450</v>
      </c>
      <c r="AF1134" s="79">
        <v>44963.873449074075</v>
      </c>
      <c r="AG1134" s="85">
        <v>44963</v>
      </c>
      <c r="AH1134" s="81" t="s">
        <v>6799</v>
      </c>
      <c r="AI1134" s="77" t="b">
        <v>0</v>
      </c>
      <c r="AJ1134" s="77"/>
      <c r="AK1134" s="77"/>
      <c r="AL1134" s="77"/>
      <c r="AM1134" s="77"/>
      <c r="AN1134" s="77"/>
      <c r="AO1134" s="77"/>
      <c r="AP1134" s="77"/>
      <c r="AQ1134" s="77" t="s">
        <v>8630</v>
      </c>
      <c r="AR1134" s="77"/>
      <c r="AS1134" s="77"/>
      <c r="AT1134" s="77"/>
      <c r="AU1134" s="77"/>
      <c r="AV1134" s="83" t="str">
        <f>HYPERLINK("https://pbs.twimg.com/media/FoT-DdfXgBMFXTE.jpg")</f>
        <v>https://pbs.twimg.com/media/FoT-DdfXgBMFXTE.jpg</v>
      </c>
      <c r="AW1134" s="81" t="s">
        <v>10256</v>
      </c>
      <c r="AX1134" s="81" t="s">
        <v>10256</v>
      </c>
      <c r="AY1134" s="77"/>
      <c r="AZ1134" s="81" t="s">
        <v>11359</v>
      </c>
      <c r="BA1134" s="81" t="s">
        <v>11359</v>
      </c>
      <c r="BB1134" s="81" t="s">
        <v>11359</v>
      </c>
      <c r="BC1134" s="81" t="s">
        <v>10256</v>
      </c>
      <c r="BD1134" s="81" t="s">
        <v>11524</v>
      </c>
      <c r="BE1134" s="77"/>
      <c r="BF1134" s="77"/>
      <c r="BG1134" s="77"/>
      <c r="BH1134" s="77"/>
      <c r="BI1134" s="77"/>
    </row>
    <row r="1135" spans="1:61" x14ac:dyDescent="0.25">
      <c r="A1135" s="62" t="s">
        <v>465</v>
      </c>
      <c r="B1135" s="62" t="s">
        <v>465</v>
      </c>
      <c r="C1135" s="63"/>
      <c r="D1135" s="64"/>
      <c r="E1135" s="65"/>
      <c r="F1135" s="66"/>
      <c r="G1135" s="63"/>
      <c r="H1135" s="67"/>
      <c r="I1135" s="68"/>
      <c r="J1135" s="68"/>
      <c r="K1135" s="32"/>
      <c r="L1135" s="75">
        <v>1135</v>
      </c>
      <c r="M1135" s="75"/>
      <c r="N1135" s="70"/>
      <c r="O1135" s="77" t="s">
        <v>179</v>
      </c>
      <c r="P1135" s="79">
        <v>44962.757743055554</v>
      </c>
      <c r="Q1135" s="77" t="s">
        <v>1935</v>
      </c>
      <c r="R1135" s="77">
        <v>0</v>
      </c>
      <c r="S1135" s="77">
        <v>0</v>
      </c>
      <c r="T1135" s="77">
        <v>0</v>
      </c>
      <c r="U1135" s="77">
        <v>0</v>
      </c>
      <c r="V1135" s="77">
        <v>12</v>
      </c>
      <c r="W1135" s="81" t="s">
        <v>3499</v>
      </c>
      <c r="X1135" s="77"/>
      <c r="Y1135" s="77"/>
      <c r="Z1135" s="77"/>
      <c r="AA1135" s="77" t="s">
        <v>5128</v>
      </c>
      <c r="AB1135" s="77" t="s">
        <v>5794</v>
      </c>
      <c r="AC1135" s="81" t="s">
        <v>5801</v>
      </c>
      <c r="AD1135" s="77" t="s">
        <v>5851</v>
      </c>
      <c r="AE1135" s="83" t="str">
        <f>HYPERLINK("https://twitter.com/ederzardin/status/1622296786969706497")</f>
        <v>https://twitter.com/ederzardin/status/1622296786969706497</v>
      </c>
      <c r="AF1135" s="79">
        <v>44962.757743055554</v>
      </c>
      <c r="AG1135" s="85">
        <v>44962</v>
      </c>
      <c r="AH1135" s="81" t="s">
        <v>6800</v>
      </c>
      <c r="AI1135" s="77" t="b">
        <v>0</v>
      </c>
      <c r="AJ1135" s="77"/>
      <c r="AK1135" s="77"/>
      <c r="AL1135" s="77"/>
      <c r="AM1135" s="77"/>
      <c r="AN1135" s="77"/>
      <c r="AO1135" s="77"/>
      <c r="AP1135" s="77"/>
      <c r="AQ1135" s="77" t="s">
        <v>8631</v>
      </c>
      <c r="AR1135" s="77"/>
      <c r="AS1135" s="77"/>
      <c r="AT1135" s="77"/>
      <c r="AU1135" s="77"/>
      <c r="AV1135" s="83" t="str">
        <f>HYPERLINK("https://pbs.twimg.com/media/FoOOVGtXoAIfUu_.jpg")</f>
        <v>https://pbs.twimg.com/media/FoOOVGtXoAIfUu_.jpg</v>
      </c>
      <c r="AW1135" s="81" t="s">
        <v>10257</v>
      </c>
      <c r="AX1135" s="81" t="s">
        <v>10257</v>
      </c>
      <c r="AY1135" s="77"/>
      <c r="AZ1135" s="81" t="s">
        <v>11359</v>
      </c>
      <c r="BA1135" s="81" t="s">
        <v>11359</v>
      </c>
      <c r="BB1135" s="81" t="s">
        <v>11359</v>
      </c>
      <c r="BC1135" s="81" t="s">
        <v>10257</v>
      </c>
      <c r="BD1135" s="81" t="s">
        <v>11524</v>
      </c>
      <c r="BE1135" s="77"/>
      <c r="BF1135" s="77"/>
      <c r="BG1135" s="77"/>
      <c r="BH1135" s="77"/>
      <c r="BI1135" s="77"/>
    </row>
    <row r="1136" spans="1:61" x14ac:dyDescent="0.25">
      <c r="A1136" s="62" t="s">
        <v>465</v>
      </c>
      <c r="B1136" s="62" t="s">
        <v>465</v>
      </c>
      <c r="C1136" s="63"/>
      <c r="D1136" s="64"/>
      <c r="E1136" s="65"/>
      <c r="F1136" s="66"/>
      <c r="G1136" s="63"/>
      <c r="H1136" s="67"/>
      <c r="I1136" s="68"/>
      <c r="J1136" s="68"/>
      <c r="K1136" s="32"/>
      <c r="L1136" s="75">
        <v>1136</v>
      </c>
      <c r="M1136" s="75"/>
      <c r="N1136" s="70"/>
      <c r="O1136" s="77" t="s">
        <v>179</v>
      </c>
      <c r="P1136" s="79">
        <v>44961.703263888892</v>
      </c>
      <c r="Q1136" s="77" t="s">
        <v>1936</v>
      </c>
      <c r="R1136" s="77">
        <v>0</v>
      </c>
      <c r="S1136" s="77">
        <v>0</v>
      </c>
      <c r="T1136" s="77">
        <v>0</v>
      </c>
      <c r="U1136" s="77">
        <v>0</v>
      </c>
      <c r="V1136" s="77">
        <v>11</v>
      </c>
      <c r="W1136" s="81" t="s">
        <v>3499</v>
      </c>
      <c r="X1136" s="77"/>
      <c r="Y1136" s="77"/>
      <c r="Z1136" s="77"/>
      <c r="AA1136" s="77" t="s">
        <v>5129</v>
      </c>
      <c r="AB1136" s="77" t="s">
        <v>5794</v>
      </c>
      <c r="AC1136" s="81" t="s">
        <v>5801</v>
      </c>
      <c r="AD1136" s="77" t="s">
        <v>5851</v>
      </c>
      <c r="AE1136" s="83" t="str">
        <f>HYPERLINK("https://twitter.com/ederzardin/status/1621914658553593859")</f>
        <v>https://twitter.com/ederzardin/status/1621914658553593859</v>
      </c>
      <c r="AF1136" s="79">
        <v>44961.703263888892</v>
      </c>
      <c r="AG1136" s="85">
        <v>44961</v>
      </c>
      <c r="AH1136" s="81" t="s">
        <v>6801</v>
      </c>
      <c r="AI1136" s="77" t="b">
        <v>0</v>
      </c>
      <c r="AJ1136" s="77"/>
      <c r="AK1136" s="77"/>
      <c r="AL1136" s="77"/>
      <c r="AM1136" s="77"/>
      <c r="AN1136" s="77"/>
      <c r="AO1136" s="77"/>
      <c r="AP1136" s="77"/>
      <c r="AQ1136" s="77" t="s">
        <v>8632</v>
      </c>
      <c r="AR1136" s="77"/>
      <c r="AS1136" s="77"/>
      <c r="AT1136" s="77"/>
      <c r="AU1136" s="77"/>
      <c r="AV1136" s="83" t="str">
        <f>HYPERLINK("https://pbs.twimg.com/media/FoIyySyXgAMq3RS.jpg")</f>
        <v>https://pbs.twimg.com/media/FoIyySyXgAMq3RS.jpg</v>
      </c>
      <c r="AW1136" s="81" t="s">
        <v>10258</v>
      </c>
      <c r="AX1136" s="81" t="s">
        <v>10258</v>
      </c>
      <c r="AY1136" s="77"/>
      <c r="AZ1136" s="81" t="s">
        <v>11359</v>
      </c>
      <c r="BA1136" s="81" t="s">
        <v>11359</v>
      </c>
      <c r="BB1136" s="81" t="s">
        <v>11359</v>
      </c>
      <c r="BC1136" s="81" t="s">
        <v>10258</v>
      </c>
      <c r="BD1136" s="81" t="s">
        <v>11524</v>
      </c>
      <c r="BE1136" s="77"/>
      <c r="BF1136" s="77"/>
      <c r="BG1136" s="77"/>
      <c r="BH1136" s="77"/>
      <c r="BI1136" s="77"/>
    </row>
    <row r="1137" spans="1:61" x14ac:dyDescent="0.25">
      <c r="A1137" s="62" t="s">
        <v>465</v>
      </c>
      <c r="B1137" s="62" t="s">
        <v>465</v>
      </c>
      <c r="C1137" s="63"/>
      <c r="D1137" s="64"/>
      <c r="E1137" s="65"/>
      <c r="F1137" s="66"/>
      <c r="G1137" s="63"/>
      <c r="H1137" s="67"/>
      <c r="I1137" s="68"/>
      <c r="J1137" s="68"/>
      <c r="K1137" s="32"/>
      <c r="L1137" s="75">
        <v>1137</v>
      </c>
      <c r="M1137" s="75"/>
      <c r="N1137" s="70"/>
      <c r="O1137" s="77" t="s">
        <v>179</v>
      </c>
      <c r="P1137" s="79">
        <v>44960.895891203705</v>
      </c>
      <c r="Q1137" s="77" t="s">
        <v>1937</v>
      </c>
      <c r="R1137" s="77">
        <v>0</v>
      </c>
      <c r="S1137" s="77">
        <v>0</v>
      </c>
      <c r="T1137" s="77">
        <v>0</v>
      </c>
      <c r="U1137" s="77">
        <v>0</v>
      </c>
      <c r="V1137" s="77">
        <v>8</v>
      </c>
      <c r="W1137" s="81" t="s">
        <v>3500</v>
      </c>
      <c r="X1137" s="77"/>
      <c r="Y1137" s="77"/>
      <c r="Z1137" s="77"/>
      <c r="AA1137" s="77" t="s">
        <v>5130</v>
      </c>
      <c r="AB1137" s="77" t="s">
        <v>5794</v>
      </c>
      <c r="AC1137" s="81" t="s">
        <v>5801</v>
      </c>
      <c r="AD1137" s="77" t="s">
        <v>5851</v>
      </c>
      <c r="AE1137" s="83" t="str">
        <f>HYPERLINK("https://twitter.com/ederzardin/status/1621622074568499200")</f>
        <v>https://twitter.com/ederzardin/status/1621622074568499200</v>
      </c>
      <c r="AF1137" s="79">
        <v>44960.895891203705</v>
      </c>
      <c r="AG1137" s="85">
        <v>44960</v>
      </c>
      <c r="AH1137" s="81" t="s">
        <v>6802</v>
      </c>
      <c r="AI1137" s="77" t="b">
        <v>0</v>
      </c>
      <c r="AJ1137" s="77"/>
      <c r="AK1137" s="77"/>
      <c r="AL1137" s="77"/>
      <c r="AM1137" s="77"/>
      <c r="AN1137" s="77"/>
      <c r="AO1137" s="77"/>
      <c r="AP1137" s="77"/>
      <c r="AQ1137" s="77" t="s">
        <v>8633</v>
      </c>
      <c r="AR1137" s="77"/>
      <c r="AS1137" s="77"/>
      <c r="AT1137" s="77"/>
      <c r="AU1137" s="77"/>
      <c r="AV1137" s="83" t="str">
        <f>HYPERLINK("https://pbs.twimg.com/media/FoEorr6XEAAVmQp.jpg")</f>
        <v>https://pbs.twimg.com/media/FoEorr6XEAAVmQp.jpg</v>
      </c>
      <c r="AW1137" s="81" t="s">
        <v>10259</v>
      </c>
      <c r="AX1137" s="81" t="s">
        <v>10259</v>
      </c>
      <c r="AY1137" s="77"/>
      <c r="AZ1137" s="81" t="s">
        <v>11359</v>
      </c>
      <c r="BA1137" s="81" t="s">
        <v>11359</v>
      </c>
      <c r="BB1137" s="81" t="s">
        <v>11359</v>
      </c>
      <c r="BC1137" s="81" t="s">
        <v>10259</v>
      </c>
      <c r="BD1137" s="81" t="s">
        <v>11524</v>
      </c>
      <c r="BE1137" s="77"/>
      <c r="BF1137" s="77"/>
      <c r="BG1137" s="77"/>
      <c r="BH1137" s="77"/>
      <c r="BI1137" s="77"/>
    </row>
    <row r="1138" spans="1:61" x14ac:dyDescent="0.25">
      <c r="A1138" s="62" t="s">
        <v>465</v>
      </c>
      <c r="B1138" s="62" t="s">
        <v>465</v>
      </c>
      <c r="C1138" s="63"/>
      <c r="D1138" s="64"/>
      <c r="E1138" s="65"/>
      <c r="F1138" s="66"/>
      <c r="G1138" s="63"/>
      <c r="H1138" s="67"/>
      <c r="I1138" s="68"/>
      <c r="J1138" s="68"/>
      <c r="K1138" s="32"/>
      <c r="L1138" s="75">
        <v>1138</v>
      </c>
      <c r="M1138" s="75"/>
      <c r="N1138" s="70"/>
      <c r="O1138" s="77" t="s">
        <v>179</v>
      </c>
      <c r="P1138" s="79">
        <v>44959.828946759262</v>
      </c>
      <c r="Q1138" s="77" t="s">
        <v>1938</v>
      </c>
      <c r="R1138" s="77">
        <v>0</v>
      </c>
      <c r="S1138" s="77">
        <v>0</v>
      </c>
      <c r="T1138" s="77">
        <v>0</v>
      </c>
      <c r="U1138" s="77">
        <v>0</v>
      </c>
      <c r="V1138" s="77">
        <v>11</v>
      </c>
      <c r="W1138" s="81" t="s">
        <v>3498</v>
      </c>
      <c r="X1138" s="77"/>
      <c r="Y1138" s="77"/>
      <c r="Z1138" s="77"/>
      <c r="AA1138" s="77" t="s">
        <v>5131</v>
      </c>
      <c r="AB1138" s="77" t="s">
        <v>5794</v>
      </c>
      <c r="AC1138" s="81" t="s">
        <v>5801</v>
      </c>
      <c r="AD1138" s="77" t="s">
        <v>5851</v>
      </c>
      <c r="AE1138" s="83" t="str">
        <f>HYPERLINK("https://twitter.com/ederzardin/status/1621235425728765953")</f>
        <v>https://twitter.com/ederzardin/status/1621235425728765953</v>
      </c>
      <c r="AF1138" s="79">
        <v>44959.828946759262</v>
      </c>
      <c r="AG1138" s="85">
        <v>44959</v>
      </c>
      <c r="AH1138" s="81" t="s">
        <v>6803</v>
      </c>
      <c r="AI1138" s="77" t="b">
        <v>0</v>
      </c>
      <c r="AJ1138" s="77"/>
      <c r="AK1138" s="77"/>
      <c r="AL1138" s="77"/>
      <c r="AM1138" s="77"/>
      <c r="AN1138" s="77"/>
      <c r="AO1138" s="77"/>
      <c r="AP1138" s="77"/>
      <c r="AQ1138" s="77" t="s">
        <v>8634</v>
      </c>
      <c r="AR1138" s="77"/>
      <c r="AS1138" s="77"/>
      <c r="AT1138" s="77"/>
      <c r="AU1138" s="77"/>
      <c r="AV1138" s="83" t="str">
        <f>HYPERLINK("https://pbs.twimg.com/media/Fn_JBsLWAAIdQ2A.jpg")</f>
        <v>https://pbs.twimg.com/media/Fn_JBsLWAAIdQ2A.jpg</v>
      </c>
      <c r="AW1138" s="81" t="s">
        <v>10260</v>
      </c>
      <c r="AX1138" s="81" t="s">
        <v>10260</v>
      </c>
      <c r="AY1138" s="77"/>
      <c r="AZ1138" s="81" t="s">
        <v>11359</v>
      </c>
      <c r="BA1138" s="81" t="s">
        <v>11359</v>
      </c>
      <c r="BB1138" s="81" t="s">
        <v>11359</v>
      </c>
      <c r="BC1138" s="81" t="s">
        <v>10260</v>
      </c>
      <c r="BD1138" s="81" t="s">
        <v>11524</v>
      </c>
      <c r="BE1138" s="77"/>
      <c r="BF1138" s="77"/>
      <c r="BG1138" s="77"/>
      <c r="BH1138" s="77"/>
      <c r="BI1138" s="77"/>
    </row>
    <row r="1139" spans="1:61" x14ac:dyDescent="0.25">
      <c r="A1139" s="62" t="s">
        <v>465</v>
      </c>
      <c r="B1139" s="62" t="s">
        <v>465</v>
      </c>
      <c r="C1139" s="63"/>
      <c r="D1139" s="64"/>
      <c r="E1139" s="65"/>
      <c r="F1139" s="66"/>
      <c r="G1139" s="63"/>
      <c r="H1139" s="67"/>
      <c r="I1139" s="68"/>
      <c r="J1139" s="68"/>
      <c r="K1139" s="32"/>
      <c r="L1139" s="75">
        <v>1139</v>
      </c>
      <c r="M1139" s="75"/>
      <c r="N1139" s="70"/>
      <c r="O1139" s="77" t="s">
        <v>179</v>
      </c>
      <c r="P1139" s="79">
        <v>44958.702372685184</v>
      </c>
      <c r="Q1139" s="77" t="s">
        <v>1939</v>
      </c>
      <c r="R1139" s="77">
        <v>0</v>
      </c>
      <c r="S1139" s="77">
        <v>0</v>
      </c>
      <c r="T1139" s="77">
        <v>0</v>
      </c>
      <c r="U1139" s="77">
        <v>0</v>
      </c>
      <c r="V1139" s="77">
        <v>11</v>
      </c>
      <c r="W1139" s="81" t="s">
        <v>3495</v>
      </c>
      <c r="X1139" s="77"/>
      <c r="Y1139" s="77"/>
      <c r="Z1139" s="77"/>
      <c r="AA1139" s="77" t="s">
        <v>5132</v>
      </c>
      <c r="AB1139" s="77" t="s">
        <v>5794</v>
      </c>
      <c r="AC1139" s="81" t="s">
        <v>5801</v>
      </c>
      <c r="AD1139" s="77" t="s">
        <v>5851</v>
      </c>
      <c r="AE1139" s="83" t="str">
        <f>HYPERLINK("https://twitter.com/ederzardin/status/1620827169416175616")</f>
        <v>https://twitter.com/ederzardin/status/1620827169416175616</v>
      </c>
      <c r="AF1139" s="79">
        <v>44958.702372685184</v>
      </c>
      <c r="AG1139" s="85">
        <v>44958</v>
      </c>
      <c r="AH1139" s="81" t="s">
        <v>6804</v>
      </c>
      <c r="AI1139" s="77" t="b">
        <v>0</v>
      </c>
      <c r="AJ1139" s="77"/>
      <c r="AK1139" s="77"/>
      <c r="AL1139" s="77"/>
      <c r="AM1139" s="77"/>
      <c r="AN1139" s="77"/>
      <c r="AO1139" s="77"/>
      <c r="AP1139" s="77"/>
      <c r="AQ1139" s="77" t="s">
        <v>8635</v>
      </c>
      <c r="AR1139" s="77"/>
      <c r="AS1139" s="77"/>
      <c r="AT1139" s="77"/>
      <c r="AU1139" s="77"/>
      <c r="AV1139" s="83" t="str">
        <f>HYPERLINK("https://pbs.twimg.com/media/Fn5VuDmXkA0akq1.jpg")</f>
        <v>https://pbs.twimg.com/media/Fn5VuDmXkA0akq1.jpg</v>
      </c>
      <c r="AW1139" s="81" t="s">
        <v>10261</v>
      </c>
      <c r="AX1139" s="81" t="s">
        <v>10261</v>
      </c>
      <c r="AY1139" s="77"/>
      <c r="AZ1139" s="81" t="s">
        <v>11359</v>
      </c>
      <c r="BA1139" s="81" t="s">
        <v>11359</v>
      </c>
      <c r="BB1139" s="81" t="s">
        <v>11359</v>
      </c>
      <c r="BC1139" s="81" t="s">
        <v>10261</v>
      </c>
      <c r="BD1139" s="81" t="s">
        <v>11524</v>
      </c>
      <c r="BE1139" s="77"/>
      <c r="BF1139" s="77"/>
      <c r="BG1139" s="77"/>
      <c r="BH1139" s="77"/>
      <c r="BI1139" s="77"/>
    </row>
    <row r="1140" spans="1:61" x14ac:dyDescent="0.25">
      <c r="A1140" s="62" t="s">
        <v>466</v>
      </c>
      <c r="B1140" s="62" t="s">
        <v>466</v>
      </c>
      <c r="C1140" s="63"/>
      <c r="D1140" s="64"/>
      <c r="E1140" s="65"/>
      <c r="F1140" s="66"/>
      <c r="G1140" s="63"/>
      <c r="H1140" s="67"/>
      <c r="I1140" s="68"/>
      <c r="J1140" s="68"/>
      <c r="K1140" s="32"/>
      <c r="L1140" s="75">
        <v>1140</v>
      </c>
      <c r="M1140" s="75"/>
      <c r="N1140" s="70"/>
      <c r="O1140" s="77" t="s">
        <v>179</v>
      </c>
      <c r="P1140" s="79">
        <v>44974.820231481484</v>
      </c>
      <c r="Q1140" s="77" t="s">
        <v>1940</v>
      </c>
      <c r="R1140" s="77">
        <v>5</v>
      </c>
      <c r="S1140" s="77">
        <v>22</v>
      </c>
      <c r="T1140" s="77">
        <v>6</v>
      </c>
      <c r="U1140" s="77">
        <v>3</v>
      </c>
      <c r="V1140" s="77">
        <v>799</v>
      </c>
      <c r="W1140" s="81" t="s">
        <v>2947</v>
      </c>
      <c r="X1140" s="77"/>
      <c r="Y1140" s="77"/>
      <c r="Z1140" s="77"/>
      <c r="AA1140" s="77" t="s">
        <v>5133</v>
      </c>
      <c r="AB1140" s="77" t="s">
        <v>5794</v>
      </c>
      <c r="AC1140" s="81" t="s">
        <v>5805</v>
      </c>
      <c r="AD1140" s="77" t="s">
        <v>5850</v>
      </c>
      <c r="AE1140" s="83" t="str">
        <f>HYPERLINK("https://twitter.com/victorv82449539/status/1626668087993937921")</f>
        <v>https://twitter.com/victorv82449539/status/1626668087993937921</v>
      </c>
      <c r="AF1140" s="79">
        <v>44974.820231481484</v>
      </c>
      <c r="AG1140" s="85">
        <v>44974</v>
      </c>
      <c r="AH1140" s="81" t="s">
        <v>6805</v>
      </c>
      <c r="AI1140" s="77" t="b">
        <v>0</v>
      </c>
      <c r="AJ1140" s="77"/>
      <c r="AK1140" s="77"/>
      <c r="AL1140" s="77"/>
      <c r="AM1140" s="77"/>
      <c r="AN1140" s="77"/>
      <c r="AO1140" s="77"/>
      <c r="AP1140" s="77"/>
      <c r="AQ1140" s="77" t="s">
        <v>8636</v>
      </c>
      <c r="AR1140" s="77"/>
      <c r="AS1140" s="77"/>
      <c r="AT1140" s="77"/>
      <c r="AU1140" s="77"/>
      <c r="AV1140" s="83" t="str">
        <f>HYPERLINK("https://pbs.twimg.com/media/FpMV9kpXgAAZZK4.jpg")</f>
        <v>https://pbs.twimg.com/media/FpMV9kpXgAAZZK4.jpg</v>
      </c>
      <c r="AW1140" s="81" t="s">
        <v>10262</v>
      </c>
      <c r="AX1140" s="81" t="s">
        <v>10262</v>
      </c>
      <c r="AY1140" s="77"/>
      <c r="AZ1140" s="81" t="s">
        <v>11359</v>
      </c>
      <c r="BA1140" s="81" t="s">
        <v>11359</v>
      </c>
      <c r="BB1140" s="81" t="s">
        <v>11359</v>
      </c>
      <c r="BC1140" s="81" t="s">
        <v>10262</v>
      </c>
      <c r="BD1140" s="81" t="s">
        <v>11525</v>
      </c>
      <c r="BE1140" s="77"/>
      <c r="BF1140" s="77"/>
      <c r="BG1140" s="77"/>
      <c r="BH1140" s="77"/>
      <c r="BI1140" s="77"/>
    </row>
    <row r="1141" spans="1:61" x14ac:dyDescent="0.25">
      <c r="A1141" s="62" t="s">
        <v>467</v>
      </c>
      <c r="B1141" s="62" t="s">
        <v>467</v>
      </c>
      <c r="C1141" s="63"/>
      <c r="D1141" s="64"/>
      <c r="E1141" s="65"/>
      <c r="F1141" s="66"/>
      <c r="G1141" s="63"/>
      <c r="H1141" s="67"/>
      <c r="I1141" s="68"/>
      <c r="J1141" s="68"/>
      <c r="K1141" s="32"/>
      <c r="L1141" s="75">
        <v>1141</v>
      </c>
      <c r="M1141" s="75"/>
      <c r="N1141" s="70"/>
      <c r="O1141" s="77" t="s">
        <v>179</v>
      </c>
      <c r="P1141" s="79">
        <v>45133.045138888891</v>
      </c>
      <c r="Q1141" s="77" t="s">
        <v>1941</v>
      </c>
      <c r="R1141" s="77">
        <v>0</v>
      </c>
      <c r="S1141" s="77">
        <v>1</v>
      </c>
      <c r="T1141" s="77">
        <v>0</v>
      </c>
      <c r="U1141" s="77">
        <v>0</v>
      </c>
      <c r="V1141" s="77">
        <v>44</v>
      </c>
      <c r="W1141" s="81" t="s">
        <v>3501</v>
      </c>
      <c r="X1141" s="83" t="str">
        <f>HYPERLINK("https://durango.posta.com.mx/share/salva-camioneta-puesto-de-elotes-tras-quedar-atrapado-en-inundacion/vl1499490")</f>
        <v>https://durango.posta.com.mx/share/salva-camioneta-puesto-de-elotes-tras-quedar-atrapado-en-inundacion/vl1499490</v>
      </c>
      <c r="Y1141" s="77" t="s">
        <v>4222</v>
      </c>
      <c r="Z1141" s="77"/>
      <c r="AA1141" s="77"/>
      <c r="AB1141" s="77"/>
      <c r="AC1141" s="81" t="s">
        <v>5805</v>
      </c>
      <c r="AD1141" s="77" t="s">
        <v>5850</v>
      </c>
      <c r="AE1141" s="83" t="str">
        <f>HYPERLINK("https://twitter.com/postadurango/status/1684006871856709633")</f>
        <v>https://twitter.com/postadurango/status/1684006871856709633</v>
      </c>
      <c r="AF1141" s="79">
        <v>45133.045138888891</v>
      </c>
      <c r="AG1141" s="85">
        <v>45133</v>
      </c>
      <c r="AH1141" s="81" t="s">
        <v>6806</v>
      </c>
      <c r="AI1141" s="77" t="b">
        <v>0</v>
      </c>
      <c r="AJ1141" s="77"/>
      <c r="AK1141" s="77"/>
      <c r="AL1141" s="77"/>
      <c r="AM1141" s="77"/>
      <c r="AN1141" s="77"/>
      <c r="AO1141" s="77"/>
      <c r="AP1141" s="77"/>
      <c r="AQ1141" s="77"/>
      <c r="AR1141" s="77"/>
      <c r="AS1141" s="77"/>
      <c r="AT1141" s="77"/>
      <c r="AU1141" s="77"/>
      <c r="AV1141" s="83" t="str">
        <f>HYPERLINK("https://pbs.twimg.com/profile_images/1623347163852857344/cjWvUN3C_normal.jpg")</f>
        <v>https://pbs.twimg.com/profile_images/1623347163852857344/cjWvUN3C_normal.jpg</v>
      </c>
      <c r="AW1141" s="81" t="s">
        <v>10263</v>
      </c>
      <c r="AX1141" s="81" t="s">
        <v>10263</v>
      </c>
      <c r="AY1141" s="77"/>
      <c r="AZ1141" s="81" t="s">
        <v>11359</v>
      </c>
      <c r="BA1141" s="81" t="s">
        <v>11359</v>
      </c>
      <c r="BB1141" s="81" t="s">
        <v>11359</v>
      </c>
      <c r="BC1141" s="81" t="s">
        <v>10263</v>
      </c>
      <c r="BD1141" s="81" t="s">
        <v>11526</v>
      </c>
      <c r="BE1141" s="77"/>
      <c r="BF1141" s="77"/>
      <c r="BG1141" s="77"/>
      <c r="BH1141" s="77"/>
      <c r="BI1141" s="77"/>
    </row>
    <row r="1142" spans="1:61" x14ac:dyDescent="0.25">
      <c r="A1142" s="62" t="s">
        <v>468</v>
      </c>
      <c r="B1142" s="62" t="s">
        <v>468</v>
      </c>
      <c r="C1142" s="63"/>
      <c r="D1142" s="64"/>
      <c r="E1142" s="65"/>
      <c r="F1142" s="66"/>
      <c r="G1142" s="63"/>
      <c r="H1142" s="67"/>
      <c r="I1142" s="68"/>
      <c r="J1142" s="68"/>
      <c r="K1142" s="32"/>
      <c r="L1142" s="75">
        <v>1142</v>
      </c>
      <c r="M1142" s="75"/>
      <c r="N1142" s="70"/>
      <c r="O1142" s="77" t="s">
        <v>179</v>
      </c>
      <c r="P1142" s="79">
        <v>45042.654340277775</v>
      </c>
      <c r="Q1142" s="77" t="s">
        <v>1942</v>
      </c>
      <c r="R1142" s="77">
        <v>0</v>
      </c>
      <c r="S1142" s="77">
        <v>0</v>
      </c>
      <c r="T1142" s="77">
        <v>0</v>
      </c>
      <c r="U1142" s="77">
        <v>0</v>
      </c>
      <c r="V1142" s="77">
        <v>123</v>
      </c>
      <c r="W1142" s="81" t="s">
        <v>3502</v>
      </c>
      <c r="X1142" s="77"/>
      <c r="Y1142" s="77"/>
      <c r="Z1142" s="77"/>
      <c r="AA1142" s="77" t="s">
        <v>5134</v>
      </c>
      <c r="AB1142" s="77" t="s">
        <v>5795</v>
      </c>
      <c r="AC1142" s="81" t="s">
        <v>5803</v>
      </c>
      <c r="AD1142" s="77" t="s">
        <v>5851</v>
      </c>
      <c r="AE1142" s="83" t="str">
        <f>HYPERLINK("https://twitter.com/eudavidhernande/status/1651250344242839552")</f>
        <v>https://twitter.com/eudavidhernande/status/1651250344242839552</v>
      </c>
      <c r="AF1142" s="79">
        <v>45042.654340277775</v>
      </c>
      <c r="AG1142" s="85">
        <v>45042</v>
      </c>
      <c r="AH1142" s="81" t="s">
        <v>6807</v>
      </c>
      <c r="AI1142" s="77" t="b">
        <v>0</v>
      </c>
      <c r="AJ1142" s="77"/>
      <c r="AK1142" s="77"/>
      <c r="AL1142" s="77"/>
      <c r="AM1142" s="77"/>
      <c r="AN1142" s="77"/>
      <c r="AO1142" s="77"/>
      <c r="AP1142" s="77"/>
      <c r="AQ1142" s="77" t="s">
        <v>8637</v>
      </c>
      <c r="AR1142" s="77">
        <v>35100</v>
      </c>
      <c r="AS1142" s="77"/>
      <c r="AT1142" s="77"/>
      <c r="AU1142" s="77"/>
      <c r="AV1142" s="83" t="str">
        <f>HYPERLINK("https://pbs.twimg.com/ext_tw_video_thumb/1651250288882335744/pu/img/PYsTbxiZYAOMkVhU.jpg")</f>
        <v>https://pbs.twimg.com/ext_tw_video_thumb/1651250288882335744/pu/img/PYsTbxiZYAOMkVhU.jpg</v>
      </c>
      <c r="AW1142" s="81" t="s">
        <v>10264</v>
      </c>
      <c r="AX1142" s="81" t="s">
        <v>10264</v>
      </c>
      <c r="AY1142" s="77"/>
      <c r="AZ1142" s="81" t="s">
        <v>11359</v>
      </c>
      <c r="BA1142" s="81" t="s">
        <v>11359</v>
      </c>
      <c r="BB1142" s="81" t="s">
        <v>11359</v>
      </c>
      <c r="BC1142" s="81" t="s">
        <v>10264</v>
      </c>
      <c r="BD1142" s="77">
        <v>3368950330</v>
      </c>
      <c r="BE1142" s="77"/>
      <c r="BF1142" s="77"/>
      <c r="BG1142" s="77"/>
      <c r="BH1142" s="77"/>
      <c r="BI1142" s="77"/>
    </row>
    <row r="1143" spans="1:61" x14ac:dyDescent="0.25">
      <c r="A1143" s="62" t="s">
        <v>468</v>
      </c>
      <c r="B1143" s="62" t="s">
        <v>468</v>
      </c>
      <c r="C1143" s="63"/>
      <c r="D1143" s="64"/>
      <c r="E1143" s="65"/>
      <c r="F1143" s="66"/>
      <c r="G1143" s="63"/>
      <c r="H1143" s="67"/>
      <c r="I1143" s="68"/>
      <c r="J1143" s="68"/>
      <c r="K1143" s="32"/>
      <c r="L1143" s="75">
        <v>1143</v>
      </c>
      <c r="M1143" s="75"/>
      <c r="N1143" s="70"/>
      <c r="O1143" s="77" t="s">
        <v>179</v>
      </c>
      <c r="P1143" s="79">
        <v>45042.649074074077</v>
      </c>
      <c r="Q1143" s="77" t="s">
        <v>1943</v>
      </c>
      <c r="R1143" s="77">
        <v>0</v>
      </c>
      <c r="S1143" s="77">
        <v>0</v>
      </c>
      <c r="T1143" s="77">
        <v>0</v>
      </c>
      <c r="U1143" s="77">
        <v>0</v>
      </c>
      <c r="V1143" s="77">
        <v>80</v>
      </c>
      <c r="W1143" s="81" t="s">
        <v>3503</v>
      </c>
      <c r="X1143" s="77"/>
      <c r="Y1143" s="77"/>
      <c r="Z1143" s="77"/>
      <c r="AA1143" s="77" t="s">
        <v>5135</v>
      </c>
      <c r="AB1143" s="77" t="s">
        <v>5795</v>
      </c>
      <c r="AC1143" s="81" t="s">
        <v>5803</v>
      </c>
      <c r="AD1143" s="77" t="s">
        <v>5851</v>
      </c>
      <c r="AE1143" s="83" t="str">
        <f>HYPERLINK("https://twitter.com/eudavidhernande/status/1651248435004096514")</f>
        <v>https://twitter.com/eudavidhernande/status/1651248435004096514</v>
      </c>
      <c r="AF1143" s="79">
        <v>45042.649074074077</v>
      </c>
      <c r="AG1143" s="85">
        <v>45042</v>
      </c>
      <c r="AH1143" s="81" t="s">
        <v>6808</v>
      </c>
      <c r="AI1143" s="77" t="b">
        <v>0</v>
      </c>
      <c r="AJ1143" s="77"/>
      <c r="AK1143" s="77"/>
      <c r="AL1143" s="77"/>
      <c r="AM1143" s="77"/>
      <c r="AN1143" s="77"/>
      <c r="AO1143" s="77"/>
      <c r="AP1143" s="77"/>
      <c r="AQ1143" s="77" t="s">
        <v>8638</v>
      </c>
      <c r="AR1143" s="77">
        <v>16333</v>
      </c>
      <c r="AS1143" s="77"/>
      <c r="AT1143" s="77"/>
      <c r="AU1143" s="77"/>
      <c r="AV1143" s="83" t="str">
        <f>HYPERLINK("https://pbs.twimg.com/ext_tw_video_thumb/1651248385653866497/pu/img/0HjCB9wjsVH8ppim.jpg")</f>
        <v>https://pbs.twimg.com/ext_tw_video_thumb/1651248385653866497/pu/img/0HjCB9wjsVH8ppim.jpg</v>
      </c>
      <c r="AW1143" s="81" t="s">
        <v>10265</v>
      </c>
      <c r="AX1143" s="81" t="s">
        <v>10265</v>
      </c>
      <c r="AY1143" s="77"/>
      <c r="AZ1143" s="81" t="s">
        <v>11359</v>
      </c>
      <c r="BA1143" s="81" t="s">
        <v>11359</v>
      </c>
      <c r="BB1143" s="81" t="s">
        <v>11359</v>
      </c>
      <c r="BC1143" s="81" t="s">
        <v>10265</v>
      </c>
      <c r="BD1143" s="77">
        <v>3368950330</v>
      </c>
      <c r="BE1143" s="77"/>
      <c r="BF1143" s="77"/>
      <c r="BG1143" s="77"/>
      <c r="BH1143" s="77"/>
      <c r="BI1143" s="77"/>
    </row>
    <row r="1144" spans="1:61" x14ac:dyDescent="0.25">
      <c r="A1144" s="62" t="s">
        <v>468</v>
      </c>
      <c r="B1144" s="62" t="s">
        <v>468</v>
      </c>
      <c r="C1144" s="63"/>
      <c r="D1144" s="64"/>
      <c r="E1144" s="65"/>
      <c r="F1144" s="66"/>
      <c r="G1144" s="63"/>
      <c r="H1144" s="67"/>
      <c r="I1144" s="68"/>
      <c r="J1144" s="68"/>
      <c r="K1144" s="32"/>
      <c r="L1144" s="75">
        <v>1144</v>
      </c>
      <c r="M1144" s="75"/>
      <c r="N1144" s="70"/>
      <c r="O1144" s="77" t="s">
        <v>179</v>
      </c>
      <c r="P1144" s="79">
        <v>45042.645740740743</v>
      </c>
      <c r="Q1144" s="77" t="s">
        <v>1944</v>
      </c>
      <c r="R1144" s="77">
        <v>0</v>
      </c>
      <c r="S1144" s="77">
        <v>0</v>
      </c>
      <c r="T1144" s="77">
        <v>0</v>
      </c>
      <c r="U1144" s="77">
        <v>0</v>
      </c>
      <c r="V1144" s="77">
        <v>114</v>
      </c>
      <c r="W1144" s="81" t="s">
        <v>3504</v>
      </c>
      <c r="X1144" s="77"/>
      <c r="Y1144" s="77"/>
      <c r="Z1144" s="77"/>
      <c r="AA1144" s="77" t="s">
        <v>5136</v>
      </c>
      <c r="AB1144" s="77" t="s">
        <v>5795</v>
      </c>
      <c r="AC1144" s="81" t="s">
        <v>5803</v>
      </c>
      <c r="AD1144" s="77" t="s">
        <v>5851</v>
      </c>
      <c r="AE1144" s="83" t="str">
        <f>HYPERLINK("https://twitter.com/eudavidhernande/status/1651247228504223744")</f>
        <v>https://twitter.com/eudavidhernande/status/1651247228504223744</v>
      </c>
      <c r="AF1144" s="79">
        <v>45042.645740740743</v>
      </c>
      <c r="AG1144" s="85">
        <v>45042</v>
      </c>
      <c r="AH1144" s="81" t="s">
        <v>6809</v>
      </c>
      <c r="AI1144" s="77" t="b">
        <v>0</v>
      </c>
      <c r="AJ1144" s="77"/>
      <c r="AK1144" s="77"/>
      <c r="AL1144" s="77"/>
      <c r="AM1144" s="77"/>
      <c r="AN1144" s="77"/>
      <c r="AO1144" s="77"/>
      <c r="AP1144" s="77"/>
      <c r="AQ1144" s="77" t="s">
        <v>8639</v>
      </c>
      <c r="AR1144" s="77">
        <v>89333</v>
      </c>
      <c r="AS1144" s="77"/>
      <c r="AT1144" s="77"/>
      <c r="AU1144" s="77"/>
      <c r="AV1144" s="83" t="str">
        <f>HYPERLINK("https://pbs.twimg.com/ext_tw_video_thumb/1651247104277245952/pu/img/5WOkY2Efizi_PVso.jpg")</f>
        <v>https://pbs.twimg.com/ext_tw_video_thumb/1651247104277245952/pu/img/5WOkY2Efizi_PVso.jpg</v>
      </c>
      <c r="AW1144" s="81" t="s">
        <v>10266</v>
      </c>
      <c r="AX1144" s="81" t="s">
        <v>10266</v>
      </c>
      <c r="AY1144" s="77"/>
      <c r="AZ1144" s="81" t="s">
        <v>11359</v>
      </c>
      <c r="BA1144" s="81" t="s">
        <v>11359</v>
      </c>
      <c r="BB1144" s="81" t="s">
        <v>11359</v>
      </c>
      <c r="BC1144" s="81" t="s">
        <v>10266</v>
      </c>
      <c r="BD1144" s="77">
        <v>3368950330</v>
      </c>
      <c r="BE1144" s="77"/>
      <c r="BF1144" s="77"/>
      <c r="BG1144" s="77"/>
      <c r="BH1144" s="77"/>
      <c r="BI1144" s="77"/>
    </row>
    <row r="1145" spans="1:61" x14ac:dyDescent="0.25">
      <c r="A1145" s="62" t="s">
        <v>468</v>
      </c>
      <c r="B1145" s="62" t="s">
        <v>468</v>
      </c>
      <c r="C1145" s="63"/>
      <c r="D1145" s="64"/>
      <c r="E1145" s="65"/>
      <c r="F1145" s="66"/>
      <c r="G1145" s="63"/>
      <c r="H1145" s="67"/>
      <c r="I1145" s="68"/>
      <c r="J1145" s="68"/>
      <c r="K1145" s="32"/>
      <c r="L1145" s="75">
        <v>1145</v>
      </c>
      <c r="M1145" s="75"/>
      <c r="N1145" s="70"/>
      <c r="O1145" s="77" t="s">
        <v>179</v>
      </c>
      <c r="P1145" s="79">
        <v>45042.640775462962</v>
      </c>
      <c r="Q1145" s="77" t="s">
        <v>1945</v>
      </c>
      <c r="R1145" s="77">
        <v>0</v>
      </c>
      <c r="S1145" s="77">
        <v>0</v>
      </c>
      <c r="T1145" s="77">
        <v>0</v>
      </c>
      <c r="U1145" s="77">
        <v>0</v>
      </c>
      <c r="V1145" s="77">
        <v>93</v>
      </c>
      <c r="W1145" s="81" t="s">
        <v>3505</v>
      </c>
      <c r="X1145" s="77"/>
      <c r="Y1145" s="77"/>
      <c r="Z1145" s="77"/>
      <c r="AA1145" s="77" t="s">
        <v>5137</v>
      </c>
      <c r="AB1145" s="77" t="s">
        <v>5795</v>
      </c>
      <c r="AC1145" s="81" t="s">
        <v>5803</v>
      </c>
      <c r="AD1145" s="77" t="s">
        <v>5851</v>
      </c>
      <c r="AE1145" s="83" t="str">
        <f>HYPERLINK("https://twitter.com/eudavidhernande/status/1651245428313059336")</f>
        <v>https://twitter.com/eudavidhernande/status/1651245428313059336</v>
      </c>
      <c r="AF1145" s="79">
        <v>45042.640775462962</v>
      </c>
      <c r="AG1145" s="85">
        <v>45042</v>
      </c>
      <c r="AH1145" s="81" t="s">
        <v>6810</v>
      </c>
      <c r="AI1145" s="77" t="b">
        <v>0</v>
      </c>
      <c r="AJ1145" s="77"/>
      <c r="AK1145" s="77"/>
      <c r="AL1145" s="77"/>
      <c r="AM1145" s="77"/>
      <c r="AN1145" s="77"/>
      <c r="AO1145" s="77"/>
      <c r="AP1145" s="77"/>
      <c r="AQ1145" s="77" t="s">
        <v>8640</v>
      </c>
      <c r="AR1145" s="77">
        <v>15433</v>
      </c>
      <c r="AS1145" s="77"/>
      <c r="AT1145" s="77"/>
      <c r="AU1145" s="77"/>
      <c r="AV1145" s="83" t="str">
        <f>HYPERLINK("https://pbs.twimg.com/ext_tw_video_thumb/1651245397782691846/pu/img/094wC7O2HdhmZk_v.jpg")</f>
        <v>https://pbs.twimg.com/ext_tw_video_thumb/1651245397782691846/pu/img/094wC7O2HdhmZk_v.jpg</v>
      </c>
      <c r="AW1145" s="81" t="s">
        <v>10267</v>
      </c>
      <c r="AX1145" s="81" t="s">
        <v>10267</v>
      </c>
      <c r="AY1145" s="77"/>
      <c r="AZ1145" s="81" t="s">
        <v>11359</v>
      </c>
      <c r="BA1145" s="81" t="s">
        <v>11359</v>
      </c>
      <c r="BB1145" s="81" t="s">
        <v>11359</v>
      </c>
      <c r="BC1145" s="81" t="s">
        <v>10267</v>
      </c>
      <c r="BD1145" s="77">
        <v>3368950330</v>
      </c>
      <c r="BE1145" s="77"/>
      <c r="BF1145" s="77"/>
      <c r="BG1145" s="77"/>
      <c r="BH1145" s="77"/>
      <c r="BI1145" s="77"/>
    </row>
    <row r="1146" spans="1:61" x14ac:dyDescent="0.25">
      <c r="A1146" s="62" t="s">
        <v>468</v>
      </c>
      <c r="B1146" s="62" t="s">
        <v>468</v>
      </c>
      <c r="C1146" s="63"/>
      <c r="D1146" s="64"/>
      <c r="E1146" s="65"/>
      <c r="F1146" s="66"/>
      <c r="G1146" s="63"/>
      <c r="H1146" s="67"/>
      <c r="I1146" s="68"/>
      <c r="J1146" s="68"/>
      <c r="K1146" s="32"/>
      <c r="L1146" s="75">
        <v>1146</v>
      </c>
      <c r="M1146" s="75"/>
      <c r="N1146" s="70"/>
      <c r="O1146" s="77" t="s">
        <v>179</v>
      </c>
      <c r="P1146" s="79">
        <v>45061.855902777781</v>
      </c>
      <c r="Q1146" s="77" t="s">
        <v>1946</v>
      </c>
      <c r="R1146" s="77">
        <v>1</v>
      </c>
      <c r="S1146" s="77">
        <v>2</v>
      </c>
      <c r="T1146" s="77">
        <v>1</v>
      </c>
      <c r="U1146" s="77">
        <v>0</v>
      </c>
      <c r="V1146" s="77">
        <v>388</v>
      </c>
      <c r="W1146" s="81" t="s">
        <v>3506</v>
      </c>
      <c r="X1146" s="77"/>
      <c r="Y1146" s="77"/>
      <c r="Z1146" s="77"/>
      <c r="AA1146" s="77" t="s">
        <v>5138</v>
      </c>
      <c r="AB1146" s="77" t="s">
        <v>5795</v>
      </c>
      <c r="AC1146" s="81" t="s">
        <v>5803</v>
      </c>
      <c r="AD1146" s="77" t="s">
        <v>5851</v>
      </c>
      <c r="AE1146" s="83" t="str">
        <f>HYPERLINK("https://twitter.com/eudavidhernande/status/1658208755874406425")</f>
        <v>https://twitter.com/eudavidhernande/status/1658208755874406425</v>
      </c>
      <c r="AF1146" s="79">
        <v>45061.855902777781</v>
      </c>
      <c r="AG1146" s="85">
        <v>45061</v>
      </c>
      <c r="AH1146" s="81" t="s">
        <v>6811</v>
      </c>
      <c r="AI1146" s="77" t="b">
        <v>0</v>
      </c>
      <c r="AJ1146" s="77"/>
      <c r="AK1146" s="77"/>
      <c r="AL1146" s="77"/>
      <c r="AM1146" s="77"/>
      <c r="AN1146" s="77"/>
      <c r="AO1146" s="77"/>
      <c r="AP1146" s="77"/>
      <c r="AQ1146" s="77" t="s">
        <v>8641</v>
      </c>
      <c r="AR1146" s="77">
        <v>54833</v>
      </c>
      <c r="AS1146" s="77"/>
      <c r="AT1146" s="77"/>
      <c r="AU1146" s="77"/>
      <c r="AV1146" s="83" t="str">
        <f>HYPERLINK("https://pbs.twimg.com/ext_tw_video_thumb/1658208669467549713/pu/img/mv5t7y2dzFpj4IM3.jpg")</f>
        <v>https://pbs.twimg.com/ext_tw_video_thumb/1658208669467549713/pu/img/mv5t7y2dzFpj4IM3.jpg</v>
      </c>
      <c r="AW1146" s="81" t="s">
        <v>10268</v>
      </c>
      <c r="AX1146" s="81" t="s">
        <v>10268</v>
      </c>
      <c r="AY1146" s="77"/>
      <c r="AZ1146" s="81" t="s">
        <v>11359</v>
      </c>
      <c r="BA1146" s="81" t="s">
        <v>11359</v>
      </c>
      <c r="BB1146" s="81" t="s">
        <v>11359</v>
      </c>
      <c r="BC1146" s="81" t="s">
        <v>10268</v>
      </c>
      <c r="BD1146" s="77">
        <v>3368950330</v>
      </c>
      <c r="BE1146" s="77"/>
      <c r="BF1146" s="77"/>
      <c r="BG1146" s="77"/>
      <c r="BH1146" s="77"/>
      <c r="BI1146" s="77"/>
    </row>
    <row r="1147" spans="1:61" x14ac:dyDescent="0.25">
      <c r="A1147" s="62" t="s">
        <v>469</v>
      </c>
      <c r="B1147" s="62" t="s">
        <v>473</v>
      </c>
      <c r="C1147" s="63"/>
      <c r="D1147" s="64"/>
      <c r="E1147" s="65"/>
      <c r="F1147" s="66"/>
      <c r="G1147" s="63"/>
      <c r="H1147" s="67"/>
      <c r="I1147" s="68"/>
      <c r="J1147" s="68"/>
      <c r="K1147" s="32"/>
      <c r="L1147" s="75">
        <v>1147</v>
      </c>
      <c r="M1147" s="75"/>
      <c r="N1147" s="70"/>
      <c r="O1147" s="77" t="s">
        <v>968</v>
      </c>
      <c r="P1147" s="79">
        <v>45194.439722222225</v>
      </c>
      <c r="Q1147" s="77" t="s">
        <v>1947</v>
      </c>
      <c r="R1147" s="77">
        <v>1</v>
      </c>
      <c r="S1147" s="77">
        <v>0</v>
      </c>
      <c r="T1147" s="77">
        <v>0</v>
      </c>
      <c r="U1147" s="77">
        <v>0</v>
      </c>
      <c r="V1147" s="77"/>
      <c r="W1147" s="81" t="s">
        <v>3507</v>
      </c>
      <c r="X1147" s="77"/>
      <c r="Y1147" s="77"/>
      <c r="Z1147" s="77" t="s">
        <v>473</v>
      </c>
      <c r="AA1147" s="77"/>
      <c r="AB1147" s="77"/>
      <c r="AC1147" s="81" t="s">
        <v>5805</v>
      </c>
      <c r="AD1147" s="77" t="s">
        <v>5850</v>
      </c>
      <c r="AE1147" s="83" t="str">
        <f>HYPERLINK("https://twitter.com/elmeromero90210/status/1706255522872086868")</f>
        <v>https://twitter.com/elmeromero90210/status/1706255522872086868</v>
      </c>
      <c r="AF1147" s="79">
        <v>45194.439722222225</v>
      </c>
      <c r="AG1147" s="85">
        <v>45194</v>
      </c>
      <c r="AH1147" s="81" t="s">
        <v>6812</v>
      </c>
      <c r="AI1147" s="77"/>
      <c r="AJ1147" s="77"/>
      <c r="AK1147" s="77"/>
      <c r="AL1147" s="77"/>
      <c r="AM1147" s="77"/>
      <c r="AN1147" s="77"/>
      <c r="AO1147" s="77"/>
      <c r="AP1147" s="77"/>
      <c r="AQ1147" s="77"/>
      <c r="AR1147" s="77"/>
      <c r="AS1147" s="77"/>
      <c r="AT1147" s="77"/>
      <c r="AU1147" s="77"/>
      <c r="AV1147" s="83" t="str">
        <f>HYPERLINK("https://pbs.twimg.com/profile_images/1040799221740392448/Sd9MNV_a_normal.jpg")</f>
        <v>https://pbs.twimg.com/profile_images/1040799221740392448/Sd9MNV_a_normal.jpg</v>
      </c>
      <c r="AW1147" s="81" t="s">
        <v>10269</v>
      </c>
      <c r="AX1147" s="81" t="s">
        <v>10269</v>
      </c>
      <c r="AY1147" s="77"/>
      <c r="AZ1147" s="81" t="s">
        <v>11359</v>
      </c>
      <c r="BA1147" s="81" t="s">
        <v>11359</v>
      </c>
      <c r="BB1147" s="81" t="s">
        <v>10291</v>
      </c>
      <c r="BC1147" s="81" t="s">
        <v>10291</v>
      </c>
      <c r="BD1147" s="77">
        <v>4514931041</v>
      </c>
      <c r="BE1147" s="77"/>
      <c r="BF1147" s="77"/>
      <c r="BG1147" s="77"/>
      <c r="BH1147" s="77"/>
      <c r="BI1147" s="77"/>
    </row>
    <row r="1148" spans="1:61" x14ac:dyDescent="0.25">
      <c r="A1148" s="62" t="s">
        <v>470</v>
      </c>
      <c r="B1148" s="62" t="s">
        <v>470</v>
      </c>
      <c r="C1148" s="63"/>
      <c r="D1148" s="64"/>
      <c r="E1148" s="65"/>
      <c r="F1148" s="66"/>
      <c r="G1148" s="63"/>
      <c r="H1148" s="67"/>
      <c r="I1148" s="68"/>
      <c r="J1148" s="68"/>
      <c r="K1148" s="32"/>
      <c r="L1148" s="75">
        <v>1148</v>
      </c>
      <c r="M1148" s="75"/>
      <c r="N1148" s="70"/>
      <c r="O1148" s="77" t="s">
        <v>179</v>
      </c>
      <c r="P1148" s="79">
        <v>45114.693356481483</v>
      </c>
      <c r="Q1148" s="77" t="s">
        <v>1948</v>
      </c>
      <c r="R1148" s="77">
        <v>1</v>
      </c>
      <c r="S1148" s="77">
        <v>1</v>
      </c>
      <c r="T1148" s="77">
        <v>0</v>
      </c>
      <c r="U1148" s="77">
        <v>0</v>
      </c>
      <c r="V1148" s="77">
        <v>33</v>
      </c>
      <c r="W1148" s="81" t="s">
        <v>3180</v>
      </c>
      <c r="X1148" s="77"/>
      <c r="Y1148" s="77"/>
      <c r="Z1148" s="77"/>
      <c r="AA1148" s="77" t="s">
        <v>5139</v>
      </c>
      <c r="AB1148" s="77" t="s">
        <v>5794</v>
      </c>
      <c r="AC1148" s="81" t="s">
        <v>5805</v>
      </c>
      <c r="AD1148" s="77" t="s">
        <v>5850</v>
      </c>
      <c r="AE1148" s="83" t="str">
        <f>HYPERLINK("https://twitter.com/ciebarcelona/status/1677356408151449609")</f>
        <v>https://twitter.com/ciebarcelona/status/1677356408151449609</v>
      </c>
      <c r="AF1148" s="79">
        <v>45114.693356481483</v>
      </c>
      <c r="AG1148" s="85">
        <v>45114</v>
      </c>
      <c r="AH1148" s="81" t="s">
        <v>6813</v>
      </c>
      <c r="AI1148" s="77" t="b">
        <v>0</v>
      </c>
      <c r="AJ1148" s="77"/>
      <c r="AK1148" s="77"/>
      <c r="AL1148" s="77"/>
      <c r="AM1148" s="77"/>
      <c r="AN1148" s="77"/>
      <c r="AO1148" s="77"/>
      <c r="AP1148" s="77"/>
      <c r="AQ1148" s="77" t="s">
        <v>8642</v>
      </c>
      <c r="AR1148" s="77"/>
      <c r="AS1148" s="77"/>
      <c r="AT1148" s="77"/>
      <c r="AU1148" s="77"/>
      <c r="AV1148" s="83" t="str">
        <f>HYPERLINK("https://pbs.twimg.com/media/F0cqkubXgAA-6qT.jpg")</f>
        <v>https://pbs.twimg.com/media/F0cqkubXgAA-6qT.jpg</v>
      </c>
      <c r="AW1148" s="81" t="s">
        <v>10270</v>
      </c>
      <c r="AX1148" s="81" t="s">
        <v>10270</v>
      </c>
      <c r="AY1148" s="77"/>
      <c r="AZ1148" s="81" t="s">
        <v>11359</v>
      </c>
      <c r="BA1148" s="81" t="s">
        <v>11359</v>
      </c>
      <c r="BB1148" s="81" t="s">
        <v>11359</v>
      </c>
      <c r="BC1148" s="81" t="s">
        <v>10270</v>
      </c>
      <c r="BD1148" s="77">
        <v>176059987</v>
      </c>
      <c r="BE1148" s="77"/>
      <c r="BF1148" s="77"/>
      <c r="BG1148" s="77"/>
      <c r="BH1148" s="77"/>
      <c r="BI1148" s="77"/>
    </row>
    <row r="1149" spans="1:61" x14ac:dyDescent="0.25">
      <c r="A1149" s="62" t="s">
        <v>471</v>
      </c>
      <c r="B1149" s="62" t="s">
        <v>471</v>
      </c>
      <c r="C1149" s="63"/>
      <c r="D1149" s="64"/>
      <c r="E1149" s="65"/>
      <c r="F1149" s="66"/>
      <c r="G1149" s="63"/>
      <c r="H1149" s="67"/>
      <c r="I1149" s="68"/>
      <c r="J1149" s="68"/>
      <c r="K1149" s="32"/>
      <c r="L1149" s="75">
        <v>1149</v>
      </c>
      <c r="M1149" s="75"/>
      <c r="N1149" s="70"/>
      <c r="O1149" s="77" t="s">
        <v>179</v>
      </c>
      <c r="P1149" s="79">
        <v>44974.411192129628</v>
      </c>
      <c r="Q1149" s="77" t="s">
        <v>1949</v>
      </c>
      <c r="R1149" s="77">
        <v>0</v>
      </c>
      <c r="S1149" s="77">
        <v>0</v>
      </c>
      <c r="T1149" s="77">
        <v>0</v>
      </c>
      <c r="U1149" s="77">
        <v>0</v>
      </c>
      <c r="V1149" s="77">
        <v>6</v>
      </c>
      <c r="W1149" s="81" t="s">
        <v>3508</v>
      </c>
      <c r="X1149" s="83" t="str">
        <f>HYPERLINK("https://lnkd.in/d8euik4K")</f>
        <v>https://lnkd.in/d8euik4K</v>
      </c>
      <c r="Y1149" s="77" t="s">
        <v>4221</v>
      </c>
      <c r="Z1149" s="77"/>
      <c r="AA1149" s="77"/>
      <c r="AB1149" s="77"/>
      <c r="AC1149" s="81" t="s">
        <v>5810</v>
      </c>
      <c r="AD1149" s="77" t="s">
        <v>5850</v>
      </c>
      <c r="AE1149" s="83" t="str">
        <f>HYPERLINK("https://twitter.com/luiswolly/status/1626519855263358977")</f>
        <v>https://twitter.com/luiswolly/status/1626519855263358977</v>
      </c>
      <c r="AF1149" s="79">
        <v>44974.411192129628</v>
      </c>
      <c r="AG1149" s="85">
        <v>44974</v>
      </c>
      <c r="AH1149" s="81" t="s">
        <v>6814</v>
      </c>
      <c r="AI1149" s="77" t="b">
        <v>0</v>
      </c>
      <c r="AJ1149" s="77"/>
      <c r="AK1149" s="77"/>
      <c r="AL1149" s="77"/>
      <c r="AM1149" s="77"/>
      <c r="AN1149" s="77"/>
      <c r="AO1149" s="77"/>
      <c r="AP1149" s="77"/>
      <c r="AQ1149" s="77"/>
      <c r="AR1149" s="77"/>
      <c r="AS1149" s="77"/>
      <c r="AT1149" s="77"/>
      <c r="AU1149" s="77"/>
      <c r="AV1149" s="83" t="str">
        <f>HYPERLINK("https://pbs.twimg.com/profile_images/1490030253376475138/nAYxwJx4_normal.jpg")</f>
        <v>https://pbs.twimg.com/profile_images/1490030253376475138/nAYxwJx4_normal.jpg</v>
      </c>
      <c r="AW1149" s="81" t="s">
        <v>10271</v>
      </c>
      <c r="AX1149" s="81" t="s">
        <v>10271</v>
      </c>
      <c r="AY1149" s="77"/>
      <c r="AZ1149" s="81" t="s">
        <v>11359</v>
      </c>
      <c r="BA1149" s="81" t="s">
        <v>11359</v>
      </c>
      <c r="BB1149" s="81" t="s">
        <v>11359</v>
      </c>
      <c r="BC1149" s="81" t="s">
        <v>10271</v>
      </c>
      <c r="BD1149" s="77">
        <v>310300658</v>
      </c>
      <c r="BE1149" s="77"/>
      <c r="BF1149" s="77"/>
      <c r="BG1149" s="77"/>
      <c r="BH1149" s="77"/>
      <c r="BI1149" s="77"/>
    </row>
    <row r="1150" spans="1:61" x14ac:dyDescent="0.25">
      <c r="A1150" s="62" t="s">
        <v>471</v>
      </c>
      <c r="B1150" s="62" t="s">
        <v>471</v>
      </c>
      <c r="C1150" s="63"/>
      <c r="D1150" s="64"/>
      <c r="E1150" s="65"/>
      <c r="F1150" s="66"/>
      <c r="G1150" s="63"/>
      <c r="H1150" s="67"/>
      <c r="I1150" s="68"/>
      <c r="J1150" s="68"/>
      <c r="K1150" s="32"/>
      <c r="L1150" s="75">
        <v>1150</v>
      </c>
      <c r="M1150" s="75"/>
      <c r="N1150" s="70"/>
      <c r="O1150" s="77" t="s">
        <v>179</v>
      </c>
      <c r="P1150" s="79">
        <v>44943.458518518521</v>
      </c>
      <c r="Q1150" s="77" t="s">
        <v>1950</v>
      </c>
      <c r="R1150" s="77">
        <v>0</v>
      </c>
      <c r="S1150" s="77">
        <v>0</v>
      </c>
      <c r="T1150" s="77">
        <v>0</v>
      </c>
      <c r="U1150" s="77">
        <v>0</v>
      </c>
      <c r="V1150" s="77">
        <v>15</v>
      </c>
      <c r="W1150" s="81" t="s">
        <v>3509</v>
      </c>
      <c r="X1150" s="83" t="str">
        <f>HYPERLINK("https://lnkd.in/da8pWpMd")</f>
        <v>https://lnkd.in/da8pWpMd</v>
      </c>
      <c r="Y1150" s="77" t="s">
        <v>4221</v>
      </c>
      <c r="Z1150" s="77"/>
      <c r="AA1150" s="77"/>
      <c r="AB1150" s="77"/>
      <c r="AC1150" s="81" t="s">
        <v>5810</v>
      </c>
      <c r="AD1150" s="77" t="s">
        <v>5850</v>
      </c>
      <c r="AE1150" s="83" t="str">
        <f>HYPERLINK("https://twitter.com/luiswolly/status/1615302981842358273")</f>
        <v>https://twitter.com/luiswolly/status/1615302981842358273</v>
      </c>
      <c r="AF1150" s="79">
        <v>44943.458518518521</v>
      </c>
      <c r="AG1150" s="85">
        <v>44943</v>
      </c>
      <c r="AH1150" s="81" t="s">
        <v>6815</v>
      </c>
      <c r="AI1150" s="77" t="b">
        <v>0</v>
      </c>
      <c r="AJ1150" s="77"/>
      <c r="AK1150" s="77"/>
      <c r="AL1150" s="77"/>
      <c r="AM1150" s="77"/>
      <c r="AN1150" s="77"/>
      <c r="AO1150" s="77"/>
      <c r="AP1150" s="77"/>
      <c r="AQ1150" s="77"/>
      <c r="AR1150" s="77"/>
      <c r="AS1150" s="77"/>
      <c r="AT1150" s="77"/>
      <c r="AU1150" s="77"/>
      <c r="AV1150" s="83" t="str">
        <f>HYPERLINK("https://pbs.twimg.com/profile_images/1490030253376475138/nAYxwJx4_normal.jpg")</f>
        <v>https://pbs.twimg.com/profile_images/1490030253376475138/nAYxwJx4_normal.jpg</v>
      </c>
      <c r="AW1150" s="81" t="s">
        <v>10272</v>
      </c>
      <c r="AX1150" s="81" t="s">
        <v>10272</v>
      </c>
      <c r="AY1150" s="77"/>
      <c r="AZ1150" s="81" t="s">
        <v>11359</v>
      </c>
      <c r="BA1150" s="81" t="s">
        <v>11359</v>
      </c>
      <c r="BB1150" s="81" t="s">
        <v>11359</v>
      </c>
      <c r="BC1150" s="81" t="s">
        <v>10272</v>
      </c>
      <c r="BD1150" s="77">
        <v>310300658</v>
      </c>
      <c r="BE1150" s="77"/>
      <c r="BF1150" s="77"/>
      <c r="BG1150" s="77"/>
      <c r="BH1150" s="77"/>
      <c r="BI1150" s="77"/>
    </row>
    <row r="1151" spans="1:61" x14ac:dyDescent="0.25">
      <c r="A1151" s="62" t="s">
        <v>472</v>
      </c>
      <c r="B1151" s="62" t="s">
        <v>472</v>
      </c>
      <c r="C1151" s="63"/>
      <c r="D1151" s="64"/>
      <c r="E1151" s="65"/>
      <c r="F1151" s="66"/>
      <c r="G1151" s="63"/>
      <c r="H1151" s="67"/>
      <c r="I1151" s="68"/>
      <c r="J1151" s="68"/>
      <c r="K1151" s="32"/>
      <c r="L1151" s="75">
        <v>1151</v>
      </c>
      <c r="M1151" s="75"/>
      <c r="N1151" s="70"/>
      <c r="O1151" s="77" t="s">
        <v>179</v>
      </c>
      <c r="P1151" s="79">
        <v>44979.519791666666</v>
      </c>
      <c r="Q1151" s="77" t="s">
        <v>1951</v>
      </c>
      <c r="R1151" s="77">
        <v>0</v>
      </c>
      <c r="S1151" s="77">
        <v>0</v>
      </c>
      <c r="T1151" s="77">
        <v>0</v>
      </c>
      <c r="U1151" s="77">
        <v>0</v>
      </c>
      <c r="V1151" s="77">
        <v>3</v>
      </c>
      <c r="W1151" s="81" t="s">
        <v>3510</v>
      </c>
      <c r="X1151" s="77"/>
      <c r="Y1151" s="77"/>
      <c r="Z1151" s="77"/>
      <c r="AA1151" s="77"/>
      <c r="AB1151" s="77"/>
      <c r="AC1151" s="81" t="s">
        <v>5805</v>
      </c>
      <c r="AD1151" s="77" t="s">
        <v>5851</v>
      </c>
      <c r="AE1151" s="83" t="str">
        <f>HYPERLINK("https://twitter.com/deciopes/status/1628371150840512514")</f>
        <v>https://twitter.com/deciopes/status/1628371150840512514</v>
      </c>
      <c r="AF1151" s="79">
        <v>44979.519791666666</v>
      </c>
      <c r="AG1151" s="85">
        <v>44979</v>
      </c>
      <c r="AH1151" s="81" t="s">
        <v>6816</v>
      </c>
      <c r="AI1151" s="77"/>
      <c r="AJ1151" s="77"/>
      <c r="AK1151" s="77"/>
      <c r="AL1151" s="77"/>
      <c r="AM1151" s="77"/>
      <c r="AN1151" s="77"/>
      <c r="AO1151" s="77"/>
      <c r="AP1151" s="77"/>
      <c r="AQ1151" s="77"/>
      <c r="AR1151" s="77"/>
      <c r="AS1151" s="77"/>
      <c r="AT1151" s="77"/>
      <c r="AU1151" s="77"/>
      <c r="AV1151" s="83" t="str">
        <f>HYPERLINK("https://pbs.twimg.com/profile_images/1375153363755614214/4stVMh0D_normal.jpg")</f>
        <v>https://pbs.twimg.com/profile_images/1375153363755614214/4stVMh0D_normal.jpg</v>
      </c>
      <c r="AW1151" s="81" t="s">
        <v>10273</v>
      </c>
      <c r="AX1151" s="81" t="s">
        <v>10273</v>
      </c>
      <c r="AY1151" s="77"/>
      <c r="AZ1151" s="81" t="s">
        <v>11359</v>
      </c>
      <c r="BA1151" s="81" t="s">
        <v>11359</v>
      </c>
      <c r="BB1151" s="81" t="s">
        <v>11359</v>
      </c>
      <c r="BC1151" s="81" t="s">
        <v>10273</v>
      </c>
      <c r="BD1151" s="77">
        <v>101472210</v>
      </c>
      <c r="BE1151" s="77"/>
      <c r="BF1151" s="77"/>
      <c r="BG1151" s="77"/>
      <c r="BH1151" s="77"/>
      <c r="BI1151" s="77"/>
    </row>
    <row r="1152" spans="1:61" x14ac:dyDescent="0.25">
      <c r="A1152" s="62" t="s">
        <v>472</v>
      </c>
      <c r="B1152" s="62" t="s">
        <v>472</v>
      </c>
      <c r="C1152" s="63"/>
      <c r="D1152" s="64"/>
      <c r="E1152" s="65"/>
      <c r="F1152" s="66"/>
      <c r="G1152" s="63"/>
      <c r="H1152" s="67"/>
      <c r="I1152" s="68"/>
      <c r="J1152" s="68"/>
      <c r="K1152" s="32"/>
      <c r="L1152" s="75">
        <v>1152</v>
      </c>
      <c r="M1152" s="75"/>
      <c r="N1152" s="70"/>
      <c r="O1152" s="77" t="s">
        <v>179</v>
      </c>
      <c r="P1152" s="79">
        <v>44979.519143518519</v>
      </c>
      <c r="Q1152" s="77" t="s">
        <v>1952</v>
      </c>
      <c r="R1152" s="77">
        <v>0</v>
      </c>
      <c r="S1152" s="77">
        <v>0</v>
      </c>
      <c r="T1152" s="77">
        <v>0</v>
      </c>
      <c r="U1152" s="77">
        <v>0</v>
      </c>
      <c r="V1152" s="77">
        <v>22</v>
      </c>
      <c r="W1152" s="81" t="s">
        <v>3511</v>
      </c>
      <c r="X1152" s="77"/>
      <c r="Y1152" s="77"/>
      <c r="Z1152" s="77"/>
      <c r="AA1152" s="77"/>
      <c r="AB1152" s="77"/>
      <c r="AC1152" s="81" t="s">
        <v>5805</v>
      </c>
      <c r="AD1152" s="77" t="s">
        <v>5851</v>
      </c>
      <c r="AE1152" s="83" t="str">
        <f>HYPERLINK("https://twitter.com/deciopes/status/1628370915804291073")</f>
        <v>https://twitter.com/deciopes/status/1628370915804291073</v>
      </c>
      <c r="AF1152" s="79">
        <v>44979.519143518519</v>
      </c>
      <c r="AG1152" s="85">
        <v>44979</v>
      </c>
      <c r="AH1152" s="81" t="s">
        <v>6817</v>
      </c>
      <c r="AI1152" s="77"/>
      <c r="AJ1152" s="77"/>
      <c r="AK1152" s="77"/>
      <c r="AL1152" s="77"/>
      <c r="AM1152" s="77"/>
      <c r="AN1152" s="77"/>
      <c r="AO1152" s="77"/>
      <c r="AP1152" s="77"/>
      <c r="AQ1152" s="77"/>
      <c r="AR1152" s="77"/>
      <c r="AS1152" s="77"/>
      <c r="AT1152" s="77"/>
      <c r="AU1152" s="77"/>
      <c r="AV1152" s="83" t="str">
        <f>HYPERLINK("https://pbs.twimg.com/profile_images/1375153363755614214/4stVMh0D_normal.jpg")</f>
        <v>https://pbs.twimg.com/profile_images/1375153363755614214/4stVMh0D_normal.jpg</v>
      </c>
      <c r="AW1152" s="81" t="s">
        <v>10274</v>
      </c>
      <c r="AX1152" s="81" t="s">
        <v>10274</v>
      </c>
      <c r="AY1152" s="77"/>
      <c r="AZ1152" s="81" t="s">
        <v>11359</v>
      </c>
      <c r="BA1152" s="81" t="s">
        <v>11359</v>
      </c>
      <c r="BB1152" s="81" t="s">
        <v>11359</v>
      </c>
      <c r="BC1152" s="81" t="s">
        <v>10274</v>
      </c>
      <c r="BD1152" s="77">
        <v>101472210</v>
      </c>
      <c r="BE1152" s="77"/>
      <c r="BF1152" s="77"/>
      <c r="BG1152" s="77"/>
      <c r="BH1152" s="77"/>
      <c r="BI1152" s="77"/>
    </row>
    <row r="1153" spans="1:61" x14ac:dyDescent="0.25">
      <c r="A1153" s="62" t="s">
        <v>472</v>
      </c>
      <c r="B1153" s="62" t="s">
        <v>472</v>
      </c>
      <c r="C1153" s="63"/>
      <c r="D1153" s="64"/>
      <c r="E1153" s="65"/>
      <c r="F1153" s="66"/>
      <c r="G1153" s="63"/>
      <c r="H1153" s="67"/>
      <c r="I1153" s="68"/>
      <c r="J1153" s="68"/>
      <c r="K1153" s="32"/>
      <c r="L1153" s="75">
        <v>1153</v>
      </c>
      <c r="M1153" s="75"/>
      <c r="N1153" s="70"/>
      <c r="O1153" s="77" t="s">
        <v>179</v>
      </c>
      <c r="P1153" s="79">
        <v>44979.517951388887</v>
      </c>
      <c r="Q1153" s="77" t="s">
        <v>1953</v>
      </c>
      <c r="R1153" s="77">
        <v>0</v>
      </c>
      <c r="S1153" s="77">
        <v>0</v>
      </c>
      <c r="T1153" s="77">
        <v>0</v>
      </c>
      <c r="U1153" s="77">
        <v>0</v>
      </c>
      <c r="V1153" s="77">
        <v>7</v>
      </c>
      <c r="W1153" s="81" t="s">
        <v>3512</v>
      </c>
      <c r="X1153" s="77"/>
      <c r="Y1153" s="77"/>
      <c r="Z1153" s="77"/>
      <c r="AA1153" s="77"/>
      <c r="AB1153" s="77"/>
      <c r="AC1153" s="81" t="s">
        <v>5805</v>
      </c>
      <c r="AD1153" s="77" t="s">
        <v>5851</v>
      </c>
      <c r="AE1153" s="83" t="str">
        <f>HYPERLINK("https://twitter.com/deciopes/status/1628370484508123136")</f>
        <v>https://twitter.com/deciopes/status/1628370484508123136</v>
      </c>
      <c r="AF1153" s="79">
        <v>44979.517951388887</v>
      </c>
      <c r="AG1153" s="85">
        <v>44979</v>
      </c>
      <c r="AH1153" s="81" t="s">
        <v>6818</v>
      </c>
      <c r="AI1153" s="77"/>
      <c r="AJ1153" s="77"/>
      <c r="AK1153" s="77"/>
      <c r="AL1153" s="77"/>
      <c r="AM1153" s="77"/>
      <c r="AN1153" s="77"/>
      <c r="AO1153" s="77"/>
      <c r="AP1153" s="77"/>
      <c r="AQ1153" s="77"/>
      <c r="AR1153" s="77"/>
      <c r="AS1153" s="77"/>
      <c r="AT1153" s="77"/>
      <c r="AU1153" s="77"/>
      <c r="AV1153" s="83" t="str">
        <f>HYPERLINK("https://pbs.twimg.com/profile_images/1375153363755614214/4stVMh0D_normal.jpg")</f>
        <v>https://pbs.twimg.com/profile_images/1375153363755614214/4stVMh0D_normal.jpg</v>
      </c>
      <c r="AW1153" s="81" t="s">
        <v>10275</v>
      </c>
      <c r="AX1153" s="81" t="s">
        <v>10275</v>
      </c>
      <c r="AY1153" s="77"/>
      <c r="AZ1153" s="81" t="s">
        <v>11359</v>
      </c>
      <c r="BA1153" s="81" t="s">
        <v>11359</v>
      </c>
      <c r="BB1153" s="81" t="s">
        <v>11359</v>
      </c>
      <c r="BC1153" s="81" t="s">
        <v>10275</v>
      </c>
      <c r="BD1153" s="77">
        <v>101472210</v>
      </c>
      <c r="BE1153" s="77"/>
      <c r="BF1153" s="77"/>
      <c r="BG1153" s="77"/>
      <c r="BH1153" s="77"/>
      <c r="BI1153" s="77"/>
    </row>
    <row r="1154" spans="1:61" x14ac:dyDescent="0.25">
      <c r="A1154" s="62" t="s">
        <v>472</v>
      </c>
      <c r="B1154" s="62" t="s">
        <v>472</v>
      </c>
      <c r="C1154" s="63"/>
      <c r="D1154" s="64"/>
      <c r="E1154" s="65"/>
      <c r="F1154" s="66"/>
      <c r="G1154" s="63"/>
      <c r="H1154" s="67"/>
      <c r="I1154" s="68"/>
      <c r="J1154" s="68"/>
      <c r="K1154" s="32"/>
      <c r="L1154" s="75">
        <v>1154</v>
      </c>
      <c r="M1154" s="75"/>
      <c r="N1154" s="70"/>
      <c r="O1154" s="77" t="s">
        <v>179</v>
      </c>
      <c r="P1154" s="79">
        <v>44979.517650462964</v>
      </c>
      <c r="Q1154" s="77" t="s">
        <v>1954</v>
      </c>
      <c r="R1154" s="77">
        <v>0</v>
      </c>
      <c r="S1154" s="77">
        <v>0</v>
      </c>
      <c r="T1154" s="77">
        <v>0</v>
      </c>
      <c r="U1154" s="77">
        <v>0</v>
      </c>
      <c r="V1154" s="77">
        <v>6</v>
      </c>
      <c r="W1154" s="81" t="s">
        <v>3510</v>
      </c>
      <c r="X1154" s="77"/>
      <c r="Y1154" s="77"/>
      <c r="Z1154" s="77"/>
      <c r="AA1154" s="77"/>
      <c r="AB1154" s="77"/>
      <c r="AC1154" s="81" t="s">
        <v>5805</v>
      </c>
      <c r="AD1154" s="77" t="s">
        <v>5851</v>
      </c>
      <c r="AE1154" s="83" t="str">
        <f>HYPERLINK("https://twitter.com/deciopes/status/1628370374588071939")</f>
        <v>https://twitter.com/deciopes/status/1628370374588071939</v>
      </c>
      <c r="AF1154" s="79">
        <v>44979.517650462964</v>
      </c>
      <c r="AG1154" s="85">
        <v>44979</v>
      </c>
      <c r="AH1154" s="81" t="s">
        <v>6819</v>
      </c>
      <c r="AI1154" s="77"/>
      <c r="AJ1154" s="77"/>
      <c r="AK1154" s="77"/>
      <c r="AL1154" s="77"/>
      <c r="AM1154" s="77"/>
      <c r="AN1154" s="77"/>
      <c r="AO1154" s="77"/>
      <c r="AP1154" s="77"/>
      <c r="AQ1154" s="77"/>
      <c r="AR1154" s="77"/>
      <c r="AS1154" s="77"/>
      <c r="AT1154" s="77"/>
      <c r="AU1154" s="77"/>
      <c r="AV1154" s="83" t="str">
        <f>HYPERLINK("https://pbs.twimg.com/profile_images/1375153363755614214/4stVMh0D_normal.jpg")</f>
        <v>https://pbs.twimg.com/profile_images/1375153363755614214/4stVMh0D_normal.jpg</v>
      </c>
      <c r="AW1154" s="81" t="s">
        <v>10276</v>
      </c>
      <c r="AX1154" s="81" t="s">
        <v>10276</v>
      </c>
      <c r="AY1154" s="77"/>
      <c r="AZ1154" s="81" t="s">
        <v>11359</v>
      </c>
      <c r="BA1154" s="81" t="s">
        <v>11359</v>
      </c>
      <c r="BB1154" s="81" t="s">
        <v>11359</v>
      </c>
      <c r="BC1154" s="81" t="s">
        <v>10276</v>
      </c>
      <c r="BD1154" s="77">
        <v>101472210</v>
      </c>
      <c r="BE1154" s="77"/>
      <c r="BF1154" s="77"/>
      <c r="BG1154" s="77"/>
      <c r="BH1154" s="77"/>
      <c r="BI1154" s="77"/>
    </row>
    <row r="1155" spans="1:61" x14ac:dyDescent="0.25">
      <c r="A1155" s="62" t="s">
        <v>472</v>
      </c>
      <c r="B1155" s="62" t="s">
        <v>472</v>
      </c>
      <c r="C1155" s="63"/>
      <c r="D1155" s="64"/>
      <c r="E1155" s="65"/>
      <c r="F1155" s="66"/>
      <c r="G1155" s="63"/>
      <c r="H1155" s="67"/>
      <c r="I1155" s="68"/>
      <c r="J1155" s="68"/>
      <c r="K1155" s="32"/>
      <c r="L1155" s="75">
        <v>1155</v>
      </c>
      <c r="M1155" s="75"/>
      <c r="N1155" s="70"/>
      <c r="O1155" s="77" t="s">
        <v>179</v>
      </c>
      <c r="P1155" s="79">
        <v>44979.517187500001</v>
      </c>
      <c r="Q1155" s="77" t="s">
        <v>1955</v>
      </c>
      <c r="R1155" s="77">
        <v>1</v>
      </c>
      <c r="S1155" s="77">
        <v>1</v>
      </c>
      <c r="T1155" s="77">
        <v>0</v>
      </c>
      <c r="U1155" s="77">
        <v>0</v>
      </c>
      <c r="V1155" s="77">
        <v>18</v>
      </c>
      <c r="W1155" s="81" t="s">
        <v>3513</v>
      </c>
      <c r="X1155" s="77"/>
      <c r="Y1155" s="77"/>
      <c r="Z1155" s="77"/>
      <c r="AA1155" s="77"/>
      <c r="AB1155" s="77"/>
      <c r="AC1155" s="81" t="s">
        <v>5805</v>
      </c>
      <c r="AD1155" s="77" t="s">
        <v>5851</v>
      </c>
      <c r="AE1155" s="83" t="str">
        <f>HYPERLINK("https://twitter.com/deciopes/status/1628370205800898561")</f>
        <v>https://twitter.com/deciopes/status/1628370205800898561</v>
      </c>
      <c r="AF1155" s="79">
        <v>44979.517187500001</v>
      </c>
      <c r="AG1155" s="85">
        <v>44979</v>
      </c>
      <c r="AH1155" s="81" t="s">
        <v>6820</v>
      </c>
      <c r="AI1155" s="77"/>
      <c r="AJ1155" s="77"/>
      <c r="AK1155" s="77"/>
      <c r="AL1155" s="77"/>
      <c r="AM1155" s="77"/>
      <c r="AN1155" s="77"/>
      <c r="AO1155" s="77"/>
      <c r="AP1155" s="77"/>
      <c r="AQ1155" s="77"/>
      <c r="AR1155" s="77"/>
      <c r="AS1155" s="77"/>
      <c r="AT1155" s="77"/>
      <c r="AU1155" s="77"/>
      <c r="AV1155" s="83" t="str">
        <f>HYPERLINK("https://pbs.twimg.com/profile_images/1375153363755614214/4stVMh0D_normal.jpg")</f>
        <v>https://pbs.twimg.com/profile_images/1375153363755614214/4stVMh0D_normal.jpg</v>
      </c>
      <c r="AW1155" s="81" t="s">
        <v>10277</v>
      </c>
      <c r="AX1155" s="81" t="s">
        <v>10277</v>
      </c>
      <c r="AY1155" s="77"/>
      <c r="AZ1155" s="81" t="s">
        <v>11359</v>
      </c>
      <c r="BA1155" s="81" t="s">
        <v>11359</v>
      </c>
      <c r="BB1155" s="81" t="s">
        <v>11359</v>
      </c>
      <c r="BC1155" s="81" t="s">
        <v>10277</v>
      </c>
      <c r="BD1155" s="77">
        <v>101472210</v>
      </c>
      <c r="BE1155" s="77"/>
      <c r="BF1155" s="77"/>
      <c r="BG1155" s="77"/>
      <c r="BH1155" s="77"/>
      <c r="BI1155" s="77"/>
    </row>
    <row r="1156" spans="1:61" x14ac:dyDescent="0.25">
      <c r="A1156" s="62" t="s">
        <v>472</v>
      </c>
      <c r="B1156" s="62" t="s">
        <v>472</v>
      </c>
      <c r="C1156" s="63"/>
      <c r="D1156" s="64"/>
      <c r="E1156" s="65"/>
      <c r="F1156" s="66"/>
      <c r="G1156" s="63"/>
      <c r="H1156" s="67"/>
      <c r="I1156" s="68"/>
      <c r="J1156" s="68"/>
      <c r="K1156" s="32"/>
      <c r="L1156" s="75">
        <v>1156</v>
      </c>
      <c r="M1156" s="75"/>
      <c r="N1156" s="70"/>
      <c r="O1156" s="77" t="s">
        <v>179</v>
      </c>
      <c r="P1156" s="79">
        <v>44979.516759259262</v>
      </c>
      <c r="Q1156" s="77" t="s">
        <v>1956</v>
      </c>
      <c r="R1156" s="77">
        <v>0</v>
      </c>
      <c r="S1156" s="77">
        <v>0</v>
      </c>
      <c r="T1156" s="77">
        <v>0</v>
      </c>
      <c r="U1156" s="77">
        <v>0</v>
      </c>
      <c r="V1156" s="77">
        <v>9</v>
      </c>
      <c r="W1156" s="81" t="s">
        <v>3512</v>
      </c>
      <c r="X1156" s="77"/>
      <c r="Y1156" s="77"/>
      <c r="Z1156" s="77"/>
      <c r="AA1156" s="77" t="s">
        <v>5140</v>
      </c>
      <c r="AB1156" s="77" t="s">
        <v>5794</v>
      </c>
      <c r="AC1156" s="81" t="s">
        <v>5805</v>
      </c>
      <c r="AD1156" s="77" t="s">
        <v>5851</v>
      </c>
      <c r="AE1156" s="83" t="str">
        <f>HYPERLINK("https://twitter.com/deciopes/status/1628370051580534784")</f>
        <v>https://twitter.com/deciopes/status/1628370051580534784</v>
      </c>
      <c r="AF1156" s="79">
        <v>44979.516759259262</v>
      </c>
      <c r="AG1156" s="85">
        <v>44979</v>
      </c>
      <c r="AH1156" s="81" t="s">
        <v>6821</v>
      </c>
      <c r="AI1156" s="77" t="b">
        <v>0</v>
      </c>
      <c r="AJ1156" s="77"/>
      <c r="AK1156" s="77"/>
      <c r="AL1156" s="77"/>
      <c r="AM1156" s="77"/>
      <c r="AN1156" s="77"/>
      <c r="AO1156" s="77"/>
      <c r="AP1156" s="77"/>
      <c r="AQ1156" s="77" t="s">
        <v>8643</v>
      </c>
      <c r="AR1156" s="77"/>
      <c r="AS1156" s="77"/>
      <c r="AT1156" s="77"/>
      <c r="AU1156" s="77"/>
      <c r="AV1156" s="83" t="str">
        <f>HYPERLINK("https://pbs.twimg.com/media/Fpkh2u-WIAYhV7b.png")</f>
        <v>https://pbs.twimg.com/media/Fpkh2u-WIAYhV7b.png</v>
      </c>
      <c r="AW1156" s="81" t="s">
        <v>10278</v>
      </c>
      <c r="AX1156" s="81" t="s">
        <v>10278</v>
      </c>
      <c r="AY1156" s="77"/>
      <c r="AZ1156" s="81" t="s">
        <v>11359</v>
      </c>
      <c r="BA1156" s="81" t="s">
        <v>11359</v>
      </c>
      <c r="BB1156" s="81" t="s">
        <v>11359</v>
      </c>
      <c r="BC1156" s="81" t="s">
        <v>10278</v>
      </c>
      <c r="BD1156" s="77">
        <v>101472210</v>
      </c>
      <c r="BE1156" s="77"/>
      <c r="BF1156" s="77"/>
      <c r="BG1156" s="77"/>
      <c r="BH1156" s="77"/>
      <c r="BI1156" s="77"/>
    </row>
    <row r="1157" spans="1:61" x14ac:dyDescent="0.25">
      <c r="A1157" s="62" t="s">
        <v>472</v>
      </c>
      <c r="B1157" s="62" t="s">
        <v>472</v>
      </c>
      <c r="C1157" s="63"/>
      <c r="D1157" s="64"/>
      <c r="E1157" s="65"/>
      <c r="F1157" s="66"/>
      <c r="G1157" s="63"/>
      <c r="H1157" s="67"/>
      <c r="I1157" s="68"/>
      <c r="J1157" s="68"/>
      <c r="K1157" s="32"/>
      <c r="L1157" s="75">
        <v>1157</v>
      </c>
      <c r="M1157" s="75"/>
      <c r="N1157" s="70"/>
      <c r="O1157" s="77" t="s">
        <v>179</v>
      </c>
      <c r="P1157" s="79">
        <v>45016.515682870369</v>
      </c>
      <c r="Q1157" s="77" t="s">
        <v>1957</v>
      </c>
      <c r="R1157" s="77">
        <v>0</v>
      </c>
      <c r="S1157" s="77">
        <v>0</v>
      </c>
      <c r="T1157" s="77">
        <v>0</v>
      </c>
      <c r="U1157" s="77">
        <v>0</v>
      </c>
      <c r="V1157" s="77">
        <v>8</v>
      </c>
      <c r="W1157" s="81" t="s">
        <v>3514</v>
      </c>
      <c r="X1157" s="77"/>
      <c r="Y1157" s="77"/>
      <c r="Z1157" s="77"/>
      <c r="AA1157" s="77"/>
      <c r="AB1157" s="77"/>
      <c r="AC1157" s="81" t="s">
        <v>5808</v>
      </c>
      <c r="AD1157" s="77" t="s">
        <v>5851</v>
      </c>
      <c r="AE1157" s="83" t="str">
        <f>HYPERLINK("https://twitter.com/deciopes/status/1641778013355245569")</f>
        <v>https://twitter.com/deciopes/status/1641778013355245569</v>
      </c>
      <c r="AF1157" s="79">
        <v>45016.515682870369</v>
      </c>
      <c r="AG1157" s="85">
        <v>45016</v>
      </c>
      <c r="AH1157" s="81" t="s">
        <v>6822</v>
      </c>
      <c r="AI1157" s="77"/>
      <c r="AJ1157" s="77"/>
      <c r="AK1157" s="77"/>
      <c r="AL1157" s="77"/>
      <c r="AM1157" s="77"/>
      <c r="AN1157" s="77"/>
      <c r="AO1157" s="77"/>
      <c r="AP1157" s="77"/>
      <c r="AQ1157" s="77"/>
      <c r="AR1157" s="77"/>
      <c r="AS1157" s="77"/>
      <c r="AT1157" s="77"/>
      <c r="AU1157" s="77"/>
      <c r="AV1157" s="83" t="str">
        <f>HYPERLINK("https://pbs.twimg.com/profile_images/1375153363755614214/4stVMh0D_normal.jpg")</f>
        <v>https://pbs.twimg.com/profile_images/1375153363755614214/4stVMh0D_normal.jpg</v>
      </c>
      <c r="AW1157" s="81" t="s">
        <v>10279</v>
      </c>
      <c r="AX1157" s="81" t="s">
        <v>10279</v>
      </c>
      <c r="AY1157" s="77"/>
      <c r="AZ1157" s="81" t="s">
        <v>11359</v>
      </c>
      <c r="BA1157" s="81" t="s">
        <v>11359</v>
      </c>
      <c r="BB1157" s="81" t="s">
        <v>11359</v>
      </c>
      <c r="BC1157" s="81" t="s">
        <v>10279</v>
      </c>
      <c r="BD1157" s="77">
        <v>101472210</v>
      </c>
      <c r="BE1157" s="77"/>
      <c r="BF1157" s="77"/>
      <c r="BG1157" s="77"/>
      <c r="BH1157" s="77"/>
      <c r="BI1157" s="77"/>
    </row>
    <row r="1158" spans="1:61" x14ac:dyDescent="0.25">
      <c r="A1158" s="62" t="s">
        <v>472</v>
      </c>
      <c r="B1158" s="62" t="s">
        <v>472</v>
      </c>
      <c r="C1158" s="63"/>
      <c r="D1158" s="64"/>
      <c r="E1158" s="65"/>
      <c r="F1158" s="66"/>
      <c r="G1158" s="63"/>
      <c r="H1158" s="67"/>
      <c r="I1158" s="68"/>
      <c r="J1158" s="68"/>
      <c r="K1158" s="32"/>
      <c r="L1158" s="75">
        <v>1158</v>
      </c>
      <c r="M1158" s="75"/>
      <c r="N1158" s="70"/>
      <c r="O1158" s="77" t="s">
        <v>179</v>
      </c>
      <c r="P1158" s="79">
        <v>45016.515543981484</v>
      </c>
      <c r="Q1158" s="77" t="s">
        <v>1958</v>
      </c>
      <c r="R1158" s="77">
        <v>0</v>
      </c>
      <c r="S1158" s="77">
        <v>0</v>
      </c>
      <c r="T1158" s="77">
        <v>0</v>
      </c>
      <c r="U1158" s="77">
        <v>0</v>
      </c>
      <c r="V1158" s="77">
        <v>18</v>
      </c>
      <c r="W1158" s="81" t="s">
        <v>3514</v>
      </c>
      <c r="X1158" s="77"/>
      <c r="Y1158" s="77"/>
      <c r="Z1158" s="77"/>
      <c r="AA1158" s="77" t="s">
        <v>5141</v>
      </c>
      <c r="AB1158" s="77" t="s">
        <v>5794</v>
      </c>
      <c r="AC1158" s="81" t="s">
        <v>5808</v>
      </c>
      <c r="AD1158" s="77" t="s">
        <v>5851</v>
      </c>
      <c r="AE1158" s="83" t="str">
        <f>HYPERLINK("https://twitter.com/deciopes/status/1641777961266208768")</f>
        <v>https://twitter.com/deciopes/status/1641777961266208768</v>
      </c>
      <c r="AF1158" s="79">
        <v>45016.515543981484</v>
      </c>
      <c r="AG1158" s="85">
        <v>45016</v>
      </c>
      <c r="AH1158" s="81" t="s">
        <v>6823</v>
      </c>
      <c r="AI1158" s="77" t="b">
        <v>0</v>
      </c>
      <c r="AJ1158" s="77"/>
      <c r="AK1158" s="77"/>
      <c r="AL1158" s="77"/>
      <c r="AM1158" s="77"/>
      <c r="AN1158" s="77"/>
      <c r="AO1158" s="77"/>
      <c r="AP1158" s="77"/>
      <c r="AQ1158" s="77" t="s">
        <v>8644</v>
      </c>
      <c r="AR1158" s="77"/>
      <c r="AS1158" s="77"/>
      <c r="AT1158" s="77"/>
      <c r="AU1158" s="77"/>
      <c r="AV1158" s="83" t="str">
        <f>HYPERLINK("https://pbs.twimg.com/media/FsjEWuGXgAE86tY.jpg")</f>
        <v>https://pbs.twimg.com/media/FsjEWuGXgAE86tY.jpg</v>
      </c>
      <c r="AW1158" s="81" t="s">
        <v>10280</v>
      </c>
      <c r="AX1158" s="81" t="s">
        <v>10280</v>
      </c>
      <c r="AY1158" s="77"/>
      <c r="AZ1158" s="81" t="s">
        <v>11359</v>
      </c>
      <c r="BA1158" s="81" t="s">
        <v>11359</v>
      </c>
      <c r="BB1158" s="81" t="s">
        <v>11359</v>
      </c>
      <c r="BC1158" s="81" t="s">
        <v>10280</v>
      </c>
      <c r="BD1158" s="77">
        <v>101472210</v>
      </c>
      <c r="BE1158" s="77"/>
      <c r="BF1158" s="77"/>
      <c r="BG1158" s="77"/>
      <c r="BH1158" s="77"/>
      <c r="BI1158" s="77"/>
    </row>
    <row r="1159" spans="1:61" x14ac:dyDescent="0.25">
      <c r="A1159" s="62" t="s">
        <v>472</v>
      </c>
      <c r="B1159" s="62" t="s">
        <v>472</v>
      </c>
      <c r="C1159" s="63"/>
      <c r="D1159" s="64"/>
      <c r="E1159" s="65"/>
      <c r="F1159" s="66"/>
      <c r="G1159" s="63"/>
      <c r="H1159" s="67"/>
      <c r="I1159" s="68"/>
      <c r="J1159" s="68"/>
      <c r="K1159" s="32"/>
      <c r="L1159" s="75">
        <v>1159</v>
      </c>
      <c r="M1159" s="75"/>
      <c r="N1159" s="70"/>
      <c r="O1159" s="77" t="s">
        <v>179</v>
      </c>
      <c r="P1159" s="79">
        <v>44984.416956018518</v>
      </c>
      <c r="Q1159" s="77" t="s">
        <v>1959</v>
      </c>
      <c r="R1159" s="77">
        <v>0</v>
      </c>
      <c r="S1159" s="77">
        <v>0</v>
      </c>
      <c r="T1159" s="77">
        <v>0</v>
      </c>
      <c r="U1159" s="77">
        <v>0</v>
      </c>
      <c r="V1159" s="77">
        <v>8</v>
      </c>
      <c r="W1159" s="81" t="s">
        <v>3512</v>
      </c>
      <c r="X1159" s="77"/>
      <c r="Y1159" s="77"/>
      <c r="Z1159" s="77"/>
      <c r="AA1159" s="77" t="s">
        <v>5142</v>
      </c>
      <c r="AB1159" s="77" t="s">
        <v>5794</v>
      </c>
      <c r="AC1159" s="81" t="s">
        <v>5808</v>
      </c>
      <c r="AD1159" s="77" t="s">
        <v>5851</v>
      </c>
      <c r="AE1159" s="83" t="str">
        <f>HYPERLINK("https://twitter.com/deciopes/status/1630145823743918081")</f>
        <v>https://twitter.com/deciopes/status/1630145823743918081</v>
      </c>
      <c r="AF1159" s="79">
        <v>44984.416956018518</v>
      </c>
      <c r="AG1159" s="85">
        <v>44984</v>
      </c>
      <c r="AH1159" s="81" t="s">
        <v>6824</v>
      </c>
      <c r="AI1159" s="77" t="b">
        <v>0</v>
      </c>
      <c r="AJ1159" s="77"/>
      <c r="AK1159" s="77"/>
      <c r="AL1159" s="77"/>
      <c r="AM1159" s="77"/>
      <c r="AN1159" s="77"/>
      <c r="AO1159" s="77"/>
      <c r="AP1159" s="77"/>
      <c r="AQ1159" s="77" t="s">
        <v>8645</v>
      </c>
      <c r="AR1159" s="77"/>
      <c r="AS1159" s="77"/>
      <c r="AT1159" s="77"/>
      <c r="AU1159" s="77"/>
      <c r="AV1159" s="83" t="str">
        <f>HYPERLINK("https://pbs.twimg.com/media/Fp9w_OjXwAE8PNQ.jpg")</f>
        <v>https://pbs.twimg.com/media/Fp9w_OjXwAE8PNQ.jpg</v>
      </c>
      <c r="AW1159" s="81" t="s">
        <v>10281</v>
      </c>
      <c r="AX1159" s="81" t="s">
        <v>10281</v>
      </c>
      <c r="AY1159" s="77"/>
      <c r="AZ1159" s="81" t="s">
        <v>11359</v>
      </c>
      <c r="BA1159" s="81" t="s">
        <v>11359</v>
      </c>
      <c r="BB1159" s="81" t="s">
        <v>11359</v>
      </c>
      <c r="BC1159" s="81" t="s">
        <v>10281</v>
      </c>
      <c r="BD1159" s="77">
        <v>101472210</v>
      </c>
      <c r="BE1159" s="77"/>
      <c r="BF1159" s="77"/>
      <c r="BG1159" s="77"/>
      <c r="BH1159" s="77"/>
      <c r="BI1159" s="77"/>
    </row>
    <row r="1160" spans="1:61" x14ac:dyDescent="0.25">
      <c r="A1160" s="62" t="s">
        <v>472</v>
      </c>
      <c r="B1160" s="62" t="s">
        <v>472</v>
      </c>
      <c r="C1160" s="63"/>
      <c r="D1160" s="64"/>
      <c r="E1160" s="65"/>
      <c r="F1160" s="66"/>
      <c r="G1160" s="63"/>
      <c r="H1160" s="67"/>
      <c r="I1160" s="68"/>
      <c r="J1160" s="68"/>
      <c r="K1160" s="32"/>
      <c r="L1160" s="75">
        <v>1160</v>
      </c>
      <c r="M1160" s="75"/>
      <c r="N1160" s="70"/>
      <c r="O1160" s="77" t="s">
        <v>179</v>
      </c>
      <c r="P1160" s="79">
        <v>44983.784733796296</v>
      </c>
      <c r="Q1160" s="77" t="s">
        <v>1960</v>
      </c>
      <c r="R1160" s="77">
        <v>0</v>
      </c>
      <c r="S1160" s="77">
        <v>0</v>
      </c>
      <c r="T1160" s="77">
        <v>0</v>
      </c>
      <c r="U1160" s="77">
        <v>0</v>
      </c>
      <c r="V1160" s="77">
        <v>11</v>
      </c>
      <c r="W1160" s="81" t="s">
        <v>3515</v>
      </c>
      <c r="X1160" s="77"/>
      <c r="Y1160" s="77"/>
      <c r="Z1160" s="77"/>
      <c r="AA1160" s="77" t="s">
        <v>5143</v>
      </c>
      <c r="AB1160" s="77" t="s">
        <v>5794</v>
      </c>
      <c r="AC1160" s="81" t="s">
        <v>5808</v>
      </c>
      <c r="AD1160" s="77" t="s">
        <v>5851</v>
      </c>
      <c r="AE1160" s="83" t="str">
        <f>HYPERLINK("https://twitter.com/deciopes/status/1629916713415213058")</f>
        <v>https://twitter.com/deciopes/status/1629916713415213058</v>
      </c>
      <c r="AF1160" s="79">
        <v>44983.784733796296</v>
      </c>
      <c r="AG1160" s="85">
        <v>44983</v>
      </c>
      <c r="AH1160" s="81" t="s">
        <v>6825</v>
      </c>
      <c r="AI1160" s="77" t="b">
        <v>0</v>
      </c>
      <c r="AJ1160" s="77"/>
      <c r="AK1160" s="77"/>
      <c r="AL1160" s="77"/>
      <c r="AM1160" s="77"/>
      <c r="AN1160" s="77"/>
      <c r="AO1160" s="77"/>
      <c r="AP1160" s="77"/>
      <c r="AQ1160" s="77" t="s">
        <v>8646</v>
      </c>
      <c r="AR1160" s="77"/>
      <c r="AS1160" s="77"/>
      <c r="AT1160" s="77"/>
      <c r="AU1160" s="77"/>
      <c r="AV1160" s="83" t="str">
        <f>HYPERLINK("https://pbs.twimg.com/media/Fp6gnNrX0AEx0SH.jpg")</f>
        <v>https://pbs.twimg.com/media/Fp6gnNrX0AEx0SH.jpg</v>
      </c>
      <c r="AW1160" s="81" t="s">
        <v>10282</v>
      </c>
      <c r="AX1160" s="81" t="s">
        <v>10282</v>
      </c>
      <c r="AY1160" s="77"/>
      <c r="AZ1160" s="81" t="s">
        <v>11359</v>
      </c>
      <c r="BA1160" s="81" t="s">
        <v>11359</v>
      </c>
      <c r="BB1160" s="81" t="s">
        <v>11359</v>
      </c>
      <c r="BC1160" s="81" t="s">
        <v>10282</v>
      </c>
      <c r="BD1160" s="77">
        <v>101472210</v>
      </c>
      <c r="BE1160" s="77"/>
      <c r="BF1160" s="77"/>
      <c r="BG1160" s="77"/>
      <c r="BH1160" s="77"/>
      <c r="BI1160" s="77"/>
    </row>
    <row r="1161" spans="1:61" x14ac:dyDescent="0.25">
      <c r="A1161" s="62" t="s">
        <v>472</v>
      </c>
      <c r="B1161" s="62" t="s">
        <v>472</v>
      </c>
      <c r="C1161" s="63"/>
      <c r="D1161" s="64"/>
      <c r="E1161" s="65"/>
      <c r="F1161" s="66"/>
      <c r="G1161" s="63"/>
      <c r="H1161" s="67"/>
      <c r="I1161" s="68"/>
      <c r="J1161" s="68"/>
      <c r="K1161" s="32"/>
      <c r="L1161" s="75">
        <v>1161</v>
      </c>
      <c r="M1161" s="75"/>
      <c r="N1161" s="70"/>
      <c r="O1161" s="77" t="s">
        <v>179</v>
      </c>
      <c r="P1161" s="79">
        <v>45039.978344907409</v>
      </c>
      <c r="Q1161" s="77" t="s">
        <v>1961</v>
      </c>
      <c r="R1161" s="77">
        <v>0</v>
      </c>
      <c r="S1161" s="77">
        <v>0</v>
      </c>
      <c r="T1161" s="77">
        <v>0</v>
      </c>
      <c r="U1161" s="77">
        <v>0</v>
      </c>
      <c r="V1161" s="77">
        <v>29</v>
      </c>
      <c r="W1161" s="81" t="s">
        <v>3516</v>
      </c>
      <c r="X1161" s="77"/>
      <c r="Y1161" s="77"/>
      <c r="Z1161" s="77"/>
      <c r="AA1161" s="77" t="s">
        <v>5144</v>
      </c>
      <c r="AB1161" s="77" t="s">
        <v>5795</v>
      </c>
      <c r="AC1161" s="81" t="s">
        <v>5808</v>
      </c>
      <c r="AD1161" s="77" t="s">
        <v>5851</v>
      </c>
      <c r="AE1161" s="83" t="str">
        <f>HYPERLINK("https://twitter.com/deciopes/status/1650280595421888512")</f>
        <v>https://twitter.com/deciopes/status/1650280595421888512</v>
      </c>
      <c r="AF1161" s="79">
        <v>45039.978344907409</v>
      </c>
      <c r="AG1161" s="85">
        <v>45039</v>
      </c>
      <c r="AH1161" s="81" t="s">
        <v>6826</v>
      </c>
      <c r="AI1161" s="77" t="b">
        <v>0</v>
      </c>
      <c r="AJ1161" s="77"/>
      <c r="AK1161" s="77"/>
      <c r="AL1161" s="77"/>
      <c r="AM1161" s="77"/>
      <c r="AN1161" s="77"/>
      <c r="AO1161" s="77"/>
      <c r="AP1161" s="77"/>
      <c r="AQ1161" s="77" t="s">
        <v>8647</v>
      </c>
      <c r="AR1161" s="77">
        <v>57524</v>
      </c>
      <c r="AS1161" s="77"/>
      <c r="AT1161" s="77"/>
      <c r="AU1161" s="77"/>
      <c r="AV1161" s="83" t="str">
        <f>HYPERLINK("https://pbs.twimg.com/ext_tw_video_thumb/1650280518405980166/pu/img/3uL3VgG8bZGXiAX1.jpg")</f>
        <v>https://pbs.twimg.com/ext_tw_video_thumb/1650280518405980166/pu/img/3uL3VgG8bZGXiAX1.jpg</v>
      </c>
      <c r="AW1161" s="81" t="s">
        <v>10283</v>
      </c>
      <c r="AX1161" s="81" t="s">
        <v>10283</v>
      </c>
      <c r="AY1161" s="77"/>
      <c r="AZ1161" s="81" t="s">
        <v>11359</v>
      </c>
      <c r="BA1161" s="81" t="s">
        <v>11359</v>
      </c>
      <c r="BB1161" s="81" t="s">
        <v>11359</v>
      </c>
      <c r="BC1161" s="81" t="s">
        <v>10283</v>
      </c>
      <c r="BD1161" s="77">
        <v>101472210</v>
      </c>
      <c r="BE1161" s="77"/>
      <c r="BF1161" s="77"/>
      <c r="BG1161" s="77"/>
      <c r="BH1161" s="77"/>
      <c r="BI1161" s="77"/>
    </row>
    <row r="1162" spans="1:61" x14ac:dyDescent="0.25">
      <c r="A1162" s="62" t="s">
        <v>472</v>
      </c>
      <c r="B1162" s="62" t="s">
        <v>472</v>
      </c>
      <c r="C1162" s="63"/>
      <c r="D1162" s="64"/>
      <c r="E1162" s="65"/>
      <c r="F1162" s="66"/>
      <c r="G1162" s="63"/>
      <c r="H1162" s="67"/>
      <c r="I1162" s="68"/>
      <c r="J1162" s="68"/>
      <c r="K1162" s="32"/>
      <c r="L1162" s="75">
        <v>1162</v>
      </c>
      <c r="M1162" s="75"/>
      <c r="N1162" s="70"/>
      <c r="O1162" s="77" t="s">
        <v>179</v>
      </c>
      <c r="P1162" s="79">
        <v>44986.416944444441</v>
      </c>
      <c r="Q1162" s="77" t="s">
        <v>1962</v>
      </c>
      <c r="R1162" s="77">
        <v>0</v>
      </c>
      <c r="S1162" s="77">
        <v>0</v>
      </c>
      <c r="T1162" s="77">
        <v>0</v>
      </c>
      <c r="U1162" s="77">
        <v>0</v>
      </c>
      <c r="V1162" s="77">
        <v>15</v>
      </c>
      <c r="W1162" s="81" t="s">
        <v>3517</v>
      </c>
      <c r="X1162" s="77"/>
      <c r="Y1162" s="77"/>
      <c r="Z1162" s="77"/>
      <c r="AA1162" s="77" t="s">
        <v>5145</v>
      </c>
      <c r="AB1162" s="77" t="s">
        <v>5794</v>
      </c>
      <c r="AC1162" s="81" t="s">
        <v>5808</v>
      </c>
      <c r="AD1162" s="77" t="s">
        <v>5851</v>
      </c>
      <c r="AE1162" s="83" t="str">
        <f>HYPERLINK("https://twitter.com/deciopes/status/1630870593489838081")</f>
        <v>https://twitter.com/deciopes/status/1630870593489838081</v>
      </c>
      <c r="AF1162" s="79">
        <v>44986.416944444441</v>
      </c>
      <c r="AG1162" s="85">
        <v>44986</v>
      </c>
      <c r="AH1162" s="81" t="s">
        <v>6827</v>
      </c>
      <c r="AI1162" s="77" t="b">
        <v>0</v>
      </c>
      <c r="AJ1162" s="77"/>
      <c r="AK1162" s="77"/>
      <c r="AL1162" s="77"/>
      <c r="AM1162" s="77"/>
      <c r="AN1162" s="77"/>
      <c r="AO1162" s="77"/>
      <c r="AP1162" s="77"/>
      <c r="AQ1162" s="77" t="s">
        <v>8648</v>
      </c>
      <c r="AR1162" s="77"/>
      <c r="AS1162" s="77"/>
      <c r="AT1162" s="77"/>
      <c r="AU1162" s="77"/>
      <c r="AV1162" s="83" t="str">
        <f>HYPERLINK("https://pbs.twimg.com/media/FqIEKY5X0AAalKb.jpg")</f>
        <v>https://pbs.twimg.com/media/FqIEKY5X0AAalKb.jpg</v>
      </c>
      <c r="AW1162" s="81" t="s">
        <v>10284</v>
      </c>
      <c r="AX1162" s="81" t="s">
        <v>10284</v>
      </c>
      <c r="AY1162" s="77"/>
      <c r="AZ1162" s="81" t="s">
        <v>11359</v>
      </c>
      <c r="BA1162" s="81" t="s">
        <v>11359</v>
      </c>
      <c r="BB1162" s="81" t="s">
        <v>11359</v>
      </c>
      <c r="BC1162" s="81" t="s">
        <v>10284</v>
      </c>
      <c r="BD1162" s="77">
        <v>101472210</v>
      </c>
      <c r="BE1162" s="77"/>
      <c r="BF1162" s="77"/>
      <c r="BG1162" s="77"/>
      <c r="BH1162" s="77"/>
      <c r="BI1162" s="77"/>
    </row>
    <row r="1163" spans="1:61" x14ac:dyDescent="0.25">
      <c r="A1163" s="62" t="s">
        <v>472</v>
      </c>
      <c r="B1163" s="62" t="s">
        <v>472</v>
      </c>
      <c r="C1163" s="63"/>
      <c r="D1163" s="64"/>
      <c r="E1163" s="65"/>
      <c r="F1163" s="66"/>
      <c r="G1163" s="63"/>
      <c r="H1163" s="67"/>
      <c r="I1163" s="68"/>
      <c r="J1163" s="68"/>
      <c r="K1163" s="32"/>
      <c r="L1163" s="75">
        <v>1163</v>
      </c>
      <c r="M1163" s="75"/>
      <c r="N1163" s="70"/>
      <c r="O1163" s="77" t="s">
        <v>179</v>
      </c>
      <c r="P1163" s="79">
        <v>44985.416817129626</v>
      </c>
      <c r="Q1163" s="77" t="s">
        <v>1963</v>
      </c>
      <c r="R1163" s="77">
        <v>0</v>
      </c>
      <c r="S1163" s="77">
        <v>0</v>
      </c>
      <c r="T1163" s="77">
        <v>0</v>
      </c>
      <c r="U1163" s="77">
        <v>0</v>
      </c>
      <c r="V1163" s="77">
        <v>9</v>
      </c>
      <c r="W1163" s="81" t="s">
        <v>3518</v>
      </c>
      <c r="X1163" s="77"/>
      <c r="Y1163" s="77"/>
      <c r="Z1163" s="77"/>
      <c r="AA1163" s="77" t="s">
        <v>5146</v>
      </c>
      <c r="AB1163" s="77" t="s">
        <v>5799</v>
      </c>
      <c r="AC1163" s="81" t="s">
        <v>5808</v>
      </c>
      <c r="AD1163" s="77" t="s">
        <v>5851</v>
      </c>
      <c r="AE1163" s="83" t="str">
        <f>HYPERLINK("https://twitter.com/deciopes/status/1630508160480952320")</f>
        <v>https://twitter.com/deciopes/status/1630508160480952320</v>
      </c>
      <c r="AF1163" s="79">
        <v>44985.416817129626</v>
      </c>
      <c r="AG1163" s="85">
        <v>44985</v>
      </c>
      <c r="AH1163" s="81" t="s">
        <v>6828</v>
      </c>
      <c r="AI1163" s="77" t="b">
        <v>0</v>
      </c>
      <c r="AJ1163" s="77"/>
      <c r="AK1163" s="77"/>
      <c r="AL1163" s="77"/>
      <c r="AM1163" s="77"/>
      <c r="AN1163" s="77"/>
      <c r="AO1163" s="77"/>
      <c r="AP1163" s="77"/>
      <c r="AQ1163" s="77" t="s">
        <v>8649</v>
      </c>
      <c r="AR1163" s="77"/>
      <c r="AS1163" s="77"/>
      <c r="AT1163" s="77"/>
      <c r="AU1163" s="77"/>
      <c r="AV1163" s="83" t="str">
        <f>HYPERLINK("https://pbs.twimg.com/media/FqC6h-FXwAAoawr.jpg")</f>
        <v>https://pbs.twimg.com/media/FqC6h-FXwAAoawr.jpg</v>
      </c>
      <c r="AW1163" s="81" t="s">
        <v>10285</v>
      </c>
      <c r="AX1163" s="81" t="s">
        <v>10285</v>
      </c>
      <c r="AY1163" s="77"/>
      <c r="AZ1163" s="81" t="s">
        <v>11359</v>
      </c>
      <c r="BA1163" s="81" t="s">
        <v>11359</v>
      </c>
      <c r="BB1163" s="81" t="s">
        <v>11359</v>
      </c>
      <c r="BC1163" s="81" t="s">
        <v>10285</v>
      </c>
      <c r="BD1163" s="77">
        <v>101472210</v>
      </c>
      <c r="BE1163" s="77"/>
      <c r="BF1163" s="77"/>
      <c r="BG1163" s="77"/>
      <c r="BH1163" s="77"/>
      <c r="BI1163" s="77"/>
    </row>
    <row r="1164" spans="1:61" x14ac:dyDescent="0.25">
      <c r="A1164" s="62" t="s">
        <v>472</v>
      </c>
      <c r="B1164" s="62" t="s">
        <v>472</v>
      </c>
      <c r="C1164" s="63"/>
      <c r="D1164" s="64"/>
      <c r="E1164" s="65"/>
      <c r="F1164" s="66"/>
      <c r="G1164" s="63"/>
      <c r="H1164" s="67"/>
      <c r="I1164" s="68"/>
      <c r="J1164" s="68"/>
      <c r="K1164" s="32"/>
      <c r="L1164" s="75">
        <v>1164</v>
      </c>
      <c r="M1164" s="75"/>
      <c r="N1164" s="70"/>
      <c r="O1164" s="77" t="s">
        <v>179</v>
      </c>
      <c r="P1164" s="79">
        <v>45033.464363425926</v>
      </c>
      <c r="Q1164" s="77" t="s">
        <v>1964</v>
      </c>
      <c r="R1164" s="77">
        <v>0</v>
      </c>
      <c r="S1164" s="77">
        <v>0</v>
      </c>
      <c r="T1164" s="77">
        <v>0</v>
      </c>
      <c r="U1164" s="77">
        <v>0</v>
      </c>
      <c r="V1164" s="77">
        <v>8</v>
      </c>
      <c r="W1164" s="81" t="s">
        <v>3519</v>
      </c>
      <c r="X1164" s="77"/>
      <c r="Y1164" s="77"/>
      <c r="Z1164" s="77"/>
      <c r="AA1164" s="77"/>
      <c r="AB1164" s="77"/>
      <c r="AC1164" s="81" t="s">
        <v>5808</v>
      </c>
      <c r="AD1164" s="77" t="s">
        <v>5851</v>
      </c>
      <c r="AE1164" s="83" t="str">
        <f>HYPERLINK("https://twitter.com/deciopes/status/1647920010067599360")</f>
        <v>https://twitter.com/deciopes/status/1647920010067599360</v>
      </c>
      <c r="AF1164" s="79">
        <v>45033.464363425926</v>
      </c>
      <c r="AG1164" s="85">
        <v>45033</v>
      </c>
      <c r="AH1164" s="81" t="s">
        <v>6829</v>
      </c>
      <c r="AI1164" s="77"/>
      <c r="AJ1164" s="77"/>
      <c r="AK1164" s="77"/>
      <c r="AL1164" s="77"/>
      <c r="AM1164" s="77"/>
      <c r="AN1164" s="77"/>
      <c r="AO1164" s="77"/>
      <c r="AP1164" s="77"/>
      <c r="AQ1164" s="77"/>
      <c r="AR1164" s="77"/>
      <c r="AS1164" s="77"/>
      <c r="AT1164" s="77"/>
      <c r="AU1164" s="77"/>
      <c r="AV1164" s="83" t="str">
        <f>HYPERLINK("https://pbs.twimg.com/profile_images/1375153363755614214/4stVMh0D_normal.jpg")</f>
        <v>https://pbs.twimg.com/profile_images/1375153363755614214/4stVMh0D_normal.jpg</v>
      </c>
      <c r="AW1164" s="81" t="s">
        <v>10286</v>
      </c>
      <c r="AX1164" s="81" t="s">
        <v>10286</v>
      </c>
      <c r="AY1164" s="77"/>
      <c r="AZ1164" s="81" t="s">
        <v>11359</v>
      </c>
      <c r="BA1164" s="81" t="s">
        <v>11359</v>
      </c>
      <c r="BB1164" s="81" t="s">
        <v>11359</v>
      </c>
      <c r="BC1164" s="81" t="s">
        <v>10286</v>
      </c>
      <c r="BD1164" s="77">
        <v>101472210</v>
      </c>
      <c r="BE1164" s="77"/>
      <c r="BF1164" s="77"/>
      <c r="BG1164" s="77"/>
      <c r="BH1164" s="77"/>
      <c r="BI1164" s="77"/>
    </row>
    <row r="1165" spans="1:61" x14ac:dyDescent="0.25">
      <c r="A1165" s="62" t="s">
        <v>472</v>
      </c>
      <c r="B1165" s="62" t="s">
        <v>472</v>
      </c>
      <c r="C1165" s="63"/>
      <c r="D1165" s="64"/>
      <c r="E1165" s="65"/>
      <c r="F1165" s="66"/>
      <c r="G1165" s="63"/>
      <c r="H1165" s="67"/>
      <c r="I1165" s="68"/>
      <c r="J1165" s="68"/>
      <c r="K1165" s="32"/>
      <c r="L1165" s="75">
        <v>1165</v>
      </c>
      <c r="M1165" s="75"/>
      <c r="N1165" s="70"/>
      <c r="O1165" s="77" t="s">
        <v>179</v>
      </c>
      <c r="P1165" s="79">
        <v>45033.46398148148</v>
      </c>
      <c r="Q1165" s="77" t="s">
        <v>1965</v>
      </c>
      <c r="R1165" s="77">
        <v>0</v>
      </c>
      <c r="S1165" s="77">
        <v>0</v>
      </c>
      <c r="T1165" s="77">
        <v>0</v>
      </c>
      <c r="U1165" s="77">
        <v>0</v>
      </c>
      <c r="V1165" s="77">
        <v>7</v>
      </c>
      <c r="W1165" s="81" t="s">
        <v>3512</v>
      </c>
      <c r="X1165" s="77"/>
      <c r="Y1165" s="77"/>
      <c r="Z1165" s="77"/>
      <c r="AA1165" s="77"/>
      <c r="AB1165" s="77"/>
      <c r="AC1165" s="81" t="s">
        <v>5808</v>
      </c>
      <c r="AD1165" s="77" t="s">
        <v>5851</v>
      </c>
      <c r="AE1165" s="83" t="str">
        <f>HYPERLINK("https://twitter.com/deciopes/status/1647919871802368001")</f>
        <v>https://twitter.com/deciopes/status/1647919871802368001</v>
      </c>
      <c r="AF1165" s="79">
        <v>45033.46398148148</v>
      </c>
      <c r="AG1165" s="85">
        <v>45033</v>
      </c>
      <c r="AH1165" s="81" t="s">
        <v>6830</v>
      </c>
      <c r="AI1165" s="77"/>
      <c r="AJ1165" s="77"/>
      <c r="AK1165" s="77"/>
      <c r="AL1165" s="77"/>
      <c r="AM1165" s="77"/>
      <c r="AN1165" s="77"/>
      <c r="AO1165" s="77"/>
      <c r="AP1165" s="77"/>
      <c r="AQ1165" s="77"/>
      <c r="AR1165" s="77"/>
      <c r="AS1165" s="77"/>
      <c r="AT1165" s="77"/>
      <c r="AU1165" s="77"/>
      <c r="AV1165" s="83" t="str">
        <f>HYPERLINK("https://pbs.twimg.com/profile_images/1375153363755614214/4stVMh0D_normal.jpg")</f>
        <v>https://pbs.twimg.com/profile_images/1375153363755614214/4stVMh0D_normal.jpg</v>
      </c>
      <c r="AW1165" s="81" t="s">
        <v>10287</v>
      </c>
      <c r="AX1165" s="81" t="s">
        <v>10287</v>
      </c>
      <c r="AY1165" s="77"/>
      <c r="AZ1165" s="81" t="s">
        <v>11359</v>
      </c>
      <c r="BA1165" s="81" t="s">
        <v>11359</v>
      </c>
      <c r="BB1165" s="81" t="s">
        <v>11359</v>
      </c>
      <c r="BC1165" s="81" t="s">
        <v>10287</v>
      </c>
      <c r="BD1165" s="77">
        <v>101472210</v>
      </c>
      <c r="BE1165" s="77"/>
      <c r="BF1165" s="77"/>
      <c r="BG1165" s="77"/>
      <c r="BH1165" s="77"/>
      <c r="BI1165" s="77"/>
    </row>
    <row r="1166" spans="1:61" x14ac:dyDescent="0.25">
      <c r="A1166" s="62" t="s">
        <v>472</v>
      </c>
      <c r="B1166" s="62" t="s">
        <v>472</v>
      </c>
      <c r="C1166" s="63"/>
      <c r="D1166" s="64"/>
      <c r="E1166" s="65"/>
      <c r="F1166" s="66"/>
      <c r="G1166" s="63"/>
      <c r="H1166" s="67"/>
      <c r="I1166" s="68"/>
      <c r="J1166" s="68"/>
      <c r="K1166" s="32"/>
      <c r="L1166" s="75">
        <v>1166</v>
      </c>
      <c r="M1166" s="75"/>
      <c r="N1166" s="70"/>
      <c r="O1166" s="77" t="s">
        <v>179</v>
      </c>
      <c r="P1166" s="79">
        <v>45033.463622685187</v>
      </c>
      <c r="Q1166" s="77" t="s">
        <v>1966</v>
      </c>
      <c r="R1166" s="77">
        <v>0</v>
      </c>
      <c r="S1166" s="77">
        <v>0</v>
      </c>
      <c r="T1166" s="77">
        <v>0</v>
      </c>
      <c r="U1166" s="77">
        <v>0</v>
      </c>
      <c r="V1166" s="77">
        <v>11</v>
      </c>
      <c r="W1166" s="81" t="s">
        <v>3512</v>
      </c>
      <c r="X1166" s="77"/>
      <c r="Y1166" s="77"/>
      <c r="Z1166" s="77"/>
      <c r="AA1166" s="77" t="s">
        <v>5147</v>
      </c>
      <c r="AB1166" s="77" t="s">
        <v>5794</v>
      </c>
      <c r="AC1166" s="81" t="s">
        <v>5808</v>
      </c>
      <c r="AD1166" s="77" t="s">
        <v>5851</v>
      </c>
      <c r="AE1166" s="83" t="str">
        <f>HYPERLINK("https://twitter.com/deciopes/status/1647919738918404096")</f>
        <v>https://twitter.com/deciopes/status/1647919738918404096</v>
      </c>
      <c r="AF1166" s="79">
        <v>45033.463622685187</v>
      </c>
      <c r="AG1166" s="85">
        <v>45033</v>
      </c>
      <c r="AH1166" s="81" t="s">
        <v>6831</v>
      </c>
      <c r="AI1166" s="77" t="b">
        <v>0</v>
      </c>
      <c r="AJ1166" s="77"/>
      <c r="AK1166" s="77"/>
      <c r="AL1166" s="77"/>
      <c r="AM1166" s="77"/>
      <c r="AN1166" s="77"/>
      <c r="AO1166" s="77"/>
      <c r="AP1166" s="77"/>
      <c r="AQ1166" s="77" t="s">
        <v>8650</v>
      </c>
      <c r="AR1166" s="77"/>
      <c r="AS1166" s="77"/>
      <c r="AT1166" s="77"/>
      <c r="AU1166" s="77"/>
      <c r="AV1166" s="83" t="str">
        <f>HYPERLINK("https://pbs.twimg.com/media/Ft6WRSDWcAEHXc7.jpg")</f>
        <v>https://pbs.twimg.com/media/Ft6WRSDWcAEHXc7.jpg</v>
      </c>
      <c r="AW1166" s="81" t="s">
        <v>10288</v>
      </c>
      <c r="AX1166" s="81" t="s">
        <v>10288</v>
      </c>
      <c r="AY1166" s="77"/>
      <c r="AZ1166" s="81" t="s">
        <v>11359</v>
      </c>
      <c r="BA1166" s="81" t="s">
        <v>11359</v>
      </c>
      <c r="BB1166" s="81" t="s">
        <v>11359</v>
      </c>
      <c r="BC1166" s="81" t="s">
        <v>10288</v>
      </c>
      <c r="BD1166" s="77">
        <v>101472210</v>
      </c>
      <c r="BE1166" s="77"/>
      <c r="BF1166" s="77"/>
      <c r="BG1166" s="77"/>
      <c r="BH1166" s="77"/>
      <c r="BI1166" s="77"/>
    </row>
    <row r="1167" spans="1:61" x14ac:dyDescent="0.25">
      <c r="A1167" s="62" t="s">
        <v>472</v>
      </c>
      <c r="B1167" s="62" t="s">
        <v>472</v>
      </c>
      <c r="C1167" s="63"/>
      <c r="D1167" s="64"/>
      <c r="E1167" s="65"/>
      <c r="F1167" s="66"/>
      <c r="G1167" s="63"/>
      <c r="H1167" s="67"/>
      <c r="I1167" s="68"/>
      <c r="J1167" s="68"/>
      <c r="K1167" s="32"/>
      <c r="L1167" s="75">
        <v>1167</v>
      </c>
      <c r="M1167" s="75"/>
      <c r="N1167" s="70"/>
      <c r="O1167" s="77" t="s">
        <v>179</v>
      </c>
      <c r="P1167" s="79">
        <v>45050.755960648145</v>
      </c>
      <c r="Q1167" s="77" t="s">
        <v>1967</v>
      </c>
      <c r="R1167" s="77">
        <v>0</v>
      </c>
      <c r="S1167" s="77">
        <v>0</v>
      </c>
      <c r="T1167" s="77">
        <v>0</v>
      </c>
      <c r="U1167" s="77">
        <v>0</v>
      </c>
      <c r="V1167" s="77">
        <v>14</v>
      </c>
      <c r="W1167" s="81" t="s">
        <v>3520</v>
      </c>
      <c r="X1167" s="77"/>
      <c r="Y1167" s="77"/>
      <c r="Z1167" s="77"/>
      <c r="AA1167" s="77" t="s">
        <v>5148</v>
      </c>
      <c r="AB1167" s="77" t="s">
        <v>5794</v>
      </c>
      <c r="AC1167" s="81" t="s">
        <v>5808</v>
      </c>
      <c r="AD1167" s="77" t="s">
        <v>5851</v>
      </c>
      <c r="AE1167" s="83" t="str">
        <f>HYPERLINK("https://twitter.com/deciopes/status/1654186272615723008")</f>
        <v>https://twitter.com/deciopes/status/1654186272615723008</v>
      </c>
      <c r="AF1167" s="79">
        <v>45050.755960648145</v>
      </c>
      <c r="AG1167" s="85">
        <v>45050</v>
      </c>
      <c r="AH1167" s="81" t="s">
        <v>6832</v>
      </c>
      <c r="AI1167" s="77" t="b">
        <v>0</v>
      </c>
      <c r="AJ1167" s="77"/>
      <c r="AK1167" s="77"/>
      <c r="AL1167" s="77"/>
      <c r="AM1167" s="77"/>
      <c r="AN1167" s="77"/>
      <c r="AO1167" s="77"/>
      <c r="AP1167" s="77"/>
      <c r="AQ1167" s="77" t="s">
        <v>8651</v>
      </c>
      <c r="AR1167" s="77"/>
      <c r="AS1167" s="77"/>
      <c r="AT1167" s="77"/>
      <c r="AU1167" s="77"/>
      <c r="AV1167" s="83" t="str">
        <f>HYPERLINK("https://pbs.twimg.com/media/FvTZpgeX0AcAp1M.jpg")</f>
        <v>https://pbs.twimg.com/media/FvTZpgeX0AcAp1M.jpg</v>
      </c>
      <c r="AW1167" s="81" t="s">
        <v>10289</v>
      </c>
      <c r="AX1167" s="81" t="s">
        <v>10289</v>
      </c>
      <c r="AY1167" s="77"/>
      <c r="AZ1167" s="81" t="s">
        <v>11359</v>
      </c>
      <c r="BA1167" s="81" t="s">
        <v>11359</v>
      </c>
      <c r="BB1167" s="81" t="s">
        <v>11359</v>
      </c>
      <c r="BC1167" s="81" t="s">
        <v>10289</v>
      </c>
      <c r="BD1167" s="77">
        <v>101472210</v>
      </c>
      <c r="BE1167" s="77"/>
      <c r="BF1167" s="77"/>
      <c r="BG1167" s="77"/>
      <c r="BH1167" s="77"/>
      <c r="BI1167" s="77"/>
    </row>
    <row r="1168" spans="1:61" x14ac:dyDescent="0.25">
      <c r="A1168" s="62" t="s">
        <v>472</v>
      </c>
      <c r="B1168" s="62" t="s">
        <v>472</v>
      </c>
      <c r="C1168" s="63"/>
      <c r="D1168" s="64"/>
      <c r="E1168" s="65"/>
      <c r="F1168" s="66"/>
      <c r="G1168" s="63"/>
      <c r="H1168" s="67"/>
      <c r="I1168" s="68"/>
      <c r="J1168" s="68"/>
      <c r="K1168" s="32"/>
      <c r="L1168" s="75">
        <v>1168</v>
      </c>
      <c r="M1168" s="75"/>
      <c r="N1168" s="70"/>
      <c r="O1168" s="77" t="s">
        <v>179</v>
      </c>
      <c r="P1168" s="79">
        <v>44974.555775462963</v>
      </c>
      <c r="Q1168" s="77" t="s">
        <v>1968</v>
      </c>
      <c r="R1168" s="77">
        <v>0</v>
      </c>
      <c r="S1168" s="77">
        <v>0</v>
      </c>
      <c r="T1168" s="77">
        <v>0</v>
      </c>
      <c r="U1168" s="77">
        <v>0</v>
      </c>
      <c r="V1168" s="77">
        <v>14</v>
      </c>
      <c r="W1168" s="81" t="s">
        <v>3521</v>
      </c>
      <c r="X1168" s="77"/>
      <c r="Y1168" s="77"/>
      <c r="Z1168" s="77"/>
      <c r="AA1168" s="77" t="s">
        <v>5149</v>
      </c>
      <c r="AB1168" s="77" t="s">
        <v>5794</v>
      </c>
      <c r="AC1168" s="81" t="s">
        <v>5805</v>
      </c>
      <c r="AD1168" s="77" t="s">
        <v>5851</v>
      </c>
      <c r="AE1168" s="83" t="str">
        <f>HYPERLINK("https://twitter.com/deciopes/status/1626572252719325188")</f>
        <v>https://twitter.com/deciopes/status/1626572252719325188</v>
      </c>
      <c r="AF1168" s="79">
        <v>44974.555775462963</v>
      </c>
      <c r="AG1168" s="85">
        <v>44974</v>
      </c>
      <c r="AH1168" s="81" t="s">
        <v>6833</v>
      </c>
      <c r="AI1168" s="77" t="b">
        <v>0</v>
      </c>
      <c r="AJ1168" s="77"/>
      <c r="AK1168" s="77"/>
      <c r="AL1168" s="77"/>
      <c r="AM1168" s="77"/>
      <c r="AN1168" s="77"/>
      <c r="AO1168" s="77"/>
      <c r="AP1168" s="77"/>
      <c r="AQ1168" s="77" t="s">
        <v>8652</v>
      </c>
      <c r="AR1168" s="77"/>
      <c r="AS1168" s="77"/>
      <c r="AT1168" s="77"/>
      <c r="AU1168" s="77"/>
      <c r="AV1168" s="83" t="str">
        <f>HYPERLINK("https://pbs.twimg.com/media/FpK-0-nWIAASk6P.jpg")</f>
        <v>https://pbs.twimg.com/media/FpK-0-nWIAASk6P.jpg</v>
      </c>
      <c r="AW1168" s="81" t="s">
        <v>10290</v>
      </c>
      <c r="AX1168" s="81" t="s">
        <v>10290</v>
      </c>
      <c r="AY1168" s="77"/>
      <c r="AZ1168" s="81" t="s">
        <v>11359</v>
      </c>
      <c r="BA1168" s="81" t="s">
        <v>11359</v>
      </c>
      <c r="BB1168" s="81" t="s">
        <v>11359</v>
      </c>
      <c r="BC1168" s="81" t="s">
        <v>10290</v>
      </c>
      <c r="BD1168" s="77">
        <v>101472210</v>
      </c>
      <c r="BE1168" s="77"/>
      <c r="BF1168" s="77"/>
      <c r="BG1168" s="77"/>
      <c r="BH1168" s="77"/>
      <c r="BI1168" s="77"/>
    </row>
    <row r="1169" spans="1:61" x14ac:dyDescent="0.25">
      <c r="A1169" s="62" t="s">
        <v>473</v>
      </c>
      <c r="B1169" s="62" t="s">
        <v>473</v>
      </c>
      <c r="C1169" s="63"/>
      <c r="D1169" s="64"/>
      <c r="E1169" s="65"/>
      <c r="F1169" s="66"/>
      <c r="G1169" s="63"/>
      <c r="H1169" s="67"/>
      <c r="I1169" s="68"/>
      <c r="J1169" s="68"/>
      <c r="K1169" s="32"/>
      <c r="L1169" s="75">
        <v>1169</v>
      </c>
      <c r="M1169" s="75"/>
      <c r="N1169" s="70"/>
      <c r="O1169" s="77" t="s">
        <v>179</v>
      </c>
      <c r="P1169" s="79">
        <v>44975.450925925928</v>
      </c>
      <c r="Q1169" s="77" t="s">
        <v>1969</v>
      </c>
      <c r="R1169" s="77">
        <v>1</v>
      </c>
      <c r="S1169" s="77">
        <v>4</v>
      </c>
      <c r="T1169" s="77">
        <v>0</v>
      </c>
      <c r="U1169" s="77">
        <v>0</v>
      </c>
      <c r="V1169" s="77">
        <v>174</v>
      </c>
      <c r="W1169" s="81" t="s">
        <v>3522</v>
      </c>
      <c r="X1169" s="77"/>
      <c r="Y1169" s="77"/>
      <c r="Z1169" s="77"/>
      <c r="AA1169" s="77" t="s">
        <v>5150</v>
      </c>
      <c r="AB1169" s="77" t="s">
        <v>5795</v>
      </c>
      <c r="AC1169" s="81" t="s">
        <v>5805</v>
      </c>
      <c r="AD1169" s="77" t="s">
        <v>5850</v>
      </c>
      <c r="AE1169" s="83" t="str">
        <f>HYPERLINK("https://twitter.com/lauracantizano/status/1626896641591545861")</f>
        <v>https://twitter.com/lauracantizano/status/1626896641591545861</v>
      </c>
      <c r="AF1169" s="79">
        <v>44975.450925925928</v>
      </c>
      <c r="AG1169" s="85">
        <v>44975</v>
      </c>
      <c r="AH1169" s="81" t="s">
        <v>6834</v>
      </c>
      <c r="AI1169" s="77" t="b">
        <v>0</v>
      </c>
      <c r="AJ1169" s="77"/>
      <c r="AK1169" s="77"/>
      <c r="AL1169" s="77"/>
      <c r="AM1169" s="77"/>
      <c r="AN1169" s="77"/>
      <c r="AO1169" s="77"/>
      <c r="AP1169" s="77"/>
      <c r="AQ1169" s="77" t="s">
        <v>8653</v>
      </c>
      <c r="AR1169" s="77">
        <v>36520</v>
      </c>
      <c r="AS1169" s="77"/>
      <c r="AT1169" s="77"/>
      <c r="AU1169" s="77"/>
      <c r="AV1169" s="83" t="str">
        <f>HYPERLINK("https://pbs.twimg.com/ext_tw_video_thumb/1626896287839682561/pu/img/l6VSrFVkC4dLBdnT.jpg")</f>
        <v>https://pbs.twimg.com/ext_tw_video_thumb/1626896287839682561/pu/img/l6VSrFVkC4dLBdnT.jpg</v>
      </c>
      <c r="AW1169" s="81" t="s">
        <v>10291</v>
      </c>
      <c r="AX1169" s="81" t="s">
        <v>10291</v>
      </c>
      <c r="AY1169" s="77"/>
      <c r="AZ1169" s="81" t="s">
        <v>11359</v>
      </c>
      <c r="BA1169" s="81" t="s">
        <v>11359</v>
      </c>
      <c r="BB1169" s="81" t="s">
        <v>11359</v>
      </c>
      <c r="BC1169" s="81" t="s">
        <v>10291</v>
      </c>
      <c r="BD1169" s="77">
        <v>142218758</v>
      </c>
      <c r="BE1169" s="77"/>
      <c r="BF1169" s="77"/>
      <c r="BG1169" s="77"/>
      <c r="BH1169" s="77"/>
      <c r="BI1169" s="77"/>
    </row>
    <row r="1170" spans="1:61" x14ac:dyDescent="0.25">
      <c r="A1170" s="62" t="s">
        <v>474</v>
      </c>
      <c r="B1170" s="62" t="s">
        <v>474</v>
      </c>
      <c r="C1170" s="63"/>
      <c r="D1170" s="64"/>
      <c r="E1170" s="65"/>
      <c r="F1170" s="66"/>
      <c r="G1170" s="63"/>
      <c r="H1170" s="67"/>
      <c r="I1170" s="68"/>
      <c r="J1170" s="68"/>
      <c r="K1170" s="32"/>
      <c r="L1170" s="75">
        <v>1170</v>
      </c>
      <c r="M1170" s="75"/>
      <c r="N1170" s="70"/>
      <c r="O1170" s="77" t="s">
        <v>179</v>
      </c>
      <c r="P1170" s="79">
        <v>44939.625902777778</v>
      </c>
      <c r="Q1170" s="77" t="s">
        <v>1970</v>
      </c>
      <c r="R1170" s="77">
        <v>0</v>
      </c>
      <c r="S1170" s="77">
        <v>0</v>
      </c>
      <c r="T1170" s="77">
        <v>0</v>
      </c>
      <c r="U1170" s="77">
        <v>0</v>
      </c>
      <c r="V1170" s="77">
        <v>21</v>
      </c>
      <c r="W1170" s="81" t="s">
        <v>3523</v>
      </c>
      <c r="X1170" s="77"/>
      <c r="Y1170" s="77"/>
      <c r="Z1170" s="77"/>
      <c r="AA1170" s="77" t="s">
        <v>5151</v>
      </c>
      <c r="AB1170" s="77" t="s">
        <v>5794</v>
      </c>
      <c r="AC1170" s="81" t="s">
        <v>5812</v>
      </c>
      <c r="AD1170" s="77" t="s">
        <v>5850</v>
      </c>
      <c r="AE1170" s="83" t="str">
        <f>HYPERLINK("https://twitter.com/mercasa3/status/1613914088433647617")</f>
        <v>https://twitter.com/mercasa3/status/1613914088433647617</v>
      </c>
      <c r="AF1170" s="79">
        <v>44939.625902777778</v>
      </c>
      <c r="AG1170" s="85">
        <v>44939</v>
      </c>
      <c r="AH1170" s="81" t="s">
        <v>5886</v>
      </c>
      <c r="AI1170" s="77" t="b">
        <v>0</v>
      </c>
      <c r="AJ1170" s="77"/>
      <c r="AK1170" s="77"/>
      <c r="AL1170" s="77"/>
      <c r="AM1170" s="77"/>
      <c r="AN1170" s="77"/>
      <c r="AO1170" s="77"/>
      <c r="AP1170" s="77"/>
      <c r="AQ1170" s="77" t="s">
        <v>8654</v>
      </c>
      <c r="AR1170" s="77"/>
      <c r="AS1170" s="77"/>
      <c r="AT1170" s="77"/>
      <c r="AU1170" s="77"/>
      <c r="AV1170" s="83" t="str">
        <f>HYPERLINK("https://pbs.twimg.com/media/FmXGTqdWQAAZjf8.jpg")</f>
        <v>https://pbs.twimg.com/media/FmXGTqdWQAAZjf8.jpg</v>
      </c>
      <c r="AW1170" s="81" t="s">
        <v>10292</v>
      </c>
      <c r="AX1170" s="81" t="s">
        <v>10292</v>
      </c>
      <c r="AY1170" s="77"/>
      <c r="AZ1170" s="81" t="s">
        <v>11359</v>
      </c>
      <c r="BA1170" s="81" t="s">
        <v>11359</v>
      </c>
      <c r="BB1170" s="81" t="s">
        <v>11359</v>
      </c>
      <c r="BC1170" s="81" t="s">
        <v>10292</v>
      </c>
      <c r="BD1170" s="81" t="s">
        <v>11527</v>
      </c>
      <c r="BE1170" s="77"/>
      <c r="BF1170" s="77"/>
      <c r="BG1170" s="77"/>
      <c r="BH1170" s="77"/>
      <c r="BI1170" s="77"/>
    </row>
    <row r="1171" spans="1:61" x14ac:dyDescent="0.25">
      <c r="A1171" s="62" t="s">
        <v>475</v>
      </c>
      <c r="B1171" s="62" t="s">
        <v>475</v>
      </c>
      <c r="C1171" s="63"/>
      <c r="D1171" s="64"/>
      <c r="E1171" s="65"/>
      <c r="F1171" s="66"/>
      <c r="G1171" s="63"/>
      <c r="H1171" s="67"/>
      <c r="I1171" s="68"/>
      <c r="J1171" s="68"/>
      <c r="K1171" s="32"/>
      <c r="L1171" s="75">
        <v>1171</v>
      </c>
      <c r="M1171" s="75"/>
      <c r="N1171" s="70"/>
      <c r="O1171" s="77" t="s">
        <v>179</v>
      </c>
      <c r="P1171" s="79">
        <v>45083.614548611113</v>
      </c>
      <c r="Q1171" s="77" t="s">
        <v>1971</v>
      </c>
      <c r="R1171" s="77">
        <v>0</v>
      </c>
      <c r="S1171" s="77">
        <v>0</v>
      </c>
      <c r="T1171" s="77">
        <v>0</v>
      </c>
      <c r="U1171" s="77">
        <v>0</v>
      </c>
      <c r="V1171" s="77">
        <v>24</v>
      </c>
      <c r="W1171" s="81" t="s">
        <v>3524</v>
      </c>
      <c r="X1171" s="77"/>
      <c r="Y1171" s="77"/>
      <c r="Z1171" s="77"/>
      <c r="AA1171" s="77" t="s">
        <v>5152</v>
      </c>
      <c r="AB1171" s="77" t="s">
        <v>5794</v>
      </c>
      <c r="AC1171" s="81" t="s">
        <v>5801</v>
      </c>
      <c r="AD1171" s="77" t="s">
        <v>5850</v>
      </c>
      <c r="AE1171" s="83" t="str">
        <f>HYPERLINK("https://twitter.com/agricolacenteno/status/1666093828259057667")</f>
        <v>https://twitter.com/agricolacenteno/status/1666093828259057667</v>
      </c>
      <c r="AF1171" s="79">
        <v>45083.614548611113</v>
      </c>
      <c r="AG1171" s="85">
        <v>45083</v>
      </c>
      <c r="AH1171" s="81" t="s">
        <v>6835</v>
      </c>
      <c r="AI1171" s="77" t="b">
        <v>0</v>
      </c>
      <c r="AJ1171" s="77" t="s">
        <v>7741</v>
      </c>
      <c r="AK1171" s="77" t="s">
        <v>7765</v>
      </c>
      <c r="AL1171" s="77" t="s">
        <v>7774</v>
      </c>
      <c r="AM1171" s="77" t="s">
        <v>7795</v>
      </c>
      <c r="AN1171" s="77" t="s">
        <v>7831</v>
      </c>
      <c r="AO1171" s="77" t="s">
        <v>7867</v>
      </c>
      <c r="AP1171" s="77" t="s">
        <v>7890</v>
      </c>
      <c r="AQ1171" s="77" t="s">
        <v>8655</v>
      </c>
      <c r="AR1171" s="77"/>
      <c r="AS1171" s="77"/>
      <c r="AT1171" s="77"/>
      <c r="AU1171" s="77"/>
      <c r="AV1171" s="83" t="str">
        <f>HYPERLINK("https://pbs.twimg.com/media/Fx8ngcMacAAhxSO.jpg")</f>
        <v>https://pbs.twimg.com/media/Fx8ngcMacAAhxSO.jpg</v>
      </c>
      <c r="AW1171" s="81" t="s">
        <v>10293</v>
      </c>
      <c r="AX1171" s="81" t="s">
        <v>10293</v>
      </c>
      <c r="AY1171" s="77"/>
      <c r="AZ1171" s="81" t="s">
        <v>11359</v>
      </c>
      <c r="BA1171" s="81" t="s">
        <v>11359</v>
      </c>
      <c r="BB1171" s="81" t="s">
        <v>11359</v>
      </c>
      <c r="BC1171" s="81" t="s">
        <v>10293</v>
      </c>
      <c r="BD1171" s="81" t="s">
        <v>11528</v>
      </c>
      <c r="BE1171" s="77"/>
      <c r="BF1171" s="77"/>
      <c r="BG1171" s="77"/>
      <c r="BH1171" s="77"/>
      <c r="BI1171" s="77"/>
    </row>
    <row r="1172" spans="1:61" x14ac:dyDescent="0.25">
      <c r="A1172" s="62" t="s">
        <v>476</v>
      </c>
      <c r="B1172" s="62" t="s">
        <v>476</v>
      </c>
      <c r="C1172" s="63"/>
      <c r="D1172" s="64"/>
      <c r="E1172" s="65"/>
      <c r="F1172" s="66"/>
      <c r="G1172" s="63"/>
      <c r="H1172" s="67"/>
      <c r="I1172" s="68"/>
      <c r="J1172" s="68"/>
      <c r="K1172" s="32"/>
      <c r="L1172" s="75">
        <v>1172</v>
      </c>
      <c r="M1172" s="75"/>
      <c r="N1172" s="70"/>
      <c r="O1172" s="77" t="s">
        <v>179</v>
      </c>
      <c r="P1172" s="79">
        <v>44996.421793981484</v>
      </c>
      <c r="Q1172" s="77" t="s">
        <v>1972</v>
      </c>
      <c r="R1172" s="77">
        <v>2</v>
      </c>
      <c r="S1172" s="77">
        <v>0</v>
      </c>
      <c r="T1172" s="77">
        <v>0</v>
      </c>
      <c r="U1172" s="77">
        <v>0</v>
      </c>
      <c r="V1172" s="77">
        <v>266</v>
      </c>
      <c r="W1172" s="81" t="s">
        <v>3525</v>
      </c>
      <c r="X1172" s="77"/>
      <c r="Y1172" s="77"/>
      <c r="Z1172" s="77"/>
      <c r="AA1172" s="77" t="s">
        <v>5153</v>
      </c>
      <c r="AB1172" s="77" t="s">
        <v>5794</v>
      </c>
      <c r="AC1172" s="81" t="s">
        <v>5801</v>
      </c>
      <c r="AD1172" s="77" t="s">
        <v>5850</v>
      </c>
      <c r="AE1172" s="83" t="str">
        <f>HYPERLINK("https://twitter.com/bolsadtrabajot/status/1634496229353635841")</f>
        <v>https://twitter.com/bolsadtrabajot/status/1634496229353635841</v>
      </c>
      <c r="AF1172" s="79">
        <v>44996.421793981484</v>
      </c>
      <c r="AG1172" s="85">
        <v>44996</v>
      </c>
      <c r="AH1172" s="81" t="s">
        <v>6836</v>
      </c>
      <c r="AI1172" s="77" t="b">
        <v>0</v>
      </c>
      <c r="AJ1172" s="77"/>
      <c r="AK1172" s="77"/>
      <c r="AL1172" s="77"/>
      <c r="AM1172" s="77"/>
      <c r="AN1172" s="77"/>
      <c r="AO1172" s="77"/>
      <c r="AP1172" s="77"/>
      <c r="AQ1172" s="77" t="s">
        <v>8656</v>
      </c>
      <c r="AR1172" s="77"/>
      <c r="AS1172" s="77"/>
      <c r="AT1172" s="77"/>
      <c r="AU1172" s="77"/>
      <c r="AV1172" s="83" t="str">
        <f>HYPERLINK("https://pbs.twimg.com/media/Fq7lp5cXgAAods9.jpg")</f>
        <v>https://pbs.twimg.com/media/Fq7lp5cXgAAods9.jpg</v>
      </c>
      <c r="AW1172" s="81" t="s">
        <v>10294</v>
      </c>
      <c r="AX1172" s="81" t="s">
        <v>10294</v>
      </c>
      <c r="AY1172" s="77"/>
      <c r="AZ1172" s="81" t="s">
        <v>11359</v>
      </c>
      <c r="BA1172" s="81" t="s">
        <v>11359</v>
      </c>
      <c r="BB1172" s="81" t="s">
        <v>11359</v>
      </c>
      <c r="BC1172" s="81" t="s">
        <v>10294</v>
      </c>
      <c r="BD1172" s="81" t="s">
        <v>11529</v>
      </c>
      <c r="BE1172" s="77"/>
      <c r="BF1172" s="77"/>
      <c r="BG1172" s="77"/>
      <c r="BH1172" s="77"/>
      <c r="BI1172" s="77"/>
    </row>
    <row r="1173" spans="1:61" x14ac:dyDescent="0.25">
      <c r="A1173" s="62" t="s">
        <v>477</v>
      </c>
      <c r="B1173" s="62" t="s">
        <v>477</v>
      </c>
      <c r="C1173" s="63"/>
      <c r="D1173" s="64"/>
      <c r="E1173" s="65"/>
      <c r="F1173" s="66"/>
      <c r="G1173" s="63"/>
      <c r="H1173" s="67"/>
      <c r="I1173" s="68"/>
      <c r="J1173" s="68"/>
      <c r="K1173" s="32"/>
      <c r="L1173" s="75">
        <v>1173</v>
      </c>
      <c r="M1173" s="75"/>
      <c r="N1173" s="70"/>
      <c r="O1173" s="77" t="s">
        <v>967</v>
      </c>
      <c r="P1173" s="79">
        <v>44931.470034722224</v>
      </c>
      <c r="Q1173" s="77" t="s">
        <v>1973</v>
      </c>
      <c r="R1173" s="77">
        <v>0</v>
      </c>
      <c r="S1173" s="77">
        <v>2</v>
      </c>
      <c r="T1173" s="77">
        <v>0</v>
      </c>
      <c r="U1173" s="77">
        <v>0</v>
      </c>
      <c r="V1173" s="77">
        <v>16</v>
      </c>
      <c r="W1173" s="81" t="s">
        <v>3526</v>
      </c>
      <c r="X1173" s="83" t="str">
        <f>HYPERLINK("https://www.instagram.com/p/CnCA94uOZQu/?igshid=YTgzYjQ4ZTY=")</f>
        <v>https://www.instagram.com/p/CnCA94uOZQu/?igshid=YTgzYjQ4ZTY=</v>
      </c>
      <c r="Y1173" s="77" t="s">
        <v>4215</v>
      </c>
      <c r="Z1173" s="77" t="s">
        <v>477</v>
      </c>
      <c r="AA1173" s="77"/>
      <c r="AB1173" s="77"/>
      <c r="AC1173" s="81" t="s">
        <v>5804</v>
      </c>
      <c r="AD1173" s="77" t="s">
        <v>5850</v>
      </c>
      <c r="AE1173" s="83" t="str">
        <f>HYPERLINK("https://twitter.com/niurymartins/status/1610958500741488640")</f>
        <v>https://twitter.com/niurymartins/status/1610958500741488640</v>
      </c>
      <c r="AF1173" s="79">
        <v>44931.470034722224</v>
      </c>
      <c r="AG1173" s="85">
        <v>44931</v>
      </c>
      <c r="AH1173" s="81" t="s">
        <v>6837</v>
      </c>
      <c r="AI1173" s="77" t="b">
        <v>0</v>
      </c>
      <c r="AJ1173" s="77"/>
      <c r="AK1173" s="77"/>
      <c r="AL1173" s="77"/>
      <c r="AM1173" s="77"/>
      <c r="AN1173" s="77"/>
      <c r="AO1173" s="77"/>
      <c r="AP1173" s="77"/>
      <c r="AQ1173" s="77"/>
      <c r="AR1173" s="77"/>
      <c r="AS1173" s="77"/>
      <c r="AT1173" s="77"/>
      <c r="AU1173" s="77"/>
      <c r="AV1173" s="83" t="str">
        <f>HYPERLINK("https://pbs.twimg.com/profile_images/1187507375974109184/6C6SL_OC_normal.jpg")</f>
        <v>https://pbs.twimg.com/profile_images/1187507375974109184/6C6SL_OC_normal.jpg</v>
      </c>
      <c r="AW1173" s="81" t="s">
        <v>10295</v>
      </c>
      <c r="AX1173" s="81" t="s">
        <v>10295</v>
      </c>
      <c r="AY1173" s="77"/>
      <c r="AZ1173" s="81" t="s">
        <v>11359</v>
      </c>
      <c r="BA1173" s="81" t="s">
        <v>11359</v>
      </c>
      <c r="BB1173" s="81" t="s">
        <v>11359</v>
      </c>
      <c r="BC1173" s="81" t="s">
        <v>10295</v>
      </c>
      <c r="BD1173" s="77">
        <v>156391967</v>
      </c>
      <c r="BE1173" s="77"/>
      <c r="BF1173" s="77"/>
      <c r="BG1173" s="77"/>
      <c r="BH1173" s="77"/>
      <c r="BI1173" s="77"/>
    </row>
    <row r="1174" spans="1:61" x14ac:dyDescent="0.25">
      <c r="A1174" s="62" t="s">
        <v>477</v>
      </c>
      <c r="B1174" s="62" t="s">
        <v>477</v>
      </c>
      <c r="C1174" s="63"/>
      <c r="D1174" s="64"/>
      <c r="E1174" s="65"/>
      <c r="F1174" s="66"/>
      <c r="G1174" s="63"/>
      <c r="H1174" s="67"/>
      <c r="I1174" s="68"/>
      <c r="J1174" s="68"/>
      <c r="K1174" s="32"/>
      <c r="L1174" s="75">
        <v>1174</v>
      </c>
      <c r="M1174" s="75"/>
      <c r="N1174" s="70"/>
      <c r="O1174" s="77" t="s">
        <v>967</v>
      </c>
      <c r="P1174" s="79">
        <v>44930.481793981482</v>
      </c>
      <c r="Q1174" s="77" t="s">
        <v>1974</v>
      </c>
      <c r="R1174" s="77">
        <v>0</v>
      </c>
      <c r="S1174" s="77">
        <v>1</v>
      </c>
      <c r="T1174" s="77">
        <v>0</v>
      </c>
      <c r="U1174" s="77">
        <v>0</v>
      </c>
      <c r="V1174" s="77">
        <v>14</v>
      </c>
      <c r="W1174" s="81" t="s">
        <v>3527</v>
      </c>
      <c r="X1174" s="83" t="str">
        <f>HYPERLINK("https://www.instagram.com/p/Cm_eHF6uNiG/?igshid=YTgzYjQ4ZTY=")</f>
        <v>https://www.instagram.com/p/Cm_eHF6uNiG/?igshid=YTgzYjQ4ZTY=</v>
      </c>
      <c r="Y1174" s="77" t="s">
        <v>4215</v>
      </c>
      <c r="Z1174" s="77" t="s">
        <v>477</v>
      </c>
      <c r="AA1174" s="77"/>
      <c r="AB1174" s="77"/>
      <c r="AC1174" s="81" t="s">
        <v>5804</v>
      </c>
      <c r="AD1174" s="77" t="s">
        <v>5850</v>
      </c>
      <c r="AE1174" s="83" t="str">
        <f>HYPERLINK("https://twitter.com/niurymartins/status/1610600374439747584")</f>
        <v>https://twitter.com/niurymartins/status/1610600374439747584</v>
      </c>
      <c r="AF1174" s="79">
        <v>44930.481793981482</v>
      </c>
      <c r="AG1174" s="85">
        <v>44930</v>
      </c>
      <c r="AH1174" s="81" t="s">
        <v>6838</v>
      </c>
      <c r="AI1174" s="77" t="b">
        <v>0</v>
      </c>
      <c r="AJ1174" s="77"/>
      <c r="AK1174" s="77"/>
      <c r="AL1174" s="77"/>
      <c r="AM1174" s="77"/>
      <c r="AN1174" s="77"/>
      <c r="AO1174" s="77"/>
      <c r="AP1174" s="77"/>
      <c r="AQ1174" s="77"/>
      <c r="AR1174" s="77"/>
      <c r="AS1174" s="77"/>
      <c r="AT1174" s="77"/>
      <c r="AU1174" s="77"/>
      <c r="AV1174" s="83" t="str">
        <f>HYPERLINK("https://pbs.twimg.com/profile_images/1187507375974109184/6C6SL_OC_normal.jpg")</f>
        <v>https://pbs.twimg.com/profile_images/1187507375974109184/6C6SL_OC_normal.jpg</v>
      </c>
      <c r="AW1174" s="81" t="s">
        <v>10296</v>
      </c>
      <c r="AX1174" s="81" t="s">
        <v>10296</v>
      </c>
      <c r="AY1174" s="77"/>
      <c r="AZ1174" s="81" t="s">
        <v>11359</v>
      </c>
      <c r="BA1174" s="81" t="s">
        <v>11359</v>
      </c>
      <c r="BB1174" s="81" t="s">
        <v>11359</v>
      </c>
      <c r="BC1174" s="81" t="s">
        <v>10296</v>
      </c>
      <c r="BD1174" s="77">
        <v>156391967</v>
      </c>
      <c r="BE1174" s="77"/>
      <c r="BF1174" s="77"/>
      <c r="BG1174" s="77"/>
      <c r="BH1174" s="77"/>
      <c r="BI1174" s="77"/>
    </row>
    <row r="1175" spans="1:61" x14ac:dyDescent="0.25">
      <c r="A1175" s="62" t="s">
        <v>477</v>
      </c>
      <c r="B1175" s="62" t="s">
        <v>477</v>
      </c>
      <c r="C1175" s="63"/>
      <c r="D1175" s="64"/>
      <c r="E1175" s="65"/>
      <c r="F1175" s="66"/>
      <c r="G1175" s="63"/>
      <c r="H1175" s="67"/>
      <c r="I1175" s="68"/>
      <c r="J1175" s="68"/>
      <c r="K1175" s="32"/>
      <c r="L1175" s="75">
        <v>1175</v>
      </c>
      <c r="M1175" s="75"/>
      <c r="N1175" s="70"/>
      <c r="O1175" s="77" t="s">
        <v>967</v>
      </c>
      <c r="P1175" s="79">
        <v>44928.45994212963</v>
      </c>
      <c r="Q1175" s="77" t="s">
        <v>1975</v>
      </c>
      <c r="R1175" s="77">
        <v>0</v>
      </c>
      <c r="S1175" s="77">
        <v>1</v>
      </c>
      <c r="T1175" s="77">
        <v>0</v>
      </c>
      <c r="U1175" s="77">
        <v>0</v>
      </c>
      <c r="V1175" s="77">
        <v>20</v>
      </c>
      <c r="W1175" s="81" t="s">
        <v>3528</v>
      </c>
      <c r="X1175" s="83" t="str">
        <f>HYPERLINK("https://www.instagram.com/p/Cm6Q62CODzy/?igshid=YTgzYjQ4ZTY=")</f>
        <v>https://www.instagram.com/p/Cm6Q62CODzy/?igshid=YTgzYjQ4ZTY=</v>
      </c>
      <c r="Y1175" s="77" t="s">
        <v>4215</v>
      </c>
      <c r="Z1175" s="77" t="s">
        <v>477</v>
      </c>
      <c r="AA1175" s="77"/>
      <c r="AB1175" s="77"/>
      <c r="AC1175" s="81" t="s">
        <v>5804</v>
      </c>
      <c r="AD1175" s="77" t="s">
        <v>5851</v>
      </c>
      <c r="AE1175" s="83" t="str">
        <f>HYPERLINK("https://twitter.com/niurymartins/status/1609867682089963521")</f>
        <v>https://twitter.com/niurymartins/status/1609867682089963521</v>
      </c>
      <c r="AF1175" s="79">
        <v>44928.45994212963</v>
      </c>
      <c r="AG1175" s="85">
        <v>44928</v>
      </c>
      <c r="AH1175" s="81" t="s">
        <v>6839</v>
      </c>
      <c r="AI1175" s="77" t="b">
        <v>0</v>
      </c>
      <c r="AJ1175" s="77"/>
      <c r="AK1175" s="77"/>
      <c r="AL1175" s="77"/>
      <c r="AM1175" s="77"/>
      <c r="AN1175" s="77"/>
      <c r="AO1175" s="77"/>
      <c r="AP1175" s="77"/>
      <c r="AQ1175" s="77"/>
      <c r="AR1175" s="77"/>
      <c r="AS1175" s="77"/>
      <c r="AT1175" s="77"/>
      <c r="AU1175" s="77"/>
      <c r="AV1175" s="83" t="str">
        <f>HYPERLINK("https://pbs.twimg.com/profile_images/1187507375974109184/6C6SL_OC_normal.jpg")</f>
        <v>https://pbs.twimg.com/profile_images/1187507375974109184/6C6SL_OC_normal.jpg</v>
      </c>
      <c r="AW1175" s="81" t="s">
        <v>10297</v>
      </c>
      <c r="AX1175" s="81" t="s">
        <v>10297</v>
      </c>
      <c r="AY1175" s="77"/>
      <c r="AZ1175" s="81" t="s">
        <v>11359</v>
      </c>
      <c r="BA1175" s="81" t="s">
        <v>11359</v>
      </c>
      <c r="BB1175" s="81" t="s">
        <v>11359</v>
      </c>
      <c r="BC1175" s="81" t="s">
        <v>10297</v>
      </c>
      <c r="BD1175" s="77">
        <v>156391967</v>
      </c>
      <c r="BE1175" s="77"/>
      <c r="BF1175" s="77"/>
      <c r="BG1175" s="77"/>
      <c r="BH1175" s="77"/>
      <c r="BI1175" s="77"/>
    </row>
    <row r="1176" spans="1:61" x14ac:dyDescent="0.25">
      <c r="A1176" s="62" t="s">
        <v>478</v>
      </c>
      <c r="B1176" s="62" t="s">
        <v>478</v>
      </c>
      <c r="C1176" s="63"/>
      <c r="D1176" s="64"/>
      <c r="E1176" s="65"/>
      <c r="F1176" s="66"/>
      <c r="G1176" s="63"/>
      <c r="H1176" s="67"/>
      <c r="I1176" s="68"/>
      <c r="J1176" s="68"/>
      <c r="K1176" s="32"/>
      <c r="L1176" s="75">
        <v>1176</v>
      </c>
      <c r="M1176" s="75"/>
      <c r="N1176" s="70"/>
      <c r="O1176" s="77" t="s">
        <v>179</v>
      </c>
      <c r="P1176" s="79">
        <v>44964.978819444441</v>
      </c>
      <c r="Q1176" s="77" t="s">
        <v>1976</v>
      </c>
      <c r="R1176" s="77">
        <v>109</v>
      </c>
      <c r="S1176" s="77">
        <v>767</v>
      </c>
      <c r="T1176" s="77">
        <v>120</v>
      </c>
      <c r="U1176" s="77">
        <v>6</v>
      </c>
      <c r="V1176" s="77">
        <v>329701</v>
      </c>
      <c r="W1176" s="81" t="s">
        <v>3529</v>
      </c>
      <c r="X1176" s="77"/>
      <c r="Y1176" s="77"/>
      <c r="Z1176" s="77"/>
      <c r="AA1176" s="77" t="s">
        <v>5154</v>
      </c>
      <c r="AB1176" s="77" t="s">
        <v>5795</v>
      </c>
      <c r="AC1176" s="81" t="s">
        <v>5805</v>
      </c>
      <c r="AD1176" s="77" t="s">
        <v>5850</v>
      </c>
      <c r="AE1176" s="83" t="str">
        <f>HYPERLINK("https://twitter.com/quepocamadre_mx/status/1623101680026877953")</f>
        <v>https://twitter.com/quepocamadre_mx/status/1623101680026877953</v>
      </c>
      <c r="AF1176" s="79">
        <v>44964.978819444441</v>
      </c>
      <c r="AG1176" s="85">
        <v>44964</v>
      </c>
      <c r="AH1176" s="81" t="s">
        <v>6840</v>
      </c>
      <c r="AI1176" s="77" t="b">
        <v>0</v>
      </c>
      <c r="AJ1176" s="77"/>
      <c r="AK1176" s="77"/>
      <c r="AL1176" s="77"/>
      <c r="AM1176" s="77"/>
      <c r="AN1176" s="77"/>
      <c r="AO1176" s="77"/>
      <c r="AP1176" s="77"/>
      <c r="AQ1176" s="77" t="s">
        <v>8657</v>
      </c>
      <c r="AR1176" s="77">
        <v>44970</v>
      </c>
      <c r="AS1176" s="77"/>
      <c r="AT1176" s="77"/>
      <c r="AU1176" s="77"/>
      <c r="AV1176" s="83" t="str">
        <f>HYPERLINK("https://pbs.twimg.com/ext_tw_video_thumb/1623101634975858689/pu/img/HWvz_tnRpUOnu-UJ.jpg")</f>
        <v>https://pbs.twimg.com/ext_tw_video_thumb/1623101634975858689/pu/img/HWvz_tnRpUOnu-UJ.jpg</v>
      </c>
      <c r="AW1176" s="81" t="s">
        <v>10298</v>
      </c>
      <c r="AX1176" s="81" t="s">
        <v>10298</v>
      </c>
      <c r="AY1176" s="77"/>
      <c r="AZ1176" s="81" t="s">
        <v>11359</v>
      </c>
      <c r="BA1176" s="81" t="s">
        <v>11359</v>
      </c>
      <c r="BB1176" s="81" t="s">
        <v>11359</v>
      </c>
      <c r="BC1176" s="81" t="s">
        <v>10298</v>
      </c>
      <c r="BD1176" s="81" t="s">
        <v>11530</v>
      </c>
      <c r="BE1176" s="77"/>
      <c r="BF1176" s="77"/>
      <c r="BG1176" s="77"/>
      <c r="BH1176" s="77"/>
      <c r="BI1176" s="77"/>
    </row>
    <row r="1177" spans="1:61" x14ac:dyDescent="0.25">
      <c r="A1177" s="62" t="s">
        <v>479</v>
      </c>
      <c r="B1177" s="62" t="s">
        <v>479</v>
      </c>
      <c r="C1177" s="63"/>
      <c r="D1177" s="64"/>
      <c r="E1177" s="65"/>
      <c r="F1177" s="66"/>
      <c r="G1177" s="63"/>
      <c r="H1177" s="67"/>
      <c r="I1177" s="68"/>
      <c r="J1177" s="68"/>
      <c r="K1177" s="32"/>
      <c r="L1177" s="75">
        <v>1177</v>
      </c>
      <c r="M1177" s="75"/>
      <c r="N1177" s="70"/>
      <c r="O1177" s="77" t="s">
        <v>179</v>
      </c>
      <c r="P1177" s="79">
        <v>44942.519375000003</v>
      </c>
      <c r="Q1177" s="77" t="s">
        <v>1977</v>
      </c>
      <c r="R1177" s="77">
        <v>0</v>
      </c>
      <c r="S1177" s="77">
        <v>0</v>
      </c>
      <c r="T1177" s="77">
        <v>0</v>
      </c>
      <c r="U1177" s="77">
        <v>0</v>
      </c>
      <c r="V1177" s="77">
        <v>13</v>
      </c>
      <c r="W1177" s="81" t="s">
        <v>3530</v>
      </c>
      <c r="X1177" s="77"/>
      <c r="Y1177" s="77"/>
      <c r="Z1177" s="77"/>
      <c r="AA1177" s="77"/>
      <c r="AB1177" s="77"/>
      <c r="AC1177" s="81" t="s">
        <v>5805</v>
      </c>
      <c r="AD1177" s="77" t="s">
        <v>5850</v>
      </c>
      <c r="AE1177" s="83" t="str">
        <f>HYPERLINK("https://twitter.com/habiteoes/status/1614962649048965126")</f>
        <v>https://twitter.com/habiteoes/status/1614962649048965126</v>
      </c>
      <c r="AF1177" s="79">
        <v>44942.519375000003</v>
      </c>
      <c r="AG1177" s="85">
        <v>44942</v>
      </c>
      <c r="AH1177" s="81" t="s">
        <v>6841</v>
      </c>
      <c r="AI1177" s="77" t="b">
        <v>0</v>
      </c>
      <c r="AJ1177" s="77"/>
      <c r="AK1177" s="77"/>
      <c r="AL1177" s="77"/>
      <c r="AM1177" s="77"/>
      <c r="AN1177" s="77"/>
      <c r="AO1177" s="77"/>
      <c r="AP1177" s="77"/>
      <c r="AQ1177" s="77"/>
      <c r="AR1177" s="77"/>
      <c r="AS1177" s="77"/>
      <c r="AT1177" s="77"/>
      <c r="AU1177" s="77"/>
      <c r="AV1177" s="83" t="str">
        <f>HYPERLINK("https://pbs.twimg.com/profile_images/1023803317619773440/QtAz359u_normal.jpg")</f>
        <v>https://pbs.twimg.com/profile_images/1023803317619773440/QtAz359u_normal.jpg</v>
      </c>
      <c r="AW1177" s="81" t="s">
        <v>10299</v>
      </c>
      <c r="AX1177" s="81" t="s">
        <v>10299</v>
      </c>
      <c r="AY1177" s="77"/>
      <c r="AZ1177" s="81" t="s">
        <v>11359</v>
      </c>
      <c r="BA1177" s="81" t="s">
        <v>11359</v>
      </c>
      <c r="BB1177" s="81" t="s">
        <v>11359</v>
      </c>
      <c r="BC1177" s="81" t="s">
        <v>10299</v>
      </c>
      <c r="BD1177" s="81" t="s">
        <v>11531</v>
      </c>
      <c r="BE1177" s="77"/>
      <c r="BF1177" s="77"/>
      <c r="BG1177" s="77"/>
      <c r="BH1177" s="77"/>
      <c r="BI1177" s="77"/>
    </row>
    <row r="1178" spans="1:61" x14ac:dyDescent="0.25">
      <c r="A1178" s="62" t="s">
        <v>480</v>
      </c>
      <c r="B1178" s="62" t="s">
        <v>480</v>
      </c>
      <c r="C1178" s="63"/>
      <c r="D1178" s="64"/>
      <c r="E1178" s="65"/>
      <c r="F1178" s="66"/>
      <c r="G1178" s="63"/>
      <c r="H1178" s="67"/>
      <c r="I1178" s="68"/>
      <c r="J1178" s="68"/>
      <c r="K1178" s="32"/>
      <c r="L1178" s="75">
        <v>1178</v>
      </c>
      <c r="M1178" s="75"/>
      <c r="N1178" s="70"/>
      <c r="O1178" s="77" t="s">
        <v>969</v>
      </c>
      <c r="P1178" s="79">
        <v>44934.769629629627</v>
      </c>
      <c r="Q1178" s="77" t="s">
        <v>1978</v>
      </c>
      <c r="R1178" s="77">
        <v>0</v>
      </c>
      <c r="S1178" s="77">
        <v>0</v>
      </c>
      <c r="T1178" s="77">
        <v>0</v>
      </c>
      <c r="U1178" s="77">
        <v>0</v>
      </c>
      <c r="V1178" s="77">
        <v>6</v>
      </c>
      <c r="W1178" s="81" t="s">
        <v>2947</v>
      </c>
      <c r="X1178" s="77"/>
      <c r="Y1178" s="77"/>
      <c r="Z1178" s="77" t="s">
        <v>4377</v>
      </c>
      <c r="AA1178" s="77"/>
      <c r="AB1178" s="77"/>
      <c r="AC1178" s="81" t="s">
        <v>5801</v>
      </c>
      <c r="AD1178" s="77" t="s">
        <v>5850</v>
      </c>
      <c r="AE1178" s="83" t="str">
        <f>HYPERLINK("https://twitter.com/el_ruana/status/1612154235562360832")</f>
        <v>https://twitter.com/el_ruana/status/1612154235562360832</v>
      </c>
      <c r="AF1178" s="79">
        <v>44934.769629629627</v>
      </c>
      <c r="AG1178" s="85">
        <v>44934</v>
      </c>
      <c r="AH1178" s="81" t="s">
        <v>6842</v>
      </c>
      <c r="AI1178" s="77"/>
      <c r="AJ1178" s="77"/>
      <c r="AK1178" s="77"/>
      <c r="AL1178" s="77"/>
      <c r="AM1178" s="77"/>
      <c r="AN1178" s="77"/>
      <c r="AO1178" s="77"/>
      <c r="AP1178" s="77"/>
      <c r="AQ1178" s="77"/>
      <c r="AR1178" s="77"/>
      <c r="AS1178" s="77"/>
      <c r="AT1178" s="77"/>
      <c r="AU1178" s="77"/>
      <c r="AV1178" s="83" t="str">
        <f>HYPERLINK("https://pbs.twimg.com/profile_images/1540320004469669890/Z7ouVCDf_normal.jpg")</f>
        <v>https://pbs.twimg.com/profile_images/1540320004469669890/Z7ouVCDf_normal.jpg</v>
      </c>
      <c r="AW1178" s="81" t="s">
        <v>10300</v>
      </c>
      <c r="AX1178" s="81" t="s">
        <v>11286</v>
      </c>
      <c r="AY1178" s="81" t="s">
        <v>11335</v>
      </c>
      <c r="AZ1178" s="81" t="s">
        <v>11365</v>
      </c>
      <c r="BA1178" s="81" t="s">
        <v>11359</v>
      </c>
      <c r="BB1178" s="81" t="s">
        <v>11359</v>
      </c>
      <c r="BC1178" s="81" t="s">
        <v>11365</v>
      </c>
      <c r="BD1178" s="81" t="s">
        <v>11335</v>
      </c>
      <c r="BE1178" s="77"/>
      <c r="BF1178" s="77"/>
      <c r="BG1178" s="77"/>
      <c r="BH1178" s="77"/>
      <c r="BI1178" s="77"/>
    </row>
    <row r="1179" spans="1:61" x14ac:dyDescent="0.25">
      <c r="A1179" s="62" t="s">
        <v>481</v>
      </c>
      <c r="B1179" s="62" t="s">
        <v>481</v>
      </c>
      <c r="C1179" s="63"/>
      <c r="D1179" s="64"/>
      <c r="E1179" s="65"/>
      <c r="F1179" s="66"/>
      <c r="G1179" s="63"/>
      <c r="H1179" s="67"/>
      <c r="I1179" s="68"/>
      <c r="J1179" s="68"/>
      <c r="K1179" s="32"/>
      <c r="L1179" s="75">
        <v>1179</v>
      </c>
      <c r="M1179" s="75"/>
      <c r="N1179" s="70"/>
      <c r="O1179" s="77" t="s">
        <v>179</v>
      </c>
      <c r="P1179" s="79">
        <v>45125.71471064815</v>
      </c>
      <c r="Q1179" s="77" t="s">
        <v>1979</v>
      </c>
      <c r="R1179" s="77">
        <v>1</v>
      </c>
      <c r="S1179" s="77">
        <v>0</v>
      </c>
      <c r="T1179" s="77">
        <v>0</v>
      </c>
      <c r="U1179" s="77">
        <v>0</v>
      </c>
      <c r="V1179" s="77">
        <v>54</v>
      </c>
      <c r="W1179" s="81" t="s">
        <v>3531</v>
      </c>
      <c r="X1179" s="77"/>
      <c r="Y1179" s="77"/>
      <c r="Z1179" s="77"/>
      <c r="AA1179" s="77" t="s">
        <v>5155</v>
      </c>
      <c r="AB1179" s="77" t="s">
        <v>5794</v>
      </c>
      <c r="AC1179" s="81" t="s">
        <v>5803</v>
      </c>
      <c r="AD1179" s="77" t="s">
        <v>5853</v>
      </c>
      <c r="AE1179" s="83" t="str">
        <f>HYPERLINK("https://twitter.com/roollingstar/status/1681350415454027804")</f>
        <v>https://twitter.com/roollingstar/status/1681350415454027804</v>
      </c>
      <c r="AF1179" s="79">
        <v>45125.71471064815</v>
      </c>
      <c r="AG1179" s="85">
        <v>45125</v>
      </c>
      <c r="AH1179" s="81" t="s">
        <v>6843</v>
      </c>
      <c r="AI1179" s="77" t="b">
        <v>0</v>
      </c>
      <c r="AJ1179" s="77"/>
      <c r="AK1179" s="77"/>
      <c r="AL1179" s="77"/>
      <c r="AM1179" s="77"/>
      <c r="AN1179" s="77"/>
      <c r="AO1179" s="77"/>
      <c r="AP1179" s="77"/>
      <c r="AQ1179" s="77" t="s">
        <v>8658</v>
      </c>
      <c r="AR1179" s="77"/>
      <c r="AS1179" s="77"/>
      <c r="AT1179" s="77"/>
      <c r="AU1179" s="77"/>
      <c r="AV1179" s="83" t="str">
        <f>HYPERLINK("https://pbs.twimg.com/media/F1VbSnIakAEGEJQ.jpg")</f>
        <v>https://pbs.twimg.com/media/F1VbSnIakAEGEJQ.jpg</v>
      </c>
      <c r="AW1179" s="81" t="s">
        <v>10301</v>
      </c>
      <c r="AX1179" s="81" t="s">
        <v>10301</v>
      </c>
      <c r="AY1179" s="77"/>
      <c r="AZ1179" s="81" t="s">
        <v>11359</v>
      </c>
      <c r="BA1179" s="81" t="s">
        <v>11359</v>
      </c>
      <c r="BB1179" s="81" t="s">
        <v>11359</v>
      </c>
      <c r="BC1179" s="81" t="s">
        <v>10301</v>
      </c>
      <c r="BD1179" s="77">
        <v>100163645</v>
      </c>
      <c r="BE1179" s="77"/>
      <c r="BF1179" s="77"/>
      <c r="BG1179" s="77"/>
      <c r="BH1179" s="77"/>
      <c r="BI1179" s="77"/>
    </row>
    <row r="1180" spans="1:61" x14ac:dyDescent="0.25">
      <c r="A1180" s="62" t="s">
        <v>482</v>
      </c>
      <c r="B1180" s="62" t="s">
        <v>482</v>
      </c>
      <c r="C1180" s="63"/>
      <c r="D1180" s="64"/>
      <c r="E1180" s="65"/>
      <c r="F1180" s="66"/>
      <c r="G1180" s="63"/>
      <c r="H1180" s="67"/>
      <c r="I1180" s="68"/>
      <c r="J1180" s="68"/>
      <c r="K1180" s="32"/>
      <c r="L1180" s="75">
        <v>1180</v>
      </c>
      <c r="M1180" s="75"/>
      <c r="N1180" s="70"/>
      <c r="O1180" s="77" t="s">
        <v>179</v>
      </c>
      <c r="P1180" s="79">
        <v>45120.575659722221</v>
      </c>
      <c r="Q1180" s="77" t="s">
        <v>1980</v>
      </c>
      <c r="R1180" s="77">
        <v>0</v>
      </c>
      <c r="S1180" s="77">
        <v>0</v>
      </c>
      <c r="T1180" s="77">
        <v>0</v>
      </c>
      <c r="U1180" s="77">
        <v>0</v>
      </c>
      <c r="V1180" s="77">
        <v>252</v>
      </c>
      <c r="W1180" s="81" t="s">
        <v>3532</v>
      </c>
      <c r="X1180" s="83" t="str">
        <f>HYPERLINK("https://mwl.press/IB298342")</f>
        <v>https://mwl.press/IB298342</v>
      </c>
      <c r="Y1180" s="77" t="s">
        <v>4283</v>
      </c>
      <c r="Z1180" s="77"/>
      <c r="AA1180" s="77"/>
      <c r="AB1180" s="77"/>
      <c r="AC1180" s="81" t="s">
        <v>5831</v>
      </c>
      <c r="AD1180" s="77" t="s">
        <v>5851</v>
      </c>
      <c r="AE1180" s="83" t="str">
        <f>HYPERLINK("https://twitter.com/ibahia/status/1679488084210245632")</f>
        <v>https://twitter.com/ibahia/status/1679488084210245632</v>
      </c>
      <c r="AF1180" s="79">
        <v>45120.575659722221</v>
      </c>
      <c r="AG1180" s="85">
        <v>45120</v>
      </c>
      <c r="AH1180" s="81" t="s">
        <v>6844</v>
      </c>
      <c r="AI1180" s="77" t="b">
        <v>0</v>
      </c>
      <c r="AJ1180" s="77"/>
      <c r="AK1180" s="77"/>
      <c r="AL1180" s="77"/>
      <c r="AM1180" s="77"/>
      <c r="AN1180" s="77"/>
      <c r="AO1180" s="77"/>
      <c r="AP1180" s="77"/>
      <c r="AQ1180" s="77"/>
      <c r="AR1180" s="77"/>
      <c r="AS1180" s="77"/>
      <c r="AT1180" s="77"/>
      <c r="AU1180" s="77"/>
      <c r="AV1180" s="83" t="str">
        <f>HYPERLINK("https://pbs.twimg.com/profile_images/1524490174071246849/Ts-pJmFi_normal.jpg")</f>
        <v>https://pbs.twimg.com/profile_images/1524490174071246849/Ts-pJmFi_normal.jpg</v>
      </c>
      <c r="AW1180" s="81" t="s">
        <v>10302</v>
      </c>
      <c r="AX1180" s="81" t="s">
        <v>10302</v>
      </c>
      <c r="AY1180" s="77"/>
      <c r="AZ1180" s="81" t="s">
        <v>11359</v>
      </c>
      <c r="BA1180" s="81" t="s">
        <v>11359</v>
      </c>
      <c r="BB1180" s="81" t="s">
        <v>11359</v>
      </c>
      <c r="BC1180" s="81" t="s">
        <v>10302</v>
      </c>
      <c r="BD1180" s="77">
        <v>15850306</v>
      </c>
      <c r="BE1180" s="77"/>
      <c r="BF1180" s="77"/>
      <c r="BG1180" s="77"/>
      <c r="BH1180" s="77"/>
      <c r="BI1180" s="77"/>
    </row>
    <row r="1181" spans="1:61" x14ac:dyDescent="0.25">
      <c r="A1181" s="62" t="s">
        <v>483</v>
      </c>
      <c r="B1181" s="62" t="s">
        <v>483</v>
      </c>
      <c r="C1181" s="63"/>
      <c r="D1181" s="64"/>
      <c r="E1181" s="65"/>
      <c r="F1181" s="66"/>
      <c r="G1181" s="63"/>
      <c r="H1181" s="67"/>
      <c r="I1181" s="68"/>
      <c r="J1181" s="68"/>
      <c r="K1181" s="32"/>
      <c r="L1181" s="75">
        <v>1181</v>
      </c>
      <c r="M1181" s="75"/>
      <c r="N1181" s="70"/>
      <c r="O1181" s="77" t="s">
        <v>179</v>
      </c>
      <c r="P1181" s="79">
        <v>44997.247233796297</v>
      </c>
      <c r="Q1181" s="77" t="s">
        <v>1981</v>
      </c>
      <c r="R1181" s="77">
        <v>0</v>
      </c>
      <c r="S1181" s="77">
        <v>0</v>
      </c>
      <c r="T1181" s="77">
        <v>0</v>
      </c>
      <c r="U1181" s="77">
        <v>0</v>
      </c>
      <c r="V1181" s="77">
        <v>84</v>
      </c>
      <c r="W1181" s="81" t="s">
        <v>3533</v>
      </c>
      <c r="X1181" s="83" t="str">
        <f>HYPERLINK("https://www.instagram.com/p/CprYuBTuwKi/?igshid=YTgzYjQ4ZTY=")</f>
        <v>https://www.instagram.com/p/CprYuBTuwKi/?igshid=YTgzYjQ4ZTY=</v>
      </c>
      <c r="Y1181" s="77" t="s">
        <v>4215</v>
      </c>
      <c r="Z1181" s="77"/>
      <c r="AA1181" s="77"/>
      <c r="AB1181" s="77"/>
      <c r="AC1181" s="81" t="s">
        <v>5804</v>
      </c>
      <c r="AD1181" s="77" t="s">
        <v>5851</v>
      </c>
      <c r="AE1181" s="83" t="str">
        <f>HYPERLINK("https://twitter.com/vpinguim/status/1634795360546684928")</f>
        <v>https://twitter.com/vpinguim/status/1634795360546684928</v>
      </c>
      <c r="AF1181" s="79">
        <v>44997.247233796297</v>
      </c>
      <c r="AG1181" s="85">
        <v>44997</v>
      </c>
      <c r="AH1181" s="81" t="s">
        <v>6845</v>
      </c>
      <c r="AI1181" s="77" t="b">
        <v>1</v>
      </c>
      <c r="AJ1181" s="77"/>
      <c r="AK1181" s="77"/>
      <c r="AL1181" s="77"/>
      <c r="AM1181" s="77"/>
      <c r="AN1181" s="77"/>
      <c r="AO1181" s="77"/>
      <c r="AP1181" s="77"/>
      <c r="AQ1181" s="77"/>
      <c r="AR1181" s="77"/>
      <c r="AS1181" s="77"/>
      <c r="AT1181" s="77"/>
      <c r="AU1181" s="77"/>
      <c r="AV1181" s="83" t="str">
        <f>HYPERLINK("https://pbs.twimg.com/profile_images/1628949905015287808/4QxyVyNF_normal.jpg")</f>
        <v>https://pbs.twimg.com/profile_images/1628949905015287808/4QxyVyNF_normal.jpg</v>
      </c>
      <c r="AW1181" s="81" t="s">
        <v>10303</v>
      </c>
      <c r="AX1181" s="81" t="s">
        <v>10303</v>
      </c>
      <c r="AY1181" s="77"/>
      <c r="AZ1181" s="81" t="s">
        <v>11359</v>
      </c>
      <c r="BA1181" s="81" t="s">
        <v>11359</v>
      </c>
      <c r="BB1181" s="81" t="s">
        <v>11359</v>
      </c>
      <c r="BC1181" s="81" t="s">
        <v>10303</v>
      </c>
      <c r="BD1181" s="77">
        <v>2184751331</v>
      </c>
      <c r="BE1181" s="77"/>
      <c r="BF1181" s="77"/>
      <c r="BG1181" s="77"/>
      <c r="BH1181" s="77"/>
      <c r="BI1181" s="77"/>
    </row>
    <row r="1182" spans="1:61" x14ac:dyDescent="0.25">
      <c r="A1182" s="62" t="s">
        <v>483</v>
      </c>
      <c r="B1182" s="62" t="s">
        <v>483</v>
      </c>
      <c r="C1182" s="63"/>
      <c r="D1182" s="64"/>
      <c r="E1182" s="65"/>
      <c r="F1182" s="66"/>
      <c r="G1182" s="63"/>
      <c r="H1182" s="67"/>
      <c r="I1182" s="68"/>
      <c r="J1182" s="68"/>
      <c r="K1182" s="32"/>
      <c r="L1182" s="75">
        <v>1182</v>
      </c>
      <c r="M1182" s="75"/>
      <c r="N1182" s="70"/>
      <c r="O1182" s="77" t="s">
        <v>179</v>
      </c>
      <c r="P1182" s="79">
        <v>45006.492094907408</v>
      </c>
      <c r="Q1182" s="77" t="s">
        <v>1982</v>
      </c>
      <c r="R1182" s="77">
        <v>0</v>
      </c>
      <c r="S1182" s="77">
        <v>0</v>
      </c>
      <c r="T1182" s="77">
        <v>0</v>
      </c>
      <c r="U1182" s="77">
        <v>0</v>
      </c>
      <c r="V1182" s="77">
        <v>84</v>
      </c>
      <c r="W1182" s="81" t="s">
        <v>3534</v>
      </c>
      <c r="X1182" s="83" t="str">
        <f>HYPERLINK("https://www.instagram.com/p/CqDMOKLOKXe/?igshid=YTgzYjQ4ZTY=")</f>
        <v>https://www.instagram.com/p/CqDMOKLOKXe/?igshid=YTgzYjQ4ZTY=</v>
      </c>
      <c r="Y1182" s="77" t="s">
        <v>4215</v>
      </c>
      <c r="Z1182" s="77"/>
      <c r="AA1182" s="77"/>
      <c r="AB1182" s="77"/>
      <c r="AC1182" s="81" t="s">
        <v>5804</v>
      </c>
      <c r="AD1182" s="77" t="s">
        <v>5851</v>
      </c>
      <c r="AE1182" s="83" t="str">
        <f>HYPERLINK("https://twitter.com/vpinguim/status/1638145585772371970")</f>
        <v>https://twitter.com/vpinguim/status/1638145585772371970</v>
      </c>
      <c r="AF1182" s="79">
        <v>45006.492094907408</v>
      </c>
      <c r="AG1182" s="85">
        <v>45006</v>
      </c>
      <c r="AH1182" s="81" t="s">
        <v>6846</v>
      </c>
      <c r="AI1182" s="77" t="b">
        <v>1</v>
      </c>
      <c r="AJ1182" s="77"/>
      <c r="AK1182" s="77"/>
      <c r="AL1182" s="77"/>
      <c r="AM1182" s="77"/>
      <c r="AN1182" s="77"/>
      <c r="AO1182" s="77"/>
      <c r="AP1182" s="77"/>
      <c r="AQ1182" s="77"/>
      <c r="AR1182" s="77"/>
      <c r="AS1182" s="77"/>
      <c r="AT1182" s="77"/>
      <c r="AU1182" s="77"/>
      <c r="AV1182" s="83" t="str">
        <f>HYPERLINK("https://pbs.twimg.com/profile_images/1628949905015287808/4QxyVyNF_normal.jpg")</f>
        <v>https://pbs.twimg.com/profile_images/1628949905015287808/4QxyVyNF_normal.jpg</v>
      </c>
      <c r="AW1182" s="81" t="s">
        <v>10304</v>
      </c>
      <c r="AX1182" s="81" t="s">
        <v>10304</v>
      </c>
      <c r="AY1182" s="77"/>
      <c r="AZ1182" s="81" t="s">
        <v>11359</v>
      </c>
      <c r="BA1182" s="81" t="s">
        <v>11359</v>
      </c>
      <c r="BB1182" s="81" t="s">
        <v>11359</v>
      </c>
      <c r="BC1182" s="81" t="s">
        <v>10304</v>
      </c>
      <c r="BD1182" s="77">
        <v>2184751331</v>
      </c>
      <c r="BE1182" s="77"/>
      <c r="BF1182" s="77"/>
      <c r="BG1182" s="77"/>
      <c r="BH1182" s="77"/>
      <c r="BI1182" s="77"/>
    </row>
    <row r="1183" spans="1:61" x14ac:dyDescent="0.25">
      <c r="A1183" s="62" t="s">
        <v>484</v>
      </c>
      <c r="B1183" s="62" t="s">
        <v>924</v>
      </c>
      <c r="C1183" s="63"/>
      <c r="D1183" s="64"/>
      <c r="E1183" s="65"/>
      <c r="F1183" s="66"/>
      <c r="G1183" s="63"/>
      <c r="H1183" s="67"/>
      <c r="I1183" s="68"/>
      <c r="J1183" s="68"/>
      <c r="K1183" s="32"/>
      <c r="L1183" s="75">
        <v>1183</v>
      </c>
      <c r="M1183" s="75"/>
      <c r="N1183" s="70"/>
      <c r="O1183" s="77" t="s">
        <v>967</v>
      </c>
      <c r="P1183" s="79">
        <v>45088.642962962964</v>
      </c>
      <c r="Q1183" s="77" t="s">
        <v>1983</v>
      </c>
      <c r="R1183" s="77">
        <v>0</v>
      </c>
      <c r="S1183" s="77">
        <v>0</v>
      </c>
      <c r="T1183" s="77">
        <v>0</v>
      </c>
      <c r="U1183" s="77">
        <v>0</v>
      </c>
      <c r="V1183" s="77">
        <v>78</v>
      </c>
      <c r="W1183" s="81" t="s">
        <v>3535</v>
      </c>
      <c r="X1183" s="77"/>
      <c r="Y1183" s="77"/>
      <c r="Z1183" s="77" t="s">
        <v>924</v>
      </c>
      <c r="AA1183" s="77" t="s">
        <v>5156</v>
      </c>
      <c r="AB1183" s="77" t="s">
        <v>5795</v>
      </c>
      <c r="AC1183" s="81" t="s">
        <v>5801</v>
      </c>
      <c r="AD1183" s="77" t="s">
        <v>5851</v>
      </c>
      <c r="AE1183" s="83" t="str">
        <f>HYPERLINK("https://twitter.com/euqueroameta/status/1667916061658828800")</f>
        <v>https://twitter.com/euqueroameta/status/1667916061658828800</v>
      </c>
      <c r="AF1183" s="79">
        <v>45088.642962962964</v>
      </c>
      <c r="AG1183" s="85">
        <v>45088</v>
      </c>
      <c r="AH1183" s="81" t="s">
        <v>6847</v>
      </c>
      <c r="AI1183" s="77" t="b">
        <v>0</v>
      </c>
      <c r="AJ1183" s="77"/>
      <c r="AK1183" s="77"/>
      <c r="AL1183" s="77"/>
      <c r="AM1183" s="77"/>
      <c r="AN1183" s="77"/>
      <c r="AO1183" s="77"/>
      <c r="AP1183" s="77"/>
      <c r="AQ1183" s="77" t="s">
        <v>8659</v>
      </c>
      <c r="AR1183" s="77">
        <v>44993</v>
      </c>
      <c r="AS1183" s="77"/>
      <c r="AT1183" s="77"/>
      <c r="AU1183" s="77"/>
      <c r="AV1183" s="83" t="str">
        <f>HYPERLINK("https://pbs.twimg.com/ext_tw_video_thumb/1667915788047511553/pu/img/vFALCjQSjBfQ3Wbv.jpg")</f>
        <v>https://pbs.twimg.com/ext_tw_video_thumb/1667915788047511553/pu/img/vFALCjQSjBfQ3Wbv.jpg</v>
      </c>
      <c r="AW1183" s="81" t="s">
        <v>10305</v>
      </c>
      <c r="AX1183" s="81" t="s">
        <v>10305</v>
      </c>
      <c r="AY1183" s="77"/>
      <c r="AZ1183" s="81" t="s">
        <v>11359</v>
      </c>
      <c r="BA1183" s="81" t="s">
        <v>11359</v>
      </c>
      <c r="BB1183" s="81" t="s">
        <v>11359</v>
      </c>
      <c r="BC1183" s="81" t="s">
        <v>10305</v>
      </c>
      <c r="BD1183" s="81" t="s">
        <v>11532</v>
      </c>
      <c r="BE1183" s="77"/>
      <c r="BF1183" s="77"/>
      <c r="BG1183" s="77"/>
      <c r="BH1183" s="77"/>
      <c r="BI1183" s="77"/>
    </row>
    <row r="1184" spans="1:61" x14ac:dyDescent="0.25">
      <c r="A1184" s="62" t="s">
        <v>484</v>
      </c>
      <c r="B1184" s="62" t="s">
        <v>484</v>
      </c>
      <c r="C1184" s="63"/>
      <c r="D1184" s="64"/>
      <c r="E1184" s="65"/>
      <c r="F1184" s="66"/>
      <c r="G1184" s="63"/>
      <c r="H1184" s="67"/>
      <c r="I1184" s="68"/>
      <c r="J1184" s="68"/>
      <c r="K1184" s="32"/>
      <c r="L1184" s="75">
        <v>1184</v>
      </c>
      <c r="M1184" s="75"/>
      <c r="N1184" s="70"/>
      <c r="O1184" s="77" t="s">
        <v>179</v>
      </c>
      <c r="P1184" s="79">
        <v>45087.708738425928</v>
      </c>
      <c r="Q1184" s="77" t="s">
        <v>1984</v>
      </c>
      <c r="R1184" s="77">
        <v>0</v>
      </c>
      <c r="S1184" s="77">
        <v>0</v>
      </c>
      <c r="T1184" s="77">
        <v>0</v>
      </c>
      <c r="U1184" s="77">
        <v>1</v>
      </c>
      <c r="V1184" s="77">
        <v>36</v>
      </c>
      <c r="W1184" s="81" t="s">
        <v>3536</v>
      </c>
      <c r="X1184" s="77"/>
      <c r="Y1184" s="77"/>
      <c r="Z1184" s="77"/>
      <c r="AA1184" s="77" t="s">
        <v>5157</v>
      </c>
      <c r="AB1184" s="77" t="s">
        <v>5795</v>
      </c>
      <c r="AC1184" s="81" t="s">
        <v>5801</v>
      </c>
      <c r="AD1184" s="77" t="s">
        <v>5851</v>
      </c>
      <c r="AE1184" s="83" t="str">
        <f>HYPERLINK("https://twitter.com/euqueroameta/status/1667577513034358784")</f>
        <v>https://twitter.com/euqueroameta/status/1667577513034358784</v>
      </c>
      <c r="AF1184" s="79">
        <v>45087.708738425928</v>
      </c>
      <c r="AG1184" s="85">
        <v>45087</v>
      </c>
      <c r="AH1184" s="81" t="s">
        <v>6848</v>
      </c>
      <c r="AI1184" s="77" t="b">
        <v>0</v>
      </c>
      <c r="AJ1184" s="77"/>
      <c r="AK1184" s="77"/>
      <c r="AL1184" s="77"/>
      <c r="AM1184" s="77"/>
      <c r="AN1184" s="77"/>
      <c r="AO1184" s="77"/>
      <c r="AP1184" s="77"/>
      <c r="AQ1184" s="77" t="s">
        <v>8660</v>
      </c>
      <c r="AR1184" s="77">
        <v>29566</v>
      </c>
      <c r="AS1184" s="77"/>
      <c r="AT1184" s="77"/>
      <c r="AU1184" s="77"/>
      <c r="AV1184" s="83" t="str">
        <f>HYPERLINK("https://pbs.twimg.com/ext_tw_video_thumb/1667577444415545344/pu/img/eJbTTQN63Bh2otKW.jpg")</f>
        <v>https://pbs.twimg.com/ext_tw_video_thumb/1667577444415545344/pu/img/eJbTTQN63Bh2otKW.jpg</v>
      </c>
      <c r="AW1184" s="81" t="s">
        <v>10306</v>
      </c>
      <c r="AX1184" s="81" t="s">
        <v>10306</v>
      </c>
      <c r="AY1184" s="77"/>
      <c r="AZ1184" s="81" t="s">
        <v>11359</v>
      </c>
      <c r="BA1184" s="81" t="s">
        <v>11359</v>
      </c>
      <c r="BB1184" s="81" t="s">
        <v>11359</v>
      </c>
      <c r="BC1184" s="81" t="s">
        <v>10306</v>
      </c>
      <c r="BD1184" s="81" t="s">
        <v>11532</v>
      </c>
      <c r="BE1184" s="77"/>
      <c r="BF1184" s="77"/>
      <c r="BG1184" s="77"/>
      <c r="BH1184" s="77"/>
      <c r="BI1184" s="77"/>
    </row>
    <row r="1185" spans="1:61" x14ac:dyDescent="0.25">
      <c r="A1185" s="62" t="s">
        <v>484</v>
      </c>
      <c r="B1185" s="62" t="s">
        <v>484</v>
      </c>
      <c r="C1185" s="63"/>
      <c r="D1185" s="64"/>
      <c r="E1185" s="65"/>
      <c r="F1185" s="66"/>
      <c r="G1185" s="63"/>
      <c r="H1185" s="67"/>
      <c r="I1185" s="68"/>
      <c r="J1185" s="68"/>
      <c r="K1185" s="32"/>
      <c r="L1185" s="75">
        <v>1185</v>
      </c>
      <c r="M1185" s="75"/>
      <c r="N1185" s="70"/>
      <c r="O1185" s="77" t="s">
        <v>179</v>
      </c>
      <c r="P1185" s="79">
        <v>45087.66165509259</v>
      </c>
      <c r="Q1185" s="77" t="s">
        <v>1985</v>
      </c>
      <c r="R1185" s="77">
        <v>0</v>
      </c>
      <c r="S1185" s="77">
        <v>0</v>
      </c>
      <c r="T1185" s="77">
        <v>0</v>
      </c>
      <c r="U1185" s="77">
        <v>0</v>
      </c>
      <c r="V1185" s="77">
        <v>21</v>
      </c>
      <c r="W1185" s="81" t="s">
        <v>3537</v>
      </c>
      <c r="X1185" s="77"/>
      <c r="Y1185" s="77"/>
      <c r="Z1185" s="77"/>
      <c r="AA1185" s="77" t="s">
        <v>5158</v>
      </c>
      <c r="AB1185" s="77" t="s">
        <v>5795</v>
      </c>
      <c r="AC1185" s="81" t="s">
        <v>5801</v>
      </c>
      <c r="AD1185" s="77" t="s">
        <v>5851</v>
      </c>
      <c r="AE1185" s="83" t="str">
        <f>HYPERLINK("https://twitter.com/euqueroameta/status/1667560448911130626")</f>
        <v>https://twitter.com/euqueroameta/status/1667560448911130626</v>
      </c>
      <c r="AF1185" s="79">
        <v>45087.66165509259</v>
      </c>
      <c r="AG1185" s="85">
        <v>45087</v>
      </c>
      <c r="AH1185" s="81" t="s">
        <v>6849</v>
      </c>
      <c r="AI1185" s="77" t="b">
        <v>0</v>
      </c>
      <c r="AJ1185" s="77"/>
      <c r="AK1185" s="77"/>
      <c r="AL1185" s="77"/>
      <c r="AM1185" s="77"/>
      <c r="AN1185" s="77"/>
      <c r="AO1185" s="77"/>
      <c r="AP1185" s="77"/>
      <c r="AQ1185" s="77" t="s">
        <v>8661</v>
      </c>
      <c r="AR1185" s="77">
        <v>17716</v>
      </c>
      <c r="AS1185" s="77"/>
      <c r="AT1185" s="77"/>
      <c r="AU1185" s="77"/>
      <c r="AV1185" s="83" t="str">
        <f>HYPERLINK("https://pbs.twimg.com/ext_tw_video_thumb/1667560375766622209/pu/img/mAuT4FlfCpQMTHV-.jpg")</f>
        <v>https://pbs.twimg.com/ext_tw_video_thumb/1667560375766622209/pu/img/mAuT4FlfCpQMTHV-.jpg</v>
      </c>
      <c r="AW1185" s="81" t="s">
        <v>10307</v>
      </c>
      <c r="AX1185" s="81" t="s">
        <v>10307</v>
      </c>
      <c r="AY1185" s="77"/>
      <c r="AZ1185" s="81" t="s">
        <v>11359</v>
      </c>
      <c r="BA1185" s="81" t="s">
        <v>11359</v>
      </c>
      <c r="BB1185" s="81" t="s">
        <v>11359</v>
      </c>
      <c r="BC1185" s="81" t="s">
        <v>10307</v>
      </c>
      <c r="BD1185" s="81" t="s">
        <v>11532</v>
      </c>
      <c r="BE1185" s="77"/>
      <c r="BF1185" s="77"/>
      <c r="BG1185" s="77"/>
      <c r="BH1185" s="77"/>
      <c r="BI1185" s="77"/>
    </row>
    <row r="1186" spans="1:61" x14ac:dyDescent="0.25">
      <c r="A1186" s="62" t="s">
        <v>484</v>
      </c>
      <c r="B1186" s="62" t="s">
        <v>484</v>
      </c>
      <c r="C1186" s="63"/>
      <c r="D1186" s="64"/>
      <c r="E1186" s="65"/>
      <c r="F1186" s="66"/>
      <c r="G1186" s="63"/>
      <c r="H1186" s="67"/>
      <c r="I1186" s="68"/>
      <c r="J1186" s="68"/>
      <c r="K1186" s="32"/>
      <c r="L1186" s="75">
        <v>1186</v>
      </c>
      <c r="M1186" s="75"/>
      <c r="N1186" s="70"/>
      <c r="O1186" s="77" t="s">
        <v>179</v>
      </c>
      <c r="P1186" s="79">
        <v>45076.119259259256</v>
      </c>
      <c r="Q1186" s="77" t="s">
        <v>1986</v>
      </c>
      <c r="R1186" s="77">
        <v>0</v>
      </c>
      <c r="S1186" s="77">
        <v>0</v>
      </c>
      <c r="T1186" s="77">
        <v>0</v>
      </c>
      <c r="U1186" s="77">
        <v>0</v>
      </c>
      <c r="V1186" s="77">
        <v>850</v>
      </c>
      <c r="W1186" s="81" t="s">
        <v>3538</v>
      </c>
      <c r="X1186" s="77"/>
      <c r="Y1186" s="77"/>
      <c r="Z1186" s="77"/>
      <c r="AA1186" s="77" t="s">
        <v>5159</v>
      </c>
      <c r="AB1186" s="77" t="s">
        <v>5795</v>
      </c>
      <c r="AC1186" s="81" t="s">
        <v>5801</v>
      </c>
      <c r="AD1186" s="77" t="s">
        <v>5851</v>
      </c>
      <c r="AE1186" s="83" t="str">
        <f>HYPERLINK("https://twitter.com/euqueroameta/status/1663377623655886849")</f>
        <v>https://twitter.com/euqueroameta/status/1663377623655886849</v>
      </c>
      <c r="AF1186" s="79">
        <v>45076.119259259256</v>
      </c>
      <c r="AG1186" s="85">
        <v>45076</v>
      </c>
      <c r="AH1186" s="81" t="s">
        <v>6850</v>
      </c>
      <c r="AI1186" s="77" t="b">
        <v>0</v>
      </c>
      <c r="AJ1186" s="77"/>
      <c r="AK1186" s="77"/>
      <c r="AL1186" s="77"/>
      <c r="AM1186" s="77"/>
      <c r="AN1186" s="77"/>
      <c r="AO1186" s="77"/>
      <c r="AP1186" s="77"/>
      <c r="AQ1186" s="77" t="s">
        <v>8662</v>
      </c>
      <c r="AR1186" s="77">
        <v>15400</v>
      </c>
      <c r="AS1186" s="77"/>
      <c r="AT1186" s="77"/>
      <c r="AU1186" s="77"/>
      <c r="AV1186" s="83" t="str">
        <f>HYPERLINK("https://pbs.twimg.com/ext_tw_video_thumb/1663377566969806848/pu/img/sM0xv63iTZdxLibe.jpg")</f>
        <v>https://pbs.twimg.com/ext_tw_video_thumb/1663377566969806848/pu/img/sM0xv63iTZdxLibe.jpg</v>
      </c>
      <c r="AW1186" s="81" t="s">
        <v>10308</v>
      </c>
      <c r="AX1186" s="81" t="s">
        <v>10308</v>
      </c>
      <c r="AY1186" s="77"/>
      <c r="AZ1186" s="81" t="s">
        <v>11359</v>
      </c>
      <c r="BA1186" s="81" t="s">
        <v>11359</v>
      </c>
      <c r="BB1186" s="81" t="s">
        <v>11359</v>
      </c>
      <c r="BC1186" s="81" t="s">
        <v>10308</v>
      </c>
      <c r="BD1186" s="81" t="s">
        <v>11532</v>
      </c>
      <c r="BE1186" s="77"/>
      <c r="BF1186" s="77"/>
      <c r="BG1186" s="77"/>
      <c r="BH1186" s="77"/>
      <c r="BI1186" s="77"/>
    </row>
    <row r="1187" spans="1:61" x14ac:dyDescent="0.25">
      <c r="A1187" s="62" t="s">
        <v>484</v>
      </c>
      <c r="B1187" s="62" t="s">
        <v>484</v>
      </c>
      <c r="C1187" s="63"/>
      <c r="D1187" s="64"/>
      <c r="E1187" s="65"/>
      <c r="F1187" s="66"/>
      <c r="G1187" s="63"/>
      <c r="H1187" s="67"/>
      <c r="I1187" s="68"/>
      <c r="J1187" s="68"/>
      <c r="K1187" s="32"/>
      <c r="L1187" s="75">
        <v>1187</v>
      </c>
      <c r="M1187" s="75"/>
      <c r="N1187" s="70"/>
      <c r="O1187" s="77" t="s">
        <v>179</v>
      </c>
      <c r="P1187" s="79">
        <v>45078.635011574072</v>
      </c>
      <c r="Q1187" s="77" t="s">
        <v>1987</v>
      </c>
      <c r="R1187" s="77">
        <v>0</v>
      </c>
      <c r="S1187" s="77">
        <v>1</v>
      </c>
      <c r="T1187" s="77">
        <v>0</v>
      </c>
      <c r="U1187" s="77">
        <v>0</v>
      </c>
      <c r="V1187" s="77">
        <v>100</v>
      </c>
      <c r="W1187" s="81" t="s">
        <v>3539</v>
      </c>
      <c r="X1187" s="77"/>
      <c r="Y1187" s="77"/>
      <c r="Z1187" s="77"/>
      <c r="AA1187" s="77" t="s">
        <v>5160</v>
      </c>
      <c r="AB1187" s="77" t="s">
        <v>5795</v>
      </c>
      <c r="AC1187" s="81" t="s">
        <v>5801</v>
      </c>
      <c r="AD1187" s="77" t="s">
        <v>5851</v>
      </c>
      <c r="AE1187" s="83" t="str">
        <f>HYPERLINK("https://twitter.com/euqueroameta/status/1664289304737202183")</f>
        <v>https://twitter.com/euqueroameta/status/1664289304737202183</v>
      </c>
      <c r="AF1187" s="79">
        <v>45078.635011574072</v>
      </c>
      <c r="AG1187" s="85">
        <v>45078</v>
      </c>
      <c r="AH1187" s="81" t="s">
        <v>6851</v>
      </c>
      <c r="AI1187" s="77" t="b">
        <v>0</v>
      </c>
      <c r="AJ1187" s="77"/>
      <c r="AK1187" s="77"/>
      <c r="AL1187" s="77"/>
      <c r="AM1187" s="77"/>
      <c r="AN1187" s="77"/>
      <c r="AO1187" s="77"/>
      <c r="AP1187" s="77"/>
      <c r="AQ1187" s="77" t="s">
        <v>8663</v>
      </c>
      <c r="AR1187" s="77">
        <v>20100</v>
      </c>
      <c r="AS1187" s="77"/>
      <c r="AT1187" s="77"/>
      <c r="AU1187" s="77"/>
      <c r="AV1187" s="83" t="str">
        <f>HYPERLINK("https://pbs.twimg.com/ext_tw_video_thumb/1664289249447890945/pu/img/7T8mnx56vmSR-eJO.jpg")</f>
        <v>https://pbs.twimg.com/ext_tw_video_thumb/1664289249447890945/pu/img/7T8mnx56vmSR-eJO.jpg</v>
      </c>
      <c r="AW1187" s="81" t="s">
        <v>10309</v>
      </c>
      <c r="AX1187" s="81" t="s">
        <v>10309</v>
      </c>
      <c r="AY1187" s="77"/>
      <c r="AZ1187" s="81" t="s">
        <v>11359</v>
      </c>
      <c r="BA1187" s="81" t="s">
        <v>11359</v>
      </c>
      <c r="BB1187" s="81" t="s">
        <v>11359</v>
      </c>
      <c r="BC1187" s="81" t="s">
        <v>10309</v>
      </c>
      <c r="BD1187" s="81" t="s">
        <v>11532</v>
      </c>
      <c r="BE1187" s="77"/>
      <c r="BF1187" s="77"/>
      <c r="BG1187" s="77"/>
      <c r="BH1187" s="77"/>
      <c r="BI1187" s="77"/>
    </row>
    <row r="1188" spans="1:61" x14ac:dyDescent="0.25">
      <c r="A1188" s="62" t="s">
        <v>484</v>
      </c>
      <c r="B1188" s="62" t="s">
        <v>484</v>
      </c>
      <c r="C1188" s="63"/>
      <c r="D1188" s="64"/>
      <c r="E1188" s="65"/>
      <c r="F1188" s="66"/>
      <c r="G1188" s="63"/>
      <c r="H1188" s="67"/>
      <c r="I1188" s="68"/>
      <c r="J1188" s="68"/>
      <c r="K1188" s="32"/>
      <c r="L1188" s="75">
        <v>1188</v>
      </c>
      <c r="M1188" s="75"/>
      <c r="N1188" s="70"/>
      <c r="O1188" s="77" t="s">
        <v>179</v>
      </c>
      <c r="P1188" s="79">
        <v>45101.743148148147</v>
      </c>
      <c r="Q1188" s="77" t="s">
        <v>1988</v>
      </c>
      <c r="R1188" s="77">
        <v>0</v>
      </c>
      <c r="S1188" s="77">
        <v>0</v>
      </c>
      <c r="T1188" s="77">
        <v>0</v>
      </c>
      <c r="U1188" s="77">
        <v>0</v>
      </c>
      <c r="V1188" s="77">
        <v>37</v>
      </c>
      <c r="W1188" s="81" t="s">
        <v>3540</v>
      </c>
      <c r="X1188" s="77"/>
      <c r="Y1188" s="77"/>
      <c r="Z1188" s="77"/>
      <c r="AA1188" s="77" t="s">
        <v>5161</v>
      </c>
      <c r="AB1188" s="77" t="s">
        <v>5795</v>
      </c>
      <c r="AC1188" s="81" t="s">
        <v>5801</v>
      </c>
      <c r="AD1188" s="77" t="s">
        <v>5851</v>
      </c>
      <c r="AE1188" s="83" t="str">
        <f>HYPERLINK("https://twitter.com/euqueroameta/status/1672663411161800705")</f>
        <v>https://twitter.com/euqueroameta/status/1672663411161800705</v>
      </c>
      <c r="AF1188" s="79">
        <v>45101.743148148147</v>
      </c>
      <c r="AG1188" s="85">
        <v>45101</v>
      </c>
      <c r="AH1188" s="81" t="s">
        <v>6852</v>
      </c>
      <c r="AI1188" s="77" t="b">
        <v>0</v>
      </c>
      <c r="AJ1188" s="77"/>
      <c r="AK1188" s="77"/>
      <c r="AL1188" s="77"/>
      <c r="AM1188" s="77"/>
      <c r="AN1188" s="77"/>
      <c r="AO1188" s="77"/>
      <c r="AP1188" s="77"/>
      <c r="AQ1188" s="77" t="s">
        <v>8664</v>
      </c>
      <c r="AR1188" s="77">
        <v>8933</v>
      </c>
      <c r="AS1188" s="77"/>
      <c r="AT1188" s="77"/>
      <c r="AU1188" s="77"/>
      <c r="AV1188" s="83" t="str">
        <f>HYPERLINK("https://pbs.twimg.com/ext_tw_video_thumb/1672663342035369985/pu/img/-DBadzHCS-6lv6by.jpg")</f>
        <v>https://pbs.twimg.com/ext_tw_video_thumb/1672663342035369985/pu/img/-DBadzHCS-6lv6by.jpg</v>
      </c>
      <c r="AW1188" s="81" t="s">
        <v>10310</v>
      </c>
      <c r="AX1188" s="81" t="s">
        <v>10310</v>
      </c>
      <c r="AY1188" s="77"/>
      <c r="AZ1188" s="81" t="s">
        <v>11359</v>
      </c>
      <c r="BA1188" s="81" t="s">
        <v>11359</v>
      </c>
      <c r="BB1188" s="81" t="s">
        <v>11359</v>
      </c>
      <c r="BC1188" s="81" t="s">
        <v>10310</v>
      </c>
      <c r="BD1188" s="81" t="s">
        <v>11532</v>
      </c>
      <c r="BE1188" s="77"/>
      <c r="BF1188" s="77"/>
      <c r="BG1188" s="77"/>
      <c r="BH1188" s="77"/>
      <c r="BI1188" s="77"/>
    </row>
    <row r="1189" spans="1:61" x14ac:dyDescent="0.25">
      <c r="A1189" s="62" t="s">
        <v>484</v>
      </c>
      <c r="B1189" s="62" t="s">
        <v>484</v>
      </c>
      <c r="C1189" s="63"/>
      <c r="D1189" s="64"/>
      <c r="E1189" s="65"/>
      <c r="F1189" s="66"/>
      <c r="G1189" s="63"/>
      <c r="H1189" s="67"/>
      <c r="I1189" s="68"/>
      <c r="J1189" s="68"/>
      <c r="K1189" s="32"/>
      <c r="L1189" s="75">
        <v>1189</v>
      </c>
      <c r="M1189" s="75"/>
      <c r="N1189" s="70"/>
      <c r="O1189" s="77" t="s">
        <v>179</v>
      </c>
      <c r="P1189" s="79">
        <v>45101.738518518519</v>
      </c>
      <c r="Q1189" s="77" t="s">
        <v>1989</v>
      </c>
      <c r="R1189" s="77">
        <v>0</v>
      </c>
      <c r="S1189" s="77">
        <v>0</v>
      </c>
      <c r="T1189" s="77">
        <v>0</v>
      </c>
      <c r="U1189" s="77">
        <v>0</v>
      </c>
      <c r="V1189" s="77">
        <v>10</v>
      </c>
      <c r="W1189" s="81" t="s">
        <v>3541</v>
      </c>
      <c r="X1189" s="77"/>
      <c r="Y1189" s="77"/>
      <c r="Z1189" s="77"/>
      <c r="AA1189" s="77" t="s">
        <v>5162</v>
      </c>
      <c r="AB1189" s="77" t="s">
        <v>5795</v>
      </c>
      <c r="AC1189" s="81" t="s">
        <v>5801</v>
      </c>
      <c r="AD1189" s="77" t="s">
        <v>5851</v>
      </c>
      <c r="AE1189" s="83" t="str">
        <f>HYPERLINK("https://twitter.com/euqueroameta/status/1672661732559339521")</f>
        <v>https://twitter.com/euqueroameta/status/1672661732559339521</v>
      </c>
      <c r="AF1189" s="79">
        <v>45101.738518518519</v>
      </c>
      <c r="AG1189" s="85">
        <v>45101</v>
      </c>
      <c r="AH1189" s="81" t="s">
        <v>6853</v>
      </c>
      <c r="AI1189" s="77" t="b">
        <v>0</v>
      </c>
      <c r="AJ1189" s="77"/>
      <c r="AK1189" s="77"/>
      <c r="AL1189" s="77"/>
      <c r="AM1189" s="77"/>
      <c r="AN1189" s="77"/>
      <c r="AO1189" s="77"/>
      <c r="AP1189" s="77"/>
      <c r="AQ1189" s="77" t="s">
        <v>8665</v>
      </c>
      <c r="AR1189" s="77">
        <v>15000</v>
      </c>
      <c r="AS1189" s="77"/>
      <c r="AT1189" s="77"/>
      <c r="AU1189" s="77"/>
      <c r="AV1189" s="83" t="str">
        <f>HYPERLINK("https://pbs.twimg.com/ext_tw_video_thumb/1672661658186006531/pu/img/l4bo3pdUPmKpMmZd.jpg")</f>
        <v>https://pbs.twimg.com/ext_tw_video_thumb/1672661658186006531/pu/img/l4bo3pdUPmKpMmZd.jpg</v>
      </c>
      <c r="AW1189" s="81" t="s">
        <v>10311</v>
      </c>
      <c r="AX1189" s="81" t="s">
        <v>10311</v>
      </c>
      <c r="AY1189" s="77"/>
      <c r="AZ1189" s="81" t="s">
        <v>11359</v>
      </c>
      <c r="BA1189" s="81" t="s">
        <v>11359</v>
      </c>
      <c r="BB1189" s="81" t="s">
        <v>11359</v>
      </c>
      <c r="BC1189" s="81" t="s">
        <v>10311</v>
      </c>
      <c r="BD1189" s="81" t="s">
        <v>11532</v>
      </c>
      <c r="BE1189" s="77"/>
      <c r="BF1189" s="77"/>
      <c r="BG1189" s="77"/>
      <c r="BH1189" s="77"/>
      <c r="BI1189" s="77"/>
    </row>
    <row r="1190" spans="1:61" x14ac:dyDescent="0.25">
      <c r="A1190" s="62" t="s">
        <v>484</v>
      </c>
      <c r="B1190" s="62" t="s">
        <v>484</v>
      </c>
      <c r="C1190" s="63"/>
      <c r="D1190" s="64"/>
      <c r="E1190" s="65"/>
      <c r="F1190" s="66"/>
      <c r="G1190" s="63"/>
      <c r="H1190" s="67"/>
      <c r="I1190" s="68"/>
      <c r="J1190" s="68"/>
      <c r="K1190" s="32"/>
      <c r="L1190" s="75">
        <v>1190</v>
      </c>
      <c r="M1190" s="75"/>
      <c r="N1190" s="70"/>
      <c r="O1190" s="77" t="s">
        <v>179</v>
      </c>
      <c r="P1190" s="79">
        <v>45080.784803240742</v>
      </c>
      <c r="Q1190" s="77" t="s">
        <v>1990</v>
      </c>
      <c r="R1190" s="77">
        <v>0</v>
      </c>
      <c r="S1190" s="77">
        <v>0</v>
      </c>
      <c r="T1190" s="77">
        <v>0</v>
      </c>
      <c r="U1190" s="77">
        <v>0</v>
      </c>
      <c r="V1190" s="77">
        <v>5</v>
      </c>
      <c r="W1190" s="81" t="s">
        <v>3542</v>
      </c>
      <c r="X1190" s="77"/>
      <c r="Y1190" s="77"/>
      <c r="Z1190" s="77"/>
      <c r="AA1190" s="77" t="s">
        <v>5163</v>
      </c>
      <c r="AB1190" s="77" t="s">
        <v>5795</v>
      </c>
      <c r="AC1190" s="81" t="s">
        <v>5801</v>
      </c>
      <c r="AD1190" s="77" t="s">
        <v>5851</v>
      </c>
      <c r="AE1190" s="83" t="str">
        <f>HYPERLINK("https://twitter.com/euqueroameta/status/1665068361145806849")</f>
        <v>https://twitter.com/euqueroameta/status/1665068361145806849</v>
      </c>
      <c r="AF1190" s="79">
        <v>45080.784803240742</v>
      </c>
      <c r="AG1190" s="85">
        <v>45080</v>
      </c>
      <c r="AH1190" s="81" t="s">
        <v>6854</v>
      </c>
      <c r="AI1190" s="77" t="b">
        <v>0</v>
      </c>
      <c r="AJ1190" s="77"/>
      <c r="AK1190" s="77"/>
      <c r="AL1190" s="77"/>
      <c r="AM1190" s="77"/>
      <c r="AN1190" s="77"/>
      <c r="AO1190" s="77"/>
      <c r="AP1190" s="77"/>
      <c r="AQ1190" s="77" t="s">
        <v>8666</v>
      </c>
      <c r="AR1190" s="77">
        <v>8196</v>
      </c>
      <c r="AS1190" s="77"/>
      <c r="AT1190" s="77"/>
      <c r="AU1190" s="77"/>
      <c r="AV1190" s="83" t="str">
        <f>HYPERLINK("https://pbs.twimg.com/ext_tw_video_thumb/1665068318011662339/pu/img/sPnPYz9IzulGSJFJ.jpg")</f>
        <v>https://pbs.twimg.com/ext_tw_video_thumb/1665068318011662339/pu/img/sPnPYz9IzulGSJFJ.jpg</v>
      </c>
      <c r="AW1190" s="81" t="s">
        <v>10312</v>
      </c>
      <c r="AX1190" s="81" t="s">
        <v>10312</v>
      </c>
      <c r="AY1190" s="77"/>
      <c r="AZ1190" s="81" t="s">
        <v>11359</v>
      </c>
      <c r="BA1190" s="81" t="s">
        <v>11359</v>
      </c>
      <c r="BB1190" s="81" t="s">
        <v>11359</v>
      </c>
      <c r="BC1190" s="81" t="s">
        <v>10312</v>
      </c>
      <c r="BD1190" s="81" t="s">
        <v>11532</v>
      </c>
      <c r="BE1190" s="77"/>
      <c r="BF1190" s="77"/>
      <c r="BG1190" s="77"/>
      <c r="BH1190" s="77"/>
      <c r="BI1190" s="77"/>
    </row>
    <row r="1191" spans="1:61" x14ac:dyDescent="0.25">
      <c r="A1191" s="62" t="s">
        <v>484</v>
      </c>
      <c r="B1191" s="62" t="s">
        <v>484</v>
      </c>
      <c r="C1191" s="63"/>
      <c r="D1191" s="64"/>
      <c r="E1191" s="65"/>
      <c r="F1191" s="66"/>
      <c r="G1191" s="63"/>
      <c r="H1191" s="67"/>
      <c r="I1191" s="68"/>
      <c r="J1191" s="68"/>
      <c r="K1191" s="32"/>
      <c r="L1191" s="75">
        <v>1191</v>
      </c>
      <c r="M1191" s="75"/>
      <c r="N1191" s="70"/>
      <c r="O1191" s="77" t="s">
        <v>179</v>
      </c>
      <c r="P1191" s="79">
        <v>45079.543935185182</v>
      </c>
      <c r="Q1191" s="77" t="s">
        <v>1991</v>
      </c>
      <c r="R1191" s="77">
        <v>0</v>
      </c>
      <c r="S1191" s="77">
        <v>0</v>
      </c>
      <c r="T1191" s="77">
        <v>0</v>
      </c>
      <c r="U1191" s="77">
        <v>0</v>
      </c>
      <c r="V1191" s="77">
        <v>10</v>
      </c>
      <c r="W1191" s="81" t="s">
        <v>3543</v>
      </c>
      <c r="X1191" s="77"/>
      <c r="Y1191" s="77"/>
      <c r="Z1191" s="77"/>
      <c r="AA1191" s="77" t="s">
        <v>5164</v>
      </c>
      <c r="AB1191" s="77" t="s">
        <v>5795</v>
      </c>
      <c r="AC1191" s="81" t="s">
        <v>5801</v>
      </c>
      <c r="AD1191" s="77" t="s">
        <v>5851</v>
      </c>
      <c r="AE1191" s="83" t="str">
        <f>HYPERLINK("https://twitter.com/euqueroameta/status/1664618686592720896")</f>
        <v>https://twitter.com/euqueroameta/status/1664618686592720896</v>
      </c>
      <c r="AF1191" s="79">
        <v>45079.543935185182</v>
      </c>
      <c r="AG1191" s="85">
        <v>45079</v>
      </c>
      <c r="AH1191" s="81" t="s">
        <v>6855</v>
      </c>
      <c r="AI1191" s="77" t="b">
        <v>0</v>
      </c>
      <c r="AJ1191" s="77"/>
      <c r="AK1191" s="77"/>
      <c r="AL1191" s="77"/>
      <c r="AM1191" s="77"/>
      <c r="AN1191" s="77"/>
      <c r="AO1191" s="77"/>
      <c r="AP1191" s="77"/>
      <c r="AQ1191" s="77" t="s">
        <v>8667</v>
      </c>
      <c r="AR1191" s="77">
        <v>32692</v>
      </c>
      <c r="AS1191" s="77"/>
      <c r="AT1191" s="77"/>
      <c r="AU1191" s="77"/>
      <c r="AV1191" s="83" t="str">
        <f>HYPERLINK("https://pbs.twimg.com/ext_tw_video_thumb/1664618499577200641/pu/img/QoRbQx_uSvzpqdPQ.jpg")</f>
        <v>https://pbs.twimg.com/ext_tw_video_thumb/1664618499577200641/pu/img/QoRbQx_uSvzpqdPQ.jpg</v>
      </c>
      <c r="AW1191" s="81" t="s">
        <v>10313</v>
      </c>
      <c r="AX1191" s="81" t="s">
        <v>10313</v>
      </c>
      <c r="AY1191" s="77"/>
      <c r="AZ1191" s="81" t="s">
        <v>11359</v>
      </c>
      <c r="BA1191" s="81" t="s">
        <v>11359</v>
      </c>
      <c r="BB1191" s="81" t="s">
        <v>11359</v>
      </c>
      <c r="BC1191" s="81" t="s">
        <v>10313</v>
      </c>
      <c r="BD1191" s="81" t="s">
        <v>11532</v>
      </c>
      <c r="BE1191" s="77"/>
      <c r="BF1191" s="77"/>
      <c r="BG1191" s="77"/>
      <c r="BH1191" s="77"/>
      <c r="BI1191" s="77"/>
    </row>
    <row r="1192" spans="1:61" x14ac:dyDescent="0.25">
      <c r="A1192" s="62" t="s">
        <v>484</v>
      </c>
      <c r="B1192" s="62" t="s">
        <v>484</v>
      </c>
      <c r="C1192" s="63"/>
      <c r="D1192" s="64"/>
      <c r="E1192" s="65"/>
      <c r="F1192" s="66"/>
      <c r="G1192" s="63"/>
      <c r="H1192" s="67"/>
      <c r="I1192" s="68"/>
      <c r="J1192" s="68"/>
      <c r="K1192" s="32"/>
      <c r="L1192" s="75">
        <v>1192</v>
      </c>
      <c r="M1192" s="75"/>
      <c r="N1192" s="70"/>
      <c r="O1192" s="77" t="s">
        <v>179</v>
      </c>
      <c r="P1192" s="79">
        <v>45112.599722222221</v>
      </c>
      <c r="Q1192" s="77" t="s">
        <v>1992</v>
      </c>
      <c r="R1192" s="77">
        <v>0</v>
      </c>
      <c r="S1192" s="77">
        <v>0</v>
      </c>
      <c r="T1192" s="77">
        <v>0</v>
      </c>
      <c r="U1192" s="77">
        <v>0</v>
      </c>
      <c r="V1192" s="77">
        <v>17</v>
      </c>
      <c r="W1192" s="81" t="s">
        <v>3544</v>
      </c>
      <c r="X1192" s="77"/>
      <c r="Y1192" s="77"/>
      <c r="Z1192" s="77"/>
      <c r="AA1192" s="77" t="s">
        <v>5165</v>
      </c>
      <c r="AB1192" s="77" t="s">
        <v>5795</v>
      </c>
      <c r="AC1192" s="81" t="s">
        <v>5801</v>
      </c>
      <c r="AD1192" s="77" t="s">
        <v>5851</v>
      </c>
      <c r="AE1192" s="83" t="str">
        <f>HYPERLINK("https://twitter.com/euqueroameta/status/1676597700853129228")</f>
        <v>https://twitter.com/euqueroameta/status/1676597700853129228</v>
      </c>
      <c r="AF1192" s="79">
        <v>45112.599722222221</v>
      </c>
      <c r="AG1192" s="85">
        <v>45112</v>
      </c>
      <c r="AH1192" s="81" t="s">
        <v>6856</v>
      </c>
      <c r="AI1192" s="77" t="b">
        <v>0</v>
      </c>
      <c r="AJ1192" s="77"/>
      <c r="AK1192" s="77"/>
      <c r="AL1192" s="77"/>
      <c r="AM1192" s="77"/>
      <c r="AN1192" s="77"/>
      <c r="AO1192" s="77"/>
      <c r="AP1192" s="77"/>
      <c r="AQ1192" s="77" t="s">
        <v>8668</v>
      </c>
      <c r="AR1192" s="77">
        <v>18737</v>
      </c>
      <c r="AS1192" s="77"/>
      <c r="AT1192" s="77"/>
      <c r="AU1192" s="77"/>
      <c r="AV1192" s="83" t="str">
        <f>HYPERLINK("https://pbs.twimg.com/ext_tw_video_thumb/1676597586679980039/pu/img/H5oVTuBtJDfMK1UE.jpg")</f>
        <v>https://pbs.twimg.com/ext_tw_video_thumb/1676597586679980039/pu/img/H5oVTuBtJDfMK1UE.jpg</v>
      </c>
      <c r="AW1192" s="81" t="s">
        <v>10314</v>
      </c>
      <c r="AX1192" s="81" t="s">
        <v>10314</v>
      </c>
      <c r="AY1192" s="77"/>
      <c r="AZ1192" s="81" t="s">
        <v>11359</v>
      </c>
      <c r="BA1192" s="81" t="s">
        <v>11359</v>
      </c>
      <c r="BB1192" s="81" t="s">
        <v>11359</v>
      </c>
      <c r="BC1192" s="81" t="s">
        <v>10314</v>
      </c>
      <c r="BD1192" s="81" t="s">
        <v>11532</v>
      </c>
      <c r="BE1192" s="77"/>
      <c r="BF1192" s="77"/>
      <c r="BG1192" s="77"/>
      <c r="BH1192" s="77"/>
      <c r="BI1192" s="77"/>
    </row>
    <row r="1193" spans="1:61" x14ac:dyDescent="0.25">
      <c r="A1193" s="62" t="s">
        <v>484</v>
      </c>
      <c r="B1193" s="62" t="s">
        <v>484</v>
      </c>
      <c r="C1193" s="63"/>
      <c r="D1193" s="64"/>
      <c r="E1193" s="65"/>
      <c r="F1193" s="66"/>
      <c r="G1193" s="63"/>
      <c r="H1193" s="67"/>
      <c r="I1193" s="68"/>
      <c r="J1193" s="68"/>
      <c r="K1193" s="32"/>
      <c r="L1193" s="75">
        <v>1193</v>
      </c>
      <c r="M1193" s="75"/>
      <c r="N1193" s="70"/>
      <c r="O1193" s="77" t="s">
        <v>179</v>
      </c>
      <c r="P1193" s="79">
        <v>45112.595520833333</v>
      </c>
      <c r="Q1193" s="77" t="s">
        <v>1993</v>
      </c>
      <c r="R1193" s="77">
        <v>0</v>
      </c>
      <c r="S1193" s="77">
        <v>0</v>
      </c>
      <c r="T1193" s="77">
        <v>0</v>
      </c>
      <c r="U1193" s="77">
        <v>0</v>
      </c>
      <c r="V1193" s="77">
        <v>31</v>
      </c>
      <c r="W1193" s="81" t="s">
        <v>3545</v>
      </c>
      <c r="X1193" s="77"/>
      <c r="Y1193" s="77"/>
      <c r="Z1193" s="77"/>
      <c r="AA1193" s="77" t="s">
        <v>5166</v>
      </c>
      <c r="AB1193" s="77" t="s">
        <v>5795</v>
      </c>
      <c r="AC1193" s="81" t="s">
        <v>5801</v>
      </c>
      <c r="AD1193" s="77" t="s">
        <v>5851</v>
      </c>
      <c r="AE1193" s="83" t="str">
        <f>HYPERLINK("https://twitter.com/euqueroameta/status/1676596179855896580")</f>
        <v>https://twitter.com/euqueroameta/status/1676596179855896580</v>
      </c>
      <c r="AF1193" s="79">
        <v>45112.595520833333</v>
      </c>
      <c r="AG1193" s="85">
        <v>45112</v>
      </c>
      <c r="AH1193" s="81" t="s">
        <v>6857</v>
      </c>
      <c r="AI1193" s="77" t="b">
        <v>0</v>
      </c>
      <c r="AJ1193" s="77"/>
      <c r="AK1193" s="77"/>
      <c r="AL1193" s="77"/>
      <c r="AM1193" s="77"/>
      <c r="AN1193" s="77"/>
      <c r="AO1193" s="77"/>
      <c r="AP1193" s="77"/>
      <c r="AQ1193" s="77" t="s">
        <v>8669</v>
      </c>
      <c r="AR1193" s="77">
        <v>7221</v>
      </c>
      <c r="AS1193" s="77"/>
      <c r="AT1193" s="77"/>
      <c r="AU1193" s="77"/>
      <c r="AV1193" s="83" t="str">
        <f>HYPERLINK("https://pbs.twimg.com/ext_tw_video_thumb/1676596122465320960/pu/img/rnv68M_0tqmnTyxV.jpg")</f>
        <v>https://pbs.twimg.com/ext_tw_video_thumb/1676596122465320960/pu/img/rnv68M_0tqmnTyxV.jpg</v>
      </c>
      <c r="AW1193" s="81" t="s">
        <v>10315</v>
      </c>
      <c r="AX1193" s="81" t="s">
        <v>10315</v>
      </c>
      <c r="AY1193" s="77"/>
      <c r="AZ1193" s="81" t="s">
        <v>11359</v>
      </c>
      <c r="BA1193" s="81" t="s">
        <v>11359</v>
      </c>
      <c r="BB1193" s="81" t="s">
        <v>11359</v>
      </c>
      <c r="BC1193" s="81" t="s">
        <v>10315</v>
      </c>
      <c r="BD1193" s="81" t="s">
        <v>11532</v>
      </c>
      <c r="BE1193" s="77"/>
      <c r="BF1193" s="77"/>
      <c r="BG1193" s="77"/>
      <c r="BH1193" s="77"/>
      <c r="BI1193" s="77"/>
    </row>
    <row r="1194" spans="1:61" x14ac:dyDescent="0.25">
      <c r="A1194" s="62" t="s">
        <v>484</v>
      </c>
      <c r="B1194" s="62" t="s">
        <v>484</v>
      </c>
      <c r="C1194" s="63"/>
      <c r="D1194" s="64"/>
      <c r="E1194" s="65"/>
      <c r="F1194" s="66"/>
      <c r="G1194" s="63"/>
      <c r="H1194" s="67"/>
      <c r="I1194" s="68"/>
      <c r="J1194" s="68"/>
      <c r="K1194" s="32"/>
      <c r="L1194" s="75">
        <v>1194</v>
      </c>
      <c r="M1194" s="75"/>
      <c r="N1194" s="70"/>
      <c r="O1194" s="77" t="s">
        <v>179</v>
      </c>
      <c r="P1194" s="79">
        <v>45122.829131944447</v>
      </c>
      <c r="Q1194" s="77" t="s">
        <v>1994</v>
      </c>
      <c r="R1194" s="77">
        <v>0</v>
      </c>
      <c r="S1194" s="77">
        <v>0</v>
      </c>
      <c r="T1194" s="77">
        <v>0</v>
      </c>
      <c r="U1194" s="77">
        <v>0</v>
      </c>
      <c r="V1194" s="77">
        <v>9</v>
      </c>
      <c r="W1194" s="81" t="s">
        <v>3546</v>
      </c>
      <c r="X1194" s="77"/>
      <c r="Y1194" s="77"/>
      <c r="Z1194" s="77"/>
      <c r="AA1194" s="77" t="s">
        <v>5167</v>
      </c>
      <c r="AB1194" s="77" t="s">
        <v>5795</v>
      </c>
      <c r="AC1194" s="81" t="s">
        <v>5801</v>
      </c>
      <c r="AD1194" s="77" t="s">
        <v>5851</v>
      </c>
      <c r="AE1194" s="83" t="str">
        <f>HYPERLINK("https://twitter.com/euqueroameta/status/1680304716926861314")</f>
        <v>https://twitter.com/euqueroameta/status/1680304716926861314</v>
      </c>
      <c r="AF1194" s="79">
        <v>45122.829131944447</v>
      </c>
      <c r="AG1194" s="85">
        <v>45122</v>
      </c>
      <c r="AH1194" s="81" t="s">
        <v>6858</v>
      </c>
      <c r="AI1194" s="77" t="b">
        <v>0</v>
      </c>
      <c r="AJ1194" s="77"/>
      <c r="AK1194" s="77"/>
      <c r="AL1194" s="77"/>
      <c r="AM1194" s="77"/>
      <c r="AN1194" s="77"/>
      <c r="AO1194" s="77"/>
      <c r="AP1194" s="77"/>
      <c r="AQ1194" s="77" t="s">
        <v>8670</v>
      </c>
      <c r="AR1194" s="77">
        <v>12213</v>
      </c>
      <c r="AS1194" s="77"/>
      <c r="AT1194" s="77"/>
      <c r="AU1194" s="77"/>
      <c r="AV1194" s="83" t="str">
        <f>HYPERLINK("https://pbs.twimg.com/ext_tw_video_thumb/1680304534843793411/pu/img/HZgIf5ZTBBJaxDt2.jpg")</f>
        <v>https://pbs.twimg.com/ext_tw_video_thumb/1680304534843793411/pu/img/HZgIf5ZTBBJaxDt2.jpg</v>
      </c>
      <c r="AW1194" s="81" t="s">
        <v>10316</v>
      </c>
      <c r="AX1194" s="81" t="s">
        <v>10316</v>
      </c>
      <c r="AY1194" s="77"/>
      <c r="AZ1194" s="81" t="s">
        <v>11359</v>
      </c>
      <c r="BA1194" s="81" t="s">
        <v>11359</v>
      </c>
      <c r="BB1194" s="81" t="s">
        <v>11359</v>
      </c>
      <c r="BC1194" s="81" t="s">
        <v>10316</v>
      </c>
      <c r="BD1194" s="81" t="s">
        <v>11532</v>
      </c>
      <c r="BE1194" s="77"/>
      <c r="BF1194" s="77"/>
      <c r="BG1194" s="77"/>
      <c r="BH1194" s="77"/>
      <c r="BI1194" s="77"/>
    </row>
    <row r="1195" spans="1:61" x14ac:dyDescent="0.25">
      <c r="A1195" s="62" t="s">
        <v>484</v>
      </c>
      <c r="B1195" s="62" t="s">
        <v>484</v>
      </c>
      <c r="C1195" s="63"/>
      <c r="D1195" s="64"/>
      <c r="E1195" s="65"/>
      <c r="F1195" s="66"/>
      <c r="G1195" s="63"/>
      <c r="H1195" s="67"/>
      <c r="I1195" s="68"/>
      <c r="J1195" s="68"/>
      <c r="K1195" s="32"/>
      <c r="L1195" s="75">
        <v>1195</v>
      </c>
      <c r="M1195" s="75"/>
      <c r="N1195" s="70"/>
      <c r="O1195" s="77" t="s">
        <v>179</v>
      </c>
      <c r="P1195" s="79">
        <v>45122.825277777774</v>
      </c>
      <c r="Q1195" s="77" t="s">
        <v>1995</v>
      </c>
      <c r="R1195" s="77">
        <v>0</v>
      </c>
      <c r="S1195" s="77">
        <v>0</v>
      </c>
      <c r="T1195" s="77">
        <v>0</v>
      </c>
      <c r="U1195" s="77">
        <v>0</v>
      </c>
      <c r="V1195" s="77">
        <v>8</v>
      </c>
      <c r="W1195" s="81" t="s">
        <v>3546</v>
      </c>
      <c r="X1195" s="77"/>
      <c r="Y1195" s="77"/>
      <c r="Z1195" s="77"/>
      <c r="AA1195" s="77" t="s">
        <v>5168</v>
      </c>
      <c r="AB1195" s="77" t="s">
        <v>5795</v>
      </c>
      <c r="AC1195" s="81" t="s">
        <v>5801</v>
      </c>
      <c r="AD1195" s="77" t="s">
        <v>5851</v>
      </c>
      <c r="AE1195" s="83" t="str">
        <f>HYPERLINK("https://twitter.com/euqueroameta/status/1680303319200284674")</f>
        <v>https://twitter.com/euqueroameta/status/1680303319200284674</v>
      </c>
      <c r="AF1195" s="79">
        <v>45122.825277777774</v>
      </c>
      <c r="AG1195" s="85">
        <v>45122</v>
      </c>
      <c r="AH1195" s="81" t="s">
        <v>6859</v>
      </c>
      <c r="AI1195" s="77" t="b">
        <v>0</v>
      </c>
      <c r="AJ1195" s="77"/>
      <c r="AK1195" s="77"/>
      <c r="AL1195" s="77"/>
      <c r="AM1195" s="77"/>
      <c r="AN1195" s="77"/>
      <c r="AO1195" s="77"/>
      <c r="AP1195" s="77"/>
      <c r="AQ1195" s="77" t="s">
        <v>8671</v>
      </c>
      <c r="AR1195" s="77">
        <v>13800</v>
      </c>
      <c r="AS1195" s="77"/>
      <c r="AT1195" s="77"/>
      <c r="AU1195" s="77"/>
      <c r="AV1195" s="83" t="str">
        <f>HYPERLINK("https://pbs.twimg.com/ext_tw_video_thumb/1680303250459820033/pu/img/7YGAFuPcjJLwWKPL.jpg")</f>
        <v>https://pbs.twimg.com/ext_tw_video_thumb/1680303250459820033/pu/img/7YGAFuPcjJLwWKPL.jpg</v>
      </c>
      <c r="AW1195" s="81" t="s">
        <v>10317</v>
      </c>
      <c r="AX1195" s="81" t="s">
        <v>10317</v>
      </c>
      <c r="AY1195" s="77"/>
      <c r="AZ1195" s="81" t="s">
        <v>11359</v>
      </c>
      <c r="BA1195" s="81" t="s">
        <v>11359</v>
      </c>
      <c r="BB1195" s="81" t="s">
        <v>11359</v>
      </c>
      <c r="BC1195" s="81" t="s">
        <v>10317</v>
      </c>
      <c r="BD1195" s="81" t="s">
        <v>11532</v>
      </c>
      <c r="BE1195" s="77"/>
      <c r="BF1195" s="77"/>
      <c r="BG1195" s="77"/>
      <c r="BH1195" s="77"/>
      <c r="BI1195" s="77"/>
    </row>
    <row r="1196" spans="1:61" x14ac:dyDescent="0.25">
      <c r="A1196" s="62" t="s">
        <v>484</v>
      </c>
      <c r="B1196" s="62" t="s">
        <v>484</v>
      </c>
      <c r="C1196" s="63"/>
      <c r="D1196" s="64"/>
      <c r="E1196" s="65"/>
      <c r="F1196" s="66"/>
      <c r="G1196" s="63"/>
      <c r="H1196" s="67"/>
      <c r="I1196" s="68"/>
      <c r="J1196" s="68"/>
      <c r="K1196" s="32"/>
      <c r="L1196" s="75">
        <v>1196</v>
      </c>
      <c r="M1196" s="75"/>
      <c r="N1196" s="70"/>
      <c r="O1196" s="77" t="s">
        <v>179</v>
      </c>
      <c r="P1196" s="79">
        <v>45122.816331018519</v>
      </c>
      <c r="Q1196" s="77" t="s">
        <v>1996</v>
      </c>
      <c r="R1196" s="77">
        <v>0</v>
      </c>
      <c r="S1196" s="77">
        <v>0</v>
      </c>
      <c r="T1196" s="77">
        <v>0</v>
      </c>
      <c r="U1196" s="77">
        <v>0</v>
      </c>
      <c r="V1196" s="77">
        <v>9</v>
      </c>
      <c r="W1196" s="81" t="s">
        <v>3546</v>
      </c>
      <c r="X1196" s="77"/>
      <c r="Y1196" s="77"/>
      <c r="Z1196" s="77"/>
      <c r="AA1196" s="77" t="s">
        <v>5169</v>
      </c>
      <c r="AB1196" s="77" t="s">
        <v>5795</v>
      </c>
      <c r="AC1196" s="81" t="s">
        <v>5801</v>
      </c>
      <c r="AD1196" s="77" t="s">
        <v>5851</v>
      </c>
      <c r="AE1196" s="83" t="str">
        <f>HYPERLINK("https://twitter.com/euqueroameta/status/1680300077162659840")</f>
        <v>https://twitter.com/euqueroameta/status/1680300077162659840</v>
      </c>
      <c r="AF1196" s="79">
        <v>45122.816331018519</v>
      </c>
      <c r="AG1196" s="85">
        <v>45122</v>
      </c>
      <c r="AH1196" s="81" t="s">
        <v>6860</v>
      </c>
      <c r="AI1196" s="77" t="b">
        <v>0</v>
      </c>
      <c r="AJ1196" s="77"/>
      <c r="AK1196" s="77"/>
      <c r="AL1196" s="77"/>
      <c r="AM1196" s="77"/>
      <c r="AN1196" s="77"/>
      <c r="AO1196" s="77"/>
      <c r="AP1196" s="77"/>
      <c r="AQ1196" s="77" t="s">
        <v>8672</v>
      </c>
      <c r="AR1196" s="77">
        <v>7566</v>
      </c>
      <c r="AS1196" s="77"/>
      <c r="AT1196" s="77"/>
      <c r="AU1196" s="77"/>
      <c r="AV1196" s="83" t="str">
        <f>HYPERLINK("https://pbs.twimg.com/ext_tw_video_thumb/1680300038793093120/pu/img/-AQHBN9iito7pUXW.jpg")</f>
        <v>https://pbs.twimg.com/ext_tw_video_thumb/1680300038793093120/pu/img/-AQHBN9iito7pUXW.jpg</v>
      </c>
      <c r="AW1196" s="81" t="s">
        <v>10318</v>
      </c>
      <c r="AX1196" s="81" t="s">
        <v>10318</v>
      </c>
      <c r="AY1196" s="77"/>
      <c r="AZ1196" s="81" t="s">
        <v>11359</v>
      </c>
      <c r="BA1196" s="81" t="s">
        <v>11359</v>
      </c>
      <c r="BB1196" s="81" t="s">
        <v>11359</v>
      </c>
      <c r="BC1196" s="81" t="s">
        <v>10318</v>
      </c>
      <c r="BD1196" s="81" t="s">
        <v>11532</v>
      </c>
      <c r="BE1196" s="77"/>
      <c r="BF1196" s="77"/>
      <c r="BG1196" s="77"/>
      <c r="BH1196" s="77"/>
      <c r="BI1196" s="77"/>
    </row>
    <row r="1197" spans="1:61" x14ac:dyDescent="0.25">
      <c r="A1197" s="62" t="s">
        <v>484</v>
      </c>
      <c r="B1197" s="62" t="s">
        <v>484</v>
      </c>
      <c r="C1197" s="63"/>
      <c r="D1197" s="64"/>
      <c r="E1197" s="65"/>
      <c r="F1197" s="66"/>
      <c r="G1197" s="63"/>
      <c r="H1197" s="67"/>
      <c r="I1197" s="68"/>
      <c r="J1197" s="68"/>
      <c r="K1197" s="32"/>
      <c r="L1197" s="75">
        <v>1197</v>
      </c>
      <c r="M1197" s="75"/>
      <c r="N1197" s="70"/>
      <c r="O1197" s="77" t="s">
        <v>179</v>
      </c>
      <c r="P1197" s="79">
        <v>45116.645532407405</v>
      </c>
      <c r="Q1197" s="77" t="s">
        <v>1997</v>
      </c>
      <c r="R1197" s="77">
        <v>0</v>
      </c>
      <c r="S1197" s="77">
        <v>0</v>
      </c>
      <c r="T1197" s="77">
        <v>0</v>
      </c>
      <c r="U1197" s="77">
        <v>0</v>
      </c>
      <c r="V1197" s="77">
        <v>14</v>
      </c>
      <c r="W1197" s="81" t="s">
        <v>3547</v>
      </c>
      <c r="X1197" s="77"/>
      <c r="Y1197" s="77"/>
      <c r="Z1197" s="77"/>
      <c r="AA1197" s="77" t="s">
        <v>5170</v>
      </c>
      <c r="AB1197" s="77" t="s">
        <v>5795</v>
      </c>
      <c r="AC1197" s="81" t="s">
        <v>5801</v>
      </c>
      <c r="AD1197" s="77" t="s">
        <v>5851</v>
      </c>
      <c r="AE1197" s="83" t="str">
        <f>HYPERLINK("https://twitter.com/euqueroameta/status/1678063856218767363")</f>
        <v>https://twitter.com/euqueroameta/status/1678063856218767363</v>
      </c>
      <c r="AF1197" s="79">
        <v>45116.645532407405</v>
      </c>
      <c r="AG1197" s="85">
        <v>45116</v>
      </c>
      <c r="AH1197" s="81" t="s">
        <v>6861</v>
      </c>
      <c r="AI1197" s="77" t="b">
        <v>0</v>
      </c>
      <c r="AJ1197" s="77"/>
      <c r="AK1197" s="77"/>
      <c r="AL1197" s="77"/>
      <c r="AM1197" s="77"/>
      <c r="AN1197" s="77"/>
      <c r="AO1197" s="77"/>
      <c r="AP1197" s="77"/>
      <c r="AQ1197" s="77" t="s">
        <v>8673</v>
      </c>
      <c r="AR1197" s="77">
        <v>15022</v>
      </c>
      <c r="AS1197" s="77"/>
      <c r="AT1197" s="77"/>
      <c r="AU1197" s="77"/>
      <c r="AV1197" s="83" t="str">
        <f>HYPERLINK("https://pbs.twimg.com/ext_tw_video_thumb/1678063790389092360/pu/img/U9d3PIe3DXwXr30x.jpg")</f>
        <v>https://pbs.twimg.com/ext_tw_video_thumb/1678063790389092360/pu/img/U9d3PIe3DXwXr30x.jpg</v>
      </c>
      <c r="AW1197" s="81" t="s">
        <v>10319</v>
      </c>
      <c r="AX1197" s="81" t="s">
        <v>10319</v>
      </c>
      <c r="AY1197" s="77"/>
      <c r="AZ1197" s="81" t="s">
        <v>11359</v>
      </c>
      <c r="BA1197" s="81" t="s">
        <v>11359</v>
      </c>
      <c r="BB1197" s="81" t="s">
        <v>11359</v>
      </c>
      <c r="BC1197" s="81" t="s">
        <v>10319</v>
      </c>
      <c r="BD1197" s="81" t="s">
        <v>11532</v>
      </c>
      <c r="BE1197" s="77"/>
      <c r="BF1197" s="77"/>
      <c r="BG1197" s="77"/>
      <c r="BH1197" s="77"/>
      <c r="BI1197" s="77"/>
    </row>
    <row r="1198" spans="1:61" x14ac:dyDescent="0.25">
      <c r="A1198" s="62" t="s">
        <v>484</v>
      </c>
      <c r="B1198" s="62" t="s">
        <v>484</v>
      </c>
      <c r="C1198" s="63"/>
      <c r="D1198" s="64"/>
      <c r="E1198" s="65"/>
      <c r="F1198" s="66"/>
      <c r="G1198" s="63"/>
      <c r="H1198" s="67"/>
      <c r="I1198" s="68"/>
      <c r="J1198" s="68"/>
      <c r="K1198" s="32"/>
      <c r="L1198" s="75">
        <v>1198</v>
      </c>
      <c r="M1198" s="75"/>
      <c r="N1198" s="70"/>
      <c r="O1198" s="77" t="s">
        <v>179</v>
      </c>
      <c r="P1198" s="79">
        <v>45115.810057870367</v>
      </c>
      <c r="Q1198" s="77" t="s">
        <v>1998</v>
      </c>
      <c r="R1198" s="77">
        <v>0</v>
      </c>
      <c r="S1198" s="77">
        <v>0</v>
      </c>
      <c r="T1198" s="77">
        <v>0</v>
      </c>
      <c r="U1198" s="77">
        <v>0</v>
      </c>
      <c r="V1198" s="77">
        <v>5</v>
      </c>
      <c r="W1198" s="81" t="s">
        <v>3548</v>
      </c>
      <c r="X1198" s="77"/>
      <c r="Y1198" s="77"/>
      <c r="Z1198" s="77"/>
      <c r="AA1198" s="77" t="s">
        <v>5171</v>
      </c>
      <c r="AB1198" s="77" t="s">
        <v>5794</v>
      </c>
      <c r="AC1198" s="81" t="s">
        <v>5801</v>
      </c>
      <c r="AD1198" s="77" t="s">
        <v>5851</v>
      </c>
      <c r="AE1198" s="83" t="str">
        <f>HYPERLINK("https://twitter.com/euqueroameta/status/1677761087423361024")</f>
        <v>https://twitter.com/euqueroameta/status/1677761087423361024</v>
      </c>
      <c r="AF1198" s="79">
        <v>45115.810057870367</v>
      </c>
      <c r="AG1198" s="85">
        <v>45115</v>
      </c>
      <c r="AH1198" s="81" t="s">
        <v>6862</v>
      </c>
      <c r="AI1198" s="77" t="b">
        <v>0</v>
      </c>
      <c r="AJ1198" s="77"/>
      <c r="AK1198" s="77"/>
      <c r="AL1198" s="77"/>
      <c r="AM1198" s="77"/>
      <c r="AN1198" s="77"/>
      <c r="AO1198" s="77"/>
      <c r="AP1198" s="77"/>
      <c r="AQ1198" s="77" t="s">
        <v>8674</v>
      </c>
      <c r="AR1198" s="77"/>
      <c r="AS1198" s="77"/>
      <c r="AT1198" s="77"/>
      <c r="AU1198" s="77"/>
      <c r="AV1198" s="83" t="str">
        <f>HYPERLINK("https://pbs.twimg.com/media/F0ia0T1WYAAC3rx.jpg")</f>
        <v>https://pbs.twimg.com/media/F0ia0T1WYAAC3rx.jpg</v>
      </c>
      <c r="AW1198" s="81" t="s">
        <v>10320</v>
      </c>
      <c r="AX1198" s="81" t="s">
        <v>10320</v>
      </c>
      <c r="AY1198" s="77"/>
      <c r="AZ1198" s="81" t="s">
        <v>11359</v>
      </c>
      <c r="BA1198" s="81" t="s">
        <v>11359</v>
      </c>
      <c r="BB1198" s="81" t="s">
        <v>11359</v>
      </c>
      <c r="BC1198" s="81" t="s">
        <v>10320</v>
      </c>
      <c r="BD1198" s="81" t="s">
        <v>11532</v>
      </c>
      <c r="BE1198" s="77"/>
      <c r="BF1198" s="77"/>
      <c r="BG1198" s="77"/>
      <c r="BH1198" s="77"/>
      <c r="BI1198" s="77"/>
    </row>
    <row r="1199" spans="1:61" x14ac:dyDescent="0.25">
      <c r="A1199" s="62" t="s">
        <v>484</v>
      </c>
      <c r="B1199" s="62" t="s">
        <v>484</v>
      </c>
      <c r="C1199" s="63"/>
      <c r="D1199" s="64"/>
      <c r="E1199" s="65"/>
      <c r="F1199" s="66"/>
      <c r="G1199" s="63"/>
      <c r="H1199" s="67"/>
      <c r="I1199" s="68"/>
      <c r="J1199" s="68"/>
      <c r="K1199" s="32"/>
      <c r="L1199" s="75">
        <v>1199</v>
      </c>
      <c r="M1199" s="75"/>
      <c r="N1199" s="70"/>
      <c r="O1199" s="77" t="s">
        <v>179</v>
      </c>
      <c r="P1199" s="79">
        <v>45115.720300925925</v>
      </c>
      <c r="Q1199" s="77" t="s">
        <v>1999</v>
      </c>
      <c r="R1199" s="77">
        <v>0</v>
      </c>
      <c r="S1199" s="77">
        <v>0</v>
      </c>
      <c r="T1199" s="77">
        <v>0</v>
      </c>
      <c r="U1199" s="77">
        <v>0</v>
      </c>
      <c r="V1199" s="77">
        <v>50</v>
      </c>
      <c r="W1199" s="81" t="s">
        <v>3549</v>
      </c>
      <c r="X1199" s="77"/>
      <c r="Y1199" s="77"/>
      <c r="Z1199" s="77"/>
      <c r="AA1199" s="77" t="s">
        <v>5172</v>
      </c>
      <c r="AB1199" s="77" t="s">
        <v>5795</v>
      </c>
      <c r="AC1199" s="81" t="s">
        <v>5801</v>
      </c>
      <c r="AD1199" s="77" t="s">
        <v>5851</v>
      </c>
      <c r="AE1199" s="83" t="str">
        <f>HYPERLINK("https://twitter.com/euqueroameta/status/1677728561895964673")</f>
        <v>https://twitter.com/euqueroameta/status/1677728561895964673</v>
      </c>
      <c r="AF1199" s="79">
        <v>45115.720300925925</v>
      </c>
      <c r="AG1199" s="85">
        <v>45115</v>
      </c>
      <c r="AH1199" s="81" t="s">
        <v>6863</v>
      </c>
      <c r="AI1199" s="77" t="b">
        <v>0</v>
      </c>
      <c r="AJ1199" s="77"/>
      <c r="AK1199" s="77"/>
      <c r="AL1199" s="77"/>
      <c r="AM1199" s="77"/>
      <c r="AN1199" s="77"/>
      <c r="AO1199" s="77"/>
      <c r="AP1199" s="77"/>
      <c r="AQ1199" s="77" t="s">
        <v>8675</v>
      </c>
      <c r="AR1199" s="77">
        <v>18440</v>
      </c>
      <c r="AS1199" s="77"/>
      <c r="AT1199" s="77"/>
      <c r="AU1199" s="77"/>
      <c r="AV1199" s="83" t="str">
        <f>HYPERLINK("https://pbs.twimg.com/ext_tw_video_thumb/1677728489623920644/pu/img/wRc1ies5Wf5-JzEA.jpg")</f>
        <v>https://pbs.twimg.com/ext_tw_video_thumb/1677728489623920644/pu/img/wRc1ies5Wf5-JzEA.jpg</v>
      </c>
      <c r="AW1199" s="81" t="s">
        <v>10321</v>
      </c>
      <c r="AX1199" s="81" t="s">
        <v>10321</v>
      </c>
      <c r="AY1199" s="77"/>
      <c r="AZ1199" s="81" t="s">
        <v>11359</v>
      </c>
      <c r="BA1199" s="81" t="s">
        <v>11359</v>
      </c>
      <c r="BB1199" s="81" t="s">
        <v>11359</v>
      </c>
      <c r="BC1199" s="81" t="s">
        <v>10321</v>
      </c>
      <c r="BD1199" s="81" t="s">
        <v>11532</v>
      </c>
      <c r="BE1199" s="77"/>
      <c r="BF1199" s="77"/>
      <c r="BG1199" s="77"/>
      <c r="BH1199" s="77"/>
      <c r="BI1199" s="77"/>
    </row>
    <row r="1200" spans="1:61" x14ac:dyDescent="0.25">
      <c r="A1200" s="62" t="s">
        <v>484</v>
      </c>
      <c r="B1200" s="62" t="s">
        <v>484</v>
      </c>
      <c r="C1200" s="63"/>
      <c r="D1200" s="64"/>
      <c r="E1200" s="65"/>
      <c r="F1200" s="66"/>
      <c r="G1200" s="63"/>
      <c r="H1200" s="67"/>
      <c r="I1200" s="68"/>
      <c r="J1200" s="68"/>
      <c r="K1200" s="32"/>
      <c r="L1200" s="75">
        <v>1200</v>
      </c>
      <c r="M1200" s="75"/>
      <c r="N1200" s="70"/>
      <c r="O1200" s="77" t="s">
        <v>179</v>
      </c>
      <c r="P1200" s="79">
        <v>45113.93650462963</v>
      </c>
      <c r="Q1200" s="77" t="s">
        <v>2000</v>
      </c>
      <c r="R1200" s="77">
        <v>0</v>
      </c>
      <c r="S1200" s="77">
        <v>0</v>
      </c>
      <c r="T1200" s="77">
        <v>0</v>
      </c>
      <c r="U1200" s="77">
        <v>0</v>
      </c>
      <c r="V1200" s="77">
        <v>17</v>
      </c>
      <c r="W1200" s="81" t="s">
        <v>3550</v>
      </c>
      <c r="X1200" s="77"/>
      <c r="Y1200" s="77"/>
      <c r="Z1200" s="77"/>
      <c r="AA1200" s="77" t="s">
        <v>5173</v>
      </c>
      <c r="AB1200" s="77" t="s">
        <v>5795</v>
      </c>
      <c r="AC1200" s="81" t="s">
        <v>5801</v>
      </c>
      <c r="AD1200" s="77" t="s">
        <v>5851</v>
      </c>
      <c r="AE1200" s="83" t="str">
        <f>HYPERLINK("https://twitter.com/euqueroameta/status/1677082133687332864")</f>
        <v>https://twitter.com/euqueroameta/status/1677082133687332864</v>
      </c>
      <c r="AF1200" s="79">
        <v>45113.93650462963</v>
      </c>
      <c r="AG1200" s="85">
        <v>45113</v>
      </c>
      <c r="AH1200" s="81" t="s">
        <v>6864</v>
      </c>
      <c r="AI1200" s="77" t="b">
        <v>0</v>
      </c>
      <c r="AJ1200" s="77"/>
      <c r="AK1200" s="77"/>
      <c r="AL1200" s="77"/>
      <c r="AM1200" s="77"/>
      <c r="AN1200" s="77"/>
      <c r="AO1200" s="77"/>
      <c r="AP1200" s="77"/>
      <c r="AQ1200" s="77" t="s">
        <v>8676</v>
      </c>
      <c r="AR1200" s="77">
        <v>10466</v>
      </c>
      <c r="AS1200" s="77"/>
      <c r="AT1200" s="77"/>
      <c r="AU1200" s="77"/>
      <c r="AV1200" s="83" t="str">
        <f>HYPERLINK("https://pbs.twimg.com/ext_tw_video_thumb/1677082085557780481/pu/img/Ekq0BEXprvRgqbbt.jpg")</f>
        <v>https://pbs.twimg.com/ext_tw_video_thumb/1677082085557780481/pu/img/Ekq0BEXprvRgqbbt.jpg</v>
      </c>
      <c r="AW1200" s="81" t="s">
        <v>10322</v>
      </c>
      <c r="AX1200" s="81" t="s">
        <v>10322</v>
      </c>
      <c r="AY1200" s="77"/>
      <c r="AZ1200" s="81" t="s">
        <v>11359</v>
      </c>
      <c r="BA1200" s="81" t="s">
        <v>11359</v>
      </c>
      <c r="BB1200" s="81" t="s">
        <v>11359</v>
      </c>
      <c r="BC1200" s="81" t="s">
        <v>10322</v>
      </c>
      <c r="BD1200" s="81" t="s">
        <v>11532</v>
      </c>
      <c r="BE1200" s="77"/>
      <c r="BF1200" s="77"/>
      <c r="BG1200" s="77"/>
      <c r="BH1200" s="77"/>
      <c r="BI1200" s="77"/>
    </row>
    <row r="1201" spans="1:61" x14ac:dyDescent="0.25">
      <c r="A1201" s="62" t="s">
        <v>484</v>
      </c>
      <c r="B1201" s="62" t="s">
        <v>484</v>
      </c>
      <c r="C1201" s="63"/>
      <c r="D1201" s="64"/>
      <c r="E1201" s="65"/>
      <c r="F1201" s="66"/>
      <c r="G1201" s="63"/>
      <c r="H1201" s="67"/>
      <c r="I1201" s="68"/>
      <c r="J1201" s="68"/>
      <c r="K1201" s="32"/>
      <c r="L1201" s="75">
        <v>1201</v>
      </c>
      <c r="M1201" s="75"/>
      <c r="N1201" s="70"/>
      <c r="O1201" s="77" t="s">
        <v>179</v>
      </c>
      <c r="P1201" s="79">
        <v>45082.934849537036</v>
      </c>
      <c r="Q1201" s="77" t="s">
        <v>2001</v>
      </c>
      <c r="R1201" s="77">
        <v>0</v>
      </c>
      <c r="S1201" s="77">
        <v>0</v>
      </c>
      <c r="T1201" s="77">
        <v>0</v>
      </c>
      <c r="U1201" s="77">
        <v>0</v>
      </c>
      <c r="V1201" s="77">
        <v>29</v>
      </c>
      <c r="W1201" s="81" t="s">
        <v>3551</v>
      </c>
      <c r="X1201" s="77"/>
      <c r="Y1201" s="77"/>
      <c r="Z1201" s="77"/>
      <c r="AA1201" s="77" t="s">
        <v>5174</v>
      </c>
      <c r="AB1201" s="77" t="s">
        <v>5794</v>
      </c>
      <c r="AC1201" s="81" t="s">
        <v>5801</v>
      </c>
      <c r="AD1201" s="77" t="s">
        <v>5851</v>
      </c>
      <c r="AE1201" s="83" t="str">
        <f>HYPERLINK("https://twitter.com/euqueroameta/status/1665847513893437446")</f>
        <v>https://twitter.com/euqueroameta/status/1665847513893437446</v>
      </c>
      <c r="AF1201" s="79">
        <v>45082.934849537036</v>
      </c>
      <c r="AG1201" s="85">
        <v>45082</v>
      </c>
      <c r="AH1201" s="81" t="s">
        <v>6865</v>
      </c>
      <c r="AI1201" s="77" t="b">
        <v>0</v>
      </c>
      <c r="AJ1201" s="77"/>
      <c r="AK1201" s="77"/>
      <c r="AL1201" s="77"/>
      <c r="AM1201" s="77"/>
      <c r="AN1201" s="77"/>
      <c r="AO1201" s="77"/>
      <c r="AP1201" s="77"/>
      <c r="AQ1201" s="77" t="s">
        <v>8677</v>
      </c>
      <c r="AR1201" s="77"/>
      <c r="AS1201" s="77"/>
      <c r="AT1201" s="77"/>
      <c r="AU1201" s="77"/>
      <c r="AV1201" s="83" t="str">
        <f>HYPERLINK("https://pbs.twimg.com/media/Fx5HfC-XwAIv2ky.jpg")</f>
        <v>https://pbs.twimg.com/media/Fx5HfC-XwAIv2ky.jpg</v>
      </c>
      <c r="AW1201" s="81" t="s">
        <v>10323</v>
      </c>
      <c r="AX1201" s="81" t="s">
        <v>10323</v>
      </c>
      <c r="AY1201" s="77"/>
      <c r="AZ1201" s="81" t="s">
        <v>11359</v>
      </c>
      <c r="BA1201" s="81" t="s">
        <v>11359</v>
      </c>
      <c r="BB1201" s="81" t="s">
        <v>11359</v>
      </c>
      <c r="BC1201" s="81" t="s">
        <v>10323</v>
      </c>
      <c r="BD1201" s="81" t="s">
        <v>11532</v>
      </c>
      <c r="BE1201" s="77"/>
      <c r="BF1201" s="77"/>
      <c r="BG1201" s="77"/>
      <c r="BH1201" s="77"/>
      <c r="BI1201" s="77"/>
    </row>
    <row r="1202" spans="1:61" x14ac:dyDescent="0.25">
      <c r="A1202" s="62" t="s">
        <v>484</v>
      </c>
      <c r="B1202" s="62" t="s">
        <v>484</v>
      </c>
      <c r="C1202" s="63"/>
      <c r="D1202" s="64"/>
      <c r="E1202" s="65"/>
      <c r="F1202" s="66"/>
      <c r="G1202" s="63"/>
      <c r="H1202" s="67"/>
      <c r="I1202" s="68"/>
      <c r="J1202" s="68"/>
      <c r="K1202" s="32"/>
      <c r="L1202" s="75">
        <v>1202</v>
      </c>
      <c r="M1202" s="75"/>
      <c r="N1202" s="70"/>
      <c r="O1202" s="77" t="s">
        <v>179</v>
      </c>
      <c r="P1202" s="79">
        <v>45082.934305555558</v>
      </c>
      <c r="Q1202" s="77" t="s">
        <v>2002</v>
      </c>
      <c r="R1202" s="77">
        <v>0</v>
      </c>
      <c r="S1202" s="77">
        <v>0</v>
      </c>
      <c r="T1202" s="77">
        <v>0</v>
      </c>
      <c r="U1202" s="77">
        <v>0</v>
      </c>
      <c r="V1202" s="77">
        <v>65</v>
      </c>
      <c r="W1202" s="81" t="s">
        <v>3552</v>
      </c>
      <c r="X1202" s="77"/>
      <c r="Y1202" s="77"/>
      <c r="Z1202" s="77"/>
      <c r="AA1202" s="77" t="s">
        <v>5175</v>
      </c>
      <c r="AB1202" s="77" t="s">
        <v>5794</v>
      </c>
      <c r="AC1202" s="81" t="s">
        <v>5801</v>
      </c>
      <c r="AD1202" s="77" t="s">
        <v>5851</v>
      </c>
      <c r="AE1202" s="83" t="str">
        <f>HYPERLINK("https://twitter.com/euqueroameta/status/1665847314496344065")</f>
        <v>https://twitter.com/euqueroameta/status/1665847314496344065</v>
      </c>
      <c r="AF1202" s="79">
        <v>45082.934305555558</v>
      </c>
      <c r="AG1202" s="85">
        <v>45082</v>
      </c>
      <c r="AH1202" s="81" t="s">
        <v>6866</v>
      </c>
      <c r="AI1202" s="77" t="b">
        <v>0</v>
      </c>
      <c r="AJ1202" s="77"/>
      <c r="AK1202" s="77"/>
      <c r="AL1202" s="77"/>
      <c r="AM1202" s="77"/>
      <c r="AN1202" s="77"/>
      <c r="AO1202" s="77"/>
      <c r="AP1202" s="77"/>
      <c r="AQ1202" s="77" t="s">
        <v>8678</v>
      </c>
      <c r="AR1202" s="77"/>
      <c r="AS1202" s="77"/>
      <c r="AT1202" s="77"/>
      <c r="AU1202" s="77"/>
      <c r="AV1202" s="83" t="str">
        <f>HYPERLINK("https://pbs.twimg.com/media/Fx5HTdgWYAc0dmz.jpg")</f>
        <v>https://pbs.twimg.com/media/Fx5HTdgWYAc0dmz.jpg</v>
      </c>
      <c r="AW1202" s="81" t="s">
        <v>10324</v>
      </c>
      <c r="AX1202" s="81" t="s">
        <v>10324</v>
      </c>
      <c r="AY1202" s="77"/>
      <c r="AZ1202" s="81" t="s">
        <v>11359</v>
      </c>
      <c r="BA1202" s="81" t="s">
        <v>11359</v>
      </c>
      <c r="BB1202" s="81" t="s">
        <v>11359</v>
      </c>
      <c r="BC1202" s="81" t="s">
        <v>10324</v>
      </c>
      <c r="BD1202" s="81" t="s">
        <v>11532</v>
      </c>
      <c r="BE1202" s="77"/>
      <c r="BF1202" s="77"/>
      <c r="BG1202" s="77"/>
      <c r="BH1202" s="77"/>
      <c r="BI1202" s="77"/>
    </row>
    <row r="1203" spans="1:61" x14ac:dyDescent="0.25">
      <c r="A1203" s="62" t="s">
        <v>484</v>
      </c>
      <c r="B1203" s="62" t="s">
        <v>484</v>
      </c>
      <c r="C1203" s="63"/>
      <c r="D1203" s="64"/>
      <c r="E1203" s="65"/>
      <c r="F1203" s="66"/>
      <c r="G1203" s="63"/>
      <c r="H1203" s="67"/>
      <c r="I1203" s="68"/>
      <c r="J1203" s="68"/>
      <c r="K1203" s="32"/>
      <c r="L1203" s="75">
        <v>1203</v>
      </c>
      <c r="M1203" s="75"/>
      <c r="N1203" s="70"/>
      <c r="O1203" s="77" t="s">
        <v>179</v>
      </c>
      <c r="P1203" s="79">
        <v>45131.793773148151</v>
      </c>
      <c r="Q1203" s="77" t="s">
        <v>2003</v>
      </c>
      <c r="R1203" s="77">
        <v>0</v>
      </c>
      <c r="S1203" s="77">
        <v>0</v>
      </c>
      <c r="T1203" s="77">
        <v>0</v>
      </c>
      <c r="U1203" s="77">
        <v>0</v>
      </c>
      <c r="V1203" s="77">
        <v>40</v>
      </c>
      <c r="W1203" s="81" t="s">
        <v>3553</v>
      </c>
      <c r="X1203" s="77"/>
      <c r="Y1203" s="77"/>
      <c r="Z1203" s="77"/>
      <c r="AA1203" s="77" t="s">
        <v>5176</v>
      </c>
      <c r="AB1203" s="77" t="s">
        <v>5797</v>
      </c>
      <c r="AC1203" s="81" t="s">
        <v>5801</v>
      </c>
      <c r="AD1203" s="77" t="s">
        <v>5851</v>
      </c>
      <c r="AE1203" s="83" t="str">
        <f>HYPERLINK("https://twitter.com/euqueroameta/status/1683553394579865601")</f>
        <v>https://twitter.com/euqueroameta/status/1683553394579865601</v>
      </c>
      <c r="AF1203" s="79">
        <v>45131.793773148151</v>
      </c>
      <c r="AG1203" s="85">
        <v>45131</v>
      </c>
      <c r="AH1203" s="81" t="s">
        <v>6867</v>
      </c>
      <c r="AI1203" s="77" t="b">
        <v>0</v>
      </c>
      <c r="AJ1203" s="77"/>
      <c r="AK1203" s="77"/>
      <c r="AL1203" s="77"/>
      <c r="AM1203" s="77"/>
      <c r="AN1203" s="77"/>
      <c r="AO1203" s="77"/>
      <c r="AP1203" s="77"/>
      <c r="AQ1203" s="77" t="s">
        <v>8679</v>
      </c>
      <c r="AR1203" s="77"/>
      <c r="AS1203" s="77"/>
      <c r="AT1203" s="77"/>
      <c r="AU1203" s="77"/>
      <c r="AV1203" s="83" t="str">
        <f>HYPERLINK("https://pbs.twimg.com/media/F10u3dpXoAEjJ1i.jpg")</f>
        <v>https://pbs.twimg.com/media/F10u3dpXoAEjJ1i.jpg</v>
      </c>
      <c r="AW1203" s="81" t="s">
        <v>10325</v>
      </c>
      <c r="AX1203" s="81" t="s">
        <v>10325</v>
      </c>
      <c r="AY1203" s="77"/>
      <c r="AZ1203" s="81" t="s">
        <v>11359</v>
      </c>
      <c r="BA1203" s="81" t="s">
        <v>11359</v>
      </c>
      <c r="BB1203" s="81" t="s">
        <v>11359</v>
      </c>
      <c r="BC1203" s="81" t="s">
        <v>10325</v>
      </c>
      <c r="BD1203" s="81" t="s">
        <v>11532</v>
      </c>
      <c r="BE1203" s="77"/>
      <c r="BF1203" s="77"/>
      <c r="BG1203" s="77"/>
      <c r="BH1203" s="77"/>
      <c r="BI1203" s="77"/>
    </row>
    <row r="1204" spans="1:61" x14ac:dyDescent="0.25">
      <c r="A1204" s="62" t="s">
        <v>484</v>
      </c>
      <c r="B1204" s="62" t="s">
        <v>484</v>
      </c>
      <c r="C1204" s="63"/>
      <c r="D1204" s="64"/>
      <c r="E1204" s="65"/>
      <c r="F1204" s="66"/>
      <c r="G1204" s="63"/>
      <c r="H1204" s="67"/>
      <c r="I1204" s="68"/>
      <c r="J1204" s="68"/>
      <c r="K1204" s="32"/>
      <c r="L1204" s="75">
        <v>1204</v>
      </c>
      <c r="M1204" s="75"/>
      <c r="N1204" s="70"/>
      <c r="O1204" s="77" t="s">
        <v>179</v>
      </c>
      <c r="P1204" s="79">
        <v>45131.793275462966</v>
      </c>
      <c r="Q1204" s="77" t="s">
        <v>2004</v>
      </c>
      <c r="R1204" s="77">
        <v>0</v>
      </c>
      <c r="S1204" s="77">
        <v>0</v>
      </c>
      <c r="T1204" s="77">
        <v>0</v>
      </c>
      <c r="U1204" s="77">
        <v>0</v>
      </c>
      <c r="V1204" s="77">
        <v>32</v>
      </c>
      <c r="W1204" s="81" t="s">
        <v>3553</v>
      </c>
      <c r="X1204" s="77"/>
      <c r="Y1204" s="77"/>
      <c r="Z1204" s="77"/>
      <c r="AA1204" s="77" t="s">
        <v>5177</v>
      </c>
      <c r="AB1204" s="77" t="s">
        <v>5797</v>
      </c>
      <c r="AC1204" s="81" t="s">
        <v>5801</v>
      </c>
      <c r="AD1204" s="77" t="s">
        <v>5851</v>
      </c>
      <c r="AE1204" s="83" t="str">
        <f>HYPERLINK("https://twitter.com/euqueroameta/status/1683553211146203138")</f>
        <v>https://twitter.com/euqueroameta/status/1683553211146203138</v>
      </c>
      <c r="AF1204" s="79">
        <v>45131.793275462966</v>
      </c>
      <c r="AG1204" s="85">
        <v>45131</v>
      </c>
      <c r="AH1204" s="81" t="s">
        <v>6868</v>
      </c>
      <c r="AI1204" s="77" t="b">
        <v>0</v>
      </c>
      <c r="AJ1204" s="77"/>
      <c r="AK1204" s="77"/>
      <c r="AL1204" s="77"/>
      <c r="AM1204" s="77"/>
      <c r="AN1204" s="77"/>
      <c r="AO1204" s="77"/>
      <c r="AP1204" s="77"/>
      <c r="AQ1204" s="77" t="s">
        <v>8680</v>
      </c>
      <c r="AR1204" s="77"/>
      <c r="AS1204" s="77"/>
      <c r="AT1204" s="77"/>
      <c r="AU1204" s="77"/>
      <c r="AV1204" s="83" t="str">
        <f>HYPERLINK("https://pbs.twimg.com/media/F10us6aX0AE87qL.jpg")</f>
        <v>https://pbs.twimg.com/media/F10us6aX0AE87qL.jpg</v>
      </c>
      <c r="AW1204" s="81" t="s">
        <v>10326</v>
      </c>
      <c r="AX1204" s="81" t="s">
        <v>10326</v>
      </c>
      <c r="AY1204" s="77"/>
      <c r="AZ1204" s="81" t="s">
        <v>11359</v>
      </c>
      <c r="BA1204" s="81" t="s">
        <v>11359</v>
      </c>
      <c r="BB1204" s="81" t="s">
        <v>11359</v>
      </c>
      <c r="BC1204" s="81" t="s">
        <v>10326</v>
      </c>
      <c r="BD1204" s="81" t="s">
        <v>11532</v>
      </c>
      <c r="BE1204" s="77"/>
      <c r="BF1204" s="77"/>
      <c r="BG1204" s="77"/>
      <c r="BH1204" s="77"/>
      <c r="BI1204" s="77"/>
    </row>
    <row r="1205" spans="1:61" x14ac:dyDescent="0.25">
      <c r="A1205" s="62" t="s">
        <v>484</v>
      </c>
      <c r="B1205" s="62" t="s">
        <v>484</v>
      </c>
      <c r="C1205" s="63"/>
      <c r="D1205" s="64"/>
      <c r="E1205" s="65"/>
      <c r="F1205" s="66"/>
      <c r="G1205" s="63"/>
      <c r="H1205" s="67"/>
      <c r="I1205" s="68"/>
      <c r="J1205" s="68"/>
      <c r="K1205" s="32"/>
      <c r="L1205" s="75">
        <v>1205</v>
      </c>
      <c r="M1205" s="75"/>
      <c r="N1205" s="70"/>
      <c r="O1205" s="77" t="s">
        <v>179</v>
      </c>
      <c r="P1205" s="79">
        <v>45119.849976851852</v>
      </c>
      <c r="Q1205" s="77" t="s">
        <v>2005</v>
      </c>
      <c r="R1205" s="77">
        <v>0</v>
      </c>
      <c r="S1205" s="77">
        <v>0</v>
      </c>
      <c r="T1205" s="77">
        <v>0</v>
      </c>
      <c r="U1205" s="77">
        <v>0</v>
      </c>
      <c r="V1205" s="77">
        <v>7</v>
      </c>
      <c r="W1205" s="81" t="s">
        <v>3546</v>
      </c>
      <c r="X1205" s="77"/>
      <c r="Y1205" s="77"/>
      <c r="Z1205" s="77"/>
      <c r="AA1205" s="77" t="s">
        <v>5178</v>
      </c>
      <c r="AB1205" s="77" t="s">
        <v>5795</v>
      </c>
      <c r="AC1205" s="81" t="s">
        <v>5801</v>
      </c>
      <c r="AD1205" s="77" t="s">
        <v>5851</v>
      </c>
      <c r="AE1205" s="83" t="str">
        <f>HYPERLINK("https://twitter.com/euqueroameta/status/1679225106608914433")</f>
        <v>https://twitter.com/euqueroameta/status/1679225106608914433</v>
      </c>
      <c r="AF1205" s="79">
        <v>45119.849976851852</v>
      </c>
      <c r="AG1205" s="85">
        <v>45119</v>
      </c>
      <c r="AH1205" s="81" t="s">
        <v>6869</v>
      </c>
      <c r="AI1205" s="77" t="b">
        <v>0</v>
      </c>
      <c r="AJ1205" s="77"/>
      <c r="AK1205" s="77"/>
      <c r="AL1205" s="77"/>
      <c r="AM1205" s="77"/>
      <c r="AN1205" s="77"/>
      <c r="AO1205" s="77"/>
      <c r="AP1205" s="77"/>
      <c r="AQ1205" s="77" t="s">
        <v>8681</v>
      </c>
      <c r="AR1205" s="77">
        <v>12166</v>
      </c>
      <c r="AS1205" s="77"/>
      <c r="AT1205" s="77"/>
      <c r="AU1205" s="77"/>
      <c r="AV1205" s="83" t="str">
        <f>HYPERLINK("https://pbs.twimg.com/ext_tw_video_thumb/1679225057795616768/pu/img/CtkOtT-VuVS_psaq.jpg")</f>
        <v>https://pbs.twimg.com/ext_tw_video_thumb/1679225057795616768/pu/img/CtkOtT-VuVS_psaq.jpg</v>
      </c>
      <c r="AW1205" s="81" t="s">
        <v>10327</v>
      </c>
      <c r="AX1205" s="81" t="s">
        <v>10327</v>
      </c>
      <c r="AY1205" s="77"/>
      <c r="AZ1205" s="81" t="s">
        <v>11359</v>
      </c>
      <c r="BA1205" s="81" t="s">
        <v>11359</v>
      </c>
      <c r="BB1205" s="81" t="s">
        <v>11359</v>
      </c>
      <c r="BC1205" s="81" t="s">
        <v>10327</v>
      </c>
      <c r="BD1205" s="81" t="s">
        <v>11532</v>
      </c>
      <c r="BE1205" s="77"/>
      <c r="BF1205" s="77"/>
      <c r="BG1205" s="77"/>
      <c r="BH1205" s="77"/>
      <c r="BI1205" s="77"/>
    </row>
    <row r="1206" spans="1:61" x14ac:dyDescent="0.25">
      <c r="A1206" s="62" t="s">
        <v>484</v>
      </c>
      <c r="B1206" s="62" t="s">
        <v>484</v>
      </c>
      <c r="C1206" s="63"/>
      <c r="D1206" s="64"/>
      <c r="E1206" s="65"/>
      <c r="F1206" s="66"/>
      <c r="G1206" s="63"/>
      <c r="H1206" s="67"/>
      <c r="I1206" s="68"/>
      <c r="J1206" s="68"/>
      <c r="K1206" s="32"/>
      <c r="L1206" s="75">
        <v>1206</v>
      </c>
      <c r="M1206" s="75"/>
      <c r="N1206" s="70"/>
      <c r="O1206" s="77" t="s">
        <v>179</v>
      </c>
      <c r="P1206" s="79">
        <v>45118.650150462963</v>
      </c>
      <c r="Q1206" s="77" t="s">
        <v>2006</v>
      </c>
      <c r="R1206" s="77">
        <v>0</v>
      </c>
      <c r="S1206" s="77">
        <v>0</v>
      </c>
      <c r="T1206" s="77">
        <v>0</v>
      </c>
      <c r="U1206" s="77">
        <v>0</v>
      </c>
      <c r="V1206" s="77">
        <v>5</v>
      </c>
      <c r="W1206" s="81" t="s">
        <v>3554</v>
      </c>
      <c r="X1206" s="77"/>
      <c r="Y1206" s="77"/>
      <c r="Z1206" s="77"/>
      <c r="AA1206" s="77" t="s">
        <v>5179</v>
      </c>
      <c r="AB1206" s="77" t="s">
        <v>5794</v>
      </c>
      <c r="AC1206" s="81" t="s">
        <v>5801</v>
      </c>
      <c r="AD1206" s="77" t="s">
        <v>5851</v>
      </c>
      <c r="AE1206" s="83" t="str">
        <f>HYPERLINK("https://twitter.com/euqueroameta/status/1678790304118235136")</f>
        <v>https://twitter.com/euqueroameta/status/1678790304118235136</v>
      </c>
      <c r="AF1206" s="79">
        <v>45118.650150462963</v>
      </c>
      <c r="AG1206" s="85">
        <v>45118</v>
      </c>
      <c r="AH1206" s="81" t="s">
        <v>6870</v>
      </c>
      <c r="AI1206" s="77" t="b">
        <v>0</v>
      </c>
      <c r="AJ1206" s="77"/>
      <c r="AK1206" s="77"/>
      <c r="AL1206" s="77"/>
      <c r="AM1206" s="77"/>
      <c r="AN1206" s="77"/>
      <c r="AO1206" s="77"/>
      <c r="AP1206" s="77"/>
      <c r="AQ1206" s="77" t="s">
        <v>8682</v>
      </c>
      <c r="AR1206" s="77"/>
      <c r="AS1206" s="77"/>
      <c r="AT1206" s="77"/>
      <c r="AU1206" s="77"/>
      <c r="AV1206" s="83" t="str">
        <f>HYPERLINK("https://pbs.twimg.com/media/F0xC4mFWIAA-H-e.jpg")</f>
        <v>https://pbs.twimg.com/media/F0xC4mFWIAA-H-e.jpg</v>
      </c>
      <c r="AW1206" s="81" t="s">
        <v>10328</v>
      </c>
      <c r="AX1206" s="81" t="s">
        <v>10328</v>
      </c>
      <c r="AY1206" s="77"/>
      <c r="AZ1206" s="81" t="s">
        <v>11359</v>
      </c>
      <c r="BA1206" s="81" t="s">
        <v>11359</v>
      </c>
      <c r="BB1206" s="81" t="s">
        <v>11359</v>
      </c>
      <c r="BC1206" s="81" t="s">
        <v>10328</v>
      </c>
      <c r="BD1206" s="81" t="s">
        <v>11532</v>
      </c>
      <c r="BE1206" s="77"/>
      <c r="BF1206" s="77"/>
      <c r="BG1206" s="77"/>
      <c r="BH1206" s="77"/>
      <c r="BI1206" s="77"/>
    </row>
    <row r="1207" spans="1:61" x14ac:dyDescent="0.25">
      <c r="A1207" s="62" t="s">
        <v>484</v>
      </c>
      <c r="B1207" s="62" t="s">
        <v>484</v>
      </c>
      <c r="C1207" s="63"/>
      <c r="D1207" s="64"/>
      <c r="E1207" s="65"/>
      <c r="F1207" s="66"/>
      <c r="G1207" s="63"/>
      <c r="H1207" s="67"/>
      <c r="I1207" s="68"/>
      <c r="J1207" s="68"/>
      <c r="K1207" s="32"/>
      <c r="L1207" s="75">
        <v>1207</v>
      </c>
      <c r="M1207" s="75"/>
      <c r="N1207" s="70"/>
      <c r="O1207" s="77" t="s">
        <v>179</v>
      </c>
      <c r="P1207" s="79">
        <v>45118.06517361111</v>
      </c>
      <c r="Q1207" s="77" t="s">
        <v>2007</v>
      </c>
      <c r="R1207" s="77">
        <v>0</v>
      </c>
      <c r="S1207" s="77">
        <v>0</v>
      </c>
      <c r="T1207" s="77">
        <v>0</v>
      </c>
      <c r="U1207" s="77">
        <v>0</v>
      </c>
      <c r="V1207" s="77">
        <v>4</v>
      </c>
      <c r="W1207" s="81" t="s">
        <v>3555</v>
      </c>
      <c r="X1207" s="77"/>
      <c r="Y1207" s="77"/>
      <c r="Z1207" s="77"/>
      <c r="AA1207" s="77" t="s">
        <v>5180</v>
      </c>
      <c r="AB1207" s="77" t="s">
        <v>5795</v>
      </c>
      <c r="AC1207" s="81" t="s">
        <v>5801</v>
      </c>
      <c r="AD1207" s="77" t="s">
        <v>5851</v>
      </c>
      <c r="AE1207" s="83" t="str">
        <f>HYPERLINK("https://twitter.com/euqueroameta/status/1678578315483836417")</f>
        <v>https://twitter.com/euqueroameta/status/1678578315483836417</v>
      </c>
      <c r="AF1207" s="79">
        <v>45118.06517361111</v>
      </c>
      <c r="AG1207" s="85">
        <v>45118</v>
      </c>
      <c r="AH1207" s="81" t="s">
        <v>6871</v>
      </c>
      <c r="AI1207" s="77" t="b">
        <v>0</v>
      </c>
      <c r="AJ1207" s="77"/>
      <c r="AK1207" s="77"/>
      <c r="AL1207" s="77"/>
      <c r="AM1207" s="77"/>
      <c r="AN1207" s="77"/>
      <c r="AO1207" s="77"/>
      <c r="AP1207" s="77"/>
      <c r="AQ1207" s="77" t="s">
        <v>8683</v>
      </c>
      <c r="AR1207" s="77">
        <v>17800</v>
      </c>
      <c r="AS1207" s="77"/>
      <c r="AT1207" s="77"/>
      <c r="AU1207" s="77"/>
      <c r="AV1207" s="83" t="str">
        <f>HYPERLINK("https://pbs.twimg.com/ext_tw_video_thumb/1678578244814090240/pu/img/U62aKzXBH3Vr3JXh.jpg")</f>
        <v>https://pbs.twimg.com/ext_tw_video_thumb/1678578244814090240/pu/img/U62aKzXBH3Vr3JXh.jpg</v>
      </c>
      <c r="AW1207" s="81" t="s">
        <v>10329</v>
      </c>
      <c r="AX1207" s="81" t="s">
        <v>10329</v>
      </c>
      <c r="AY1207" s="77"/>
      <c r="AZ1207" s="81" t="s">
        <v>11359</v>
      </c>
      <c r="BA1207" s="81" t="s">
        <v>11359</v>
      </c>
      <c r="BB1207" s="81" t="s">
        <v>11359</v>
      </c>
      <c r="BC1207" s="81" t="s">
        <v>10329</v>
      </c>
      <c r="BD1207" s="81" t="s">
        <v>11532</v>
      </c>
      <c r="BE1207" s="77"/>
      <c r="BF1207" s="77"/>
      <c r="BG1207" s="77"/>
      <c r="BH1207" s="77"/>
      <c r="BI1207" s="77"/>
    </row>
    <row r="1208" spans="1:61" x14ac:dyDescent="0.25">
      <c r="A1208" s="62" t="s">
        <v>484</v>
      </c>
      <c r="B1208" s="62" t="s">
        <v>484</v>
      </c>
      <c r="C1208" s="63"/>
      <c r="D1208" s="64"/>
      <c r="E1208" s="65"/>
      <c r="F1208" s="66"/>
      <c r="G1208" s="63"/>
      <c r="H1208" s="67"/>
      <c r="I1208" s="68"/>
      <c r="J1208" s="68"/>
      <c r="K1208" s="32"/>
      <c r="L1208" s="75">
        <v>1208</v>
      </c>
      <c r="M1208" s="75"/>
      <c r="N1208" s="70"/>
      <c r="O1208" s="77" t="s">
        <v>179</v>
      </c>
      <c r="P1208" s="79">
        <v>45109.654710648145</v>
      </c>
      <c r="Q1208" s="77" t="s">
        <v>2008</v>
      </c>
      <c r="R1208" s="77">
        <v>0</v>
      </c>
      <c r="S1208" s="77">
        <v>0</v>
      </c>
      <c r="T1208" s="77">
        <v>0</v>
      </c>
      <c r="U1208" s="77">
        <v>0</v>
      </c>
      <c r="V1208" s="77">
        <v>35</v>
      </c>
      <c r="W1208" s="81" t="s">
        <v>3556</v>
      </c>
      <c r="X1208" s="77"/>
      <c r="Y1208" s="77"/>
      <c r="Z1208" s="77"/>
      <c r="AA1208" s="77" t="s">
        <v>5181</v>
      </c>
      <c r="AB1208" s="77" t="s">
        <v>5795</v>
      </c>
      <c r="AC1208" s="81" t="s">
        <v>5801</v>
      </c>
      <c r="AD1208" s="77" t="s">
        <v>5851</v>
      </c>
      <c r="AE1208" s="83" t="str">
        <f>HYPERLINK("https://twitter.com/euqueroameta/status/1675530464864378881")</f>
        <v>https://twitter.com/euqueroameta/status/1675530464864378881</v>
      </c>
      <c r="AF1208" s="79">
        <v>45109.654710648145</v>
      </c>
      <c r="AG1208" s="85">
        <v>45109</v>
      </c>
      <c r="AH1208" s="81" t="s">
        <v>6872</v>
      </c>
      <c r="AI1208" s="77" t="b">
        <v>0</v>
      </c>
      <c r="AJ1208" s="77"/>
      <c r="AK1208" s="77"/>
      <c r="AL1208" s="77"/>
      <c r="AM1208" s="77"/>
      <c r="AN1208" s="77"/>
      <c r="AO1208" s="77"/>
      <c r="AP1208" s="77"/>
      <c r="AQ1208" s="77" t="s">
        <v>8684</v>
      </c>
      <c r="AR1208" s="77">
        <v>16400</v>
      </c>
      <c r="AS1208" s="77"/>
      <c r="AT1208" s="77"/>
      <c r="AU1208" s="77"/>
      <c r="AV1208" s="83" t="str">
        <f>HYPERLINK("https://pbs.twimg.com/ext_tw_video_thumb/1675530311688507394/pu/img/6SOxgxvkIdyV1bKz.jpg")</f>
        <v>https://pbs.twimg.com/ext_tw_video_thumb/1675530311688507394/pu/img/6SOxgxvkIdyV1bKz.jpg</v>
      </c>
      <c r="AW1208" s="81" t="s">
        <v>10330</v>
      </c>
      <c r="AX1208" s="81" t="s">
        <v>10330</v>
      </c>
      <c r="AY1208" s="77"/>
      <c r="AZ1208" s="81" t="s">
        <v>11359</v>
      </c>
      <c r="BA1208" s="81" t="s">
        <v>11359</v>
      </c>
      <c r="BB1208" s="81" t="s">
        <v>11359</v>
      </c>
      <c r="BC1208" s="81" t="s">
        <v>10330</v>
      </c>
      <c r="BD1208" s="81" t="s">
        <v>11532</v>
      </c>
      <c r="BE1208" s="77"/>
      <c r="BF1208" s="77"/>
      <c r="BG1208" s="77"/>
      <c r="BH1208" s="77"/>
      <c r="BI1208" s="77"/>
    </row>
    <row r="1209" spans="1:61" x14ac:dyDescent="0.25">
      <c r="A1209" s="62" t="s">
        <v>484</v>
      </c>
      <c r="B1209" s="62" t="s">
        <v>484</v>
      </c>
      <c r="C1209" s="63"/>
      <c r="D1209" s="64"/>
      <c r="E1209" s="65"/>
      <c r="F1209" s="66"/>
      <c r="G1209" s="63"/>
      <c r="H1209" s="67"/>
      <c r="I1209" s="68"/>
      <c r="J1209" s="68"/>
      <c r="K1209" s="32"/>
      <c r="L1209" s="75">
        <v>1209</v>
      </c>
      <c r="M1209" s="75"/>
      <c r="N1209" s="70"/>
      <c r="O1209" s="77" t="s">
        <v>179</v>
      </c>
      <c r="P1209" s="79">
        <v>45109.110266203701</v>
      </c>
      <c r="Q1209" s="77" t="s">
        <v>2009</v>
      </c>
      <c r="R1209" s="77">
        <v>0</v>
      </c>
      <c r="S1209" s="77">
        <v>0</v>
      </c>
      <c r="T1209" s="77">
        <v>0</v>
      </c>
      <c r="U1209" s="77">
        <v>0</v>
      </c>
      <c r="V1209" s="77">
        <v>10</v>
      </c>
      <c r="W1209" s="81" t="s">
        <v>3557</v>
      </c>
      <c r="X1209" s="77"/>
      <c r="Y1209" s="77"/>
      <c r="Z1209" s="77"/>
      <c r="AA1209" s="77" t="s">
        <v>5182</v>
      </c>
      <c r="AB1209" s="77" t="s">
        <v>5795</v>
      </c>
      <c r="AC1209" s="81" t="s">
        <v>5801</v>
      </c>
      <c r="AD1209" s="77" t="s">
        <v>5851</v>
      </c>
      <c r="AE1209" s="83" t="str">
        <f>HYPERLINK("https://twitter.com/euqueroameta/status/1675333167400603649")</f>
        <v>https://twitter.com/euqueroameta/status/1675333167400603649</v>
      </c>
      <c r="AF1209" s="79">
        <v>45109.110266203701</v>
      </c>
      <c r="AG1209" s="85">
        <v>45109</v>
      </c>
      <c r="AH1209" s="81" t="s">
        <v>6873</v>
      </c>
      <c r="AI1209" s="77" t="b">
        <v>0</v>
      </c>
      <c r="AJ1209" s="77"/>
      <c r="AK1209" s="77"/>
      <c r="AL1209" s="77"/>
      <c r="AM1209" s="77"/>
      <c r="AN1209" s="77"/>
      <c r="AO1209" s="77"/>
      <c r="AP1209" s="77"/>
      <c r="AQ1209" s="77" t="s">
        <v>8685</v>
      </c>
      <c r="AR1209" s="77">
        <v>35839</v>
      </c>
      <c r="AS1209" s="77"/>
      <c r="AT1209" s="77"/>
      <c r="AU1209" s="77"/>
      <c r="AV1209" s="83" t="str">
        <f>HYPERLINK("https://pbs.twimg.com/ext_tw_video_thumb/1675333026815922176/pu/img/8VrkU75X0TX7H3hw.jpg")</f>
        <v>https://pbs.twimg.com/ext_tw_video_thumb/1675333026815922176/pu/img/8VrkU75X0TX7H3hw.jpg</v>
      </c>
      <c r="AW1209" s="81" t="s">
        <v>10331</v>
      </c>
      <c r="AX1209" s="81" t="s">
        <v>10331</v>
      </c>
      <c r="AY1209" s="77"/>
      <c r="AZ1209" s="81" t="s">
        <v>11359</v>
      </c>
      <c r="BA1209" s="81" t="s">
        <v>11359</v>
      </c>
      <c r="BB1209" s="81" t="s">
        <v>11359</v>
      </c>
      <c r="BC1209" s="81" t="s">
        <v>10331</v>
      </c>
      <c r="BD1209" s="81" t="s">
        <v>11532</v>
      </c>
      <c r="BE1209" s="77"/>
      <c r="BF1209" s="77"/>
      <c r="BG1209" s="77"/>
      <c r="BH1209" s="77"/>
      <c r="BI1209" s="77"/>
    </row>
    <row r="1210" spans="1:61" x14ac:dyDescent="0.25">
      <c r="A1210" s="62" t="s">
        <v>484</v>
      </c>
      <c r="B1210" s="62" t="s">
        <v>484</v>
      </c>
      <c r="C1210" s="63"/>
      <c r="D1210" s="64"/>
      <c r="E1210" s="65"/>
      <c r="F1210" s="66"/>
      <c r="G1210" s="63"/>
      <c r="H1210" s="67"/>
      <c r="I1210" s="68"/>
      <c r="J1210" s="68"/>
      <c r="K1210" s="32"/>
      <c r="L1210" s="75">
        <v>1210</v>
      </c>
      <c r="M1210" s="75"/>
      <c r="N1210" s="70"/>
      <c r="O1210" s="77" t="s">
        <v>179</v>
      </c>
      <c r="P1210" s="79">
        <v>45109.105462962965</v>
      </c>
      <c r="Q1210" s="77" t="s">
        <v>2010</v>
      </c>
      <c r="R1210" s="77">
        <v>0</v>
      </c>
      <c r="S1210" s="77">
        <v>0</v>
      </c>
      <c r="T1210" s="77">
        <v>0</v>
      </c>
      <c r="U1210" s="77">
        <v>0</v>
      </c>
      <c r="V1210" s="77">
        <v>10</v>
      </c>
      <c r="W1210" s="81" t="s">
        <v>3557</v>
      </c>
      <c r="X1210" s="77"/>
      <c r="Y1210" s="77"/>
      <c r="Z1210" s="77"/>
      <c r="AA1210" s="77" t="s">
        <v>5183</v>
      </c>
      <c r="AB1210" s="77" t="s">
        <v>5795</v>
      </c>
      <c r="AC1210" s="81" t="s">
        <v>5801</v>
      </c>
      <c r="AD1210" s="77" t="s">
        <v>5851</v>
      </c>
      <c r="AE1210" s="83" t="str">
        <f>HYPERLINK("https://twitter.com/euqueroameta/status/1675331426282004480")</f>
        <v>https://twitter.com/euqueroameta/status/1675331426282004480</v>
      </c>
      <c r="AF1210" s="79">
        <v>45109.105462962965</v>
      </c>
      <c r="AG1210" s="85">
        <v>45109</v>
      </c>
      <c r="AH1210" s="81" t="s">
        <v>6874</v>
      </c>
      <c r="AI1210" s="77" t="b">
        <v>0</v>
      </c>
      <c r="AJ1210" s="77"/>
      <c r="AK1210" s="77"/>
      <c r="AL1210" s="77"/>
      <c r="AM1210" s="77"/>
      <c r="AN1210" s="77"/>
      <c r="AO1210" s="77"/>
      <c r="AP1210" s="77"/>
      <c r="AQ1210" s="77" t="s">
        <v>8686</v>
      </c>
      <c r="AR1210" s="77">
        <v>29933</v>
      </c>
      <c r="AS1210" s="77"/>
      <c r="AT1210" s="77"/>
      <c r="AU1210" s="77"/>
      <c r="AV1210" s="83" t="str">
        <f>HYPERLINK("https://pbs.twimg.com/ext_tw_video_thumb/1675331317548961793/pu/img/wYRxrtj7_1ACIpCN.jpg")</f>
        <v>https://pbs.twimg.com/ext_tw_video_thumb/1675331317548961793/pu/img/wYRxrtj7_1ACIpCN.jpg</v>
      </c>
      <c r="AW1210" s="81" t="s">
        <v>10332</v>
      </c>
      <c r="AX1210" s="81" t="s">
        <v>10332</v>
      </c>
      <c r="AY1210" s="77"/>
      <c r="AZ1210" s="81" t="s">
        <v>11359</v>
      </c>
      <c r="BA1210" s="81" t="s">
        <v>11359</v>
      </c>
      <c r="BB1210" s="81" t="s">
        <v>11359</v>
      </c>
      <c r="BC1210" s="81" t="s">
        <v>10332</v>
      </c>
      <c r="BD1210" s="81" t="s">
        <v>11532</v>
      </c>
      <c r="BE1210" s="77"/>
      <c r="BF1210" s="77"/>
      <c r="BG1210" s="77"/>
      <c r="BH1210" s="77"/>
      <c r="BI1210" s="77"/>
    </row>
    <row r="1211" spans="1:61" x14ac:dyDescent="0.25">
      <c r="A1211" s="62" t="s">
        <v>484</v>
      </c>
      <c r="B1211" s="62" t="s">
        <v>484</v>
      </c>
      <c r="C1211" s="63"/>
      <c r="D1211" s="64"/>
      <c r="E1211" s="65"/>
      <c r="F1211" s="66"/>
      <c r="G1211" s="63"/>
      <c r="H1211" s="67"/>
      <c r="I1211" s="68"/>
      <c r="J1211" s="68"/>
      <c r="K1211" s="32"/>
      <c r="L1211" s="75">
        <v>1211</v>
      </c>
      <c r="M1211" s="75"/>
      <c r="N1211" s="70"/>
      <c r="O1211" s="77" t="s">
        <v>179</v>
      </c>
      <c r="P1211" s="79">
        <v>45109.099791666667</v>
      </c>
      <c r="Q1211" s="77" t="s">
        <v>2011</v>
      </c>
      <c r="R1211" s="77">
        <v>0</v>
      </c>
      <c r="S1211" s="77">
        <v>0</v>
      </c>
      <c r="T1211" s="77">
        <v>0</v>
      </c>
      <c r="U1211" s="77">
        <v>0</v>
      </c>
      <c r="V1211" s="77">
        <v>25</v>
      </c>
      <c r="W1211" s="81" t="s">
        <v>3558</v>
      </c>
      <c r="X1211" s="77"/>
      <c r="Y1211" s="77"/>
      <c r="Z1211" s="77"/>
      <c r="AA1211" s="77" t="s">
        <v>5184</v>
      </c>
      <c r="AB1211" s="77" t="s">
        <v>5794</v>
      </c>
      <c r="AC1211" s="81" t="s">
        <v>5801</v>
      </c>
      <c r="AD1211" s="77" t="s">
        <v>5851</v>
      </c>
      <c r="AE1211" s="83" t="str">
        <f>HYPERLINK("https://twitter.com/euqueroameta/status/1675329368497836032")</f>
        <v>https://twitter.com/euqueroameta/status/1675329368497836032</v>
      </c>
      <c r="AF1211" s="79">
        <v>45109.099791666667</v>
      </c>
      <c r="AG1211" s="85">
        <v>45109</v>
      </c>
      <c r="AH1211" s="81" t="s">
        <v>6875</v>
      </c>
      <c r="AI1211" s="77" t="b">
        <v>0</v>
      </c>
      <c r="AJ1211" s="77"/>
      <c r="AK1211" s="77"/>
      <c r="AL1211" s="77"/>
      <c r="AM1211" s="77"/>
      <c r="AN1211" s="77"/>
      <c r="AO1211" s="77"/>
      <c r="AP1211" s="77"/>
      <c r="AQ1211" s="77" t="s">
        <v>8687</v>
      </c>
      <c r="AR1211" s="77"/>
      <c r="AS1211" s="77"/>
      <c r="AT1211" s="77"/>
      <c r="AU1211" s="77"/>
      <c r="AV1211" s="83" t="str">
        <f>HYPERLINK("https://pbs.twimg.com/media/Fz_3LovWwAE_8A4.jpg")</f>
        <v>https://pbs.twimg.com/media/Fz_3LovWwAE_8A4.jpg</v>
      </c>
      <c r="AW1211" s="81" t="s">
        <v>10333</v>
      </c>
      <c r="AX1211" s="81" t="s">
        <v>10333</v>
      </c>
      <c r="AY1211" s="77"/>
      <c r="AZ1211" s="81" t="s">
        <v>11359</v>
      </c>
      <c r="BA1211" s="81" t="s">
        <v>11359</v>
      </c>
      <c r="BB1211" s="81" t="s">
        <v>11359</v>
      </c>
      <c r="BC1211" s="81" t="s">
        <v>10333</v>
      </c>
      <c r="BD1211" s="81" t="s">
        <v>11532</v>
      </c>
      <c r="BE1211" s="77"/>
      <c r="BF1211" s="77"/>
      <c r="BG1211" s="77"/>
      <c r="BH1211" s="77"/>
      <c r="BI1211" s="77"/>
    </row>
    <row r="1212" spans="1:61" x14ac:dyDescent="0.25">
      <c r="A1212" s="62" t="s">
        <v>484</v>
      </c>
      <c r="B1212" s="62" t="s">
        <v>484</v>
      </c>
      <c r="C1212" s="63"/>
      <c r="D1212" s="64"/>
      <c r="E1212" s="65"/>
      <c r="F1212" s="66"/>
      <c r="G1212" s="63"/>
      <c r="H1212" s="67"/>
      <c r="I1212" s="68"/>
      <c r="J1212" s="68"/>
      <c r="K1212" s="32"/>
      <c r="L1212" s="75">
        <v>1212</v>
      </c>
      <c r="M1212" s="75"/>
      <c r="N1212" s="70"/>
      <c r="O1212" s="77" t="s">
        <v>179</v>
      </c>
      <c r="P1212" s="79">
        <v>45108.15587962963</v>
      </c>
      <c r="Q1212" s="77" t="s">
        <v>2012</v>
      </c>
      <c r="R1212" s="77">
        <v>0</v>
      </c>
      <c r="S1212" s="77">
        <v>1</v>
      </c>
      <c r="T1212" s="77">
        <v>0</v>
      </c>
      <c r="U1212" s="77">
        <v>0</v>
      </c>
      <c r="V1212" s="77">
        <v>79</v>
      </c>
      <c r="W1212" s="81" t="s">
        <v>3559</v>
      </c>
      <c r="X1212" s="77"/>
      <c r="Y1212" s="77"/>
      <c r="Z1212" s="77"/>
      <c r="AA1212" s="77" t="s">
        <v>5185</v>
      </c>
      <c r="AB1212" s="77" t="s">
        <v>5795</v>
      </c>
      <c r="AC1212" s="81" t="s">
        <v>5801</v>
      </c>
      <c r="AD1212" s="77" t="s">
        <v>5851</v>
      </c>
      <c r="AE1212" s="83" t="str">
        <f>HYPERLINK("https://twitter.com/euqueroameta/status/1674987306720043010")</f>
        <v>https://twitter.com/euqueroameta/status/1674987306720043010</v>
      </c>
      <c r="AF1212" s="79">
        <v>45108.15587962963</v>
      </c>
      <c r="AG1212" s="85">
        <v>45108</v>
      </c>
      <c r="AH1212" s="81" t="s">
        <v>6876</v>
      </c>
      <c r="AI1212" s="77" t="b">
        <v>0</v>
      </c>
      <c r="AJ1212" s="77"/>
      <c r="AK1212" s="77"/>
      <c r="AL1212" s="77"/>
      <c r="AM1212" s="77"/>
      <c r="AN1212" s="77"/>
      <c r="AO1212" s="77"/>
      <c r="AP1212" s="77"/>
      <c r="AQ1212" s="77" t="s">
        <v>8688</v>
      </c>
      <c r="AR1212" s="77">
        <v>83066</v>
      </c>
      <c r="AS1212" s="77"/>
      <c r="AT1212" s="77"/>
      <c r="AU1212" s="77"/>
      <c r="AV1212" s="83" t="str">
        <f>HYPERLINK("https://pbs.twimg.com/ext_tw_video_thumb/1674986720280944640/pu/img/3VGPm9inUQliHFFd.jpg")</f>
        <v>https://pbs.twimg.com/ext_tw_video_thumb/1674986720280944640/pu/img/3VGPm9inUQliHFFd.jpg</v>
      </c>
      <c r="AW1212" s="81" t="s">
        <v>10334</v>
      </c>
      <c r="AX1212" s="81" t="s">
        <v>10334</v>
      </c>
      <c r="AY1212" s="77"/>
      <c r="AZ1212" s="81" t="s">
        <v>11359</v>
      </c>
      <c r="BA1212" s="81" t="s">
        <v>11359</v>
      </c>
      <c r="BB1212" s="81" t="s">
        <v>11359</v>
      </c>
      <c r="BC1212" s="81" t="s">
        <v>10334</v>
      </c>
      <c r="BD1212" s="81" t="s">
        <v>11532</v>
      </c>
      <c r="BE1212" s="77"/>
      <c r="BF1212" s="77"/>
      <c r="BG1212" s="77"/>
      <c r="BH1212" s="77"/>
      <c r="BI1212" s="77"/>
    </row>
    <row r="1213" spans="1:61" x14ac:dyDescent="0.25">
      <c r="A1213" s="62" t="s">
        <v>484</v>
      </c>
      <c r="B1213" s="62" t="s">
        <v>484</v>
      </c>
      <c r="C1213" s="63"/>
      <c r="D1213" s="64"/>
      <c r="E1213" s="65"/>
      <c r="F1213" s="66"/>
      <c r="G1213" s="63"/>
      <c r="H1213" s="67"/>
      <c r="I1213" s="68"/>
      <c r="J1213" s="68"/>
      <c r="K1213" s="32"/>
      <c r="L1213" s="75">
        <v>1213</v>
      </c>
      <c r="M1213" s="75"/>
      <c r="N1213" s="70"/>
      <c r="O1213" s="77" t="s">
        <v>179</v>
      </c>
      <c r="P1213" s="79">
        <v>45108.152812499997</v>
      </c>
      <c r="Q1213" s="77" t="s">
        <v>2013</v>
      </c>
      <c r="R1213" s="77">
        <v>0</v>
      </c>
      <c r="S1213" s="77">
        <v>0</v>
      </c>
      <c r="T1213" s="77">
        <v>0</v>
      </c>
      <c r="U1213" s="77">
        <v>0</v>
      </c>
      <c r="V1213" s="77">
        <v>43</v>
      </c>
      <c r="W1213" s="81" t="s">
        <v>3560</v>
      </c>
      <c r="X1213" s="77"/>
      <c r="Y1213" s="77"/>
      <c r="Z1213" s="77"/>
      <c r="AA1213" s="77" t="s">
        <v>5186</v>
      </c>
      <c r="AB1213" s="77" t="s">
        <v>5795</v>
      </c>
      <c r="AC1213" s="81" t="s">
        <v>5801</v>
      </c>
      <c r="AD1213" s="77" t="s">
        <v>5851</v>
      </c>
      <c r="AE1213" s="83" t="str">
        <f>HYPERLINK("https://twitter.com/euqueroameta/status/1674986195015589891")</f>
        <v>https://twitter.com/euqueroameta/status/1674986195015589891</v>
      </c>
      <c r="AF1213" s="79">
        <v>45108.152812499997</v>
      </c>
      <c r="AG1213" s="85">
        <v>45108</v>
      </c>
      <c r="AH1213" s="81" t="s">
        <v>6877</v>
      </c>
      <c r="AI1213" s="77" t="b">
        <v>0</v>
      </c>
      <c r="AJ1213" s="77"/>
      <c r="AK1213" s="77"/>
      <c r="AL1213" s="77"/>
      <c r="AM1213" s="77"/>
      <c r="AN1213" s="77"/>
      <c r="AO1213" s="77"/>
      <c r="AP1213" s="77"/>
      <c r="AQ1213" s="77" t="s">
        <v>8689</v>
      </c>
      <c r="AR1213" s="77">
        <v>21766</v>
      </c>
      <c r="AS1213" s="77"/>
      <c r="AT1213" s="77"/>
      <c r="AU1213" s="77"/>
      <c r="AV1213" s="83" t="str">
        <f>HYPERLINK("https://pbs.twimg.com/ext_tw_video_thumb/1674985991214448640/pu/img/KkdAwOu7UqtyLjki.jpg")</f>
        <v>https://pbs.twimg.com/ext_tw_video_thumb/1674985991214448640/pu/img/KkdAwOu7UqtyLjki.jpg</v>
      </c>
      <c r="AW1213" s="81" t="s">
        <v>10335</v>
      </c>
      <c r="AX1213" s="81" t="s">
        <v>10335</v>
      </c>
      <c r="AY1213" s="77"/>
      <c r="AZ1213" s="81" t="s">
        <v>11359</v>
      </c>
      <c r="BA1213" s="81" t="s">
        <v>11359</v>
      </c>
      <c r="BB1213" s="81" t="s">
        <v>11359</v>
      </c>
      <c r="BC1213" s="81" t="s">
        <v>10335</v>
      </c>
      <c r="BD1213" s="81" t="s">
        <v>11532</v>
      </c>
      <c r="BE1213" s="77"/>
      <c r="BF1213" s="77"/>
      <c r="BG1213" s="77"/>
      <c r="BH1213" s="77"/>
      <c r="BI1213" s="77"/>
    </row>
    <row r="1214" spans="1:61" x14ac:dyDescent="0.25">
      <c r="A1214" s="62" t="s">
        <v>484</v>
      </c>
      <c r="B1214" s="62" t="s">
        <v>484</v>
      </c>
      <c r="C1214" s="63"/>
      <c r="D1214" s="64"/>
      <c r="E1214" s="65"/>
      <c r="F1214" s="66"/>
      <c r="G1214" s="63"/>
      <c r="H1214" s="67"/>
      <c r="I1214" s="68"/>
      <c r="J1214" s="68"/>
      <c r="K1214" s="32"/>
      <c r="L1214" s="75">
        <v>1214</v>
      </c>
      <c r="M1214" s="75"/>
      <c r="N1214" s="70"/>
      <c r="O1214" s="77" t="s">
        <v>179</v>
      </c>
      <c r="P1214" s="79">
        <v>45108.152650462966</v>
      </c>
      <c r="Q1214" s="77" t="s">
        <v>2014</v>
      </c>
      <c r="R1214" s="77">
        <v>0</v>
      </c>
      <c r="S1214" s="77">
        <v>1</v>
      </c>
      <c r="T1214" s="77">
        <v>0</v>
      </c>
      <c r="U1214" s="77">
        <v>0</v>
      </c>
      <c r="V1214" s="77">
        <v>57</v>
      </c>
      <c r="W1214" s="81" t="s">
        <v>3561</v>
      </c>
      <c r="X1214" s="77"/>
      <c r="Y1214" s="77"/>
      <c r="Z1214" s="77"/>
      <c r="AA1214" s="77" t="s">
        <v>5187</v>
      </c>
      <c r="AB1214" s="77" t="s">
        <v>5795</v>
      </c>
      <c r="AC1214" s="81" t="s">
        <v>5801</v>
      </c>
      <c r="AD1214" s="77" t="s">
        <v>5851</v>
      </c>
      <c r="AE1214" s="83" t="str">
        <f>HYPERLINK("https://twitter.com/euqueroameta/status/1674986136026923009")</f>
        <v>https://twitter.com/euqueroameta/status/1674986136026923009</v>
      </c>
      <c r="AF1214" s="79">
        <v>45108.152650462966</v>
      </c>
      <c r="AG1214" s="85">
        <v>45108</v>
      </c>
      <c r="AH1214" s="81" t="s">
        <v>6878</v>
      </c>
      <c r="AI1214" s="77" t="b">
        <v>0</v>
      </c>
      <c r="AJ1214" s="77"/>
      <c r="AK1214" s="77"/>
      <c r="AL1214" s="77"/>
      <c r="AM1214" s="77"/>
      <c r="AN1214" s="77"/>
      <c r="AO1214" s="77"/>
      <c r="AP1214" s="77"/>
      <c r="AQ1214" s="77" t="s">
        <v>8690</v>
      </c>
      <c r="AR1214" s="77">
        <v>8900</v>
      </c>
      <c r="AS1214" s="77"/>
      <c r="AT1214" s="77"/>
      <c r="AU1214" s="77"/>
      <c r="AV1214" s="83" t="str">
        <f>HYPERLINK("https://pbs.twimg.com/ext_tw_video_thumb/1674985991856070662/pu/img/Y1GFO1txF70ynGMC.jpg")</f>
        <v>https://pbs.twimg.com/ext_tw_video_thumb/1674985991856070662/pu/img/Y1GFO1txF70ynGMC.jpg</v>
      </c>
      <c r="AW1214" s="81" t="s">
        <v>10336</v>
      </c>
      <c r="AX1214" s="81" t="s">
        <v>10336</v>
      </c>
      <c r="AY1214" s="77"/>
      <c r="AZ1214" s="81" t="s">
        <v>11359</v>
      </c>
      <c r="BA1214" s="81" t="s">
        <v>11359</v>
      </c>
      <c r="BB1214" s="81" t="s">
        <v>11359</v>
      </c>
      <c r="BC1214" s="81" t="s">
        <v>10336</v>
      </c>
      <c r="BD1214" s="81" t="s">
        <v>11532</v>
      </c>
      <c r="BE1214" s="77"/>
      <c r="BF1214" s="77"/>
      <c r="BG1214" s="77"/>
      <c r="BH1214" s="77"/>
      <c r="BI1214" s="77"/>
    </row>
    <row r="1215" spans="1:61" x14ac:dyDescent="0.25">
      <c r="A1215" s="62" t="s">
        <v>484</v>
      </c>
      <c r="B1215" s="62" t="s">
        <v>484</v>
      </c>
      <c r="C1215" s="63"/>
      <c r="D1215" s="64"/>
      <c r="E1215" s="65"/>
      <c r="F1215" s="66"/>
      <c r="G1215" s="63"/>
      <c r="H1215" s="67"/>
      <c r="I1215" s="68"/>
      <c r="J1215" s="68"/>
      <c r="K1215" s="32"/>
      <c r="L1215" s="75">
        <v>1215</v>
      </c>
      <c r="M1215" s="75"/>
      <c r="N1215" s="70"/>
      <c r="O1215" s="77" t="s">
        <v>179</v>
      </c>
      <c r="P1215" s="79">
        <v>45108.144097222219</v>
      </c>
      <c r="Q1215" s="77" t="s">
        <v>2015</v>
      </c>
      <c r="R1215" s="77">
        <v>0</v>
      </c>
      <c r="S1215" s="77">
        <v>0</v>
      </c>
      <c r="T1215" s="77">
        <v>0</v>
      </c>
      <c r="U1215" s="77">
        <v>0</v>
      </c>
      <c r="V1215" s="77">
        <v>8</v>
      </c>
      <c r="W1215" s="81" t="s">
        <v>3562</v>
      </c>
      <c r="X1215" s="77"/>
      <c r="Y1215" s="77"/>
      <c r="Z1215" s="77"/>
      <c r="AA1215" s="77" t="s">
        <v>5188</v>
      </c>
      <c r="AB1215" s="77" t="s">
        <v>5795</v>
      </c>
      <c r="AC1215" s="81" t="s">
        <v>5801</v>
      </c>
      <c r="AD1215" s="77" t="s">
        <v>5851</v>
      </c>
      <c r="AE1215" s="83" t="str">
        <f>HYPERLINK("https://twitter.com/euqueroameta/status/1674983037216407552")</f>
        <v>https://twitter.com/euqueroameta/status/1674983037216407552</v>
      </c>
      <c r="AF1215" s="79">
        <v>45108.144097222219</v>
      </c>
      <c r="AG1215" s="85">
        <v>45108</v>
      </c>
      <c r="AH1215" s="81" t="s">
        <v>6879</v>
      </c>
      <c r="AI1215" s="77" t="b">
        <v>0</v>
      </c>
      <c r="AJ1215" s="77"/>
      <c r="AK1215" s="77"/>
      <c r="AL1215" s="77"/>
      <c r="AM1215" s="77"/>
      <c r="AN1215" s="77"/>
      <c r="AO1215" s="77"/>
      <c r="AP1215" s="77"/>
      <c r="AQ1215" s="77" t="s">
        <v>8691</v>
      </c>
      <c r="AR1215" s="77">
        <v>43033</v>
      </c>
      <c r="AS1215" s="77"/>
      <c r="AT1215" s="77"/>
      <c r="AU1215" s="77"/>
      <c r="AV1215" s="83" t="str">
        <f>HYPERLINK("https://pbs.twimg.com/ext_tw_video_thumb/1674982313862524928/pu/img/19TTGtpL2o3wRlbN.jpg")</f>
        <v>https://pbs.twimg.com/ext_tw_video_thumb/1674982313862524928/pu/img/19TTGtpL2o3wRlbN.jpg</v>
      </c>
      <c r="AW1215" s="81" t="s">
        <v>10337</v>
      </c>
      <c r="AX1215" s="81" t="s">
        <v>10337</v>
      </c>
      <c r="AY1215" s="77"/>
      <c r="AZ1215" s="81" t="s">
        <v>11359</v>
      </c>
      <c r="BA1215" s="81" t="s">
        <v>11359</v>
      </c>
      <c r="BB1215" s="81" t="s">
        <v>11359</v>
      </c>
      <c r="BC1215" s="81" t="s">
        <v>10337</v>
      </c>
      <c r="BD1215" s="81" t="s">
        <v>11532</v>
      </c>
      <c r="BE1215" s="77"/>
      <c r="BF1215" s="77"/>
      <c r="BG1215" s="77"/>
      <c r="BH1215" s="77"/>
      <c r="BI1215" s="77"/>
    </row>
    <row r="1216" spans="1:61" x14ac:dyDescent="0.25">
      <c r="A1216" s="62" t="s">
        <v>484</v>
      </c>
      <c r="B1216" s="62" t="s">
        <v>484</v>
      </c>
      <c r="C1216" s="63"/>
      <c r="D1216" s="64"/>
      <c r="E1216" s="65"/>
      <c r="F1216" s="66"/>
      <c r="G1216" s="63"/>
      <c r="H1216" s="67"/>
      <c r="I1216" s="68"/>
      <c r="J1216" s="68"/>
      <c r="K1216" s="32"/>
      <c r="L1216" s="75">
        <v>1216</v>
      </c>
      <c r="M1216" s="75"/>
      <c r="N1216" s="70"/>
      <c r="O1216" s="77" t="s">
        <v>179</v>
      </c>
      <c r="P1216" s="79">
        <v>45165.600254629629</v>
      </c>
      <c r="Q1216" s="77" t="s">
        <v>2016</v>
      </c>
      <c r="R1216" s="77">
        <v>0</v>
      </c>
      <c r="S1216" s="77">
        <v>0</v>
      </c>
      <c r="T1216" s="77">
        <v>0</v>
      </c>
      <c r="U1216" s="77">
        <v>0</v>
      </c>
      <c r="V1216" s="77">
        <v>17</v>
      </c>
      <c r="W1216" s="81" t="s">
        <v>3563</v>
      </c>
      <c r="X1216" s="77"/>
      <c r="Y1216" s="77"/>
      <c r="Z1216" s="77"/>
      <c r="AA1216" s="77" t="s">
        <v>5189</v>
      </c>
      <c r="AB1216" s="77" t="s">
        <v>5795</v>
      </c>
      <c r="AC1216" s="81" t="s">
        <v>5801</v>
      </c>
      <c r="AD1216" s="77" t="s">
        <v>5851</v>
      </c>
      <c r="AE1216" s="83" t="str">
        <f>HYPERLINK("https://twitter.com/euqueroameta/status/1695804450961555847")</f>
        <v>https://twitter.com/euqueroameta/status/1695804450961555847</v>
      </c>
      <c r="AF1216" s="79">
        <v>45165.600254629629</v>
      </c>
      <c r="AG1216" s="85">
        <v>45165</v>
      </c>
      <c r="AH1216" s="81" t="s">
        <v>6880</v>
      </c>
      <c r="AI1216" s="77" t="b">
        <v>0</v>
      </c>
      <c r="AJ1216" s="77"/>
      <c r="AK1216" s="77"/>
      <c r="AL1216" s="77"/>
      <c r="AM1216" s="77"/>
      <c r="AN1216" s="77"/>
      <c r="AO1216" s="77"/>
      <c r="AP1216" s="77"/>
      <c r="AQ1216" s="77" t="s">
        <v>8692</v>
      </c>
      <c r="AR1216" s="77">
        <v>41500</v>
      </c>
      <c r="AS1216" s="77"/>
      <c r="AT1216" s="77"/>
      <c r="AU1216" s="77"/>
      <c r="AV1216" s="83" t="str">
        <f>HYPERLINK("https://pbs.twimg.com/ext_tw_video_thumb/1695804382678261760/pu/img/XVroW313PyN4vUh0.jpg")</f>
        <v>https://pbs.twimg.com/ext_tw_video_thumb/1695804382678261760/pu/img/XVroW313PyN4vUh0.jpg</v>
      </c>
      <c r="AW1216" s="81" t="s">
        <v>10338</v>
      </c>
      <c r="AX1216" s="81" t="s">
        <v>10338</v>
      </c>
      <c r="AY1216" s="77"/>
      <c r="AZ1216" s="81" t="s">
        <v>11359</v>
      </c>
      <c r="BA1216" s="81" t="s">
        <v>11359</v>
      </c>
      <c r="BB1216" s="81" t="s">
        <v>11359</v>
      </c>
      <c r="BC1216" s="81" t="s">
        <v>10338</v>
      </c>
      <c r="BD1216" s="81" t="s">
        <v>11532</v>
      </c>
      <c r="BE1216" s="77"/>
      <c r="BF1216" s="77"/>
      <c r="BG1216" s="77"/>
      <c r="BH1216" s="77"/>
      <c r="BI1216" s="77"/>
    </row>
    <row r="1217" spans="1:61" x14ac:dyDescent="0.25">
      <c r="A1217" s="62" t="s">
        <v>484</v>
      </c>
      <c r="B1217" s="62" t="s">
        <v>484</v>
      </c>
      <c r="C1217" s="63"/>
      <c r="D1217" s="64"/>
      <c r="E1217" s="65"/>
      <c r="F1217" s="66"/>
      <c r="G1217" s="63"/>
      <c r="H1217" s="67"/>
      <c r="I1217" s="68"/>
      <c r="J1217" s="68"/>
      <c r="K1217" s="32"/>
      <c r="L1217" s="75">
        <v>1217</v>
      </c>
      <c r="M1217" s="75"/>
      <c r="N1217" s="70"/>
      <c r="O1217" s="77" t="s">
        <v>179</v>
      </c>
      <c r="P1217" s="79">
        <v>45082.933761574073</v>
      </c>
      <c r="Q1217" s="77" t="s">
        <v>2017</v>
      </c>
      <c r="R1217" s="77">
        <v>0</v>
      </c>
      <c r="S1217" s="77">
        <v>0</v>
      </c>
      <c r="T1217" s="77">
        <v>0</v>
      </c>
      <c r="U1217" s="77">
        <v>0</v>
      </c>
      <c r="V1217" s="77">
        <v>14</v>
      </c>
      <c r="W1217" s="81" t="s">
        <v>3564</v>
      </c>
      <c r="X1217" s="77"/>
      <c r="Y1217" s="77"/>
      <c r="Z1217" s="77"/>
      <c r="AA1217" s="77" t="s">
        <v>5190</v>
      </c>
      <c r="AB1217" s="77" t="s">
        <v>5794</v>
      </c>
      <c r="AC1217" s="81" t="s">
        <v>5801</v>
      </c>
      <c r="AD1217" s="77" t="s">
        <v>5851</v>
      </c>
      <c r="AE1217" s="83" t="str">
        <f>HYPERLINK("https://twitter.com/euqueroameta/status/1665847119784161283")</f>
        <v>https://twitter.com/euqueroameta/status/1665847119784161283</v>
      </c>
      <c r="AF1217" s="79">
        <v>45082.933761574073</v>
      </c>
      <c r="AG1217" s="85">
        <v>45082</v>
      </c>
      <c r="AH1217" s="81" t="s">
        <v>6881</v>
      </c>
      <c r="AI1217" s="77" t="b">
        <v>0</v>
      </c>
      <c r="AJ1217" s="77"/>
      <c r="AK1217" s="77"/>
      <c r="AL1217" s="77"/>
      <c r="AM1217" s="77"/>
      <c r="AN1217" s="77"/>
      <c r="AO1217" s="77"/>
      <c r="AP1217" s="77"/>
      <c r="AQ1217" s="77" t="s">
        <v>8693</v>
      </c>
      <c r="AR1217" s="77"/>
      <c r="AS1217" s="77"/>
      <c r="AT1217" s="77"/>
      <c r="AU1217" s="77"/>
      <c r="AV1217" s="83" t="str">
        <f>HYPERLINK("https://pbs.twimg.com/media/Fx5HIIGXoAAXySb.jpg")</f>
        <v>https://pbs.twimg.com/media/Fx5HIIGXoAAXySb.jpg</v>
      </c>
      <c r="AW1217" s="81" t="s">
        <v>10339</v>
      </c>
      <c r="AX1217" s="81" t="s">
        <v>10339</v>
      </c>
      <c r="AY1217" s="77"/>
      <c r="AZ1217" s="81" t="s">
        <v>11359</v>
      </c>
      <c r="BA1217" s="81" t="s">
        <v>11359</v>
      </c>
      <c r="BB1217" s="81" t="s">
        <v>11359</v>
      </c>
      <c r="BC1217" s="81" t="s">
        <v>10339</v>
      </c>
      <c r="BD1217" s="81" t="s">
        <v>11532</v>
      </c>
      <c r="BE1217" s="77"/>
      <c r="BF1217" s="77"/>
      <c r="BG1217" s="77"/>
      <c r="BH1217" s="77"/>
      <c r="BI1217" s="77"/>
    </row>
    <row r="1218" spans="1:61" x14ac:dyDescent="0.25">
      <c r="A1218" s="62" t="s">
        <v>484</v>
      </c>
      <c r="B1218" s="62" t="s">
        <v>484</v>
      </c>
      <c r="C1218" s="63"/>
      <c r="D1218" s="64"/>
      <c r="E1218" s="65"/>
      <c r="F1218" s="66"/>
      <c r="G1218" s="63"/>
      <c r="H1218" s="67"/>
      <c r="I1218" s="68"/>
      <c r="J1218" s="68"/>
      <c r="K1218" s="32"/>
      <c r="L1218" s="75">
        <v>1218</v>
      </c>
      <c r="M1218" s="75"/>
      <c r="N1218" s="70"/>
      <c r="O1218" s="77" t="s">
        <v>179</v>
      </c>
      <c r="P1218" s="79">
        <v>45082.933495370373</v>
      </c>
      <c r="Q1218" s="77" t="s">
        <v>2018</v>
      </c>
      <c r="R1218" s="77">
        <v>0</v>
      </c>
      <c r="S1218" s="77">
        <v>0</v>
      </c>
      <c r="T1218" s="77">
        <v>0</v>
      </c>
      <c r="U1218" s="77">
        <v>0</v>
      </c>
      <c r="V1218" s="77">
        <v>10</v>
      </c>
      <c r="W1218" s="81" t="s">
        <v>3564</v>
      </c>
      <c r="X1218" s="77"/>
      <c r="Y1218" s="77"/>
      <c r="Z1218" s="77"/>
      <c r="AA1218" s="77" t="s">
        <v>5191</v>
      </c>
      <c r="AB1218" s="77" t="s">
        <v>5794</v>
      </c>
      <c r="AC1218" s="81" t="s">
        <v>5801</v>
      </c>
      <c r="AD1218" s="77" t="s">
        <v>5851</v>
      </c>
      <c r="AE1218" s="83" t="str">
        <f>HYPERLINK("https://twitter.com/euqueroameta/status/1665847022383947780")</f>
        <v>https://twitter.com/euqueroameta/status/1665847022383947780</v>
      </c>
      <c r="AF1218" s="79">
        <v>45082.933495370373</v>
      </c>
      <c r="AG1218" s="85">
        <v>45082</v>
      </c>
      <c r="AH1218" s="81" t="s">
        <v>6882</v>
      </c>
      <c r="AI1218" s="77" t="b">
        <v>0</v>
      </c>
      <c r="AJ1218" s="77"/>
      <c r="AK1218" s="77"/>
      <c r="AL1218" s="77"/>
      <c r="AM1218" s="77"/>
      <c r="AN1218" s="77"/>
      <c r="AO1218" s="77"/>
      <c r="AP1218" s="77"/>
      <c r="AQ1218" s="77" t="s">
        <v>8694</v>
      </c>
      <c r="AR1218" s="77"/>
      <c r="AS1218" s="77"/>
      <c r="AT1218" s="77"/>
      <c r="AU1218" s="77"/>
      <c r="AV1218" s="83" t="str">
        <f>HYPERLINK("https://pbs.twimg.com/media/Fx5HCcrWcAIJUYb.jpg")</f>
        <v>https://pbs.twimg.com/media/Fx5HCcrWcAIJUYb.jpg</v>
      </c>
      <c r="AW1218" s="81" t="s">
        <v>10340</v>
      </c>
      <c r="AX1218" s="81" t="s">
        <v>10340</v>
      </c>
      <c r="AY1218" s="77"/>
      <c r="AZ1218" s="81" t="s">
        <v>11359</v>
      </c>
      <c r="BA1218" s="81" t="s">
        <v>11359</v>
      </c>
      <c r="BB1218" s="81" t="s">
        <v>11359</v>
      </c>
      <c r="BC1218" s="81" t="s">
        <v>10340</v>
      </c>
      <c r="BD1218" s="81" t="s">
        <v>11532</v>
      </c>
      <c r="BE1218" s="77"/>
      <c r="BF1218" s="77"/>
      <c r="BG1218" s="77"/>
      <c r="BH1218" s="77"/>
      <c r="BI1218" s="77"/>
    </row>
    <row r="1219" spans="1:61" x14ac:dyDescent="0.25">
      <c r="A1219" s="62" t="s">
        <v>484</v>
      </c>
      <c r="B1219" s="62" t="s">
        <v>484</v>
      </c>
      <c r="C1219" s="63"/>
      <c r="D1219" s="64"/>
      <c r="E1219" s="65"/>
      <c r="F1219" s="66"/>
      <c r="G1219" s="63"/>
      <c r="H1219" s="67"/>
      <c r="I1219" s="68"/>
      <c r="J1219" s="68"/>
      <c r="K1219" s="32"/>
      <c r="L1219" s="75">
        <v>1219</v>
      </c>
      <c r="M1219" s="75"/>
      <c r="N1219" s="70"/>
      <c r="O1219" s="77" t="s">
        <v>179</v>
      </c>
      <c r="P1219" s="79">
        <v>45082.933055555557</v>
      </c>
      <c r="Q1219" s="77" t="s">
        <v>2019</v>
      </c>
      <c r="R1219" s="77">
        <v>0</v>
      </c>
      <c r="S1219" s="77">
        <v>0</v>
      </c>
      <c r="T1219" s="77">
        <v>0</v>
      </c>
      <c r="U1219" s="77">
        <v>0</v>
      </c>
      <c r="V1219" s="77">
        <v>13</v>
      </c>
      <c r="W1219" s="81" t="s">
        <v>3564</v>
      </c>
      <c r="X1219" s="77"/>
      <c r="Y1219" s="77"/>
      <c r="Z1219" s="77"/>
      <c r="AA1219" s="77" t="s">
        <v>5192</v>
      </c>
      <c r="AB1219" s="77" t="s">
        <v>5794</v>
      </c>
      <c r="AC1219" s="81" t="s">
        <v>5801</v>
      </c>
      <c r="AD1219" s="77" t="s">
        <v>5851</v>
      </c>
      <c r="AE1219" s="83" t="str">
        <f>HYPERLINK("https://twitter.com/euqueroameta/status/1665846860412514306")</f>
        <v>https://twitter.com/euqueroameta/status/1665846860412514306</v>
      </c>
      <c r="AF1219" s="79">
        <v>45082.933055555557</v>
      </c>
      <c r="AG1219" s="85">
        <v>45082</v>
      </c>
      <c r="AH1219" s="81" t="s">
        <v>6883</v>
      </c>
      <c r="AI1219" s="77" t="b">
        <v>0</v>
      </c>
      <c r="AJ1219" s="77"/>
      <c r="AK1219" s="77"/>
      <c r="AL1219" s="77"/>
      <c r="AM1219" s="77"/>
      <c r="AN1219" s="77"/>
      <c r="AO1219" s="77"/>
      <c r="AP1219" s="77"/>
      <c r="AQ1219" s="77" t="s">
        <v>8695</v>
      </c>
      <c r="AR1219" s="77"/>
      <c r="AS1219" s="77"/>
      <c r="AT1219" s="77"/>
      <c r="AU1219" s="77"/>
      <c r="AV1219" s="83" t="str">
        <f>HYPERLINK("https://pbs.twimg.com/media/Fx5G5BFX0AEW_ge.jpg")</f>
        <v>https://pbs.twimg.com/media/Fx5G5BFX0AEW_ge.jpg</v>
      </c>
      <c r="AW1219" s="81" t="s">
        <v>10341</v>
      </c>
      <c r="AX1219" s="81" t="s">
        <v>10341</v>
      </c>
      <c r="AY1219" s="77"/>
      <c r="AZ1219" s="81" t="s">
        <v>11359</v>
      </c>
      <c r="BA1219" s="81" t="s">
        <v>11359</v>
      </c>
      <c r="BB1219" s="81" t="s">
        <v>11359</v>
      </c>
      <c r="BC1219" s="81" t="s">
        <v>10341</v>
      </c>
      <c r="BD1219" s="81" t="s">
        <v>11532</v>
      </c>
      <c r="BE1219" s="77"/>
      <c r="BF1219" s="77"/>
      <c r="BG1219" s="77"/>
      <c r="BH1219" s="77"/>
      <c r="BI1219" s="77"/>
    </row>
    <row r="1220" spans="1:61" x14ac:dyDescent="0.25">
      <c r="A1220" s="62" t="s">
        <v>484</v>
      </c>
      <c r="B1220" s="62" t="s">
        <v>484</v>
      </c>
      <c r="C1220" s="63"/>
      <c r="D1220" s="64"/>
      <c r="E1220" s="65"/>
      <c r="F1220" s="66"/>
      <c r="G1220" s="63"/>
      <c r="H1220" s="67"/>
      <c r="I1220" s="68"/>
      <c r="J1220" s="68"/>
      <c r="K1220" s="32"/>
      <c r="L1220" s="75">
        <v>1220</v>
      </c>
      <c r="M1220" s="75"/>
      <c r="N1220" s="70"/>
      <c r="O1220" s="77" t="s">
        <v>179</v>
      </c>
      <c r="P1220" s="79">
        <v>45082.622025462966</v>
      </c>
      <c r="Q1220" s="77" t="s">
        <v>2020</v>
      </c>
      <c r="R1220" s="77">
        <v>0</v>
      </c>
      <c r="S1220" s="77">
        <v>0</v>
      </c>
      <c r="T1220" s="77">
        <v>0</v>
      </c>
      <c r="U1220" s="77">
        <v>0</v>
      </c>
      <c r="V1220" s="77">
        <v>20</v>
      </c>
      <c r="W1220" s="81" t="s">
        <v>3565</v>
      </c>
      <c r="X1220" s="77"/>
      <c r="Y1220" s="77"/>
      <c r="Z1220" s="77"/>
      <c r="AA1220" s="77" t="s">
        <v>5193</v>
      </c>
      <c r="AB1220" s="77" t="s">
        <v>5795</v>
      </c>
      <c r="AC1220" s="81" t="s">
        <v>5801</v>
      </c>
      <c r="AD1220" s="77" t="s">
        <v>5851</v>
      </c>
      <c r="AE1220" s="83" t="str">
        <f>HYPERLINK("https://twitter.com/euqueroameta/status/1665734146914758656")</f>
        <v>https://twitter.com/euqueroameta/status/1665734146914758656</v>
      </c>
      <c r="AF1220" s="79">
        <v>45082.622025462966</v>
      </c>
      <c r="AG1220" s="85">
        <v>45082</v>
      </c>
      <c r="AH1220" s="81" t="s">
        <v>6027</v>
      </c>
      <c r="AI1220" s="77" t="b">
        <v>0</v>
      </c>
      <c r="AJ1220" s="77"/>
      <c r="AK1220" s="77"/>
      <c r="AL1220" s="77"/>
      <c r="AM1220" s="77"/>
      <c r="AN1220" s="77"/>
      <c r="AO1220" s="77"/>
      <c r="AP1220" s="77"/>
      <c r="AQ1220" s="77" t="s">
        <v>8696</v>
      </c>
      <c r="AR1220" s="77">
        <v>10332</v>
      </c>
      <c r="AS1220" s="77"/>
      <c r="AT1220" s="77"/>
      <c r="AU1220" s="77"/>
      <c r="AV1220" s="83" t="str">
        <f>HYPERLINK("https://pbs.twimg.com/ext_tw_video_thumb/1665734102589251587/pu/img/bePnJ6QBr_O6PK9f.jpg")</f>
        <v>https://pbs.twimg.com/ext_tw_video_thumb/1665734102589251587/pu/img/bePnJ6QBr_O6PK9f.jpg</v>
      </c>
      <c r="AW1220" s="81" t="s">
        <v>10342</v>
      </c>
      <c r="AX1220" s="81" t="s">
        <v>10342</v>
      </c>
      <c r="AY1220" s="77"/>
      <c r="AZ1220" s="81" t="s">
        <v>11359</v>
      </c>
      <c r="BA1220" s="81" t="s">
        <v>11359</v>
      </c>
      <c r="BB1220" s="81" t="s">
        <v>11359</v>
      </c>
      <c r="BC1220" s="81" t="s">
        <v>10342</v>
      </c>
      <c r="BD1220" s="81" t="s">
        <v>11532</v>
      </c>
      <c r="BE1220" s="77"/>
      <c r="BF1220" s="77"/>
      <c r="BG1220" s="77"/>
      <c r="BH1220" s="77"/>
      <c r="BI1220" s="77"/>
    </row>
    <row r="1221" spans="1:61" x14ac:dyDescent="0.25">
      <c r="A1221" s="62" t="s">
        <v>485</v>
      </c>
      <c r="B1221" s="62" t="s">
        <v>485</v>
      </c>
      <c r="C1221" s="63"/>
      <c r="D1221" s="64"/>
      <c r="E1221" s="65"/>
      <c r="F1221" s="66"/>
      <c r="G1221" s="63"/>
      <c r="H1221" s="67"/>
      <c r="I1221" s="68"/>
      <c r="J1221" s="68"/>
      <c r="K1221" s="32"/>
      <c r="L1221" s="75">
        <v>1221</v>
      </c>
      <c r="M1221" s="75"/>
      <c r="N1221" s="70"/>
      <c r="O1221" s="77" t="s">
        <v>179</v>
      </c>
      <c r="P1221" s="79">
        <v>45161.24318287037</v>
      </c>
      <c r="Q1221" s="77" t="s">
        <v>2021</v>
      </c>
      <c r="R1221" s="77">
        <v>1</v>
      </c>
      <c r="S1221" s="77">
        <v>2</v>
      </c>
      <c r="T1221" s="77">
        <v>0</v>
      </c>
      <c r="U1221" s="77">
        <v>0</v>
      </c>
      <c r="V1221" s="77">
        <v>37</v>
      </c>
      <c r="W1221" s="81" t="s">
        <v>3566</v>
      </c>
      <c r="X1221" s="77"/>
      <c r="Y1221" s="77"/>
      <c r="Z1221" s="77"/>
      <c r="AA1221" s="77" t="s">
        <v>5194</v>
      </c>
      <c r="AB1221" s="77" t="s">
        <v>5794</v>
      </c>
      <c r="AC1221" s="81" t="s">
        <v>5802</v>
      </c>
      <c r="AD1221" s="77" t="s">
        <v>5850</v>
      </c>
      <c r="AE1221" s="83" t="str">
        <f>HYPERLINK("https://twitter.com/amvdmx/status/1694225501076767012")</f>
        <v>https://twitter.com/amvdmx/status/1694225501076767012</v>
      </c>
      <c r="AF1221" s="79">
        <v>45161.24318287037</v>
      </c>
      <c r="AG1221" s="85">
        <v>45161</v>
      </c>
      <c r="AH1221" s="81" t="s">
        <v>6884</v>
      </c>
      <c r="AI1221" s="77" t="b">
        <v>0</v>
      </c>
      <c r="AJ1221" s="77"/>
      <c r="AK1221" s="77"/>
      <c r="AL1221" s="77"/>
      <c r="AM1221" s="77"/>
      <c r="AN1221" s="77"/>
      <c r="AO1221" s="77"/>
      <c r="AP1221" s="77"/>
      <c r="AQ1221" s="77" t="s">
        <v>8697</v>
      </c>
      <c r="AR1221" s="77"/>
      <c r="AS1221" s="77"/>
      <c r="AT1221" s="77"/>
      <c r="AU1221" s="77"/>
      <c r="AV1221" s="83" t="str">
        <f>HYPERLINK("https://pbs.twimg.com/media/F4MZHWqXYAAWLL7.png")</f>
        <v>https://pbs.twimg.com/media/F4MZHWqXYAAWLL7.png</v>
      </c>
      <c r="AW1221" s="81" t="s">
        <v>10343</v>
      </c>
      <c r="AX1221" s="81" t="s">
        <v>10343</v>
      </c>
      <c r="AY1221" s="77"/>
      <c r="AZ1221" s="81" t="s">
        <v>11359</v>
      </c>
      <c r="BA1221" s="81" t="s">
        <v>11359</v>
      </c>
      <c r="BB1221" s="81" t="s">
        <v>11359</v>
      </c>
      <c r="BC1221" s="81" t="s">
        <v>10343</v>
      </c>
      <c r="BD1221" s="81" t="s">
        <v>11533</v>
      </c>
      <c r="BE1221" s="77"/>
      <c r="BF1221" s="77"/>
      <c r="BG1221" s="77"/>
      <c r="BH1221" s="77"/>
      <c r="BI1221" s="77"/>
    </row>
    <row r="1222" spans="1:61" x14ac:dyDescent="0.25">
      <c r="A1222" s="62" t="s">
        <v>486</v>
      </c>
      <c r="B1222" s="62" t="s">
        <v>486</v>
      </c>
      <c r="C1222" s="63"/>
      <c r="D1222" s="64"/>
      <c r="E1222" s="65"/>
      <c r="F1222" s="66"/>
      <c r="G1222" s="63"/>
      <c r="H1222" s="67"/>
      <c r="I1222" s="68"/>
      <c r="J1222" s="68"/>
      <c r="K1222" s="32"/>
      <c r="L1222" s="75">
        <v>1222</v>
      </c>
      <c r="M1222" s="75"/>
      <c r="N1222" s="70"/>
      <c r="O1222" s="77" t="s">
        <v>179</v>
      </c>
      <c r="P1222" s="79">
        <v>45140.938090277778</v>
      </c>
      <c r="Q1222" s="77" t="s">
        <v>2022</v>
      </c>
      <c r="R1222" s="77">
        <v>3</v>
      </c>
      <c r="S1222" s="77">
        <v>7</v>
      </c>
      <c r="T1222" s="77">
        <v>0</v>
      </c>
      <c r="U1222" s="77">
        <v>0</v>
      </c>
      <c r="V1222" s="77">
        <v>653</v>
      </c>
      <c r="W1222" s="81" t="s">
        <v>3567</v>
      </c>
      <c r="X1222" s="77"/>
      <c r="Y1222" s="77"/>
      <c r="Z1222" s="77"/>
      <c r="AA1222" s="77" t="s">
        <v>5195</v>
      </c>
      <c r="AB1222" s="77" t="s">
        <v>5795</v>
      </c>
      <c r="AC1222" s="81" t="s">
        <v>5828</v>
      </c>
      <c r="AD1222" s="77" t="s">
        <v>5850</v>
      </c>
      <c r="AE1222" s="83" t="str">
        <f>HYPERLINK("https://twitter.com/accounterweb/status/1686867183488397312")</f>
        <v>https://twitter.com/accounterweb/status/1686867183488397312</v>
      </c>
      <c r="AF1222" s="79">
        <v>45140.938090277778</v>
      </c>
      <c r="AG1222" s="85">
        <v>45140</v>
      </c>
      <c r="AH1222" s="81" t="s">
        <v>6885</v>
      </c>
      <c r="AI1222" s="77" t="b">
        <v>0</v>
      </c>
      <c r="AJ1222" s="77"/>
      <c r="AK1222" s="77"/>
      <c r="AL1222" s="77"/>
      <c r="AM1222" s="77"/>
      <c r="AN1222" s="77"/>
      <c r="AO1222" s="77"/>
      <c r="AP1222" s="77"/>
      <c r="AQ1222" s="77" t="s">
        <v>8698</v>
      </c>
      <c r="AR1222" s="77">
        <v>52629</v>
      </c>
      <c r="AS1222" s="77"/>
      <c r="AT1222" s="77"/>
      <c r="AU1222" s="77"/>
      <c r="AV1222" s="83" t="str">
        <f>HYPERLINK("https://pbs.twimg.com/ext_tw_video_thumb/1686867151192285184/pu/img/TNZIjbn9NAF0sNZ9.jpg")</f>
        <v>https://pbs.twimg.com/ext_tw_video_thumb/1686867151192285184/pu/img/TNZIjbn9NAF0sNZ9.jpg</v>
      </c>
      <c r="AW1222" s="81" t="s">
        <v>10344</v>
      </c>
      <c r="AX1222" s="81" t="s">
        <v>10344</v>
      </c>
      <c r="AY1222" s="77"/>
      <c r="AZ1222" s="81" t="s">
        <v>11359</v>
      </c>
      <c r="BA1222" s="81" t="s">
        <v>11359</v>
      </c>
      <c r="BB1222" s="81" t="s">
        <v>11359</v>
      </c>
      <c r="BC1222" s="81" t="s">
        <v>10344</v>
      </c>
      <c r="BD1222" s="77">
        <v>145250574</v>
      </c>
      <c r="BE1222" s="77"/>
      <c r="BF1222" s="77"/>
      <c r="BG1222" s="77"/>
      <c r="BH1222" s="77"/>
      <c r="BI1222" s="77"/>
    </row>
    <row r="1223" spans="1:61" x14ac:dyDescent="0.25">
      <c r="A1223" s="62" t="s">
        <v>487</v>
      </c>
      <c r="B1223" s="62" t="s">
        <v>487</v>
      </c>
      <c r="C1223" s="63"/>
      <c r="D1223" s="64"/>
      <c r="E1223" s="65"/>
      <c r="F1223" s="66"/>
      <c r="G1223" s="63"/>
      <c r="H1223" s="67"/>
      <c r="I1223" s="68"/>
      <c r="J1223" s="68"/>
      <c r="K1223" s="32"/>
      <c r="L1223" s="75">
        <v>1223</v>
      </c>
      <c r="M1223" s="75"/>
      <c r="N1223" s="70"/>
      <c r="O1223" s="77" t="s">
        <v>179</v>
      </c>
      <c r="P1223" s="79">
        <v>45181.753182870372</v>
      </c>
      <c r="Q1223" s="77" t="s">
        <v>2023</v>
      </c>
      <c r="R1223" s="77">
        <v>0</v>
      </c>
      <c r="S1223" s="77">
        <v>0</v>
      </c>
      <c r="T1223" s="77">
        <v>0</v>
      </c>
      <c r="U1223" s="77">
        <v>0</v>
      </c>
      <c r="V1223" s="77">
        <v>5</v>
      </c>
      <c r="W1223" s="81" t="s">
        <v>3568</v>
      </c>
      <c r="X1223" s="83" t="str">
        <f>HYPERLINK("http://bh-url.com/VFgHMQyI")</f>
        <v>http://bh-url.com/VFgHMQyI</v>
      </c>
      <c r="Y1223" s="77" t="s">
        <v>4284</v>
      </c>
      <c r="Z1223" s="77"/>
      <c r="AA1223" s="77" t="s">
        <v>5196</v>
      </c>
      <c r="AB1223" s="77" t="s">
        <v>5794</v>
      </c>
      <c r="AC1223" s="81" t="s">
        <v>5832</v>
      </c>
      <c r="AD1223" s="77" t="s">
        <v>5855</v>
      </c>
      <c r="AE1223" s="83" t="str">
        <f>HYPERLINK("https://twitter.com/maria_mzorrilla/status/1701658079069143215")</f>
        <v>https://twitter.com/maria_mzorrilla/status/1701658079069143215</v>
      </c>
      <c r="AF1223" s="79">
        <v>45181.753182870372</v>
      </c>
      <c r="AG1223" s="85">
        <v>45181</v>
      </c>
      <c r="AH1223" s="81" t="s">
        <v>6886</v>
      </c>
      <c r="AI1223" s="77" t="b">
        <v>0</v>
      </c>
      <c r="AJ1223" s="77"/>
      <c r="AK1223" s="77"/>
      <c r="AL1223" s="77"/>
      <c r="AM1223" s="77"/>
      <c r="AN1223" s="77"/>
      <c r="AO1223" s="77"/>
      <c r="AP1223" s="77"/>
      <c r="AQ1223" s="77" t="s">
        <v>8699</v>
      </c>
      <c r="AR1223" s="77"/>
      <c r="AS1223" s="77"/>
      <c r="AT1223" s="77"/>
      <c r="AU1223" s="77"/>
      <c r="AV1223" s="83" t="str">
        <f>HYPERLINK("https://pbs.twimg.com/media/F52BALSWgAAJ6g1.jpg")</f>
        <v>https://pbs.twimg.com/media/F52BALSWgAAJ6g1.jpg</v>
      </c>
      <c r="AW1223" s="81" t="s">
        <v>10345</v>
      </c>
      <c r="AX1223" s="81" t="s">
        <v>10345</v>
      </c>
      <c r="AY1223" s="77"/>
      <c r="AZ1223" s="81" t="s">
        <v>11359</v>
      </c>
      <c r="BA1223" s="81" t="s">
        <v>11359</v>
      </c>
      <c r="BB1223" s="81" t="s">
        <v>11359</v>
      </c>
      <c r="BC1223" s="81" t="s">
        <v>10345</v>
      </c>
      <c r="BD1223" s="77">
        <v>44069148</v>
      </c>
      <c r="BE1223" s="77"/>
      <c r="BF1223" s="77"/>
      <c r="BG1223" s="77"/>
      <c r="BH1223" s="77"/>
      <c r="BI1223" s="77"/>
    </row>
    <row r="1224" spans="1:61" x14ac:dyDescent="0.25">
      <c r="A1224" s="62" t="s">
        <v>487</v>
      </c>
      <c r="B1224" s="62" t="s">
        <v>487</v>
      </c>
      <c r="C1224" s="63"/>
      <c r="D1224" s="64"/>
      <c r="E1224" s="65"/>
      <c r="F1224" s="66"/>
      <c r="G1224" s="63"/>
      <c r="H1224" s="67"/>
      <c r="I1224" s="68"/>
      <c r="J1224" s="68"/>
      <c r="K1224" s="32"/>
      <c r="L1224" s="75">
        <v>1224</v>
      </c>
      <c r="M1224" s="75"/>
      <c r="N1224" s="70"/>
      <c r="O1224" s="77" t="s">
        <v>179</v>
      </c>
      <c r="P1224" s="79">
        <v>45170.749039351853</v>
      </c>
      <c r="Q1224" s="77" t="s">
        <v>2024</v>
      </c>
      <c r="R1224" s="77">
        <v>0</v>
      </c>
      <c r="S1224" s="77">
        <v>0</v>
      </c>
      <c r="T1224" s="77">
        <v>0</v>
      </c>
      <c r="U1224" s="77">
        <v>0</v>
      </c>
      <c r="V1224" s="77">
        <v>87</v>
      </c>
      <c r="W1224" s="81" t="s">
        <v>3568</v>
      </c>
      <c r="X1224" s="83" t="str">
        <f>HYPERLINK("http://bh-url.com/obNDNCQZ")</f>
        <v>http://bh-url.com/obNDNCQZ</v>
      </c>
      <c r="Y1224" s="77" t="s">
        <v>4284</v>
      </c>
      <c r="Z1224" s="77"/>
      <c r="AA1224" s="77" t="s">
        <v>5197</v>
      </c>
      <c r="AB1224" s="77" t="s">
        <v>5794</v>
      </c>
      <c r="AC1224" s="81" t="s">
        <v>5832</v>
      </c>
      <c r="AD1224" s="77" t="s">
        <v>5855</v>
      </c>
      <c r="AE1224" s="83" t="str">
        <f>HYPERLINK("https://twitter.com/maria_mzorrilla/status/1697670308742721991")</f>
        <v>https://twitter.com/maria_mzorrilla/status/1697670308742721991</v>
      </c>
      <c r="AF1224" s="79">
        <v>45170.749039351853</v>
      </c>
      <c r="AG1224" s="85">
        <v>45170</v>
      </c>
      <c r="AH1224" s="81" t="s">
        <v>6887</v>
      </c>
      <c r="AI1224" s="77" t="b">
        <v>0</v>
      </c>
      <c r="AJ1224" s="77"/>
      <c r="AK1224" s="77"/>
      <c r="AL1224" s="77"/>
      <c r="AM1224" s="77"/>
      <c r="AN1224" s="77"/>
      <c r="AO1224" s="77"/>
      <c r="AP1224" s="77"/>
      <c r="AQ1224" s="77" t="s">
        <v>8700</v>
      </c>
      <c r="AR1224" s="77"/>
      <c r="AS1224" s="77"/>
      <c r="AT1224" s="77"/>
      <c r="AU1224" s="77"/>
      <c r="AV1224" s="83" t="str">
        <f>HYPERLINK("https://pbs.twimg.com/media/F49WJY-WIAApBAR.jpg")</f>
        <v>https://pbs.twimg.com/media/F49WJY-WIAApBAR.jpg</v>
      </c>
      <c r="AW1224" s="81" t="s">
        <v>10346</v>
      </c>
      <c r="AX1224" s="81" t="s">
        <v>10346</v>
      </c>
      <c r="AY1224" s="77"/>
      <c r="AZ1224" s="81" t="s">
        <v>11359</v>
      </c>
      <c r="BA1224" s="81" t="s">
        <v>11359</v>
      </c>
      <c r="BB1224" s="81" t="s">
        <v>11359</v>
      </c>
      <c r="BC1224" s="81" t="s">
        <v>10346</v>
      </c>
      <c r="BD1224" s="77">
        <v>44069148</v>
      </c>
      <c r="BE1224" s="77"/>
      <c r="BF1224" s="77"/>
      <c r="BG1224" s="77"/>
      <c r="BH1224" s="77"/>
      <c r="BI1224" s="77"/>
    </row>
    <row r="1225" spans="1:61" x14ac:dyDescent="0.25">
      <c r="A1225" s="62" t="s">
        <v>487</v>
      </c>
      <c r="B1225" s="62" t="s">
        <v>487</v>
      </c>
      <c r="C1225" s="63"/>
      <c r="D1225" s="64"/>
      <c r="E1225" s="65"/>
      <c r="F1225" s="66"/>
      <c r="G1225" s="63"/>
      <c r="H1225" s="67"/>
      <c r="I1225" s="68"/>
      <c r="J1225" s="68"/>
      <c r="K1225" s="32"/>
      <c r="L1225" s="75">
        <v>1225</v>
      </c>
      <c r="M1225" s="75"/>
      <c r="N1225" s="70"/>
      <c r="O1225" s="77" t="s">
        <v>179</v>
      </c>
      <c r="P1225" s="79">
        <v>45183.750127314815</v>
      </c>
      <c r="Q1225" s="77" t="s">
        <v>2025</v>
      </c>
      <c r="R1225" s="77">
        <v>0</v>
      </c>
      <c r="S1225" s="77">
        <v>0</v>
      </c>
      <c r="T1225" s="77">
        <v>0</v>
      </c>
      <c r="U1225" s="77">
        <v>0</v>
      </c>
      <c r="V1225" s="77">
        <v>8</v>
      </c>
      <c r="W1225" s="81" t="s">
        <v>3568</v>
      </c>
      <c r="X1225" s="83" t="str">
        <f>HYPERLINK("http://bh-url.com/4KBs76N7")</f>
        <v>http://bh-url.com/4KBs76N7</v>
      </c>
      <c r="Y1225" s="77" t="s">
        <v>4284</v>
      </c>
      <c r="Z1225" s="77"/>
      <c r="AA1225" s="77" t="s">
        <v>5198</v>
      </c>
      <c r="AB1225" s="77" t="s">
        <v>5794</v>
      </c>
      <c r="AC1225" s="81" t="s">
        <v>5832</v>
      </c>
      <c r="AD1225" s="77" t="s">
        <v>5855</v>
      </c>
      <c r="AE1225" s="83" t="str">
        <f>HYPERLINK("https://twitter.com/maria_mzorrilla/status/1702381743884357645")</f>
        <v>https://twitter.com/maria_mzorrilla/status/1702381743884357645</v>
      </c>
      <c r="AF1225" s="79">
        <v>45183.750127314815</v>
      </c>
      <c r="AG1225" s="85">
        <v>45183</v>
      </c>
      <c r="AH1225" s="81" t="s">
        <v>6888</v>
      </c>
      <c r="AI1225" s="77" t="b">
        <v>0</v>
      </c>
      <c r="AJ1225" s="77"/>
      <c r="AK1225" s="77"/>
      <c r="AL1225" s="77"/>
      <c r="AM1225" s="77"/>
      <c r="AN1225" s="77"/>
      <c r="AO1225" s="77"/>
      <c r="AP1225" s="77"/>
      <c r="AQ1225" s="77" t="s">
        <v>8701</v>
      </c>
      <c r="AR1225" s="77"/>
      <c r="AS1225" s="77"/>
      <c r="AT1225" s="77"/>
      <c r="AU1225" s="77"/>
      <c r="AV1225" s="83" t="str">
        <f>HYPERLINK("https://pbs.twimg.com/media/F6ATLA7XUAAPNB8.jpg")</f>
        <v>https://pbs.twimg.com/media/F6ATLA7XUAAPNB8.jpg</v>
      </c>
      <c r="AW1225" s="81" t="s">
        <v>10347</v>
      </c>
      <c r="AX1225" s="81" t="s">
        <v>10347</v>
      </c>
      <c r="AY1225" s="77"/>
      <c r="AZ1225" s="81" t="s">
        <v>11359</v>
      </c>
      <c r="BA1225" s="81" t="s">
        <v>11359</v>
      </c>
      <c r="BB1225" s="81" t="s">
        <v>11359</v>
      </c>
      <c r="BC1225" s="81" t="s">
        <v>10347</v>
      </c>
      <c r="BD1225" s="77">
        <v>44069148</v>
      </c>
      <c r="BE1225" s="77"/>
      <c r="BF1225" s="77"/>
      <c r="BG1225" s="77"/>
      <c r="BH1225" s="77"/>
      <c r="BI1225" s="77"/>
    </row>
    <row r="1226" spans="1:61" x14ac:dyDescent="0.25">
      <c r="A1226" s="62" t="s">
        <v>487</v>
      </c>
      <c r="B1226" s="62" t="s">
        <v>487</v>
      </c>
      <c r="C1226" s="63"/>
      <c r="D1226" s="64"/>
      <c r="E1226" s="65"/>
      <c r="F1226" s="66"/>
      <c r="G1226" s="63"/>
      <c r="H1226" s="67"/>
      <c r="I1226" s="68"/>
      <c r="J1226" s="68"/>
      <c r="K1226" s="32"/>
      <c r="L1226" s="75">
        <v>1226</v>
      </c>
      <c r="M1226" s="75"/>
      <c r="N1226" s="70"/>
      <c r="O1226" s="77" t="s">
        <v>179</v>
      </c>
      <c r="P1226" s="79">
        <v>45184.749050925922</v>
      </c>
      <c r="Q1226" s="77" t="s">
        <v>2026</v>
      </c>
      <c r="R1226" s="77">
        <v>0</v>
      </c>
      <c r="S1226" s="77">
        <v>0</v>
      </c>
      <c r="T1226" s="77">
        <v>0</v>
      </c>
      <c r="U1226" s="77">
        <v>0</v>
      </c>
      <c r="V1226" s="77">
        <v>12</v>
      </c>
      <c r="W1226" s="81" t="s">
        <v>3568</v>
      </c>
      <c r="X1226" s="83" t="str">
        <f>HYPERLINK("http://bh-url.com/seU7CpRR")</f>
        <v>http://bh-url.com/seU7CpRR</v>
      </c>
      <c r="Y1226" s="77" t="s">
        <v>4284</v>
      </c>
      <c r="Z1226" s="77"/>
      <c r="AA1226" s="77" t="s">
        <v>5199</v>
      </c>
      <c r="AB1226" s="77" t="s">
        <v>5794</v>
      </c>
      <c r="AC1226" s="81" t="s">
        <v>5832</v>
      </c>
      <c r="AD1226" s="77" t="s">
        <v>5855</v>
      </c>
      <c r="AE1226" s="83" t="str">
        <f>HYPERLINK("https://twitter.com/maria_mzorrilla/status/1702743743487463737")</f>
        <v>https://twitter.com/maria_mzorrilla/status/1702743743487463737</v>
      </c>
      <c r="AF1226" s="79">
        <v>45184.749050925922</v>
      </c>
      <c r="AG1226" s="85">
        <v>45184</v>
      </c>
      <c r="AH1226" s="81" t="s">
        <v>6889</v>
      </c>
      <c r="AI1226" s="77" t="b">
        <v>0</v>
      </c>
      <c r="AJ1226" s="77"/>
      <c r="AK1226" s="77"/>
      <c r="AL1226" s="77"/>
      <c r="AM1226" s="77"/>
      <c r="AN1226" s="77"/>
      <c r="AO1226" s="77"/>
      <c r="AP1226" s="77"/>
      <c r="AQ1226" s="77" t="s">
        <v>8702</v>
      </c>
      <c r="AR1226" s="77"/>
      <c r="AS1226" s="77"/>
      <c r="AT1226" s="77"/>
      <c r="AU1226" s="77"/>
      <c r="AV1226" s="83" t="str">
        <f>HYPERLINK("https://pbs.twimg.com/media/F6FcaKFWQAAgAM2.jpg")</f>
        <v>https://pbs.twimg.com/media/F6FcaKFWQAAgAM2.jpg</v>
      </c>
      <c r="AW1226" s="81" t="s">
        <v>10348</v>
      </c>
      <c r="AX1226" s="81" t="s">
        <v>10348</v>
      </c>
      <c r="AY1226" s="77"/>
      <c r="AZ1226" s="81" t="s">
        <v>11359</v>
      </c>
      <c r="BA1226" s="81" t="s">
        <v>11359</v>
      </c>
      <c r="BB1226" s="81" t="s">
        <v>11359</v>
      </c>
      <c r="BC1226" s="81" t="s">
        <v>10348</v>
      </c>
      <c r="BD1226" s="77">
        <v>44069148</v>
      </c>
      <c r="BE1226" s="77"/>
      <c r="BF1226" s="77"/>
      <c r="BG1226" s="77"/>
      <c r="BH1226" s="77"/>
      <c r="BI1226" s="77"/>
    </row>
    <row r="1227" spans="1:61" x14ac:dyDescent="0.25">
      <c r="A1227" s="62" t="s">
        <v>487</v>
      </c>
      <c r="B1227" s="62" t="s">
        <v>487</v>
      </c>
      <c r="C1227" s="63"/>
      <c r="D1227" s="64"/>
      <c r="E1227" s="65"/>
      <c r="F1227" s="66"/>
      <c r="G1227" s="63"/>
      <c r="H1227" s="67"/>
      <c r="I1227" s="68"/>
      <c r="J1227" s="68"/>
      <c r="K1227" s="32"/>
      <c r="L1227" s="75">
        <v>1227</v>
      </c>
      <c r="M1227" s="75"/>
      <c r="N1227" s="70"/>
      <c r="O1227" s="77" t="s">
        <v>179</v>
      </c>
      <c r="P1227" s="79">
        <v>45187.749432870369</v>
      </c>
      <c r="Q1227" s="77" t="s">
        <v>2027</v>
      </c>
      <c r="R1227" s="77">
        <v>0</v>
      </c>
      <c r="S1227" s="77">
        <v>0</v>
      </c>
      <c r="T1227" s="77">
        <v>0</v>
      </c>
      <c r="U1227" s="77">
        <v>0</v>
      </c>
      <c r="V1227" s="77">
        <v>4</v>
      </c>
      <c r="W1227" s="81" t="s">
        <v>3568</v>
      </c>
      <c r="X1227" s="83" t="str">
        <f>HYPERLINK("http://bh-url.com/mtZPG1aD")</f>
        <v>http://bh-url.com/mtZPG1aD</v>
      </c>
      <c r="Y1227" s="77" t="s">
        <v>4284</v>
      </c>
      <c r="Z1227" s="77"/>
      <c r="AA1227" s="77" t="s">
        <v>5200</v>
      </c>
      <c r="AB1227" s="77" t="s">
        <v>5794</v>
      </c>
      <c r="AC1227" s="81" t="s">
        <v>5832</v>
      </c>
      <c r="AD1227" s="77" t="s">
        <v>5855</v>
      </c>
      <c r="AE1227" s="83" t="str">
        <f>HYPERLINK("https://twitter.com/maria_mzorrilla/status/1703831043352993966")</f>
        <v>https://twitter.com/maria_mzorrilla/status/1703831043352993966</v>
      </c>
      <c r="AF1227" s="79">
        <v>45187.749432870369</v>
      </c>
      <c r="AG1227" s="85">
        <v>45187</v>
      </c>
      <c r="AH1227" s="81" t="s">
        <v>6890</v>
      </c>
      <c r="AI1227" s="77" t="b">
        <v>0</v>
      </c>
      <c r="AJ1227" s="77"/>
      <c r="AK1227" s="77"/>
      <c r="AL1227" s="77"/>
      <c r="AM1227" s="77"/>
      <c r="AN1227" s="77"/>
      <c r="AO1227" s="77"/>
      <c r="AP1227" s="77"/>
      <c r="AQ1227" s="77" t="s">
        <v>8703</v>
      </c>
      <c r="AR1227" s="77"/>
      <c r="AS1227" s="77"/>
      <c r="AT1227" s="77"/>
      <c r="AU1227" s="77"/>
      <c r="AV1227" s="83" t="str">
        <f>HYPERLINK("https://pbs.twimg.com/media/F6U5TX2XwAAstbi.jpg")</f>
        <v>https://pbs.twimg.com/media/F6U5TX2XwAAstbi.jpg</v>
      </c>
      <c r="AW1227" s="81" t="s">
        <v>10349</v>
      </c>
      <c r="AX1227" s="81" t="s">
        <v>10349</v>
      </c>
      <c r="AY1227" s="77"/>
      <c r="AZ1227" s="81" t="s">
        <v>11359</v>
      </c>
      <c r="BA1227" s="81" t="s">
        <v>11359</v>
      </c>
      <c r="BB1227" s="81" t="s">
        <v>11359</v>
      </c>
      <c r="BC1227" s="81" t="s">
        <v>10349</v>
      </c>
      <c r="BD1227" s="77">
        <v>44069148</v>
      </c>
      <c r="BE1227" s="77"/>
      <c r="BF1227" s="77"/>
      <c r="BG1227" s="77"/>
      <c r="BH1227" s="77"/>
      <c r="BI1227" s="77"/>
    </row>
    <row r="1228" spans="1:61" x14ac:dyDescent="0.25">
      <c r="A1228" s="62" t="s">
        <v>487</v>
      </c>
      <c r="B1228" s="62" t="s">
        <v>487</v>
      </c>
      <c r="C1228" s="63"/>
      <c r="D1228" s="64"/>
      <c r="E1228" s="65"/>
      <c r="F1228" s="66"/>
      <c r="G1228" s="63"/>
      <c r="H1228" s="67"/>
      <c r="I1228" s="68"/>
      <c r="J1228" s="68"/>
      <c r="K1228" s="32"/>
      <c r="L1228" s="75">
        <v>1228</v>
      </c>
      <c r="M1228" s="75"/>
      <c r="N1228" s="70"/>
      <c r="O1228" s="77" t="s">
        <v>179</v>
      </c>
      <c r="P1228" s="79">
        <v>45177.749201388891</v>
      </c>
      <c r="Q1228" s="77" t="s">
        <v>2028</v>
      </c>
      <c r="R1228" s="77">
        <v>0</v>
      </c>
      <c r="S1228" s="77">
        <v>0</v>
      </c>
      <c r="T1228" s="77">
        <v>0</v>
      </c>
      <c r="U1228" s="77">
        <v>0</v>
      </c>
      <c r="V1228" s="77">
        <v>88</v>
      </c>
      <c r="W1228" s="81" t="s">
        <v>3568</v>
      </c>
      <c r="X1228" s="83" t="str">
        <f>HYPERLINK("http://bh-url.com/TX3mPlil")</f>
        <v>http://bh-url.com/TX3mPlil</v>
      </c>
      <c r="Y1228" s="77" t="s">
        <v>4284</v>
      </c>
      <c r="Z1228" s="77"/>
      <c r="AA1228" s="77" t="s">
        <v>5201</v>
      </c>
      <c r="AB1228" s="77" t="s">
        <v>5794</v>
      </c>
      <c r="AC1228" s="81" t="s">
        <v>5832</v>
      </c>
      <c r="AD1228" s="77" t="s">
        <v>5855</v>
      </c>
      <c r="AE1228" s="83" t="str">
        <f>HYPERLINK("https://twitter.com/maria_mzorrilla/status/1700207082841026841")</f>
        <v>https://twitter.com/maria_mzorrilla/status/1700207082841026841</v>
      </c>
      <c r="AF1228" s="79">
        <v>45177.749201388891</v>
      </c>
      <c r="AG1228" s="85">
        <v>45177</v>
      </c>
      <c r="AH1228" s="81" t="s">
        <v>6891</v>
      </c>
      <c r="AI1228" s="77" t="b">
        <v>0</v>
      </c>
      <c r="AJ1228" s="77"/>
      <c r="AK1228" s="77"/>
      <c r="AL1228" s="77"/>
      <c r="AM1228" s="77"/>
      <c r="AN1228" s="77"/>
      <c r="AO1228" s="77"/>
      <c r="AP1228" s="77"/>
      <c r="AQ1228" s="77" t="s">
        <v>8704</v>
      </c>
      <c r="AR1228" s="77"/>
      <c r="AS1228" s="77"/>
      <c r="AT1228" s="77"/>
      <c r="AU1228" s="77"/>
      <c r="AV1228" s="83" t="str">
        <f>HYPERLINK("https://pbs.twimg.com/media/F5hZVFpWAAA3zK1.jpg")</f>
        <v>https://pbs.twimg.com/media/F5hZVFpWAAA3zK1.jpg</v>
      </c>
      <c r="AW1228" s="81" t="s">
        <v>10350</v>
      </c>
      <c r="AX1228" s="81" t="s">
        <v>10350</v>
      </c>
      <c r="AY1228" s="77"/>
      <c r="AZ1228" s="81" t="s">
        <v>11359</v>
      </c>
      <c r="BA1228" s="81" t="s">
        <v>11359</v>
      </c>
      <c r="BB1228" s="81" t="s">
        <v>11359</v>
      </c>
      <c r="BC1228" s="81" t="s">
        <v>10350</v>
      </c>
      <c r="BD1228" s="77">
        <v>44069148</v>
      </c>
      <c r="BE1228" s="77"/>
      <c r="BF1228" s="77"/>
      <c r="BG1228" s="77"/>
      <c r="BH1228" s="77"/>
      <c r="BI1228" s="77"/>
    </row>
    <row r="1229" spans="1:61" x14ac:dyDescent="0.25">
      <c r="A1229" s="62" t="s">
        <v>487</v>
      </c>
      <c r="B1229" s="62" t="s">
        <v>487</v>
      </c>
      <c r="C1229" s="63"/>
      <c r="D1229" s="64"/>
      <c r="E1229" s="65"/>
      <c r="F1229" s="66"/>
      <c r="G1229" s="63"/>
      <c r="H1229" s="67"/>
      <c r="I1229" s="68"/>
      <c r="J1229" s="68"/>
      <c r="K1229" s="32"/>
      <c r="L1229" s="75">
        <v>1229</v>
      </c>
      <c r="M1229" s="75"/>
      <c r="N1229" s="70"/>
      <c r="O1229" s="77" t="s">
        <v>179</v>
      </c>
      <c r="P1229" s="79">
        <v>45191.749409722222</v>
      </c>
      <c r="Q1229" s="77" t="s">
        <v>2029</v>
      </c>
      <c r="R1229" s="77">
        <v>0</v>
      </c>
      <c r="S1229" s="77">
        <v>0</v>
      </c>
      <c r="T1229" s="77">
        <v>0</v>
      </c>
      <c r="U1229" s="77">
        <v>0</v>
      </c>
      <c r="V1229" s="77">
        <v>8</v>
      </c>
      <c r="W1229" s="81" t="s">
        <v>3568</v>
      </c>
      <c r="X1229" s="83" t="str">
        <f>HYPERLINK("http://bh-url.com/6CESLhUN")</f>
        <v>http://bh-url.com/6CESLhUN</v>
      </c>
      <c r="Y1229" s="77" t="s">
        <v>4284</v>
      </c>
      <c r="Z1229" s="77"/>
      <c r="AA1229" s="77" t="s">
        <v>5202</v>
      </c>
      <c r="AB1229" s="77" t="s">
        <v>5794</v>
      </c>
      <c r="AC1229" s="81" t="s">
        <v>5832</v>
      </c>
      <c r="AD1229" s="77" t="s">
        <v>5855</v>
      </c>
      <c r="AE1229" s="83" t="str">
        <f>HYPERLINK("https://twitter.com/maria_mzorrilla/status/1705280588179988801")</f>
        <v>https://twitter.com/maria_mzorrilla/status/1705280588179988801</v>
      </c>
      <c r="AF1229" s="79">
        <v>45191.749409722222</v>
      </c>
      <c r="AG1229" s="85">
        <v>45191</v>
      </c>
      <c r="AH1229" s="81" t="s">
        <v>6892</v>
      </c>
      <c r="AI1229" s="77" t="b">
        <v>0</v>
      </c>
      <c r="AJ1229" s="77"/>
      <c r="AK1229" s="77"/>
      <c r="AL1229" s="77"/>
      <c r="AM1229" s="77"/>
      <c r="AN1229" s="77"/>
      <c r="AO1229" s="77"/>
      <c r="AP1229" s="77"/>
      <c r="AQ1229" s="77" t="s">
        <v>8705</v>
      </c>
      <c r="AR1229" s="77"/>
      <c r="AS1229" s="77"/>
      <c r="AT1229" s="77"/>
      <c r="AU1229" s="77"/>
      <c r="AV1229" s="83" t="str">
        <f>HYPERLINK("https://pbs.twimg.com/media/F6pfqDNWAAA98ju.jpg")</f>
        <v>https://pbs.twimg.com/media/F6pfqDNWAAA98ju.jpg</v>
      </c>
      <c r="AW1229" s="81" t="s">
        <v>10351</v>
      </c>
      <c r="AX1229" s="81" t="s">
        <v>10351</v>
      </c>
      <c r="AY1229" s="77"/>
      <c r="AZ1229" s="81" t="s">
        <v>11359</v>
      </c>
      <c r="BA1229" s="81" t="s">
        <v>11359</v>
      </c>
      <c r="BB1229" s="81" t="s">
        <v>11359</v>
      </c>
      <c r="BC1229" s="81" t="s">
        <v>10351</v>
      </c>
      <c r="BD1229" s="77">
        <v>44069148</v>
      </c>
      <c r="BE1229" s="77"/>
      <c r="BF1229" s="77"/>
      <c r="BG1229" s="77"/>
      <c r="BH1229" s="77"/>
      <c r="BI1229" s="77"/>
    </row>
    <row r="1230" spans="1:61" x14ac:dyDescent="0.25">
      <c r="A1230" s="62" t="s">
        <v>487</v>
      </c>
      <c r="B1230" s="62" t="s">
        <v>487</v>
      </c>
      <c r="C1230" s="63"/>
      <c r="D1230" s="64"/>
      <c r="E1230" s="65"/>
      <c r="F1230" s="66"/>
      <c r="G1230" s="63"/>
      <c r="H1230" s="67"/>
      <c r="I1230" s="68"/>
      <c r="J1230" s="68"/>
      <c r="K1230" s="32"/>
      <c r="L1230" s="75">
        <v>1230</v>
      </c>
      <c r="M1230" s="75"/>
      <c r="N1230" s="70"/>
      <c r="O1230" s="77" t="s">
        <v>179</v>
      </c>
      <c r="P1230" s="79">
        <v>45190.749791666669</v>
      </c>
      <c r="Q1230" s="77" t="s">
        <v>2030</v>
      </c>
      <c r="R1230" s="77">
        <v>0</v>
      </c>
      <c r="S1230" s="77">
        <v>0</v>
      </c>
      <c r="T1230" s="77">
        <v>0</v>
      </c>
      <c r="U1230" s="77">
        <v>0</v>
      </c>
      <c r="V1230" s="77">
        <v>5</v>
      </c>
      <c r="W1230" s="81" t="s">
        <v>3568</v>
      </c>
      <c r="X1230" s="83" t="str">
        <f>HYPERLINK("http://bh-url.com/aeaavikC")</f>
        <v>http://bh-url.com/aeaavikC</v>
      </c>
      <c r="Y1230" s="77" t="s">
        <v>4284</v>
      </c>
      <c r="Z1230" s="77"/>
      <c r="AA1230" s="77" t="s">
        <v>5203</v>
      </c>
      <c r="AB1230" s="77" t="s">
        <v>5794</v>
      </c>
      <c r="AC1230" s="81" t="s">
        <v>5832</v>
      </c>
      <c r="AD1230" s="77" t="s">
        <v>5855</v>
      </c>
      <c r="AE1230" s="83" t="str">
        <f>HYPERLINK("https://twitter.com/maria_mzorrilla/status/1704918338000806154")</f>
        <v>https://twitter.com/maria_mzorrilla/status/1704918338000806154</v>
      </c>
      <c r="AF1230" s="79">
        <v>45190.749791666669</v>
      </c>
      <c r="AG1230" s="85">
        <v>45190</v>
      </c>
      <c r="AH1230" s="81" t="s">
        <v>6893</v>
      </c>
      <c r="AI1230" s="77" t="b">
        <v>0</v>
      </c>
      <c r="AJ1230" s="77"/>
      <c r="AK1230" s="77"/>
      <c r="AL1230" s="77"/>
      <c r="AM1230" s="77"/>
      <c r="AN1230" s="77"/>
      <c r="AO1230" s="77"/>
      <c r="AP1230" s="77"/>
      <c r="AQ1230" s="77" t="s">
        <v>8706</v>
      </c>
      <c r="AR1230" s="77"/>
      <c r="AS1230" s="77"/>
      <c r="AT1230" s="77"/>
      <c r="AU1230" s="77"/>
      <c r="AV1230" s="83" t="str">
        <f>HYPERLINK("https://pbs.twimg.com/media/F6kWMRsWwAAG5Eo.jpg")</f>
        <v>https://pbs.twimg.com/media/F6kWMRsWwAAG5Eo.jpg</v>
      </c>
      <c r="AW1230" s="81" t="s">
        <v>10352</v>
      </c>
      <c r="AX1230" s="81" t="s">
        <v>10352</v>
      </c>
      <c r="AY1230" s="77"/>
      <c r="AZ1230" s="81" t="s">
        <v>11359</v>
      </c>
      <c r="BA1230" s="81" t="s">
        <v>11359</v>
      </c>
      <c r="BB1230" s="81" t="s">
        <v>11359</v>
      </c>
      <c r="BC1230" s="81" t="s">
        <v>10352</v>
      </c>
      <c r="BD1230" s="77">
        <v>44069148</v>
      </c>
      <c r="BE1230" s="77"/>
      <c r="BF1230" s="77"/>
      <c r="BG1230" s="77"/>
      <c r="BH1230" s="77"/>
      <c r="BI1230" s="77"/>
    </row>
    <row r="1231" spans="1:61" x14ac:dyDescent="0.25">
      <c r="A1231" s="62" t="s">
        <v>488</v>
      </c>
      <c r="B1231" s="62" t="s">
        <v>488</v>
      </c>
      <c r="C1231" s="63"/>
      <c r="D1231" s="64"/>
      <c r="E1231" s="65"/>
      <c r="F1231" s="66"/>
      <c r="G1231" s="63"/>
      <c r="H1231" s="67"/>
      <c r="I1231" s="68"/>
      <c r="J1231" s="68"/>
      <c r="K1231" s="32"/>
      <c r="L1231" s="75">
        <v>1231</v>
      </c>
      <c r="M1231" s="75"/>
      <c r="N1231" s="70"/>
      <c r="O1231" s="77" t="s">
        <v>179</v>
      </c>
      <c r="P1231" s="79">
        <v>44949.625381944446</v>
      </c>
      <c r="Q1231" s="77" t="s">
        <v>2031</v>
      </c>
      <c r="R1231" s="77">
        <v>1</v>
      </c>
      <c r="S1231" s="77">
        <v>1</v>
      </c>
      <c r="T1231" s="77">
        <v>0</v>
      </c>
      <c r="U1231" s="77">
        <v>0</v>
      </c>
      <c r="V1231" s="77">
        <v>28</v>
      </c>
      <c r="W1231" s="81" t="s">
        <v>3569</v>
      </c>
      <c r="X1231" s="83" t="str">
        <f>HYPERLINK("http://pentagramaturadiofm.com")</f>
        <v>http://pentagramaturadiofm.com</v>
      </c>
      <c r="Y1231" s="77" t="s">
        <v>4285</v>
      </c>
      <c r="Z1231" s="77"/>
      <c r="AA1231" s="77" t="s">
        <v>5204</v>
      </c>
      <c r="AB1231" s="77" t="s">
        <v>5794</v>
      </c>
      <c r="AC1231" s="81" t="s">
        <v>5811</v>
      </c>
      <c r="AD1231" s="77" t="s">
        <v>5850</v>
      </c>
      <c r="AE1231" s="83" t="str">
        <f>HYPERLINK("https://twitter.com/tupentagrama/status/1617537777184247809")</f>
        <v>https://twitter.com/tupentagrama/status/1617537777184247809</v>
      </c>
      <c r="AF1231" s="79">
        <v>44949.625381944446</v>
      </c>
      <c r="AG1231" s="85">
        <v>44949</v>
      </c>
      <c r="AH1231" s="81" t="s">
        <v>6894</v>
      </c>
      <c r="AI1231" s="77" t="b">
        <v>0</v>
      </c>
      <c r="AJ1231" s="77"/>
      <c r="AK1231" s="77"/>
      <c r="AL1231" s="77"/>
      <c r="AM1231" s="77"/>
      <c r="AN1231" s="77"/>
      <c r="AO1231" s="77"/>
      <c r="AP1231" s="77"/>
      <c r="AQ1231" s="77" t="s">
        <v>8707</v>
      </c>
      <c r="AR1231" s="77"/>
      <c r="AS1231" s="77"/>
      <c r="AT1231" s="77"/>
      <c r="AU1231" s="77"/>
      <c r="AV1231" s="83" t="str">
        <f>HYPERLINK("https://pbs.twimg.com/media/FnH_TnsXkAANPnG.jpg")</f>
        <v>https://pbs.twimg.com/media/FnH_TnsXkAANPnG.jpg</v>
      </c>
      <c r="AW1231" s="81" t="s">
        <v>10353</v>
      </c>
      <c r="AX1231" s="81" t="s">
        <v>10353</v>
      </c>
      <c r="AY1231" s="77"/>
      <c r="AZ1231" s="81" t="s">
        <v>11359</v>
      </c>
      <c r="BA1231" s="81" t="s">
        <v>11359</v>
      </c>
      <c r="BB1231" s="81" t="s">
        <v>11359</v>
      </c>
      <c r="BC1231" s="81" t="s">
        <v>10353</v>
      </c>
      <c r="BD1231" s="77">
        <v>703440234</v>
      </c>
      <c r="BE1231" s="77"/>
      <c r="BF1231" s="77"/>
      <c r="BG1231" s="77"/>
      <c r="BH1231" s="77"/>
      <c r="BI1231" s="77"/>
    </row>
    <row r="1232" spans="1:61" x14ac:dyDescent="0.25">
      <c r="A1232" s="62" t="s">
        <v>488</v>
      </c>
      <c r="B1232" s="62" t="s">
        <v>488</v>
      </c>
      <c r="C1232" s="63"/>
      <c r="D1232" s="64"/>
      <c r="E1232" s="65"/>
      <c r="F1232" s="66"/>
      <c r="G1232" s="63"/>
      <c r="H1232" s="67"/>
      <c r="I1232" s="68"/>
      <c r="J1232" s="68"/>
      <c r="K1232" s="32"/>
      <c r="L1232" s="75">
        <v>1232</v>
      </c>
      <c r="M1232" s="75"/>
      <c r="N1232" s="70"/>
      <c r="O1232" s="77" t="s">
        <v>179</v>
      </c>
      <c r="P1232" s="79">
        <v>45007</v>
      </c>
      <c r="Q1232" s="77" t="s">
        <v>2032</v>
      </c>
      <c r="R1232" s="77">
        <v>0</v>
      </c>
      <c r="S1232" s="77">
        <v>0</v>
      </c>
      <c r="T1232" s="77">
        <v>0</v>
      </c>
      <c r="U1232" s="77">
        <v>0</v>
      </c>
      <c r="V1232" s="77">
        <v>10</v>
      </c>
      <c r="W1232" s="81" t="s">
        <v>3570</v>
      </c>
      <c r="X1232" s="83" t="str">
        <f>HYPERLINK("http://www.pentagramaturadio.com")</f>
        <v>http://www.pentagramaturadio.com</v>
      </c>
      <c r="Y1232" s="77" t="s">
        <v>4286</v>
      </c>
      <c r="Z1232" s="77"/>
      <c r="AA1232" s="77" t="s">
        <v>5205</v>
      </c>
      <c r="AB1232" s="77" t="s">
        <v>5794</v>
      </c>
      <c r="AC1232" s="81" t="s">
        <v>5811</v>
      </c>
      <c r="AD1232" s="77" t="s">
        <v>5850</v>
      </c>
      <c r="AE1232" s="83" t="str">
        <f>HYPERLINK("https://twitter.com/tupentagrama/status/1638329642879791109")</f>
        <v>https://twitter.com/tupentagrama/status/1638329642879791109</v>
      </c>
      <c r="AF1232" s="79">
        <v>45007</v>
      </c>
      <c r="AG1232" s="85">
        <v>45007</v>
      </c>
      <c r="AH1232" s="81" t="s">
        <v>6895</v>
      </c>
      <c r="AI1232" s="77" t="b">
        <v>0</v>
      </c>
      <c r="AJ1232" s="77"/>
      <c r="AK1232" s="77"/>
      <c r="AL1232" s="77"/>
      <c r="AM1232" s="77"/>
      <c r="AN1232" s="77"/>
      <c r="AO1232" s="77"/>
      <c r="AP1232" s="77"/>
      <c r="AQ1232" s="77" t="s">
        <v>8708</v>
      </c>
      <c r="AR1232" s="77"/>
      <c r="AS1232" s="77"/>
      <c r="AT1232" s="77"/>
      <c r="AU1232" s="77"/>
      <c r="AV1232" s="83" t="str">
        <f>HYPERLINK("https://pbs.twimg.com/media/FrmxjtqWYAAqAL4.jpg")</f>
        <v>https://pbs.twimg.com/media/FrmxjtqWYAAqAL4.jpg</v>
      </c>
      <c r="AW1232" s="81" t="s">
        <v>10354</v>
      </c>
      <c r="AX1232" s="81" t="s">
        <v>10354</v>
      </c>
      <c r="AY1232" s="77"/>
      <c r="AZ1232" s="81" t="s">
        <v>11359</v>
      </c>
      <c r="BA1232" s="81" t="s">
        <v>11359</v>
      </c>
      <c r="BB1232" s="81" t="s">
        <v>11359</v>
      </c>
      <c r="BC1232" s="81" t="s">
        <v>10354</v>
      </c>
      <c r="BD1232" s="77">
        <v>703440234</v>
      </c>
      <c r="BE1232" s="77"/>
      <c r="BF1232" s="77"/>
      <c r="BG1232" s="77"/>
      <c r="BH1232" s="77"/>
      <c r="BI1232" s="77"/>
    </row>
    <row r="1233" spans="1:61" x14ac:dyDescent="0.25">
      <c r="A1233" s="62" t="s">
        <v>488</v>
      </c>
      <c r="B1233" s="62" t="s">
        <v>488</v>
      </c>
      <c r="C1233" s="63"/>
      <c r="D1233" s="64"/>
      <c r="E1233" s="65"/>
      <c r="F1233" s="66"/>
      <c r="G1233" s="63"/>
      <c r="H1233" s="67"/>
      <c r="I1233" s="68"/>
      <c r="J1233" s="68"/>
      <c r="K1233" s="32"/>
      <c r="L1233" s="75">
        <v>1233</v>
      </c>
      <c r="M1233" s="75"/>
      <c r="N1233" s="70"/>
      <c r="O1233" s="77" t="s">
        <v>179</v>
      </c>
      <c r="P1233" s="79">
        <v>44997.708344907405</v>
      </c>
      <c r="Q1233" s="77" t="s">
        <v>2033</v>
      </c>
      <c r="R1233" s="77">
        <v>1</v>
      </c>
      <c r="S1233" s="77">
        <v>1</v>
      </c>
      <c r="T1233" s="77">
        <v>0</v>
      </c>
      <c r="U1233" s="77">
        <v>0</v>
      </c>
      <c r="V1233" s="77">
        <v>38</v>
      </c>
      <c r="W1233" s="81" t="s">
        <v>3571</v>
      </c>
      <c r="X1233" s="83" t="str">
        <f>HYPERLINK("https://www.pentagramaturadio.com/")</f>
        <v>https://www.pentagramaturadio.com/</v>
      </c>
      <c r="Y1233" s="77" t="s">
        <v>4286</v>
      </c>
      <c r="Z1233" s="77"/>
      <c r="AA1233" s="77" t="s">
        <v>5206</v>
      </c>
      <c r="AB1233" s="77" t="s">
        <v>5794</v>
      </c>
      <c r="AC1233" s="81" t="s">
        <v>5811</v>
      </c>
      <c r="AD1233" s="77" t="s">
        <v>5850</v>
      </c>
      <c r="AE1233" s="83" t="str">
        <f>HYPERLINK("https://twitter.com/tupentagrama/status/1634962460276051970")</f>
        <v>https://twitter.com/tupentagrama/status/1634962460276051970</v>
      </c>
      <c r="AF1233" s="79">
        <v>44997.708344907405</v>
      </c>
      <c r="AG1233" s="85">
        <v>44997</v>
      </c>
      <c r="AH1233" s="81" t="s">
        <v>6896</v>
      </c>
      <c r="AI1233" s="77" t="b">
        <v>0</v>
      </c>
      <c r="AJ1233" s="77"/>
      <c r="AK1233" s="77"/>
      <c r="AL1233" s="77"/>
      <c r="AM1233" s="77"/>
      <c r="AN1233" s="77"/>
      <c r="AO1233" s="77"/>
      <c r="AP1233" s="77"/>
      <c r="AQ1233" s="77" t="s">
        <v>8709</v>
      </c>
      <c r="AR1233" s="77"/>
      <c r="AS1233" s="77"/>
      <c r="AT1233" s="77"/>
      <c r="AU1233" s="77"/>
      <c r="AV1233" s="83" t="str">
        <f>HYPERLINK("https://pbs.twimg.com/media/Fq_UN7PXgAQPdZO.jpg")</f>
        <v>https://pbs.twimg.com/media/Fq_UN7PXgAQPdZO.jpg</v>
      </c>
      <c r="AW1233" s="81" t="s">
        <v>10355</v>
      </c>
      <c r="AX1233" s="81" t="s">
        <v>10355</v>
      </c>
      <c r="AY1233" s="77"/>
      <c r="AZ1233" s="81" t="s">
        <v>11359</v>
      </c>
      <c r="BA1233" s="81" t="s">
        <v>11359</v>
      </c>
      <c r="BB1233" s="81" t="s">
        <v>11359</v>
      </c>
      <c r="BC1233" s="81" t="s">
        <v>10355</v>
      </c>
      <c r="BD1233" s="77">
        <v>703440234</v>
      </c>
      <c r="BE1233" s="77"/>
      <c r="BF1233" s="77"/>
      <c r="BG1233" s="77"/>
      <c r="BH1233" s="77"/>
      <c r="BI1233" s="77"/>
    </row>
    <row r="1234" spans="1:61" x14ac:dyDescent="0.25">
      <c r="A1234" s="62" t="s">
        <v>488</v>
      </c>
      <c r="B1234" s="62" t="s">
        <v>488</v>
      </c>
      <c r="C1234" s="63"/>
      <c r="D1234" s="64"/>
      <c r="E1234" s="65"/>
      <c r="F1234" s="66"/>
      <c r="G1234" s="63"/>
      <c r="H1234" s="67"/>
      <c r="I1234" s="68"/>
      <c r="J1234" s="68"/>
      <c r="K1234" s="32"/>
      <c r="L1234" s="75">
        <v>1234</v>
      </c>
      <c r="M1234" s="75"/>
      <c r="N1234" s="70"/>
      <c r="O1234" s="77" t="s">
        <v>179</v>
      </c>
      <c r="P1234" s="79">
        <v>45005.083344907405</v>
      </c>
      <c r="Q1234" s="77" t="s">
        <v>2034</v>
      </c>
      <c r="R1234" s="77">
        <v>1</v>
      </c>
      <c r="S1234" s="77">
        <v>1</v>
      </c>
      <c r="T1234" s="77">
        <v>0</v>
      </c>
      <c r="U1234" s="77">
        <v>0</v>
      </c>
      <c r="V1234" s="77">
        <v>10</v>
      </c>
      <c r="W1234" s="81" t="s">
        <v>3572</v>
      </c>
      <c r="X1234" s="83" t="str">
        <f>HYPERLINK("http://pentagramaturadiofm.com")</f>
        <v>http://pentagramaturadiofm.com</v>
      </c>
      <c r="Y1234" s="77" t="s">
        <v>4285</v>
      </c>
      <c r="Z1234" s="77"/>
      <c r="AA1234" s="77" t="s">
        <v>5207</v>
      </c>
      <c r="AB1234" s="77" t="s">
        <v>5794</v>
      </c>
      <c r="AC1234" s="81" t="s">
        <v>5811</v>
      </c>
      <c r="AD1234" s="77" t="s">
        <v>5850</v>
      </c>
      <c r="AE1234" s="83" t="str">
        <f>HYPERLINK("https://twitter.com/tupentagrama/status/1637635069811777541")</f>
        <v>https://twitter.com/tupentagrama/status/1637635069811777541</v>
      </c>
      <c r="AF1234" s="79">
        <v>45005.083344907405</v>
      </c>
      <c r="AG1234" s="85">
        <v>45005</v>
      </c>
      <c r="AH1234" s="81" t="s">
        <v>6897</v>
      </c>
      <c r="AI1234" s="77" t="b">
        <v>0</v>
      </c>
      <c r="AJ1234" s="77"/>
      <c r="AK1234" s="77"/>
      <c r="AL1234" s="77"/>
      <c r="AM1234" s="77"/>
      <c r="AN1234" s="77"/>
      <c r="AO1234" s="77"/>
      <c r="AP1234" s="77"/>
      <c r="AQ1234" s="77" t="s">
        <v>8710</v>
      </c>
      <c r="AR1234" s="77"/>
      <c r="AS1234" s="77"/>
      <c r="AT1234" s="77"/>
      <c r="AU1234" s="77"/>
      <c r="AV1234" s="83" t="str">
        <f>HYPERLINK("https://pbs.twimg.com/media/FrmsjW9XsAMD1fF.jpg")</f>
        <v>https://pbs.twimg.com/media/FrmsjW9XsAMD1fF.jpg</v>
      </c>
      <c r="AW1234" s="81" t="s">
        <v>10356</v>
      </c>
      <c r="AX1234" s="81" t="s">
        <v>10356</v>
      </c>
      <c r="AY1234" s="77"/>
      <c r="AZ1234" s="81" t="s">
        <v>11359</v>
      </c>
      <c r="BA1234" s="81" t="s">
        <v>11359</v>
      </c>
      <c r="BB1234" s="81" t="s">
        <v>11359</v>
      </c>
      <c r="BC1234" s="81" t="s">
        <v>10356</v>
      </c>
      <c r="BD1234" s="77">
        <v>703440234</v>
      </c>
      <c r="BE1234" s="77"/>
      <c r="BF1234" s="77"/>
      <c r="BG1234" s="77"/>
      <c r="BH1234" s="77"/>
      <c r="BI1234" s="77"/>
    </row>
    <row r="1235" spans="1:61" x14ac:dyDescent="0.25">
      <c r="A1235" s="62" t="s">
        <v>489</v>
      </c>
      <c r="B1235" s="62" t="s">
        <v>489</v>
      </c>
      <c r="C1235" s="63"/>
      <c r="D1235" s="64"/>
      <c r="E1235" s="65"/>
      <c r="F1235" s="66"/>
      <c r="G1235" s="63"/>
      <c r="H1235" s="67"/>
      <c r="I1235" s="68"/>
      <c r="J1235" s="68"/>
      <c r="K1235" s="32"/>
      <c r="L1235" s="75">
        <v>1235</v>
      </c>
      <c r="M1235" s="75"/>
      <c r="N1235" s="70"/>
      <c r="O1235" s="77" t="s">
        <v>179</v>
      </c>
      <c r="P1235" s="79">
        <v>44964.979085648149</v>
      </c>
      <c r="Q1235" s="77" t="s">
        <v>2035</v>
      </c>
      <c r="R1235" s="77">
        <v>181</v>
      </c>
      <c r="S1235" s="77">
        <v>698</v>
      </c>
      <c r="T1235" s="77">
        <v>92</v>
      </c>
      <c r="U1235" s="77">
        <v>11</v>
      </c>
      <c r="V1235" s="77">
        <v>140288</v>
      </c>
      <c r="W1235" s="81" t="s">
        <v>3529</v>
      </c>
      <c r="X1235" s="77"/>
      <c r="Y1235" s="77"/>
      <c r="Z1235" s="77"/>
      <c r="AA1235" s="77" t="s">
        <v>5208</v>
      </c>
      <c r="AB1235" s="77" t="s">
        <v>5795</v>
      </c>
      <c r="AC1235" s="81" t="s">
        <v>5805</v>
      </c>
      <c r="AD1235" s="77" t="s">
        <v>5850</v>
      </c>
      <c r="AE1235" s="83" t="str">
        <f>HYPERLINK("https://twitter.com/quepocamadremex/status/1623101774654541824")</f>
        <v>https://twitter.com/quepocamadremex/status/1623101774654541824</v>
      </c>
      <c r="AF1235" s="79">
        <v>44964.979085648149</v>
      </c>
      <c r="AG1235" s="85">
        <v>44964</v>
      </c>
      <c r="AH1235" s="81" t="s">
        <v>6898</v>
      </c>
      <c r="AI1235" s="77" t="b">
        <v>0</v>
      </c>
      <c r="AJ1235" s="77"/>
      <c r="AK1235" s="77"/>
      <c r="AL1235" s="77"/>
      <c r="AM1235" s="77"/>
      <c r="AN1235" s="77"/>
      <c r="AO1235" s="77"/>
      <c r="AP1235" s="77"/>
      <c r="AQ1235" s="77" t="s">
        <v>8711</v>
      </c>
      <c r="AR1235" s="77">
        <v>44970</v>
      </c>
      <c r="AS1235" s="77"/>
      <c r="AT1235" s="77"/>
      <c r="AU1235" s="77"/>
      <c r="AV1235" s="83" t="str">
        <f>HYPERLINK("https://pbs.twimg.com/ext_tw_video_thumb/1623101720896176129/pu/img/6dC7oE7lRmOi39uI.jpg")</f>
        <v>https://pbs.twimg.com/ext_tw_video_thumb/1623101720896176129/pu/img/6dC7oE7lRmOi39uI.jpg</v>
      </c>
      <c r="AW1235" s="81" t="s">
        <v>10357</v>
      </c>
      <c r="AX1235" s="81" t="s">
        <v>10357</v>
      </c>
      <c r="AY1235" s="77"/>
      <c r="AZ1235" s="81" t="s">
        <v>11359</v>
      </c>
      <c r="BA1235" s="81" t="s">
        <v>11359</v>
      </c>
      <c r="BB1235" s="81" t="s">
        <v>11359</v>
      </c>
      <c r="BC1235" s="81" t="s">
        <v>10357</v>
      </c>
      <c r="BD1235" s="81" t="s">
        <v>11534</v>
      </c>
      <c r="BE1235" s="77"/>
      <c r="BF1235" s="77"/>
      <c r="BG1235" s="77"/>
      <c r="BH1235" s="77"/>
      <c r="BI1235" s="77"/>
    </row>
    <row r="1236" spans="1:61" x14ac:dyDescent="0.25">
      <c r="A1236" s="62" t="s">
        <v>490</v>
      </c>
      <c r="B1236" s="62" t="s">
        <v>490</v>
      </c>
      <c r="C1236" s="63"/>
      <c r="D1236" s="64"/>
      <c r="E1236" s="65"/>
      <c r="F1236" s="66"/>
      <c r="G1236" s="63"/>
      <c r="H1236" s="67"/>
      <c r="I1236" s="68"/>
      <c r="J1236" s="68"/>
      <c r="K1236" s="32"/>
      <c r="L1236" s="75">
        <v>1236</v>
      </c>
      <c r="M1236" s="75"/>
      <c r="N1236" s="70"/>
      <c r="O1236" s="77" t="s">
        <v>179</v>
      </c>
      <c r="P1236" s="79">
        <v>44938.885636574072</v>
      </c>
      <c r="Q1236" s="77" t="s">
        <v>2036</v>
      </c>
      <c r="R1236" s="77">
        <v>0</v>
      </c>
      <c r="S1236" s="77">
        <v>0</v>
      </c>
      <c r="T1236" s="77">
        <v>0</v>
      </c>
      <c r="U1236" s="77">
        <v>0</v>
      </c>
      <c r="V1236" s="77">
        <v>46</v>
      </c>
      <c r="W1236" s="81" t="s">
        <v>3573</v>
      </c>
      <c r="X1236" s="77"/>
      <c r="Y1236" s="77"/>
      <c r="Z1236" s="77"/>
      <c r="AA1236" s="77" t="s">
        <v>5209</v>
      </c>
      <c r="AB1236" s="77" t="s">
        <v>5794</v>
      </c>
      <c r="AC1236" s="81" t="s">
        <v>5806</v>
      </c>
      <c r="AD1236" s="77" t="s">
        <v>5851</v>
      </c>
      <c r="AE1236" s="83" t="str">
        <f>HYPERLINK("https://twitter.com/maatacado/status/1613645823224553483")</f>
        <v>https://twitter.com/maatacado/status/1613645823224553483</v>
      </c>
      <c r="AF1236" s="79">
        <v>44938.885636574072</v>
      </c>
      <c r="AG1236" s="85">
        <v>44938</v>
      </c>
      <c r="AH1236" s="81" t="s">
        <v>6899</v>
      </c>
      <c r="AI1236" s="77" t="b">
        <v>0</v>
      </c>
      <c r="AJ1236" s="77"/>
      <c r="AK1236" s="77"/>
      <c r="AL1236" s="77"/>
      <c r="AM1236" s="77"/>
      <c r="AN1236" s="77"/>
      <c r="AO1236" s="77"/>
      <c r="AP1236" s="77"/>
      <c r="AQ1236" s="77" t="s">
        <v>8712</v>
      </c>
      <c r="AR1236" s="77"/>
      <c r="AS1236" s="77"/>
      <c r="AT1236" s="77"/>
      <c r="AU1236" s="77"/>
      <c r="AV1236" s="83" t="str">
        <f>HYPERLINK("https://pbs.twimg.com/media/FmTSU0KXoAUeu_I.jpg")</f>
        <v>https://pbs.twimg.com/media/FmTSU0KXoAUeu_I.jpg</v>
      </c>
      <c r="AW1236" s="81" t="s">
        <v>10358</v>
      </c>
      <c r="AX1236" s="81" t="s">
        <v>10358</v>
      </c>
      <c r="AY1236" s="77"/>
      <c r="AZ1236" s="81" t="s">
        <v>11359</v>
      </c>
      <c r="BA1236" s="81" t="s">
        <v>11359</v>
      </c>
      <c r="BB1236" s="81" t="s">
        <v>11359</v>
      </c>
      <c r="BC1236" s="81" t="s">
        <v>10358</v>
      </c>
      <c r="BD1236" s="81" t="s">
        <v>11535</v>
      </c>
      <c r="BE1236" s="77"/>
      <c r="BF1236" s="77"/>
      <c r="BG1236" s="77"/>
      <c r="BH1236" s="77"/>
      <c r="BI1236" s="77"/>
    </row>
    <row r="1237" spans="1:61" x14ac:dyDescent="0.25">
      <c r="A1237" s="62" t="s">
        <v>491</v>
      </c>
      <c r="B1237" s="62" t="s">
        <v>786</v>
      </c>
      <c r="C1237" s="63"/>
      <c r="D1237" s="64"/>
      <c r="E1237" s="65"/>
      <c r="F1237" s="66"/>
      <c r="G1237" s="63"/>
      <c r="H1237" s="67"/>
      <c r="I1237" s="68"/>
      <c r="J1237" s="68"/>
      <c r="K1237" s="32"/>
      <c r="L1237" s="75">
        <v>1237</v>
      </c>
      <c r="M1237" s="75"/>
      <c r="N1237" s="70"/>
      <c r="O1237" s="77" t="s">
        <v>968</v>
      </c>
      <c r="P1237" s="79">
        <v>45194.431400462963</v>
      </c>
      <c r="Q1237" s="77" t="s">
        <v>1114</v>
      </c>
      <c r="R1237" s="77">
        <v>3</v>
      </c>
      <c r="S1237" s="77">
        <v>0</v>
      </c>
      <c r="T1237" s="77">
        <v>0</v>
      </c>
      <c r="U1237" s="77">
        <v>0</v>
      </c>
      <c r="V1237" s="77"/>
      <c r="W1237" s="77"/>
      <c r="X1237" s="77"/>
      <c r="Y1237" s="77"/>
      <c r="Z1237" s="77" t="s">
        <v>786</v>
      </c>
      <c r="AA1237" s="77"/>
      <c r="AB1237" s="77"/>
      <c r="AC1237" s="81" t="s">
        <v>5801</v>
      </c>
      <c r="AD1237" s="77" t="s">
        <v>5850</v>
      </c>
      <c r="AE1237" s="83" t="str">
        <f>HYPERLINK("https://twitter.com/juanpedroporra2/status/1706252510149620122")</f>
        <v>https://twitter.com/juanpedroporra2/status/1706252510149620122</v>
      </c>
      <c r="AF1237" s="79">
        <v>45194.431400462963</v>
      </c>
      <c r="AG1237" s="85">
        <v>45194</v>
      </c>
      <c r="AH1237" s="81" t="s">
        <v>6900</v>
      </c>
      <c r="AI1237" s="77"/>
      <c r="AJ1237" s="77"/>
      <c r="AK1237" s="77"/>
      <c r="AL1237" s="77"/>
      <c r="AM1237" s="77"/>
      <c r="AN1237" s="77"/>
      <c r="AO1237" s="77"/>
      <c r="AP1237" s="77"/>
      <c r="AQ1237" s="77"/>
      <c r="AR1237" s="77"/>
      <c r="AS1237" s="77"/>
      <c r="AT1237" s="77"/>
      <c r="AU1237" s="77"/>
      <c r="AV1237" s="83" t="str">
        <f>HYPERLINK("https://abs.twimg.com/sticky/default_profile_images/default_profile_normal.png")</f>
        <v>https://abs.twimg.com/sticky/default_profile_images/default_profile_normal.png</v>
      </c>
      <c r="AW1237" s="81" t="s">
        <v>10359</v>
      </c>
      <c r="AX1237" s="81" t="s">
        <v>10359</v>
      </c>
      <c r="AY1237" s="77"/>
      <c r="AZ1237" s="81" t="s">
        <v>11359</v>
      </c>
      <c r="BA1237" s="81" t="s">
        <v>11359</v>
      </c>
      <c r="BB1237" s="81" t="s">
        <v>11007</v>
      </c>
      <c r="BC1237" s="81" t="s">
        <v>11007</v>
      </c>
      <c r="BD1237" s="81" t="s">
        <v>11536</v>
      </c>
      <c r="BE1237" s="77"/>
      <c r="BF1237" s="77"/>
      <c r="BG1237" s="77"/>
      <c r="BH1237" s="77"/>
      <c r="BI1237" s="77"/>
    </row>
    <row r="1238" spans="1:61" x14ac:dyDescent="0.25">
      <c r="A1238" s="62" t="s">
        <v>492</v>
      </c>
      <c r="B1238" s="62" t="s">
        <v>492</v>
      </c>
      <c r="C1238" s="63"/>
      <c r="D1238" s="64"/>
      <c r="E1238" s="65"/>
      <c r="F1238" s="66"/>
      <c r="G1238" s="63"/>
      <c r="H1238" s="67"/>
      <c r="I1238" s="68"/>
      <c r="J1238" s="68"/>
      <c r="K1238" s="32"/>
      <c r="L1238" s="75">
        <v>1238</v>
      </c>
      <c r="M1238" s="75"/>
      <c r="N1238" s="70"/>
      <c r="O1238" s="77" t="s">
        <v>179</v>
      </c>
      <c r="P1238" s="79">
        <v>44988.932060185187</v>
      </c>
      <c r="Q1238" s="77" t="s">
        <v>2037</v>
      </c>
      <c r="R1238" s="77">
        <v>0</v>
      </c>
      <c r="S1238" s="77">
        <v>0</v>
      </c>
      <c r="T1238" s="77">
        <v>0</v>
      </c>
      <c r="U1238" s="77">
        <v>0</v>
      </c>
      <c r="V1238" s="77">
        <v>63</v>
      </c>
      <c r="W1238" s="81" t="s">
        <v>3574</v>
      </c>
      <c r="X1238" s="83" t="str">
        <f>HYPERLINK("https://www.instagram.com/reel/CpSSZKqAJFH/?igshid=NTU1Mzc3ZGM=")</f>
        <v>https://www.instagram.com/reel/CpSSZKqAJFH/?igshid=NTU1Mzc3ZGM=</v>
      </c>
      <c r="Y1238" s="77" t="s">
        <v>4215</v>
      </c>
      <c r="Z1238" s="77"/>
      <c r="AA1238" s="77"/>
      <c r="AB1238" s="77"/>
      <c r="AC1238" s="81" t="s">
        <v>5801</v>
      </c>
      <c r="AD1238" s="77" t="s">
        <v>5851</v>
      </c>
      <c r="AE1238" s="83" t="str">
        <f>HYPERLINK("https://twitter.com/mktraquelsouza/status/1631782041665544193")</f>
        <v>https://twitter.com/mktraquelsouza/status/1631782041665544193</v>
      </c>
      <c r="AF1238" s="79">
        <v>44988.932060185187</v>
      </c>
      <c r="AG1238" s="85">
        <v>44988</v>
      </c>
      <c r="AH1238" s="81" t="s">
        <v>6901</v>
      </c>
      <c r="AI1238" s="77" t="b">
        <v>0</v>
      </c>
      <c r="AJ1238" s="77" t="s">
        <v>7742</v>
      </c>
      <c r="AK1238" s="77" t="s">
        <v>7763</v>
      </c>
      <c r="AL1238" s="77" t="s">
        <v>7772</v>
      </c>
      <c r="AM1238" s="77" t="s">
        <v>7796</v>
      </c>
      <c r="AN1238" s="77" t="s">
        <v>7832</v>
      </c>
      <c r="AO1238" s="77" t="s">
        <v>7868</v>
      </c>
      <c r="AP1238" s="77" t="s">
        <v>7889</v>
      </c>
      <c r="AQ1238" s="77"/>
      <c r="AR1238" s="77"/>
      <c r="AS1238" s="77"/>
      <c r="AT1238" s="77"/>
      <c r="AU1238" s="77"/>
      <c r="AV1238" s="83" t="str">
        <f>HYPERLINK("https://pbs.twimg.com/profile_images/1664012541968744448/FKI_eorr_normal.jpg")</f>
        <v>https://pbs.twimg.com/profile_images/1664012541968744448/FKI_eorr_normal.jpg</v>
      </c>
      <c r="AW1238" s="81" t="s">
        <v>10360</v>
      </c>
      <c r="AX1238" s="81" t="s">
        <v>10360</v>
      </c>
      <c r="AY1238" s="77"/>
      <c r="AZ1238" s="81" t="s">
        <v>11359</v>
      </c>
      <c r="BA1238" s="81" t="s">
        <v>11359</v>
      </c>
      <c r="BB1238" s="81" t="s">
        <v>11359</v>
      </c>
      <c r="BC1238" s="81" t="s">
        <v>10360</v>
      </c>
      <c r="BD1238" s="81" t="s">
        <v>11537</v>
      </c>
      <c r="BE1238" s="77"/>
      <c r="BF1238" s="77"/>
      <c r="BG1238" s="77"/>
      <c r="BH1238" s="77"/>
      <c r="BI1238" s="77"/>
    </row>
    <row r="1239" spans="1:61" x14ac:dyDescent="0.25">
      <c r="A1239" s="62" t="s">
        <v>493</v>
      </c>
      <c r="B1239" s="62" t="s">
        <v>493</v>
      </c>
      <c r="C1239" s="63"/>
      <c r="D1239" s="64"/>
      <c r="E1239" s="65"/>
      <c r="F1239" s="66"/>
      <c r="G1239" s="63"/>
      <c r="H1239" s="67"/>
      <c r="I1239" s="68"/>
      <c r="J1239" s="68"/>
      <c r="K1239" s="32"/>
      <c r="L1239" s="75">
        <v>1239</v>
      </c>
      <c r="M1239" s="75"/>
      <c r="N1239" s="70"/>
      <c r="O1239" s="77" t="s">
        <v>179</v>
      </c>
      <c r="P1239" s="79">
        <v>45049.9143287037</v>
      </c>
      <c r="Q1239" s="77" t="s">
        <v>2038</v>
      </c>
      <c r="R1239" s="77">
        <v>0</v>
      </c>
      <c r="S1239" s="77">
        <v>0</v>
      </c>
      <c r="T1239" s="77">
        <v>0</v>
      </c>
      <c r="U1239" s="77">
        <v>0</v>
      </c>
      <c r="V1239" s="77">
        <v>34</v>
      </c>
      <c r="W1239" s="81" t="s">
        <v>3575</v>
      </c>
      <c r="X1239" s="77"/>
      <c r="Y1239" s="77"/>
      <c r="Z1239" s="77"/>
      <c r="AA1239" s="77" t="s">
        <v>5210</v>
      </c>
      <c r="AB1239" s="77" t="s">
        <v>5794</v>
      </c>
      <c r="AC1239" s="81" t="s">
        <v>5805</v>
      </c>
      <c r="AD1239" s="77" t="s">
        <v>5850</v>
      </c>
      <c r="AE1239" s="83" t="str">
        <f>HYPERLINK("https://twitter.com/talentomayan/status/1653881274010857476")</f>
        <v>https://twitter.com/talentomayan/status/1653881274010857476</v>
      </c>
      <c r="AF1239" s="79">
        <v>45049.9143287037</v>
      </c>
      <c r="AG1239" s="85">
        <v>45049</v>
      </c>
      <c r="AH1239" s="81" t="s">
        <v>6902</v>
      </c>
      <c r="AI1239" s="77" t="b">
        <v>0</v>
      </c>
      <c r="AJ1239" s="77"/>
      <c r="AK1239" s="77"/>
      <c r="AL1239" s="77"/>
      <c r="AM1239" s="77"/>
      <c r="AN1239" s="77"/>
      <c r="AO1239" s="77"/>
      <c r="AP1239" s="77"/>
      <c r="AQ1239" s="77" t="s">
        <v>8713</v>
      </c>
      <c r="AR1239" s="77"/>
      <c r="AS1239" s="77"/>
      <c r="AT1239" s="77"/>
      <c r="AU1239" s="77"/>
      <c r="AV1239" s="83" t="str">
        <f>HYPERLINK("https://pbs.twimg.com/media/FvPEP8ZXwAEjxeR.jpg")</f>
        <v>https://pbs.twimg.com/media/FvPEP8ZXwAEjxeR.jpg</v>
      </c>
      <c r="AW1239" s="81" t="s">
        <v>10361</v>
      </c>
      <c r="AX1239" s="81" t="s">
        <v>10361</v>
      </c>
      <c r="AY1239" s="77"/>
      <c r="AZ1239" s="81" t="s">
        <v>11359</v>
      </c>
      <c r="BA1239" s="81" t="s">
        <v>11359</v>
      </c>
      <c r="BB1239" s="81" t="s">
        <v>11359</v>
      </c>
      <c r="BC1239" s="81" t="s">
        <v>10361</v>
      </c>
      <c r="BD1239" s="81" t="s">
        <v>11538</v>
      </c>
      <c r="BE1239" s="77"/>
      <c r="BF1239" s="77"/>
      <c r="BG1239" s="77"/>
      <c r="BH1239" s="77"/>
      <c r="BI1239" s="77"/>
    </row>
    <row r="1240" spans="1:61" x14ac:dyDescent="0.25">
      <c r="A1240" s="62" t="s">
        <v>493</v>
      </c>
      <c r="B1240" s="62" t="s">
        <v>493</v>
      </c>
      <c r="C1240" s="63"/>
      <c r="D1240" s="64"/>
      <c r="E1240" s="65"/>
      <c r="F1240" s="66"/>
      <c r="G1240" s="63"/>
      <c r="H1240" s="67"/>
      <c r="I1240" s="68"/>
      <c r="J1240" s="68"/>
      <c r="K1240" s="32"/>
      <c r="L1240" s="75">
        <v>1240</v>
      </c>
      <c r="M1240" s="75"/>
      <c r="N1240" s="70"/>
      <c r="O1240" s="77" t="s">
        <v>179</v>
      </c>
      <c r="P1240" s="79">
        <v>45049.604050925926</v>
      </c>
      <c r="Q1240" s="77" t="s">
        <v>2039</v>
      </c>
      <c r="R1240" s="77">
        <v>0</v>
      </c>
      <c r="S1240" s="77">
        <v>0</v>
      </c>
      <c r="T1240" s="77">
        <v>0</v>
      </c>
      <c r="U1240" s="77">
        <v>0</v>
      </c>
      <c r="V1240" s="77">
        <v>28</v>
      </c>
      <c r="W1240" s="81" t="s">
        <v>3575</v>
      </c>
      <c r="X1240" s="77"/>
      <c r="Y1240" s="77"/>
      <c r="Z1240" s="77"/>
      <c r="AA1240" s="77" t="s">
        <v>5211</v>
      </c>
      <c r="AB1240" s="77" t="s">
        <v>5794</v>
      </c>
      <c r="AC1240" s="81" t="s">
        <v>5805</v>
      </c>
      <c r="AD1240" s="77" t="s">
        <v>5850</v>
      </c>
      <c r="AE1240" s="83" t="str">
        <f>HYPERLINK("https://twitter.com/talentomayan/status/1653768836368269314")</f>
        <v>https://twitter.com/talentomayan/status/1653768836368269314</v>
      </c>
      <c r="AF1240" s="79">
        <v>45049.604050925926</v>
      </c>
      <c r="AG1240" s="85">
        <v>45049</v>
      </c>
      <c r="AH1240" s="81" t="s">
        <v>6903</v>
      </c>
      <c r="AI1240" s="77" t="b">
        <v>0</v>
      </c>
      <c r="AJ1240" s="77"/>
      <c r="AK1240" s="77"/>
      <c r="AL1240" s="77"/>
      <c r="AM1240" s="77"/>
      <c r="AN1240" s="77"/>
      <c r="AO1240" s="77"/>
      <c r="AP1240" s="77"/>
      <c r="AQ1240" s="77" t="s">
        <v>8714</v>
      </c>
      <c r="AR1240" s="77"/>
      <c r="AS1240" s="77"/>
      <c r="AT1240" s="77"/>
      <c r="AU1240" s="77"/>
      <c r="AV1240" s="83" t="str">
        <f>HYPERLINK("https://pbs.twimg.com/media/FvNd_LAWIAAsXUj.jpg")</f>
        <v>https://pbs.twimg.com/media/FvNd_LAWIAAsXUj.jpg</v>
      </c>
      <c r="AW1240" s="81" t="s">
        <v>10362</v>
      </c>
      <c r="AX1240" s="81" t="s">
        <v>10362</v>
      </c>
      <c r="AY1240" s="77"/>
      <c r="AZ1240" s="81" t="s">
        <v>11359</v>
      </c>
      <c r="BA1240" s="81" t="s">
        <v>11359</v>
      </c>
      <c r="BB1240" s="81" t="s">
        <v>11359</v>
      </c>
      <c r="BC1240" s="81" t="s">
        <v>10362</v>
      </c>
      <c r="BD1240" s="81" t="s">
        <v>11538</v>
      </c>
      <c r="BE1240" s="77"/>
      <c r="BF1240" s="77"/>
      <c r="BG1240" s="77"/>
      <c r="BH1240" s="77"/>
      <c r="BI1240" s="77"/>
    </row>
    <row r="1241" spans="1:61" x14ac:dyDescent="0.25">
      <c r="A1241" s="62" t="s">
        <v>493</v>
      </c>
      <c r="B1241" s="62" t="s">
        <v>493</v>
      </c>
      <c r="C1241" s="63"/>
      <c r="D1241" s="64"/>
      <c r="E1241" s="65"/>
      <c r="F1241" s="66"/>
      <c r="G1241" s="63"/>
      <c r="H1241" s="67"/>
      <c r="I1241" s="68"/>
      <c r="J1241" s="68"/>
      <c r="K1241" s="32"/>
      <c r="L1241" s="75">
        <v>1241</v>
      </c>
      <c r="M1241" s="75"/>
      <c r="N1241" s="70"/>
      <c r="O1241" s="77" t="s">
        <v>179</v>
      </c>
      <c r="P1241" s="79">
        <v>45048.893101851849</v>
      </c>
      <c r="Q1241" s="77" t="s">
        <v>2040</v>
      </c>
      <c r="R1241" s="77">
        <v>0</v>
      </c>
      <c r="S1241" s="77">
        <v>0</v>
      </c>
      <c r="T1241" s="77">
        <v>0</v>
      </c>
      <c r="U1241" s="77">
        <v>0</v>
      </c>
      <c r="V1241" s="77">
        <v>33</v>
      </c>
      <c r="W1241" s="81" t="s">
        <v>3575</v>
      </c>
      <c r="X1241" s="77"/>
      <c r="Y1241" s="77"/>
      <c r="Z1241" s="77"/>
      <c r="AA1241" s="77" t="s">
        <v>5212</v>
      </c>
      <c r="AB1241" s="77" t="s">
        <v>5794</v>
      </c>
      <c r="AC1241" s="81" t="s">
        <v>5805</v>
      </c>
      <c r="AD1241" s="77" t="s">
        <v>5850</v>
      </c>
      <c r="AE1241" s="83" t="str">
        <f>HYPERLINK("https://twitter.com/talentomayan/status/1653511196262187008")</f>
        <v>https://twitter.com/talentomayan/status/1653511196262187008</v>
      </c>
      <c r="AF1241" s="79">
        <v>45048.893101851849</v>
      </c>
      <c r="AG1241" s="85">
        <v>45048</v>
      </c>
      <c r="AH1241" s="81" t="s">
        <v>6904</v>
      </c>
      <c r="AI1241" s="77" t="b">
        <v>0</v>
      </c>
      <c r="AJ1241" s="77"/>
      <c r="AK1241" s="77"/>
      <c r="AL1241" s="77"/>
      <c r="AM1241" s="77"/>
      <c r="AN1241" s="77"/>
      <c r="AO1241" s="77"/>
      <c r="AP1241" s="77"/>
      <c r="AQ1241" s="77" t="s">
        <v>8715</v>
      </c>
      <c r="AR1241" s="77"/>
      <c r="AS1241" s="77"/>
      <c r="AT1241" s="77"/>
      <c r="AU1241" s="77"/>
      <c r="AV1241" s="83" t="str">
        <f>HYPERLINK("https://pbs.twimg.com/media/FvJzqiuXwAY1dpx.jpg")</f>
        <v>https://pbs.twimg.com/media/FvJzqiuXwAY1dpx.jpg</v>
      </c>
      <c r="AW1241" s="81" t="s">
        <v>10363</v>
      </c>
      <c r="AX1241" s="81" t="s">
        <v>10363</v>
      </c>
      <c r="AY1241" s="77"/>
      <c r="AZ1241" s="81" t="s">
        <v>11359</v>
      </c>
      <c r="BA1241" s="81" t="s">
        <v>11359</v>
      </c>
      <c r="BB1241" s="81" t="s">
        <v>11359</v>
      </c>
      <c r="BC1241" s="81" t="s">
        <v>10363</v>
      </c>
      <c r="BD1241" s="81" t="s">
        <v>11538</v>
      </c>
      <c r="BE1241" s="77"/>
      <c r="BF1241" s="77"/>
      <c r="BG1241" s="77"/>
      <c r="BH1241" s="77"/>
      <c r="BI1241" s="77"/>
    </row>
    <row r="1242" spans="1:61" x14ac:dyDescent="0.25">
      <c r="A1242" s="62" t="s">
        <v>493</v>
      </c>
      <c r="B1242" s="62" t="s">
        <v>493</v>
      </c>
      <c r="C1242" s="63"/>
      <c r="D1242" s="64"/>
      <c r="E1242" s="65"/>
      <c r="F1242" s="66"/>
      <c r="G1242" s="63"/>
      <c r="H1242" s="67"/>
      <c r="I1242" s="68"/>
      <c r="J1242" s="68"/>
      <c r="K1242" s="32"/>
      <c r="L1242" s="75">
        <v>1242</v>
      </c>
      <c r="M1242" s="75"/>
      <c r="N1242" s="70"/>
      <c r="O1242" s="77" t="s">
        <v>179</v>
      </c>
      <c r="P1242" s="79">
        <v>45007.781793981485</v>
      </c>
      <c r="Q1242" s="77" t="s">
        <v>2041</v>
      </c>
      <c r="R1242" s="77">
        <v>0</v>
      </c>
      <c r="S1242" s="77">
        <v>0</v>
      </c>
      <c r="T1242" s="77">
        <v>0</v>
      </c>
      <c r="U1242" s="77">
        <v>0</v>
      </c>
      <c r="V1242" s="77">
        <v>57</v>
      </c>
      <c r="W1242" s="81" t="s">
        <v>3575</v>
      </c>
      <c r="X1242" s="77"/>
      <c r="Y1242" s="77"/>
      <c r="Z1242" s="77"/>
      <c r="AA1242" s="77" t="s">
        <v>5213</v>
      </c>
      <c r="AB1242" s="77" t="s">
        <v>5794</v>
      </c>
      <c r="AC1242" s="81" t="s">
        <v>5805</v>
      </c>
      <c r="AD1242" s="77" t="s">
        <v>5850</v>
      </c>
      <c r="AE1242" s="83" t="str">
        <f>HYPERLINK("https://twitter.com/talentomayan/status/1638612958203748372")</f>
        <v>https://twitter.com/talentomayan/status/1638612958203748372</v>
      </c>
      <c r="AF1242" s="79">
        <v>45007.781793981485</v>
      </c>
      <c r="AG1242" s="85">
        <v>45007</v>
      </c>
      <c r="AH1242" s="81" t="s">
        <v>6905</v>
      </c>
      <c r="AI1242" s="77" t="b">
        <v>0</v>
      </c>
      <c r="AJ1242" s="77"/>
      <c r="AK1242" s="77"/>
      <c r="AL1242" s="77"/>
      <c r="AM1242" s="77"/>
      <c r="AN1242" s="77"/>
      <c r="AO1242" s="77"/>
      <c r="AP1242" s="77"/>
      <c r="AQ1242" s="77" t="s">
        <v>8716</v>
      </c>
      <c r="AR1242" s="77"/>
      <c r="AS1242" s="77"/>
      <c r="AT1242" s="77"/>
      <c r="AU1242" s="77"/>
      <c r="AV1242" s="83" t="str">
        <f>HYPERLINK("https://pbs.twimg.com/media/Fr2Fy5MWIA0Xmm6.jpg")</f>
        <v>https://pbs.twimg.com/media/Fr2Fy5MWIA0Xmm6.jpg</v>
      </c>
      <c r="AW1242" s="81" t="s">
        <v>10364</v>
      </c>
      <c r="AX1242" s="81" t="s">
        <v>10364</v>
      </c>
      <c r="AY1242" s="77"/>
      <c r="AZ1242" s="81" t="s">
        <v>11359</v>
      </c>
      <c r="BA1242" s="81" t="s">
        <v>11359</v>
      </c>
      <c r="BB1242" s="81" t="s">
        <v>11359</v>
      </c>
      <c r="BC1242" s="81" t="s">
        <v>10364</v>
      </c>
      <c r="BD1242" s="81" t="s">
        <v>11538</v>
      </c>
      <c r="BE1242" s="77"/>
      <c r="BF1242" s="77"/>
      <c r="BG1242" s="77"/>
      <c r="BH1242" s="77"/>
      <c r="BI1242" s="77"/>
    </row>
    <row r="1243" spans="1:61" x14ac:dyDescent="0.25">
      <c r="A1243" s="62" t="s">
        <v>493</v>
      </c>
      <c r="B1243" s="62" t="s">
        <v>493</v>
      </c>
      <c r="C1243" s="63"/>
      <c r="D1243" s="64"/>
      <c r="E1243" s="65"/>
      <c r="F1243" s="66"/>
      <c r="G1243" s="63"/>
      <c r="H1243" s="67"/>
      <c r="I1243" s="68"/>
      <c r="J1243" s="68"/>
      <c r="K1243" s="32"/>
      <c r="L1243" s="75">
        <v>1243</v>
      </c>
      <c r="M1243" s="75"/>
      <c r="N1243" s="70"/>
      <c r="O1243" s="77" t="s">
        <v>179</v>
      </c>
      <c r="P1243" s="79">
        <v>45007.589004629626</v>
      </c>
      <c r="Q1243" s="77" t="s">
        <v>2042</v>
      </c>
      <c r="R1243" s="77">
        <v>0</v>
      </c>
      <c r="S1243" s="77">
        <v>0</v>
      </c>
      <c r="T1243" s="77">
        <v>0</v>
      </c>
      <c r="U1243" s="77">
        <v>0</v>
      </c>
      <c r="V1243" s="77">
        <v>37</v>
      </c>
      <c r="W1243" s="81" t="s">
        <v>3575</v>
      </c>
      <c r="X1243" s="77"/>
      <c r="Y1243" s="77"/>
      <c r="Z1243" s="77"/>
      <c r="AA1243" s="77" t="s">
        <v>5214</v>
      </c>
      <c r="AB1243" s="77" t="s">
        <v>5794</v>
      </c>
      <c r="AC1243" s="81" t="s">
        <v>5805</v>
      </c>
      <c r="AD1243" s="77" t="s">
        <v>5850</v>
      </c>
      <c r="AE1243" s="83" t="str">
        <f>HYPERLINK("https://twitter.com/talentomayan/status/1638543094256742400")</f>
        <v>https://twitter.com/talentomayan/status/1638543094256742400</v>
      </c>
      <c r="AF1243" s="79">
        <v>45007.589004629626</v>
      </c>
      <c r="AG1243" s="85">
        <v>45007</v>
      </c>
      <c r="AH1243" s="81" t="s">
        <v>6906</v>
      </c>
      <c r="AI1243" s="77" t="b">
        <v>0</v>
      </c>
      <c r="AJ1243" s="77"/>
      <c r="AK1243" s="77"/>
      <c r="AL1243" s="77"/>
      <c r="AM1243" s="77"/>
      <c r="AN1243" s="77"/>
      <c r="AO1243" s="77"/>
      <c r="AP1243" s="77"/>
      <c r="AQ1243" s="77" t="s">
        <v>8717</v>
      </c>
      <c r="AR1243" s="77"/>
      <c r="AS1243" s="77"/>
      <c r="AT1243" s="77"/>
      <c r="AU1243" s="77"/>
      <c r="AV1243" s="83" t="str">
        <f>HYPERLINK("https://pbs.twimg.com/media/Fr1GQjgWAAEVDwu.jpg")</f>
        <v>https://pbs.twimg.com/media/Fr1GQjgWAAEVDwu.jpg</v>
      </c>
      <c r="AW1243" s="81" t="s">
        <v>10365</v>
      </c>
      <c r="AX1243" s="81" t="s">
        <v>10365</v>
      </c>
      <c r="AY1243" s="77"/>
      <c r="AZ1243" s="81" t="s">
        <v>11359</v>
      </c>
      <c r="BA1243" s="81" t="s">
        <v>11359</v>
      </c>
      <c r="BB1243" s="81" t="s">
        <v>11359</v>
      </c>
      <c r="BC1243" s="81" t="s">
        <v>10365</v>
      </c>
      <c r="BD1243" s="81" t="s">
        <v>11538</v>
      </c>
      <c r="BE1243" s="77"/>
      <c r="BF1243" s="77"/>
      <c r="BG1243" s="77"/>
      <c r="BH1243" s="77"/>
      <c r="BI1243" s="77"/>
    </row>
    <row r="1244" spans="1:61" x14ac:dyDescent="0.25">
      <c r="A1244" s="62" t="s">
        <v>493</v>
      </c>
      <c r="B1244" s="62" t="s">
        <v>493</v>
      </c>
      <c r="C1244" s="63"/>
      <c r="D1244" s="64"/>
      <c r="E1244" s="65"/>
      <c r="F1244" s="66"/>
      <c r="G1244" s="63"/>
      <c r="H1244" s="67"/>
      <c r="I1244" s="68"/>
      <c r="J1244" s="68"/>
      <c r="K1244" s="32"/>
      <c r="L1244" s="75">
        <v>1244</v>
      </c>
      <c r="M1244" s="75"/>
      <c r="N1244" s="70"/>
      <c r="O1244" s="77" t="s">
        <v>179</v>
      </c>
      <c r="P1244" s="79">
        <v>44977.708495370367</v>
      </c>
      <c r="Q1244" s="77" t="s">
        <v>2043</v>
      </c>
      <c r="R1244" s="77">
        <v>0</v>
      </c>
      <c r="S1244" s="77">
        <v>0</v>
      </c>
      <c r="T1244" s="77">
        <v>0</v>
      </c>
      <c r="U1244" s="77">
        <v>0</v>
      </c>
      <c r="V1244" s="77">
        <v>58</v>
      </c>
      <c r="W1244" s="81" t="s">
        <v>3575</v>
      </c>
      <c r="X1244" s="77"/>
      <c r="Y1244" s="77"/>
      <c r="Z1244" s="77"/>
      <c r="AA1244" s="77" t="s">
        <v>5215</v>
      </c>
      <c r="AB1244" s="77" t="s">
        <v>5794</v>
      </c>
      <c r="AC1244" s="81" t="s">
        <v>5805</v>
      </c>
      <c r="AD1244" s="77" t="s">
        <v>5850</v>
      </c>
      <c r="AE1244" s="83" t="str">
        <f>HYPERLINK("https://twitter.com/talentomayan/status/1627714757737185295")</f>
        <v>https://twitter.com/talentomayan/status/1627714757737185295</v>
      </c>
      <c r="AF1244" s="79">
        <v>44977.708495370367</v>
      </c>
      <c r="AG1244" s="85">
        <v>44977</v>
      </c>
      <c r="AH1244" s="81" t="s">
        <v>6907</v>
      </c>
      <c r="AI1244" s="77" t="b">
        <v>0</v>
      </c>
      <c r="AJ1244" s="77"/>
      <c r="AK1244" s="77"/>
      <c r="AL1244" s="77"/>
      <c r="AM1244" s="77"/>
      <c r="AN1244" s="77"/>
      <c r="AO1244" s="77"/>
      <c r="AP1244" s="77"/>
      <c r="AQ1244" s="77" t="s">
        <v>8718</v>
      </c>
      <c r="AR1244" s="77"/>
      <c r="AS1244" s="77"/>
      <c r="AT1244" s="77"/>
      <c r="AU1244" s="77"/>
      <c r="AV1244" s="83" t="str">
        <f>HYPERLINK("https://pbs.twimg.com/media/FpbN7_lWAA8UGEk.jpg")</f>
        <v>https://pbs.twimg.com/media/FpbN7_lWAA8UGEk.jpg</v>
      </c>
      <c r="AW1244" s="81" t="s">
        <v>10366</v>
      </c>
      <c r="AX1244" s="81" t="s">
        <v>10366</v>
      </c>
      <c r="AY1244" s="77"/>
      <c r="AZ1244" s="81" t="s">
        <v>11359</v>
      </c>
      <c r="BA1244" s="81" t="s">
        <v>11359</v>
      </c>
      <c r="BB1244" s="81" t="s">
        <v>11359</v>
      </c>
      <c r="BC1244" s="81" t="s">
        <v>10366</v>
      </c>
      <c r="BD1244" s="81" t="s">
        <v>11538</v>
      </c>
      <c r="BE1244" s="77"/>
      <c r="BF1244" s="77"/>
      <c r="BG1244" s="77"/>
      <c r="BH1244" s="77"/>
      <c r="BI1244" s="77"/>
    </row>
    <row r="1245" spans="1:61" x14ac:dyDescent="0.25">
      <c r="A1245" s="62" t="s">
        <v>493</v>
      </c>
      <c r="B1245" s="62" t="s">
        <v>493</v>
      </c>
      <c r="C1245" s="63"/>
      <c r="D1245" s="64"/>
      <c r="E1245" s="65"/>
      <c r="F1245" s="66"/>
      <c r="G1245" s="63"/>
      <c r="H1245" s="67"/>
      <c r="I1245" s="68"/>
      <c r="J1245" s="68"/>
      <c r="K1245" s="32"/>
      <c r="L1245" s="75">
        <v>1245</v>
      </c>
      <c r="M1245" s="75"/>
      <c r="N1245" s="70"/>
      <c r="O1245" s="77" t="s">
        <v>179</v>
      </c>
      <c r="P1245" s="79">
        <v>44974.728842592594</v>
      </c>
      <c r="Q1245" s="77" t="s">
        <v>2044</v>
      </c>
      <c r="R1245" s="77">
        <v>0</v>
      </c>
      <c r="S1245" s="77">
        <v>0</v>
      </c>
      <c r="T1245" s="77">
        <v>0</v>
      </c>
      <c r="U1245" s="77">
        <v>0</v>
      </c>
      <c r="V1245" s="77">
        <v>39</v>
      </c>
      <c r="W1245" s="81" t="s">
        <v>3575</v>
      </c>
      <c r="X1245" s="77"/>
      <c r="Y1245" s="77"/>
      <c r="Z1245" s="77"/>
      <c r="AA1245" s="77" t="s">
        <v>5216</v>
      </c>
      <c r="AB1245" s="77" t="s">
        <v>5794</v>
      </c>
      <c r="AC1245" s="81" t="s">
        <v>5805</v>
      </c>
      <c r="AD1245" s="77" t="s">
        <v>5850</v>
      </c>
      <c r="AE1245" s="83" t="str">
        <f>HYPERLINK("https://twitter.com/talentomayan/status/1626634966615326735")</f>
        <v>https://twitter.com/talentomayan/status/1626634966615326735</v>
      </c>
      <c r="AF1245" s="79">
        <v>44974.728842592594</v>
      </c>
      <c r="AG1245" s="85">
        <v>44974</v>
      </c>
      <c r="AH1245" s="81" t="s">
        <v>6908</v>
      </c>
      <c r="AI1245" s="77" t="b">
        <v>0</v>
      </c>
      <c r="AJ1245" s="77"/>
      <c r="AK1245" s="77"/>
      <c r="AL1245" s="77"/>
      <c r="AM1245" s="77"/>
      <c r="AN1245" s="77"/>
      <c r="AO1245" s="77"/>
      <c r="AP1245" s="77"/>
      <c r="AQ1245" s="77" t="s">
        <v>8719</v>
      </c>
      <c r="AR1245" s="77"/>
      <c r="AS1245" s="77"/>
      <c r="AT1245" s="77"/>
      <c r="AU1245" s="77"/>
      <c r="AV1245" s="83" t="str">
        <f>HYPERLINK("https://pbs.twimg.com/media/FpL34L7WACE2NIh.jpg")</f>
        <v>https://pbs.twimg.com/media/FpL34L7WACE2NIh.jpg</v>
      </c>
      <c r="AW1245" s="81" t="s">
        <v>10367</v>
      </c>
      <c r="AX1245" s="81" t="s">
        <v>10367</v>
      </c>
      <c r="AY1245" s="77"/>
      <c r="AZ1245" s="81" t="s">
        <v>11359</v>
      </c>
      <c r="BA1245" s="81" t="s">
        <v>11359</v>
      </c>
      <c r="BB1245" s="81" t="s">
        <v>11359</v>
      </c>
      <c r="BC1245" s="81" t="s">
        <v>10367</v>
      </c>
      <c r="BD1245" s="81" t="s">
        <v>11538</v>
      </c>
      <c r="BE1245" s="77"/>
      <c r="BF1245" s="77"/>
      <c r="BG1245" s="77"/>
      <c r="BH1245" s="77"/>
      <c r="BI1245" s="77"/>
    </row>
    <row r="1246" spans="1:61" x14ac:dyDescent="0.25">
      <c r="A1246" s="62" t="s">
        <v>493</v>
      </c>
      <c r="B1246" s="62" t="s">
        <v>493</v>
      </c>
      <c r="C1246" s="63"/>
      <c r="D1246" s="64"/>
      <c r="E1246" s="65"/>
      <c r="F1246" s="66"/>
      <c r="G1246" s="63"/>
      <c r="H1246" s="67"/>
      <c r="I1246" s="68"/>
      <c r="J1246" s="68"/>
      <c r="K1246" s="32"/>
      <c r="L1246" s="75">
        <v>1246</v>
      </c>
      <c r="M1246" s="75"/>
      <c r="N1246" s="70"/>
      <c r="O1246" s="77" t="s">
        <v>179</v>
      </c>
      <c r="P1246" s="79">
        <v>44974.577337962961</v>
      </c>
      <c r="Q1246" s="77" t="s">
        <v>2045</v>
      </c>
      <c r="R1246" s="77">
        <v>0</v>
      </c>
      <c r="S1246" s="77">
        <v>0</v>
      </c>
      <c r="T1246" s="77">
        <v>0</v>
      </c>
      <c r="U1246" s="77">
        <v>0</v>
      </c>
      <c r="V1246" s="77">
        <v>48</v>
      </c>
      <c r="W1246" s="81" t="s">
        <v>3575</v>
      </c>
      <c r="X1246" s="77"/>
      <c r="Y1246" s="77"/>
      <c r="Z1246" s="77"/>
      <c r="AA1246" s="77" t="s">
        <v>5217</v>
      </c>
      <c r="AB1246" s="77" t="s">
        <v>5794</v>
      </c>
      <c r="AC1246" s="81" t="s">
        <v>5805</v>
      </c>
      <c r="AD1246" s="77" t="s">
        <v>5850</v>
      </c>
      <c r="AE1246" s="83" t="str">
        <f>HYPERLINK("https://twitter.com/talentomayan/status/1626580063184474112")</f>
        <v>https://twitter.com/talentomayan/status/1626580063184474112</v>
      </c>
      <c r="AF1246" s="79">
        <v>44974.577337962961</v>
      </c>
      <c r="AG1246" s="85">
        <v>44974</v>
      </c>
      <c r="AH1246" s="81" t="s">
        <v>6909</v>
      </c>
      <c r="AI1246" s="77" t="b">
        <v>0</v>
      </c>
      <c r="AJ1246" s="77"/>
      <c r="AK1246" s="77"/>
      <c r="AL1246" s="77"/>
      <c r="AM1246" s="77"/>
      <c r="AN1246" s="77"/>
      <c r="AO1246" s="77"/>
      <c r="AP1246" s="77"/>
      <c r="AQ1246" s="77" t="s">
        <v>8720</v>
      </c>
      <c r="AR1246" s="77"/>
      <c r="AS1246" s="77"/>
      <c r="AT1246" s="77"/>
      <c r="AU1246" s="77"/>
      <c r="AV1246" s="83" t="str">
        <f>HYPERLINK("https://pbs.twimg.com/media/FpLF8cUWcAAiiYL.jpg")</f>
        <v>https://pbs.twimg.com/media/FpLF8cUWcAAiiYL.jpg</v>
      </c>
      <c r="AW1246" s="81" t="s">
        <v>10368</v>
      </c>
      <c r="AX1246" s="81" t="s">
        <v>10368</v>
      </c>
      <c r="AY1246" s="77"/>
      <c r="AZ1246" s="81" t="s">
        <v>11359</v>
      </c>
      <c r="BA1246" s="81" t="s">
        <v>11359</v>
      </c>
      <c r="BB1246" s="81" t="s">
        <v>11359</v>
      </c>
      <c r="BC1246" s="81" t="s">
        <v>10368</v>
      </c>
      <c r="BD1246" s="81" t="s">
        <v>11538</v>
      </c>
      <c r="BE1246" s="77"/>
      <c r="BF1246" s="77"/>
      <c r="BG1246" s="77"/>
      <c r="BH1246" s="77"/>
      <c r="BI1246" s="77"/>
    </row>
    <row r="1247" spans="1:61" x14ac:dyDescent="0.25">
      <c r="A1247" s="62" t="s">
        <v>493</v>
      </c>
      <c r="B1247" s="62" t="s">
        <v>493</v>
      </c>
      <c r="C1247" s="63"/>
      <c r="D1247" s="64"/>
      <c r="E1247" s="65"/>
      <c r="F1247" s="66"/>
      <c r="G1247" s="63"/>
      <c r="H1247" s="67"/>
      <c r="I1247" s="68"/>
      <c r="J1247" s="68"/>
      <c r="K1247" s="32"/>
      <c r="L1247" s="75">
        <v>1247</v>
      </c>
      <c r="M1247" s="75"/>
      <c r="N1247" s="70"/>
      <c r="O1247" s="77" t="s">
        <v>179</v>
      </c>
      <c r="P1247" s="79">
        <v>44937.73673611111</v>
      </c>
      <c r="Q1247" s="77" t="s">
        <v>2046</v>
      </c>
      <c r="R1247" s="77">
        <v>0</v>
      </c>
      <c r="S1247" s="77">
        <v>0</v>
      </c>
      <c r="T1247" s="77">
        <v>0</v>
      </c>
      <c r="U1247" s="77">
        <v>0</v>
      </c>
      <c r="V1247" s="77">
        <v>30</v>
      </c>
      <c r="W1247" s="81" t="s">
        <v>3576</v>
      </c>
      <c r="X1247" s="77"/>
      <c r="Y1247" s="77"/>
      <c r="Z1247" s="77"/>
      <c r="AA1247" s="77" t="s">
        <v>5218</v>
      </c>
      <c r="AB1247" s="77" t="s">
        <v>5794</v>
      </c>
      <c r="AC1247" s="81" t="s">
        <v>5805</v>
      </c>
      <c r="AD1247" s="77" t="s">
        <v>5850</v>
      </c>
      <c r="AE1247" s="83" t="str">
        <f>HYPERLINK("https://twitter.com/talentomayan/status/1613229479610187777")</f>
        <v>https://twitter.com/talentomayan/status/1613229479610187777</v>
      </c>
      <c r="AF1247" s="79">
        <v>44937.73673611111</v>
      </c>
      <c r="AG1247" s="85">
        <v>44937</v>
      </c>
      <c r="AH1247" s="81" t="s">
        <v>6910</v>
      </c>
      <c r="AI1247" s="77" t="b">
        <v>0</v>
      </c>
      <c r="AJ1247" s="77"/>
      <c r="AK1247" s="77"/>
      <c r="AL1247" s="77"/>
      <c r="AM1247" s="77"/>
      <c r="AN1247" s="77"/>
      <c r="AO1247" s="77"/>
      <c r="AP1247" s="77"/>
      <c r="AQ1247" s="77" t="s">
        <v>8721</v>
      </c>
      <c r="AR1247" s="77"/>
      <c r="AS1247" s="77"/>
      <c r="AT1247" s="77"/>
      <c r="AU1247" s="77"/>
      <c r="AV1247" s="83" t="str">
        <f>HYPERLINK("https://pbs.twimg.com/media/FmNXqJJWIAAgQ-z.jpg")</f>
        <v>https://pbs.twimg.com/media/FmNXqJJWIAAgQ-z.jpg</v>
      </c>
      <c r="AW1247" s="81" t="s">
        <v>10369</v>
      </c>
      <c r="AX1247" s="81" t="s">
        <v>10369</v>
      </c>
      <c r="AY1247" s="77"/>
      <c r="AZ1247" s="81" t="s">
        <v>11359</v>
      </c>
      <c r="BA1247" s="81" t="s">
        <v>11359</v>
      </c>
      <c r="BB1247" s="81" t="s">
        <v>11359</v>
      </c>
      <c r="BC1247" s="81" t="s">
        <v>10369</v>
      </c>
      <c r="BD1247" s="81" t="s">
        <v>11538</v>
      </c>
      <c r="BE1247" s="77"/>
      <c r="BF1247" s="77"/>
      <c r="BG1247" s="77"/>
      <c r="BH1247" s="77"/>
      <c r="BI1247" s="77"/>
    </row>
    <row r="1248" spans="1:61" x14ac:dyDescent="0.25">
      <c r="A1248" s="62" t="s">
        <v>493</v>
      </c>
      <c r="B1248" s="62" t="s">
        <v>493</v>
      </c>
      <c r="C1248" s="63"/>
      <c r="D1248" s="64"/>
      <c r="E1248" s="65"/>
      <c r="F1248" s="66"/>
      <c r="G1248" s="63"/>
      <c r="H1248" s="67"/>
      <c r="I1248" s="68"/>
      <c r="J1248" s="68"/>
      <c r="K1248" s="32"/>
      <c r="L1248" s="75">
        <v>1248</v>
      </c>
      <c r="M1248" s="75"/>
      <c r="N1248" s="70"/>
      <c r="O1248" s="77" t="s">
        <v>179</v>
      </c>
      <c r="P1248" s="79">
        <v>44937.735150462962</v>
      </c>
      <c r="Q1248" s="77" t="s">
        <v>2047</v>
      </c>
      <c r="R1248" s="77">
        <v>0</v>
      </c>
      <c r="S1248" s="77">
        <v>0</v>
      </c>
      <c r="T1248" s="77">
        <v>0</v>
      </c>
      <c r="U1248" s="77">
        <v>0</v>
      </c>
      <c r="V1248" s="77">
        <v>44</v>
      </c>
      <c r="W1248" s="81" t="s">
        <v>3576</v>
      </c>
      <c r="X1248" s="77"/>
      <c r="Y1248" s="77"/>
      <c r="Z1248" s="77"/>
      <c r="AA1248" s="77" t="s">
        <v>5219</v>
      </c>
      <c r="AB1248" s="77" t="s">
        <v>5794</v>
      </c>
      <c r="AC1248" s="81" t="s">
        <v>5805</v>
      </c>
      <c r="AD1248" s="77" t="s">
        <v>5850</v>
      </c>
      <c r="AE1248" s="83" t="str">
        <f>HYPERLINK("https://twitter.com/talentomayan/status/1613228902431735808")</f>
        <v>https://twitter.com/talentomayan/status/1613228902431735808</v>
      </c>
      <c r="AF1248" s="79">
        <v>44937.735150462962</v>
      </c>
      <c r="AG1248" s="85">
        <v>44937</v>
      </c>
      <c r="AH1248" s="81" t="s">
        <v>6911</v>
      </c>
      <c r="AI1248" s="77" t="b">
        <v>0</v>
      </c>
      <c r="AJ1248" s="77"/>
      <c r="AK1248" s="77"/>
      <c r="AL1248" s="77"/>
      <c r="AM1248" s="77"/>
      <c r="AN1248" s="77"/>
      <c r="AO1248" s="77"/>
      <c r="AP1248" s="77"/>
      <c r="AQ1248" s="77" t="s">
        <v>8722</v>
      </c>
      <c r="AR1248" s="77"/>
      <c r="AS1248" s="77"/>
      <c r="AT1248" s="77"/>
      <c r="AU1248" s="77"/>
      <c r="AV1248" s="83" t="str">
        <f>HYPERLINK("https://pbs.twimg.com/media/FmNXHDVXECIqfr8.jpg")</f>
        <v>https://pbs.twimg.com/media/FmNXHDVXECIqfr8.jpg</v>
      </c>
      <c r="AW1248" s="81" t="s">
        <v>10370</v>
      </c>
      <c r="AX1248" s="81" t="s">
        <v>10370</v>
      </c>
      <c r="AY1248" s="77"/>
      <c r="AZ1248" s="81" t="s">
        <v>11359</v>
      </c>
      <c r="BA1248" s="81" t="s">
        <v>11359</v>
      </c>
      <c r="BB1248" s="81" t="s">
        <v>11359</v>
      </c>
      <c r="BC1248" s="81" t="s">
        <v>10370</v>
      </c>
      <c r="BD1248" s="81" t="s">
        <v>11538</v>
      </c>
      <c r="BE1248" s="77"/>
      <c r="BF1248" s="77"/>
      <c r="BG1248" s="77"/>
      <c r="BH1248" s="77"/>
      <c r="BI1248" s="77"/>
    </row>
    <row r="1249" spans="1:61" x14ac:dyDescent="0.25">
      <c r="A1249" s="62" t="s">
        <v>493</v>
      </c>
      <c r="B1249" s="62" t="s">
        <v>493</v>
      </c>
      <c r="C1249" s="63"/>
      <c r="D1249" s="64"/>
      <c r="E1249" s="65"/>
      <c r="F1249" s="66"/>
      <c r="G1249" s="63"/>
      <c r="H1249" s="67"/>
      <c r="I1249" s="68"/>
      <c r="J1249" s="68"/>
      <c r="K1249" s="32"/>
      <c r="L1249" s="75">
        <v>1249</v>
      </c>
      <c r="M1249" s="75"/>
      <c r="N1249" s="70"/>
      <c r="O1249" s="77" t="s">
        <v>179</v>
      </c>
      <c r="P1249" s="79">
        <v>44937.734675925924</v>
      </c>
      <c r="Q1249" s="77" t="s">
        <v>2048</v>
      </c>
      <c r="R1249" s="77">
        <v>0</v>
      </c>
      <c r="S1249" s="77">
        <v>0</v>
      </c>
      <c r="T1249" s="77">
        <v>0</v>
      </c>
      <c r="U1249" s="77">
        <v>0</v>
      </c>
      <c r="V1249" s="77">
        <v>51</v>
      </c>
      <c r="W1249" s="81" t="s">
        <v>3575</v>
      </c>
      <c r="X1249" s="77"/>
      <c r="Y1249" s="77"/>
      <c r="Z1249" s="77"/>
      <c r="AA1249" s="77" t="s">
        <v>5220</v>
      </c>
      <c r="AB1249" s="77" t="s">
        <v>5794</v>
      </c>
      <c r="AC1249" s="81" t="s">
        <v>5805</v>
      </c>
      <c r="AD1249" s="77" t="s">
        <v>5850</v>
      </c>
      <c r="AE1249" s="83" t="str">
        <f>HYPERLINK("https://twitter.com/talentomayan/status/1613228732944158723")</f>
        <v>https://twitter.com/talentomayan/status/1613228732944158723</v>
      </c>
      <c r="AF1249" s="79">
        <v>44937.734675925924</v>
      </c>
      <c r="AG1249" s="85">
        <v>44937</v>
      </c>
      <c r="AH1249" s="81" t="s">
        <v>6912</v>
      </c>
      <c r="AI1249" s="77" t="b">
        <v>0</v>
      </c>
      <c r="AJ1249" s="77"/>
      <c r="AK1249" s="77"/>
      <c r="AL1249" s="77"/>
      <c r="AM1249" s="77"/>
      <c r="AN1249" s="77"/>
      <c r="AO1249" s="77"/>
      <c r="AP1249" s="77"/>
      <c r="AQ1249" s="77" t="s">
        <v>8723</v>
      </c>
      <c r="AR1249" s="77"/>
      <c r="AS1249" s="77"/>
      <c r="AT1249" s="77"/>
      <c r="AU1249" s="77"/>
      <c r="AV1249" s="83" t="str">
        <f>HYPERLINK("https://pbs.twimg.com/media/FmNVE8uXEB4aZwA.jpg")</f>
        <v>https://pbs.twimg.com/media/FmNVE8uXEB4aZwA.jpg</v>
      </c>
      <c r="AW1249" s="81" t="s">
        <v>10371</v>
      </c>
      <c r="AX1249" s="81" t="s">
        <v>10371</v>
      </c>
      <c r="AY1249" s="77"/>
      <c r="AZ1249" s="81" t="s">
        <v>11359</v>
      </c>
      <c r="BA1249" s="81" t="s">
        <v>11359</v>
      </c>
      <c r="BB1249" s="81" t="s">
        <v>11359</v>
      </c>
      <c r="BC1249" s="81" t="s">
        <v>10371</v>
      </c>
      <c r="BD1249" s="81" t="s">
        <v>11538</v>
      </c>
      <c r="BE1249" s="77"/>
      <c r="BF1249" s="77"/>
      <c r="BG1249" s="77"/>
      <c r="BH1249" s="77"/>
      <c r="BI1249" s="77"/>
    </row>
    <row r="1250" spans="1:61" x14ac:dyDescent="0.25">
      <c r="A1250" s="62" t="s">
        <v>493</v>
      </c>
      <c r="B1250" s="62" t="s">
        <v>493</v>
      </c>
      <c r="C1250" s="63"/>
      <c r="D1250" s="64"/>
      <c r="E1250" s="65"/>
      <c r="F1250" s="66"/>
      <c r="G1250" s="63"/>
      <c r="H1250" s="67"/>
      <c r="I1250" s="68"/>
      <c r="J1250" s="68"/>
      <c r="K1250" s="32"/>
      <c r="L1250" s="75">
        <v>1250</v>
      </c>
      <c r="M1250" s="75"/>
      <c r="N1250" s="70"/>
      <c r="O1250" s="77" t="s">
        <v>179</v>
      </c>
      <c r="P1250" s="79">
        <v>44937.611828703702</v>
      </c>
      <c r="Q1250" s="77" t="s">
        <v>2049</v>
      </c>
      <c r="R1250" s="77">
        <v>0</v>
      </c>
      <c r="S1250" s="77">
        <v>0</v>
      </c>
      <c r="T1250" s="77">
        <v>0</v>
      </c>
      <c r="U1250" s="77">
        <v>0</v>
      </c>
      <c r="V1250" s="77">
        <v>36</v>
      </c>
      <c r="W1250" s="81" t="s">
        <v>3576</v>
      </c>
      <c r="X1250" s="77"/>
      <c r="Y1250" s="77"/>
      <c r="Z1250" s="77"/>
      <c r="AA1250" s="77" t="s">
        <v>5221</v>
      </c>
      <c r="AB1250" s="77" t="s">
        <v>5794</v>
      </c>
      <c r="AC1250" s="81" t="s">
        <v>5805</v>
      </c>
      <c r="AD1250" s="77" t="s">
        <v>5850</v>
      </c>
      <c r="AE1250" s="83" t="str">
        <f>HYPERLINK("https://twitter.com/talentomayan/status/1613184213167095810")</f>
        <v>https://twitter.com/talentomayan/status/1613184213167095810</v>
      </c>
      <c r="AF1250" s="79">
        <v>44937.611828703702</v>
      </c>
      <c r="AG1250" s="85">
        <v>44937</v>
      </c>
      <c r="AH1250" s="81" t="s">
        <v>6913</v>
      </c>
      <c r="AI1250" s="77" t="b">
        <v>0</v>
      </c>
      <c r="AJ1250" s="77"/>
      <c r="AK1250" s="77"/>
      <c r="AL1250" s="77"/>
      <c r="AM1250" s="77"/>
      <c r="AN1250" s="77"/>
      <c r="AO1250" s="77"/>
      <c r="AP1250" s="77"/>
      <c r="AQ1250" s="77" t="s">
        <v>8724</v>
      </c>
      <c r="AR1250" s="77"/>
      <c r="AS1250" s="77"/>
      <c r="AT1250" s="77"/>
      <c r="AU1250" s="77"/>
      <c r="AV1250" s="83" t="str">
        <f>HYPERLINK("https://pbs.twimg.com/media/FmMufDRWAAQHIrd.jpg")</f>
        <v>https://pbs.twimg.com/media/FmMufDRWAAQHIrd.jpg</v>
      </c>
      <c r="AW1250" s="81" t="s">
        <v>10372</v>
      </c>
      <c r="AX1250" s="81" t="s">
        <v>10372</v>
      </c>
      <c r="AY1250" s="77"/>
      <c r="AZ1250" s="81" t="s">
        <v>11359</v>
      </c>
      <c r="BA1250" s="81" t="s">
        <v>11359</v>
      </c>
      <c r="BB1250" s="81" t="s">
        <v>11359</v>
      </c>
      <c r="BC1250" s="81" t="s">
        <v>10372</v>
      </c>
      <c r="BD1250" s="81" t="s">
        <v>11538</v>
      </c>
      <c r="BE1250" s="77"/>
      <c r="BF1250" s="77"/>
      <c r="BG1250" s="77"/>
      <c r="BH1250" s="77"/>
      <c r="BI1250" s="77"/>
    </row>
    <row r="1251" spans="1:61" x14ac:dyDescent="0.25">
      <c r="A1251" s="62" t="s">
        <v>493</v>
      </c>
      <c r="B1251" s="62" t="s">
        <v>493</v>
      </c>
      <c r="C1251" s="63"/>
      <c r="D1251" s="64"/>
      <c r="E1251" s="65"/>
      <c r="F1251" s="66"/>
      <c r="G1251" s="63"/>
      <c r="H1251" s="67"/>
      <c r="I1251" s="68"/>
      <c r="J1251" s="68"/>
      <c r="K1251" s="32"/>
      <c r="L1251" s="75">
        <v>1251</v>
      </c>
      <c r="M1251" s="75"/>
      <c r="N1251" s="70"/>
      <c r="O1251" s="77" t="s">
        <v>179</v>
      </c>
      <c r="P1251" s="79">
        <v>44937.589166666665</v>
      </c>
      <c r="Q1251" s="77" t="s">
        <v>2050</v>
      </c>
      <c r="R1251" s="77">
        <v>0</v>
      </c>
      <c r="S1251" s="77">
        <v>0</v>
      </c>
      <c r="T1251" s="77">
        <v>0</v>
      </c>
      <c r="U1251" s="77">
        <v>0</v>
      </c>
      <c r="V1251" s="77">
        <v>21</v>
      </c>
      <c r="W1251" s="81" t="s">
        <v>3577</v>
      </c>
      <c r="X1251" s="77"/>
      <c r="Y1251" s="77"/>
      <c r="Z1251" s="77"/>
      <c r="AA1251" s="77" t="s">
        <v>5222</v>
      </c>
      <c r="AB1251" s="77" t="s">
        <v>5794</v>
      </c>
      <c r="AC1251" s="81" t="s">
        <v>5805</v>
      </c>
      <c r="AD1251" s="77" t="s">
        <v>5850</v>
      </c>
      <c r="AE1251" s="83" t="str">
        <f>HYPERLINK("https://twitter.com/talentomayan/status/1613176000803921921")</f>
        <v>https://twitter.com/talentomayan/status/1613176000803921921</v>
      </c>
      <c r="AF1251" s="79">
        <v>44937.589166666665</v>
      </c>
      <c r="AG1251" s="85">
        <v>44937</v>
      </c>
      <c r="AH1251" s="81" t="s">
        <v>6914</v>
      </c>
      <c r="AI1251" s="77" t="b">
        <v>0</v>
      </c>
      <c r="AJ1251" s="77"/>
      <c r="AK1251" s="77"/>
      <c r="AL1251" s="77"/>
      <c r="AM1251" s="77"/>
      <c r="AN1251" s="77"/>
      <c r="AO1251" s="77"/>
      <c r="AP1251" s="77"/>
      <c r="AQ1251" s="77" t="s">
        <v>8725</v>
      </c>
      <c r="AR1251" s="77"/>
      <c r="AS1251" s="77"/>
      <c r="AT1251" s="77"/>
      <c r="AU1251" s="77"/>
      <c r="AV1251" s="83" t="str">
        <f>HYPERLINK("https://pbs.twimg.com/media/FmMnBIgXEAIIyjF.jpg")</f>
        <v>https://pbs.twimg.com/media/FmMnBIgXEAIIyjF.jpg</v>
      </c>
      <c r="AW1251" s="81" t="s">
        <v>10373</v>
      </c>
      <c r="AX1251" s="81" t="s">
        <v>10373</v>
      </c>
      <c r="AY1251" s="77"/>
      <c r="AZ1251" s="81" t="s">
        <v>11359</v>
      </c>
      <c r="BA1251" s="81" t="s">
        <v>11359</v>
      </c>
      <c r="BB1251" s="81" t="s">
        <v>11359</v>
      </c>
      <c r="BC1251" s="81" t="s">
        <v>10373</v>
      </c>
      <c r="BD1251" s="81" t="s">
        <v>11538</v>
      </c>
      <c r="BE1251" s="77"/>
      <c r="BF1251" s="77"/>
      <c r="BG1251" s="77"/>
      <c r="BH1251" s="77"/>
      <c r="BI1251" s="77"/>
    </row>
    <row r="1252" spans="1:61" x14ac:dyDescent="0.25">
      <c r="A1252" s="62" t="s">
        <v>493</v>
      </c>
      <c r="B1252" s="62" t="s">
        <v>493</v>
      </c>
      <c r="C1252" s="63"/>
      <c r="D1252" s="64"/>
      <c r="E1252" s="65"/>
      <c r="F1252" s="66"/>
      <c r="G1252" s="63"/>
      <c r="H1252" s="67"/>
      <c r="I1252" s="68"/>
      <c r="J1252" s="68"/>
      <c r="K1252" s="32"/>
      <c r="L1252" s="75">
        <v>1252</v>
      </c>
      <c r="M1252" s="75"/>
      <c r="N1252" s="70"/>
      <c r="O1252" s="77" t="s">
        <v>179</v>
      </c>
      <c r="P1252" s="79">
        <v>44937.571377314816</v>
      </c>
      <c r="Q1252" s="77" t="s">
        <v>2051</v>
      </c>
      <c r="R1252" s="77">
        <v>0</v>
      </c>
      <c r="S1252" s="77">
        <v>0</v>
      </c>
      <c r="T1252" s="77">
        <v>0</v>
      </c>
      <c r="U1252" s="77">
        <v>0</v>
      </c>
      <c r="V1252" s="77">
        <v>30</v>
      </c>
      <c r="W1252" s="81" t="s">
        <v>3575</v>
      </c>
      <c r="X1252" s="77"/>
      <c r="Y1252" s="77"/>
      <c r="Z1252" s="77"/>
      <c r="AA1252" s="77" t="s">
        <v>5223</v>
      </c>
      <c r="AB1252" s="77" t="s">
        <v>5794</v>
      </c>
      <c r="AC1252" s="81" t="s">
        <v>5805</v>
      </c>
      <c r="AD1252" s="77" t="s">
        <v>5850</v>
      </c>
      <c r="AE1252" s="83" t="str">
        <f>HYPERLINK("https://twitter.com/talentomayan/status/1613169551977455618")</f>
        <v>https://twitter.com/talentomayan/status/1613169551977455618</v>
      </c>
      <c r="AF1252" s="79">
        <v>44937.571377314816</v>
      </c>
      <c r="AG1252" s="85">
        <v>44937</v>
      </c>
      <c r="AH1252" s="81" t="s">
        <v>6915</v>
      </c>
      <c r="AI1252" s="77" t="b">
        <v>0</v>
      </c>
      <c r="AJ1252" s="77"/>
      <c r="AK1252" s="77"/>
      <c r="AL1252" s="77"/>
      <c r="AM1252" s="77"/>
      <c r="AN1252" s="77"/>
      <c r="AO1252" s="77"/>
      <c r="AP1252" s="77"/>
      <c r="AQ1252" s="77" t="s">
        <v>8726</v>
      </c>
      <c r="AR1252" s="77"/>
      <c r="AS1252" s="77"/>
      <c r="AT1252" s="77"/>
      <c r="AU1252" s="77"/>
      <c r="AV1252" s="83" t="str">
        <f>HYPERLINK("https://pbs.twimg.com/media/FmMhJ3SXEAA2VUY.jpg")</f>
        <v>https://pbs.twimg.com/media/FmMhJ3SXEAA2VUY.jpg</v>
      </c>
      <c r="AW1252" s="81" t="s">
        <v>10374</v>
      </c>
      <c r="AX1252" s="81" t="s">
        <v>10374</v>
      </c>
      <c r="AY1252" s="77"/>
      <c r="AZ1252" s="81" t="s">
        <v>11359</v>
      </c>
      <c r="BA1252" s="81" t="s">
        <v>11359</v>
      </c>
      <c r="BB1252" s="81" t="s">
        <v>11359</v>
      </c>
      <c r="BC1252" s="81" t="s">
        <v>10374</v>
      </c>
      <c r="BD1252" s="81" t="s">
        <v>11538</v>
      </c>
      <c r="BE1252" s="77"/>
      <c r="BF1252" s="77"/>
      <c r="BG1252" s="77"/>
      <c r="BH1252" s="77"/>
      <c r="BI1252" s="77"/>
    </row>
    <row r="1253" spans="1:61" x14ac:dyDescent="0.25">
      <c r="A1253" s="62" t="s">
        <v>493</v>
      </c>
      <c r="B1253" s="62" t="s">
        <v>493</v>
      </c>
      <c r="C1253" s="63"/>
      <c r="D1253" s="64"/>
      <c r="E1253" s="65"/>
      <c r="F1253" s="66"/>
      <c r="G1253" s="63"/>
      <c r="H1253" s="67"/>
      <c r="I1253" s="68"/>
      <c r="J1253" s="68"/>
      <c r="K1253" s="32"/>
      <c r="L1253" s="75">
        <v>1253</v>
      </c>
      <c r="M1253" s="75"/>
      <c r="N1253" s="70"/>
      <c r="O1253" s="77" t="s">
        <v>179</v>
      </c>
      <c r="P1253" s="79">
        <v>44936.866608796299</v>
      </c>
      <c r="Q1253" s="77" t="s">
        <v>2052</v>
      </c>
      <c r="R1253" s="77">
        <v>1</v>
      </c>
      <c r="S1253" s="77">
        <v>0</v>
      </c>
      <c r="T1253" s="77">
        <v>0</v>
      </c>
      <c r="U1253" s="77">
        <v>0</v>
      </c>
      <c r="V1253" s="77">
        <v>111</v>
      </c>
      <c r="W1253" s="81" t="s">
        <v>3575</v>
      </c>
      <c r="X1253" s="77"/>
      <c r="Y1253" s="77"/>
      <c r="Z1253" s="77"/>
      <c r="AA1253" s="77" t="s">
        <v>5224</v>
      </c>
      <c r="AB1253" s="77" t="s">
        <v>5794</v>
      </c>
      <c r="AC1253" s="81" t="s">
        <v>5805</v>
      </c>
      <c r="AD1253" s="77" t="s">
        <v>5850</v>
      </c>
      <c r="AE1253" s="83" t="str">
        <f>HYPERLINK("https://twitter.com/talentomayan/status/1612914152439160856")</f>
        <v>https://twitter.com/talentomayan/status/1612914152439160856</v>
      </c>
      <c r="AF1253" s="79">
        <v>44936.866608796299</v>
      </c>
      <c r="AG1253" s="85">
        <v>44936</v>
      </c>
      <c r="AH1253" s="81" t="s">
        <v>6916</v>
      </c>
      <c r="AI1253" s="77" t="b">
        <v>0</v>
      </c>
      <c r="AJ1253" s="77"/>
      <c r="AK1253" s="77"/>
      <c r="AL1253" s="77"/>
      <c r="AM1253" s="77"/>
      <c r="AN1253" s="77"/>
      <c r="AO1253" s="77"/>
      <c r="AP1253" s="77"/>
      <c r="AQ1253" s="77" t="s">
        <v>8727</v>
      </c>
      <c r="AR1253" s="77"/>
      <c r="AS1253" s="77"/>
      <c r="AT1253" s="77"/>
      <c r="AU1253" s="77"/>
      <c r="AV1253" s="83" t="str">
        <f>HYPERLINK("https://pbs.twimg.com/media/FmI43rMWIBMq2Tn.jpg")</f>
        <v>https://pbs.twimg.com/media/FmI43rMWIBMq2Tn.jpg</v>
      </c>
      <c r="AW1253" s="81" t="s">
        <v>10375</v>
      </c>
      <c r="AX1253" s="81" t="s">
        <v>10375</v>
      </c>
      <c r="AY1253" s="77"/>
      <c r="AZ1253" s="81" t="s">
        <v>11359</v>
      </c>
      <c r="BA1253" s="81" t="s">
        <v>11359</v>
      </c>
      <c r="BB1253" s="81" t="s">
        <v>11359</v>
      </c>
      <c r="BC1253" s="81" t="s">
        <v>10375</v>
      </c>
      <c r="BD1253" s="81" t="s">
        <v>11538</v>
      </c>
      <c r="BE1253" s="77"/>
      <c r="BF1253" s="77"/>
      <c r="BG1253" s="77"/>
      <c r="BH1253" s="77"/>
      <c r="BI1253" s="77"/>
    </row>
    <row r="1254" spans="1:61" x14ac:dyDescent="0.25">
      <c r="A1254" s="62" t="s">
        <v>493</v>
      </c>
      <c r="B1254" s="62" t="s">
        <v>493</v>
      </c>
      <c r="C1254" s="63"/>
      <c r="D1254" s="64"/>
      <c r="E1254" s="65"/>
      <c r="F1254" s="66"/>
      <c r="G1254" s="63"/>
      <c r="H1254" s="67"/>
      <c r="I1254" s="68"/>
      <c r="J1254" s="68"/>
      <c r="K1254" s="32"/>
      <c r="L1254" s="75">
        <v>1254</v>
      </c>
      <c r="M1254" s="75"/>
      <c r="N1254" s="70"/>
      <c r="O1254" s="77" t="s">
        <v>179</v>
      </c>
      <c r="P1254" s="79">
        <v>44936.617199074077</v>
      </c>
      <c r="Q1254" s="77" t="s">
        <v>2053</v>
      </c>
      <c r="R1254" s="77">
        <v>0</v>
      </c>
      <c r="S1254" s="77">
        <v>1</v>
      </c>
      <c r="T1254" s="77">
        <v>0</v>
      </c>
      <c r="U1254" s="77">
        <v>0</v>
      </c>
      <c r="V1254" s="77">
        <v>64</v>
      </c>
      <c r="W1254" s="81" t="s">
        <v>3576</v>
      </c>
      <c r="X1254" s="77"/>
      <c r="Y1254" s="77"/>
      <c r="Z1254" s="77"/>
      <c r="AA1254" s="77" t="s">
        <v>5225</v>
      </c>
      <c r="AB1254" s="77" t="s">
        <v>5794</v>
      </c>
      <c r="AC1254" s="81" t="s">
        <v>5805</v>
      </c>
      <c r="AD1254" s="77" t="s">
        <v>5850</v>
      </c>
      <c r="AE1254" s="83" t="str">
        <f>HYPERLINK("https://twitter.com/talentomayan/status/1612823770309304320")</f>
        <v>https://twitter.com/talentomayan/status/1612823770309304320</v>
      </c>
      <c r="AF1254" s="79">
        <v>44936.617199074077</v>
      </c>
      <c r="AG1254" s="85">
        <v>44936</v>
      </c>
      <c r="AH1254" s="81" t="s">
        <v>6917</v>
      </c>
      <c r="AI1254" s="77" t="b">
        <v>0</v>
      </c>
      <c r="AJ1254" s="77"/>
      <c r="AK1254" s="77"/>
      <c r="AL1254" s="77"/>
      <c r="AM1254" s="77"/>
      <c r="AN1254" s="77"/>
      <c r="AO1254" s="77"/>
      <c r="AP1254" s="77"/>
      <c r="AQ1254" s="77" t="s">
        <v>8728</v>
      </c>
      <c r="AR1254" s="77"/>
      <c r="AS1254" s="77"/>
      <c r="AT1254" s="77"/>
      <c r="AU1254" s="77"/>
      <c r="AV1254" s="83" t="str">
        <f>HYPERLINK("https://pbs.twimg.com/media/FmHmqtXXEAAg9i5.jpg")</f>
        <v>https://pbs.twimg.com/media/FmHmqtXXEAAg9i5.jpg</v>
      </c>
      <c r="AW1254" s="81" t="s">
        <v>10376</v>
      </c>
      <c r="AX1254" s="81" t="s">
        <v>10376</v>
      </c>
      <c r="AY1254" s="77"/>
      <c r="AZ1254" s="81" t="s">
        <v>11359</v>
      </c>
      <c r="BA1254" s="81" t="s">
        <v>11359</v>
      </c>
      <c r="BB1254" s="81" t="s">
        <v>11359</v>
      </c>
      <c r="BC1254" s="81" t="s">
        <v>10376</v>
      </c>
      <c r="BD1254" s="81" t="s">
        <v>11538</v>
      </c>
      <c r="BE1254" s="77"/>
      <c r="BF1254" s="77"/>
      <c r="BG1254" s="77"/>
      <c r="BH1254" s="77"/>
      <c r="BI1254" s="77"/>
    </row>
    <row r="1255" spans="1:61" x14ac:dyDescent="0.25">
      <c r="A1255" s="62" t="s">
        <v>493</v>
      </c>
      <c r="B1255" s="62" t="s">
        <v>493</v>
      </c>
      <c r="C1255" s="63"/>
      <c r="D1255" s="64"/>
      <c r="E1255" s="65"/>
      <c r="F1255" s="66"/>
      <c r="G1255" s="63"/>
      <c r="H1255" s="67"/>
      <c r="I1255" s="68"/>
      <c r="J1255" s="68"/>
      <c r="K1255" s="32"/>
      <c r="L1255" s="75">
        <v>1255</v>
      </c>
      <c r="M1255" s="75"/>
      <c r="N1255" s="70"/>
      <c r="O1255" s="77" t="s">
        <v>179</v>
      </c>
      <c r="P1255" s="79">
        <v>44936.583101851851</v>
      </c>
      <c r="Q1255" s="77" t="s">
        <v>2054</v>
      </c>
      <c r="R1255" s="77">
        <v>0</v>
      </c>
      <c r="S1255" s="77">
        <v>0</v>
      </c>
      <c r="T1255" s="77">
        <v>0</v>
      </c>
      <c r="U1255" s="77">
        <v>0</v>
      </c>
      <c r="V1255" s="77">
        <v>8</v>
      </c>
      <c r="W1255" s="81" t="s">
        <v>3577</v>
      </c>
      <c r="X1255" s="77"/>
      <c r="Y1255" s="77"/>
      <c r="Z1255" s="77"/>
      <c r="AA1255" s="77" t="s">
        <v>5226</v>
      </c>
      <c r="AB1255" s="77" t="s">
        <v>5794</v>
      </c>
      <c r="AC1255" s="81" t="s">
        <v>5805</v>
      </c>
      <c r="AD1255" s="77" t="s">
        <v>5850</v>
      </c>
      <c r="AE1255" s="83" t="str">
        <f>HYPERLINK("https://twitter.com/talentomayan/status/1612811415378616320")</f>
        <v>https://twitter.com/talentomayan/status/1612811415378616320</v>
      </c>
      <c r="AF1255" s="79">
        <v>44936.583101851851</v>
      </c>
      <c r="AG1255" s="85">
        <v>44936</v>
      </c>
      <c r="AH1255" s="81" t="s">
        <v>6918</v>
      </c>
      <c r="AI1255" s="77" t="b">
        <v>0</v>
      </c>
      <c r="AJ1255" s="77"/>
      <c r="AK1255" s="77"/>
      <c r="AL1255" s="77"/>
      <c r="AM1255" s="77"/>
      <c r="AN1255" s="77"/>
      <c r="AO1255" s="77"/>
      <c r="AP1255" s="77"/>
      <c r="AQ1255" s="77" t="s">
        <v>8729</v>
      </c>
      <c r="AR1255" s="77"/>
      <c r="AS1255" s="77"/>
      <c r="AT1255" s="77"/>
      <c r="AU1255" s="77"/>
      <c r="AV1255" s="83" t="str">
        <f>HYPERLINK("https://pbs.twimg.com/media/FmHbbVeWQAIfkG2.jpg")</f>
        <v>https://pbs.twimg.com/media/FmHbbVeWQAIfkG2.jpg</v>
      </c>
      <c r="AW1255" s="81" t="s">
        <v>10377</v>
      </c>
      <c r="AX1255" s="81" t="s">
        <v>10377</v>
      </c>
      <c r="AY1255" s="77"/>
      <c r="AZ1255" s="81" t="s">
        <v>11359</v>
      </c>
      <c r="BA1255" s="81" t="s">
        <v>11359</v>
      </c>
      <c r="BB1255" s="81" t="s">
        <v>11359</v>
      </c>
      <c r="BC1255" s="81" t="s">
        <v>10377</v>
      </c>
      <c r="BD1255" s="81" t="s">
        <v>11538</v>
      </c>
      <c r="BE1255" s="77"/>
      <c r="BF1255" s="77"/>
      <c r="BG1255" s="77"/>
      <c r="BH1255" s="77"/>
      <c r="BI1255" s="77"/>
    </row>
    <row r="1256" spans="1:61" x14ac:dyDescent="0.25">
      <c r="A1256" s="62" t="s">
        <v>493</v>
      </c>
      <c r="B1256" s="62" t="s">
        <v>493</v>
      </c>
      <c r="C1256" s="63"/>
      <c r="D1256" s="64"/>
      <c r="E1256" s="65"/>
      <c r="F1256" s="66"/>
      <c r="G1256" s="63"/>
      <c r="H1256" s="67"/>
      <c r="I1256" s="68"/>
      <c r="J1256" s="68"/>
      <c r="K1256" s="32"/>
      <c r="L1256" s="75">
        <v>1256</v>
      </c>
      <c r="M1256" s="75"/>
      <c r="N1256" s="70"/>
      <c r="O1256" s="77" t="s">
        <v>179</v>
      </c>
      <c r="P1256" s="79">
        <v>44935.632013888891</v>
      </c>
      <c r="Q1256" s="77" t="s">
        <v>2055</v>
      </c>
      <c r="R1256" s="77">
        <v>1</v>
      </c>
      <c r="S1256" s="77">
        <v>1</v>
      </c>
      <c r="T1256" s="77">
        <v>0</v>
      </c>
      <c r="U1256" s="77">
        <v>0</v>
      </c>
      <c r="V1256" s="77">
        <v>111</v>
      </c>
      <c r="W1256" s="81" t="s">
        <v>3575</v>
      </c>
      <c r="X1256" s="77"/>
      <c r="Y1256" s="77"/>
      <c r="Z1256" s="77"/>
      <c r="AA1256" s="77" t="s">
        <v>5227</v>
      </c>
      <c r="AB1256" s="77" t="s">
        <v>5794</v>
      </c>
      <c r="AC1256" s="81" t="s">
        <v>5805</v>
      </c>
      <c r="AD1256" s="77" t="s">
        <v>5850</v>
      </c>
      <c r="AE1256" s="83" t="str">
        <f>HYPERLINK("https://twitter.com/talentomayan/status/1612466751836459010")</f>
        <v>https://twitter.com/talentomayan/status/1612466751836459010</v>
      </c>
      <c r="AF1256" s="79">
        <v>44935.632013888891</v>
      </c>
      <c r="AG1256" s="85">
        <v>44935</v>
      </c>
      <c r="AH1256" s="81" t="s">
        <v>6919</v>
      </c>
      <c r="AI1256" s="77" t="b">
        <v>0</v>
      </c>
      <c r="AJ1256" s="77"/>
      <c r="AK1256" s="77"/>
      <c r="AL1256" s="77"/>
      <c r="AM1256" s="77"/>
      <c r="AN1256" s="77"/>
      <c r="AO1256" s="77"/>
      <c r="AP1256" s="77"/>
      <c r="AQ1256" s="77" t="s">
        <v>8730</v>
      </c>
      <c r="AR1256" s="77"/>
      <c r="AS1256" s="77"/>
      <c r="AT1256" s="77"/>
      <c r="AU1256" s="77"/>
      <c r="AV1256" s="83" t="str">
        <f>HYPERLINK("https://pbs.twimg.com/media/FmCh8URWQAALn-L.jpg")</f>
        <v>https://pbs.twimg.com/media/FmCh8URWQAALn-L.jpg</v>
      </c>
      <c r="AW1256" s="81" t="s">
        <v>10378</v>
      </c>
      <c r="AX1256" s="81" t="s">
        <v>10378</v>
      </c>
      <c r="AY1256" s="77"/>
      <c r="AZ1256" s="81" t="s">
        <v>11359</v>
      </c>
      <c r="BA1256" s="81" t="s">
        <v>11359</v>
      </c>
      <c r="BB1256" s="81" t="s">
        <v>11359</v>
      </c>
      <c r="BC1256" s="81" t="s">
        <v>10378</v>
      </c>
      <c r="BD1256" s="81" t="s">
        <v>11538</v>
      </c>
      <c r="BE1256" s="77"/>
      <c r="BF1256" s="77"/>
      <c r="BG1256" s="77"/>
      <c r="BH1256" s="77"/>
      <c r="BI1256" s="77"/>
    </row>
    <row r="1257" spans="1:61" x14ac:dyDescent="0.25">
      <c r="A1257" s="62" t="s">
        <v>493</v>
      </c>
      <c r="B1257" s="62" t="s">
        <v>493</v>
      </c>
      <c r="C1257" s="63"/>
      <c r="D1257" s="64"/>
      <c r="E1257" s="65"/>
      <c r="F1257" s="66"/>
      <c r="G1257" s="63"/>
      <c r="H1257" s="67"/>
      <c r="I1257" s="68"/>
      <c r="J1257" s="68"/>
      <c r="K1257" s="32"/>
      <c r="L1257" s="75">
        <v>1257</v>
      </c>
      <c r="M1257" s="75"/>
      <c r="N1257" s="70"/>
      <c r="O1257" s="77" t="s">
        <v>179</v>
      </c>
      <c r="P1257" s="79">
        <v>45041.582129629627</v>
      </c>
      <c r="Q1257" s="77" t="s">
        <v>2056</v>
      </c>
      <c r="R1257" s="77">
        <v>0</v>
      </c>
      <c r="S1257" s="77">
        <v>0</v>
      </c>
      <c r="T1257" s="77">
        <v>0</v>
      </c>
      <c r="U1257" s="77">
        <v>0</v>
      </c>
      <c r="V1257" s="77">
        <v>41</v>
      </c>
      <c r="W1257" s="81" t="s">
        <v>3575</v>
      </c>
      <c r="X1257" s="77"/>
      <c r="Y1257" s="77"/>
      <c r="Z1257" s="77"/>
      <c r="AA1257" s="77" t="s">
        <v>5228</v>
      </c>
      <c r="AB1257" s="77" t="s">
        <v>5794</v>
      </c>
      <c r="AC1257" s="81" t="s">
        <v>5805</v>
      </c>
      <c r="AD1257" s="77" t="s">
        <v>5850</v>
      </c>
      <c r="AE1257" s="83" t="str">
        <f>HYPERLINK("https://twitter.com/talentomayan/status/1650861787888377859")</f>
        <v>https://twitter.com/talentomayan/status/1650861787888377859</v>
      </c>
      <c r="AF1257" s="79">
        <v>45041.582129629627</v>
      </c>
      <c r="AG1257" s="85">
        <v>45041</v>
      </c>
      <c r="AH1257" s="81" t="s">
        <v>6920</v>
      </c>
      <c r="AI1257" s="77" t="b">
        <v>0</v>
      </c>
      <c r="AJ1257" s="77"/>
      <c r="AK1257" s="77"/>
      <c r="AL1257" s="77"/>
      <c r="AM1257" s="77"/>
      <c r="AN1257" s="77"/>
      <c r="AO1257" s="77"/>
      <c r="AP1257" s="77"/>
      <c r="AQ1257" s="77" t="s">
        <v>8731</v>
      </c>
      <c r="AR1257" s="77"/>
      <c r="AS1257" s="77"/>
      <c r="AT1257" s="77"/>
      <c r="AU1257" s="77"/>
      <c r="AV1257" s="83" t="str">
        <f>HYPERLINK("https://pbs.twimg.com/media/FukKCulaAAUSvXt.jpg")</f>
        <v>https://pbs.twimg.com/media/FukKCulaAAUSvXt.jpg</v>
      </c>
      <c r="AW1257" s="81" t="s">
        <v>10379</v>
      </c>
      <c r="AX1257" s="81" t="s">
        <v>10379</v>
      </c>
      <c r="AY1257" s="77"/>
      <c r="AZ1257" s="81" t="s">
        <v>11359</v>
      </c>
      <c r="BA1257" s="81" t="s">
        <v>11359</v>
      </c>
      <c r="BB1257" s="81" t="s">
        <v>11359</v>
      </c>
      <c r="BC1257" s="81" t="s">
        <v>10379</v>
      </c>
      <c r="BD1257" s="81" t="s">
        <v>11538</v>
      </c>
      <c r="BE1257" s="77"/>
      <c r="BF1257" s="77"/>
      <c r="BG1257" s="77"/>
      <c r="BH1257" s="77"/>
      <c r="BI1257" s="77"/>
    </row>
    <row r="1258" spans="1:61" x14ac:dyDescent="0.25">
      <c r="A1258" s="62" t="s">
        <v>493</v>
      </c>
      <c r="B1258" s="62" t="s">
        <v>493</v>
      </c>
      <c r="C1258" s="63"/>
      <c r="D1258" s="64"/>
      <c r="E1258" s="65"/>
      <c r="F1258" s="66"/>
      <c r="G1258" s="63"/>
      <c r="H1258" s="67"/>
      <c r="I1258" s="68"/>
      <c r="J1258" s="68"/>
      <c r="K1258" s="32"/>
      <c r="L1258" s="75">
        <v>1258</v>
      </c>
      <c r="M1258" s="75"/>
      <c r="N1258" s="70"/>
      <c r="O1258" s="77" t="s">
        <v>179</v>
      </c>
      <c r="P1258" s="79">
        <v>45040.633969907409</v>
      </c>
      <c r="Q1258" s="77" t="s">
        <v>2057</v>
      </c>
      <c r="R1258" s="77">
        <v>0</v>
      </c>
      <c r="S1258" s="77">
        <v>0</v>
      </c>
      <c r="T1258" s="77">
        <v>0</v>
      </c>
      <c r="U1258" s="77">
        <v>0</v>
      </c>
      <c r="V1258" s="77">
        <v>40</v>
      </c>
      <c r="W1258" s="81" t="s">
        <v>3575</v>
      </c>
      <c r="X1258" s="77"/>
      <c r="Y1258" s="77"/>
      <c r="Z1258" s="77"/>
      <c r="AA1258" s="77" t="s">
        <v>5229</v>
      </c>
      <c r="AB1258" s="77" t="s">
        <v>5794</v>
      </c>
      <c r="AC1258" s="81" t="s">
        <v>5805</v>
      </c>
      <c r="AD1258" s="77" t="s">
        <v>5850</v>
      </c>
      <c r="AE1258" s="83" t="str">
        <f>HYPERLINK("https://twitter.com/talentomayan/status/1650518185727217667")</f>
        <v>https://twitter.com/talentomayan/status/1650518185727217667</v>
      </c>
      <c r="AF1258" s="79">
        <v>45040.633969907409</v>
      </c>
      <c r="AG1258" s="85">
        <v>45040</v>
      </c>
      <c r="AH1258" s="81" t="s">
        <v>6921</v>
      </c>
      <c r="AI1258" s="77" t="b">
        <v>0</v>
      </c>
      <c r="AJ1258" s="77"/>
      <c r="AK1258" s="77"/>
      <c r="AL1258" s="77"/>
      <c r="AM1258" s="77"/>
      <c r="AN1258" s="77"/>
      <c r="AO1258" s="77"/>
      <c r="AP1258" s="77"/>
      <c r="AQ1258" s="77" t="s">
        <v>8732</v>
      </c>
      <c r="AR1258" s="77"/>
      <c r="AS1258" s="77"/>
      <c r="AT1258" s="77"/>
      <c r="AU1258" s="77"/>
      <c r="AV1258" s="83" t="str">
        <f>HYPERLINK("https://pbs.twimg.com/media/FufRiivWwAUVHq9.jpg")</f>
        <v>https://pbs.twimg.com/media/FufRiivWwAUVHq9.jpg</v>
      </c>
      <c r="AW1258" s="81" t="s">
        <v>10380</v>
      </c>
      <c r="AX1258" s="81" t="s">
        <v>10380</v>
      </c>
      <c r="AY1258" s="77"/>
      <c r="AZ1258" s="81" t="s">
        <v>11359</v>
      </c>
      <c r="BA1258" s="81" t="s">
        <v>11359</v>
      </c>
      <c r="BB1258" s="81" t="s">
        <v>11359</v>
      </c>
      <c r="BC1258" s="81" t="s">
        <v>10380</v>
      </c>
      <c r="BD1258" s="81" t="s">
        <v>11538</v>
      </c>
      <c r="BE1258" s="77"/>
      <c r="BF1258" s="77"/>
      <c r="BG1258" s="77"/>
      <c r="BH1258" s="77"/>
      <c r="BI1258" s="77"/>
    </row>
    <row r="1259" spans="1:61" x14ac:dyDescent="0.25">
      <c r="A1259" s="62" t="s">
        <v>493</v>
      </c>
      <c r="B1259" s="62" t="s">
        <v>493</v>
      </c>
      <c r="C1259" s="63"/>
      <c r="D1259" s="64"/>
      <c r="E1259" s="65"/>
      <c r="F1259" s="66"/>
      <c r="G1259" s="63"/>
      <c r="H1259" s="67"/>
      <c r="I1259" s="68"/>
      <c r="J1259" s="68"/>
      <c r="K1259" s="32"/>
      <c r="L1259" s="75">
        <v>1259</v>
      </c>
      <c r="M1259" s="75"/>
      <c r="N1259" s="70"/>
      <c r="O1259" s="77" t="s">
        <v>179</v>
      </c>
      <c r="P1259" s="79">
        <v>45037.641597222224</v>
      </c>
      <c r="Q1259" s="77" t="s">
        <v>2058</v>
      </c>
      <c r="R1259" s="77">
        <v>0</v>
      </c>
      <c r="S1259" s="77">
        <v>0</v>
      </c>
      <c r="T1259" s="77">
        <v>0</v>
      </c>
      <c r="U1259" s="77">
        <v>0</v>
      </c>
      <c r="V1259" s="77">
        <v>38</v>
      </c>
      <c r="W1259" s="81" t="s">
        <v>3575</v>
      </c>
      <c r="X1259" s="77"/>
      <c r="Y1259" s="77"/>
      <c r="Z1259" s="77"/>
      <c r="AA1259" s="77" t="s">
        <v>5230</v>
      </c>
      <c r="AB1259" s="77" t="s">
        <v>5794</v>
      </c>
      <c r="AC1259" s="81" t="s">
        <v>5805</v>
      </c>
      <c r="AD1259" s="77" t="s">
        <v>5850</v>
      </c>
      <c r="AE1259" s="83" t="str">
        <f>HYPERLINK("https://twitter.com/talentomayan/status/1649433788680753158")</f>
        <v>https://twitter.com/talentomayan/status/1649433788680753158</v>
      </c>
      <c r="AF1259" s="79">
        <v>45037.641597222224</v>
      </c>
      <c r="AG1259" s="85">
        <v>45037</v>
      </c>
      <c r="AH1259" s="81" t="s">
        <v>6922</v>
      </c>
      <c r="AI1259" s="77" t="b">
        <v>0</v>
      </c>
      <c r="AJ1259" s="77"/>
      <c r="AK1259" s="77"/>
      <c r="AL1259" s="77"/>
      <c r="AM1259" s="77"/>
      <c r="AN1259" s="77"/>
      <c r="AO1259" s="77"/>
      <c r="AP1259" s="77"/>
      <c r="AQ1259" s="77" t="s">
        <v>8733</v>
      </c>
      <c r="AR1259" s="77"/>
      <c r="AS1259" s="77"/>
      <c r="AT1259" s="77"/>
      <c r="AU1259" s="77"/>
      <c r="AV1259" s="83" t="str">
        <f>HYPERLINK("https://pbs.twimg.com/media/FuP3SOmWIAYPFxl.jpg")</f>
        <v>https://pbs.twimg.com/media/FuP3SOmWIAYPFxl.jpg</v>
      </c>
      <c r="AW1259" s="81" t="s">
        <v>10381</v>
      </c>
      <c r="AX1259" s="81" t="s">
        <v>10381</v>
      </c>
      <c r="AY1259" s="77"/>
      <c r="AZ1259" s="81" t="s">
        <v>11359</v>
      </c>
      <c r="BA1259" s="81" t="s">
        <v>11359</v>
      </c>
      <c r="BB1259" s="81" t="s">
        <v>11359</v>
      </c>
      <c r="BC1259" s="81" t="s">
        <v>10381</v>
      </c>
      <c r="BD1259" s="81" t="s">
        <v>11538</v>
      </c>
      <c r="BE1259" s="77"/>
      <c r="BF1259" s="77"/>
      <c r="BG1259" s="77"/>
      <c r="BH1259" s="77"/>
      <c r="BI1259" s="77"/>
    </row>
    <row r="1260" spans="1:61" x14ac:dyDescent="0.25">
      <c r="A1260" s="62" t="s">
        <v>493</v>
      </c>
      <c r="B1260" s="62" t="s">
        <v>493</v>
      </c>
      <c r="C1260" s="63"/>
      <c r="D1260" s="64"/>
      <c r="E1260" s="65"/>
      <c r="F1260" s="66"/>
      <c r="G1260" s="63"/>
      <c r="H1260" s="67"/>
      <c r="I1260" s="68"/>
      <c r="J1260" s="68"/>
      <c r="K1260" s="32"/>
      <c r="L1260" s="75">
        <v>1260</v>
      </c>
      <c r="M1260" s="75"/>
      <c r="N1260" s="70"/>
      <c r="O1260" s="77" t="s">
        <v>179</v>
      </c>
      <c r="P1260" s="79">
        <v>44995.564745370371</v>
      </c>
      <c r="Q1260" s="77" t="s">
        <v>2059</v>
      </c>
      <c r="R1260" s="77">
        <v>0</v>
      </c>
      <c r="S1260" s="77">
        <v>0</v>
      </c>
      <c r="T1260" s="77">
        <v>0</v>
      </c>
      <c r="U1260" s="77">
        <v>0</v>
      </c>
      <c r="V1260" s="77">
        <v>41</v>
      </c>
      <c r="W1260" s="81" t="s">
        <v>3575</v>
      </c>
      <c r="X1260" s="77"/>
      <c r="Y1260" s="77"/>
      <c r="Z1260" s="77"/>
      <c r="AA1260" s="77" t="s">
        <v>5231</v>
      </c>
      <c r="AB1260" s="77" t="s">
        <v>5794</v>
      </c>
      <c r="AC1260" s="81" t="s">
        <v>5805</v>
      </c>
      <c r="AD1260" s="77" t="s">
        <v>5850</v>
      </c>
      <c r="AE1260" s="83" t="str">
        <f>HYPERLINK("https://twitter.com/talentomayan/status/1634185646011998209")</f>
        <v>https://twitter.com/talentomayan/status/1634185646011998209</v>
      </c>
      <c r="AF1260" s="79">
        <v>44995.564745370371</v>
      </c>
      <c r="AG1260" s="85">
        <v>44995</v>
      </c>
      <c r="AH1260" s="81" t="s">
        <v>6923</v>
      </c>
      <c r="AI1260" s="77" t="b">
        <v>0</v>
      </c>
      <c r="AJ1260" s="77"/>
      <c r="AK1260" s="77"/>
      <c r="AL1260" s="77"/>
      <c r="AM1260" s="77"/>
      <c r="AN1260" s="77"/>
      <c r="AO1260" s="77"/>
      <c r="AP1260" s="77"/>
      <c r="AQ1260" s="77" t="s">
        <v>8734</v>
      </c>
      <c r="AR1260" s="77"/>
      <c r="AS1260" s="77"/>
      <c r="AT1260" s="77"/>
      <c r="AU1260" s="77"/>
      <c r="AV1260" s="83" t="str">
        <f>HYPERLINK("https://pbs.twimg.com/media/Fq3LLg7WAAA35mC.jpg")</f>
        <v>https://pbs.twimg.com/media/Fq3LLg7WAAA35mC.jpg</v>
      </c>
      <c r="AW1260" s="81" t="s">
        <v>10382</v>
      </c>
      <c r="AX1260" s="81" t="s">
        <v>10382</v>
      </c>
      <c r="AY1260" s="77"/>
      <c r="AZ1260" s="81" t="s">
        <v>11359</v>
      </c>
      <c r="BA1260" s="81" t="s">
        <v>11359</v>
      </c>
      <c r="BB1260" s="81" t="s">
        <v>11359</v>
      </c>
      <c r="BC1260" s="81" t="s">
        <v>10382</v>
      </c>
      <c r="BD1260" s="81" t="s">
        <v>11538</v>
      </c>
      <c r="BE1260" s="77"/>
      <c r="BF1260" s="77"/>
      <c r="BG1260" s="77"/>
      <c r="BH1260" s="77"/>
      <c r="BI1260" s="77"/>
    </row>
    <row r="1261" spans="1:61" x14ac:dyDescent="0.25">
      <c r="A1261" s="62" t="s">
        <v>493</v>
      </c>
      <c r="B1261" s="62" t="s">
        <v>493</v>
      </c>
      <c r="C1261" s="63"/>
      <c r="D1261" s="64"/>
      <c r="E1261" s="65"/>
      <c r="F1261" s="66"/>
      <c r="G1261" s="63"/>
      <c r="H1261" s="67"/>
      <c r="I1261" s="68"/>
      <c r="J1261" s="68"/>
      <c r="K1261" s="32"/>
      <c r="L1261" s="75">
        <v>1261</v>
      </c>
      <c r="M1261" s="75"/>
      <c r="N1261" s="70"/>
      <c r="O1261" s="77" t="s">
        <v>179</v>
      </c>
      <c r="P1261" s="79">
        <v>44994.911273148151</v>
      </c>
      <c r="Q1261" s="77" t="s">
        <v>2060</v>
      </c>
      <c r="R1261" s="77">
        <v>0</v>
      </c>
      <c r="S1261" s="77">
        <v>0</v>
      </c>
      <c r="T1261" s="77">
        <v>0</v>
      </c>
      <c r="U1261" s="77">
        <v>0</v>
      </c>
      <c r="V1261" s="77">
        <v>30</v>
      </c>
      <c r="W1261" s="81" t="s">
        <v>3575</v>
      </c>
      <c r="X1261" s="77"/>
      <c r="Y1261" s="77"/>
      <c r="Z1261" s="77"/>
      <c r="AA1261" s="77" t="s">
        <v>5232</v>
      </c>
      <c r="AB1261" s="77" t="s">
        <v>5794</v>
      </c>
      <c r="AC1261" s="81" t="s">
        <v>5805</v>
      </c>
      <c r="AD1261" s="77" t="s">
        <v>5850</v>
      </c>
      <c r="AE1261" s="83" t="str">
        <f>HYPERLINK("https://twitter.com/talentomayan/status/1633948834173706240")</f>
        <v>https://twitter.com/talentomayan/status/1633948834173706240</v>
      </c>
      <c r="AF1261" s="79">
        <v>44994.911273148151</v>
      </c>
      <c r="AG1261" s="85">
        <v>44994</v>
      </c>
      <c r="AH1261" s="81" t="s">
        <v>6924</v>
      </c>
      <c r="AI1261" s="77" t="b">
        <v>0</v>
      </c>
      <c r="AJ1261" s="77"/>
      <c r="AK1261" s="77"/>
      <c r="AL1261" s="77"/>
      <c r="AM1261" s="77"/>
      <c r="AN1261" s="77"/>
      <c r="AO1261" s="77"/>
      <c r="AP1261" s="77"/>
      <c r="AQ1261" s="77" t="s">
        <v>8735</v>
      </c>
      <c r="AR1261" s="77"/>
      <c r="AS1261" s="77"/>
      <c r="AT1261" s="77"/>
      <c r="AU1261" s="77"/>
      <c r="AV1261" s="83" t="str">
        <f>HYPERLINK("https://pbs.twimg.com/media/Fqzzy5pXsAINmWh.jpg")</f>
        <v>https://pbs.twimg.com/media/Fqzzy5pXsAINmWh.jpg</v>
      </c>
      <c r="AW1261" s="81" t="s">
        <v>10383</v>
      </c>
      <c r="AX1261" s="81" t="s">
        <v>10383</v>
      </c>
      <c r="AY1261" s="77"/>
      <c r="AZ1261" s="81" t="s">
        <v>11359</v>
      </c>
      <c r="BA1261" s="81" t="s">
        <v>11359</v>
      </c>
      <c r="BB1261" s="81" t="s">
        <v>11359</v>
      </c>
      <c r="BC1261" s="81" t="s">
        <v>10383</v>
      </c>
      <c r="BD1261" s="81" t="s">
        <v>11538</v>
      </c>
      <c r="BE1261" s="77"/>
      <c r="BF1261" s="77"/>
      <c r="BG1261" s="77"/>
      <c r="BH1261" s="77"/>
      <c r="BI1261" s="77"/>
    </row>
    <row r="1262" spans="1:61" x14ac:dyDescent="0.25">
      <c r="A1262" s="62" t="s">
        <v>493</v>
      </c>
      <c r="B1262" s="62" t="s">
        <v>493</v>
      </c>
      <c r="C1262" s="63"/>
      <c r="D1262" s="64"/>
      <c r="E1262" s="65"/>
      <c r="F1262" s="66"/>
      <c r="G1262" s="63"/>
      <c r="H1262" s="67"/>
      <c r="I1262" s="68"/>
      <c r="J1262" s="68"/>
      <c r="K1262" s="32"/>
      <c r="L1262" s="75">
        <v>1262</v>
      </c>
      <c r="M1262" s="75"/>
      <c r="N1262" s="70"/>
      <c r="O1262" s="77" t="s">
        <v>179</v>
      </c>
      <c r="P1262" s="79">
        <v>44988.612453703703</v>
      </c>
      <c r="Q1262" s="77" t="s">
        <v>2061</v>
      </c>
      <c r="R1262" s="77">
        <v>0</v>
      </c>
      <c r="S1262" s="77">
        <v>0</v>
      </c>
      <c r="T1262" s="77">
        <v>0</v>
      </c>
      <c r="U1262" s="77">
        <v>0</v>
      </c>
      <c r="V1262" s="77">
        <v>34</v>
      </c>
      <c r="W1262" s="81" t="s">
        <v>3575</v>
      </c>
      <c r="X1262" s="77"/>
      <c r="Y1262" s="77"/>
      <c r="Z1262" s="77"/>
      <c r="AA1262" s="77" t="s">
        <v>5233</v>
      </c>
      <c r="AB1262" s="77" t="s">
        <v>5794</v>
      </c>
      <c r="AC1262" s="81" t="s">
        <v>5805</v>
      </c>
      <c r="AD1262" s="77" t="s">
        <v>5850</v>
      </c>
      <c r="AE1262" s="83" t="str">
        <f>HYPERLINK("https://twitter.com/talentomayan/status/1631666220427620353")</f>
        <v>https://twitter.com/talentomayan/status/1631666220427620353</v>
      </c>
      <c r="AF1262" s="79">
        <v>44988.612453703703</v>
      </c>
      <c r="AG1262" s="85">
        <v>44988</v>
      </c>
      <c r="AH1262" s="81" t="s">
        <v>6925</v>
      </c>
      <c r="AI1262" s="77" t="b">
        <v>0</v>
      </c>
      <c r="AJ1262" s="77"/>
      <c r="AK1262" s="77"/>
      <c r="AL1262" s="77"/>
      <c r="AM1262" s="77"/>
      <c r="AN1262" s="77"/>
      <c r="AO1262" s="77"/>
      <c r="AP1262" s="77"/>
      <c r="AQ1262" s="77" t="s">
        <v>8736</v>
      </c>
      <c r="AR1262" s="77"/>
      <c r="AS1262" s="77"/>
      <c r="AT1262" s="77"/>
      <c r="AU1262" s="77"/>
      <c r="AV1262" s="83" t="str">
        <f>HYPERLINK("https://pbs.twimg.com/media/FqTXxhjXwAEHxTw.jpg")</f>
        <v>https://pbs.twimg.com/media/FqTXxhjXwAEHxTw.jpg</v>
      </c>
      <c r="AW1262" s="81" t="s">
        <v>10384</v>
      </c>
      <c r="AX1262" s="81" t="s">
        <v>10384</v>
      </c>
      <c r="AY1262" s="77"/>
      <c r="AZ1262" s="81" t="s">
        <v>11359</v>
      </c>
      <c r="BA1262" s="81" t="s">
        <v>11359</v>
      </c>
      <c r="BB1262" s="81" t="s">
        <v>11359</v>
      </c>
      <c r="BC1262" s="81" t="s">
        <v>10384</v>
      </c>
      <c r="BD1262" s="81" t="s">
        <v>11538</v>
      </c>
      <c r="BE1262" s="77"/>
      <c r="BF1262" s="77"/>
      <c r="BG1262" s="77"/>
      <c r="BH1262" s="77"/>
      <c r="BI1262" s="77"/>
    </row>
    <row r="1263" spans="1:61" x14ac:dyDescent="0.25">
      <c r="A1263" s="62" t="s">
        <v>493</v>
      </c>
      <c r="B1263" s="62" t="s">
        <v>493</v>
      </c>
      <c r="C1263" s="63"/>
      <c r="D1263" s="64"/>
      <c r="E1263" s="65"/>
      <c r="F1263" s="66"/>
      <c r="G1263" s="63"/>
      <c r="H1263" s="67"/>
      <c r="I1263" s="68"/>
      <c r="J1263" s="68"/>
      <c r="K1263" s="32"/>
      <c r="L1263" s="75">
        <v>1263</v>
      </c>
      <c r="M1263" s="75"/>
      <c r="N1263" s="70"/>
      <c r="O1263" s="77" t="s">
        <v>179</v>
      </c>
      <c r="P1263" s="79">
        <v>44987.590717592589</v>
      </c>
      <c r="Q1263" s="77" t="s">
        <v>2062</v>
      </c>
      <c r="R1263" s="77">
        <v>0</v>
      </c>
      <c r="S1263" s="77">
        <v>0</v>
      </c>
      <c r="T1263" s="77">
        <v>0</v>
      </c>
      <c r="U1263" s="77">
        <v>0</v>
      </c>
      <c r="V1263" s="77">
        <v>41</v>
      </c>
      <c r="W1263" s="81" t="s">
        <v>3575</v>
      </c>
      <c r="X1263" s="77"/>
      <c r="Y1263" s="77"/>
      <c r="Z1263" s="77"/>
      <c r="AA1263" s="77" t="s">
        <v>5234</v>
      </c>
      <c r="AB1263" s="77" t="s">
        <v>5794</v>
      </c>
      <c r="AC1263" s="81" t="s">
        <v>5805</v>
      </c>
      <c r="AD1263" s="77" t="s">
        <v>5850</v>
      </c>
      <c r="AE1263" s="83" t="str">
        <f>HYPERLINK("https://twitter.com/talentomayan/status/1631295956829257743")</f>
        <v>https://twitter.com/talentomayan/status/1631295956829257743</v>
      </c>
      <c r="AF1263" s="79">
        <v>44987.590717592589</v>
      </c>
      <c r="AG1263" s="85">
        <v>44987</v>
      </c>
      <c r="AH1263" s="81" t="s">
        <v>6926</v>
      </c>
      <c r="AI1263" s="77" t="b">
        <v>0</v>
      </c>
      <c r="AJ1263" s="77"/>
      <c r="AK1263" s="77"/>
      <c r="AL1263" s="77"/>
      <c r="AM1263" s="77"/>
      <c r="AN1263" s="77"/>
      <c r="AO1263" s="77"/>
      <c r="AP1263" s="77"/>
      <c r="AQ1263" s="77" t="s">
        <v>8737</v>
      </c>
      <c r="AR1263" s="77"/>
      <c r="AS1263" s="77"/>
      <c r="AT1263" s="77"/>
      <c r="AU1263" s="77"/>
      <c r="AV1263" s="83" t="str">
        <f>HYPERLINK("https://pbs.twimg.com/media/FqOHA5jWIAIEhRE.jpg")</f>
        <v>https://pbs.twimg.com/media/FqOHA5jWIAIEhRE.jpg</v>
      </c>
      <c r="AW1263" s="81" t="s">
        <v>10385</v>
      </c>
      <c r="AX1263" s="81" t="s">
        <v>10385</v>
      </c>
      <c r="AY1263" s="77"/>
      <c r="AZ1263" s="81" t="s">
        <v>11359</v>
      </c>
      <c r="BA1263" s="81" t="s">
        <v>11359</v>
      </c>
      <c r="BB1263" s="81" t="s">
        <v>11359</v>
      </c>
      <c r="BC1263" s="81" t="s">
        <v>10385</v>
      </c>
      <c r="BD1263" s="81" t="s">
        <v>11538</v>
      </c>
      <c r="BE1263" s="77"/>
      <c r="BF1263" s="77"/>
      <c r="BG1263" s="77"/>
      <c r="BH1263" s="77"/>
      <c r="BI1263" s="77"/>
    </row>
    <row r="1264" spans="1:61" x14ac:dyDescent="0.25">
      <c r="A1264" s="62" t="s">
        <v>493</v>
      </c>
      <c r="B1264" s="62" t="s">
        <v>493</v>
      </c>
      <c r="C1264" s="63"/>
      <c r="D1264" s="64"/>
      <c r="E1264" s="65"/>
      <c r="F1264" s="66"/>
      <c r="G1264" s="63"/>
      <c r="H1264" s="67"/>
      <c r="I1264" s="68"/>
      <c r="J1264" s="68"/>
      <c r="K1264" s="32"/>
      <c r="L1264" s="75">
        <v>1264</v>
      </c>
      <c r="M1264" s="75"/>
      <c r="N1264" s="70"/>
      <c r="O1264" s="77" t="s">
        <v>179</v>
      </c>
      <c r="P1264" s="79">
        <v>45068.688391203701</v>
      </c>
      <c r="Q1264" s="77" t="s">
        <v>2063</v>
      </c>
      <c r="R1264" s="77">
        <v>0</v>
      </c>
      <c r="S1264" s="77">
        <v>0</v>
      </c>
      <c r="T1264" s="77">
        <v>0</v>
      </c>
      <c r="U1264" s="77">
        <v>0</v>
      </c>
      <c r="V1264" s="77">
        <v>29</v>
      </c>
      <c r="W1264" s="81" t="s">
        <v>3575</v>
      </c>
      <c r="X1264" s="77"/>
      <c r="Y1264" s="77"/>
      <c r="Z1264" s="77"/>
      <c r="AA1264" s="77" t="s">
        <v>5235</v>
      </c>
      <c r="AB1264" s="77" t="s">
        <v>5794</v>
      </c>
      <c r="AC1264" s="81" t="s">
        <v>5805</v>
      </c>
      <c r="AD1264" s="77" t="s">
        <v>5850</v>
      </c>
      <c r="AE1264" s="83" t="str">
        <f>HYPERLINK("https://twitter.com/talentomayan/status/1660684769212940288")</f>
        <v>https://twitter.com/talentomayan/status/1660684769212940288</v>
      </c>
      <c r="AF1264" s="79">
        <v>45068.688391203701</v>
      </c>
      <c r="AG1264" s="85">
        <v>45068</v>
      </c>
      <c r="AH1264" s="81" t="s">
        <v>6927</v>
      </c>
      <c r="AI1264" s="77" t="b">
        <v>0</v>
      </c>
      <c r="AJ1264" s="77"/>
      <c r="AK1264" s="77"/>
      <c r="AL1264" s="77"/>
      <c r="AM1264" s="77"/>
      <c r="AN1264" s="77"/>
      <c r="AO1264" s="77"/>
      <c r="AP1264" s="77"/>
      <c r="AQ1264" s="77" t="s">
        <v>8738</v>
      </c>
      <c r="AR1264" s="77"/>
      <c r="AS1264" s="77"/>
      <c r="AT1264" s="77"/>
      <c r="AU1264" s="77"/>
      <c r="AV1264" s="83" t="str">
        <f>HYPERLINK("https://pbs.twimg.com/media/Fwvv_aWWAAAkhI8.jpg")</f>
        <v>https://pbs.twimg.com/media/Fwvv_aWWAAAkhI8.jpg</v>
      </c>
      <c r="AW1264" s="81" t="s">
        <v>10386</v>
      </c>
      <c r="AX1264" s="81" t="s">
        <v>10386</v>
      </c>
      <c r="AY1264" s="77"/>
      <c r="AZ1264" s="81" t="s">
        <v>11359</v>
      </c>
      <c r="BA1264" s="81" t="s">
        <v>11359</v>
      </c>
      <c r="BB1264" s="81" t="s">
        <v>11359</v>
      </c>
      <c r="BC1264" s="81" t="s">
        <v>10386</v>
      </c>
      <c r="BD1264" s="81" t="s">
        <v>11538</v>
      </c>
      <c r="BE1264" s="77"/>
      <c r="BF1264" s="77"/>
      <c r="BG1264" s="77"/>
      <c r="BH1264" s="77"/>
      <c r="BI1264" s="77"/>
    </row>
    <row r="1265" spans="1:61" x14ac:dyDescent="0.25">
      <c r="A1265" s="62" t="s">
        <v>493</v>
      </c>
      <c r="B1265" s="62" t="s">
        <v>493</v>
      </c>
      <c r="C1265" s="63"/>
      <c r="D1265" s="64"/>
      <c r="E1265" s="65"/>
      <c r="F1265" s="66"/>
      <c r="G1265" s="63"/>
      <c r="H1265" s="67"/>
      <c r="I1265" s="68"/>
      <c r="J1265" s="68"/>
      <c r="K1265" s="32"/>
      <c r="L1265" s="75">
        <v>1265</v>
      </c>
      <c r="M1265" s="75"/>
      <c r="N1265" s="70"/>
      <c r="O1265" s="77" t="s">
        <v>179</v>
      </c>
      <c r="P1265" s="79">
        <v>45065.782719907409</v>
      </c>
      <c r="Q1265" s="77" t="s">
        <v>2064</v>
      </c>
      <c r="R1265" s="77">
        <v>0</v>
      </c>
      <c r="S1265" s="77">
        <v>0</v>
      </c>
      <c r="T1265" s="77">
        <v>0</v>
      </c>
      <c r="U1265" s="77">
        <v>0</v>
      </c>
      <c r="V1265" s="77">
        <v>25</v>
      </c>
      <c r="W1265" s="81" t="s">
        <v>3575</v>
      </c>
      <c r="X1265" s="77"/>
      <c r="Y1265" s="77"/>
      <c r="Z1265" s="77"/>
      <c r="AA1265" s="77" t="s">
        <v>5236</v>
      </c>
      <c r="AB1265" s="77" t="s">
        <v>5794</v>
      </c>
      <c r="AC1265" s="81" t="s">
        <v>5805</v>
      </c>
      <c r="AD1265" s="77" t="s">
        <v>5850</v>
      </c>
      <c r="AE1265" s="83" t="str">
        <f>HYPERLINK("https://twitter.com/talentomayan/status/1659631787880923136")</f>
        <v>https://twitter.com/talentomayan/status/1659631787880923136</v>
      </c>
      <c r="AF1265" s="79">
        <v>45065.782719907409</v>
      </c>
      <c r="AG1265" s="85">
        <v>45065</v>
      </c>
      <c r="AH1265" s="81" t="s">
        <v>6928</v>
      </c>
      <c r="AI1265" s="77" t="b">
        <v>0</v>
      </c>
      <c r="AJ1265" s="77"/>
      <c r="AK1265" s="77"/>
      <c r="AL1265" s="77"/>
      <c r="AM1265" s="77"/>
      <c r="AN1265" s="77"/>
      <c r="AO1265" s="77"/>
      <c r="AP1265" s="77"/>
      <c r="AQ1265" s="77" t="s">
        <v>8739</v>
      </c>
      <c r="AR1265" s="77"/>
      <c r="AS1265" s="77"/>
      <c r="AT1265" s="77"/>
      <c r="AU1265" s="77"/>
      <c r="AV1265" s="83" t="str">
        <f>HYPERLINK("https://pbs.twimg.com/media/FwgyT_gWwB86jjo.jpg")</f>
        <v>https://pbs.twimg.com/media/FwgyT_gWwB86jjo.jpg</v>
      </c>
      <c r="AW1265" s="81" t="s">
        <v>10387</v>
      </c>
      <c r="AX1265" s="81" t="s">
        <v>10387</v>
      </c>
      <c r="AY1265" s="77"/>
      <c r="AZ1265" s="81" t="s">
        <v>11359</v>
      </c>
      <c r="BA1265" s="81" t="s">
        <v>11359</v>
      </c>
      <c r="BB1265" s="81" t="s">
        <v>11359</v>
      </c>
      <c r="BC1265" s="81" t="s">
        <v>10387</v>
      </c>
      <c r="BD1265" s="81" t="s">
        <v>11538</v>
      </c>
      <c r="BE1265" s="77"/>
      <c r="BF1265" s="77"/>
      <c r="BG1265" s="77"/>
      <c r="BH1265" s="77"/>
      <c r="BI1265" s="77"/>
    </row>
    <row r="1266" spans="1:61" x14ac:dyDescent="0.25">
      <c r="A1266" s="62" t="s">
        <v>493</v>
      </c>
      <c r="B1266" s="62" t="s">
        <v>493</v>
      </c>
      <c r="C1266" s="63"/>
      <c r="D1266" s="64"/>
      <c r="E1266" s="65"/>
      <c r="F1266" s="66"/>
      <c r="G1266" s="63"/>
      <c r="H1266" s="67"/>
      <c r="I1266" s="68"/>
      <c r="J1266" s="68"/>
      <c r="K1266" s="32"/>
      <c r="L1266" s="75">
        <v>1266</v>
      </c>
      <c r="M1266" s="75"/>
      <c r="N1266" s="70"/>
      <c r="O1266" s="77" t="s">
        <v>179</v>
      </c>
      <c r="P1266" s="79">
        <v>45065.559803240743</v>
      </c>
      <c r="Q1266" s="77" t="s">
        <v>2065</v>
      </c>
      <c r="R1266" s="77">
        <v>0</v>
      </c>
      <c r="S1266" s="77">
        <v>0</v>
      </c>
      <c r="T1266" s="77">
        <v>0</v>
      </c>
      <c r="U1266" s="77">
        <v>0</v>
      </c>
      <c r="V1266" s="77">
        <v>29</v>
      </c>
      <c r="W1266" s="81" t="s">
        <v>3575</v>
      </c>
      <c r="X1266" s="77"/>
      <c r="Y1266" s="77"/>
      <c r="Z1266" s="77"/>
      <c r="AA1266" s="77" t="s">
        <v>5237</v>
      </c>
      <c r="AB1266" s="77" t="s">
        <v>5794</v>
      </c>
      <c r="AC1266" s="81" t="s">
        <v>5805</v>
      </c>
      <c r="AD1266" s="77" t="s">
        <v>5850</v>
      </c>
      <c r="AE1266" s="83" t="str">
        <f>HYPERLINK("https://twitter.com/talentomayan/status/1659551007364329476")</f>
        <v>https://twitter.com/talentomayan/status/1659551007364329476</v>
      </c>
      <c r="AF1266" s="79">
        <v>45065.559803240743</v>
      </c>
      <c r="AG1266" s="85">
        <v>45065</v>
      </c>
      <c r="AH1266" s="81" t="s">
        <v>6929</v>
      </c>
      <c r="AI1266" s="77" t="b">
        <v>0</v>
      </c>
      <c r="AJ1266" s="77"/>
      <c r="AK1266" s="77"/>
      <c r="AL1266" s="77"/>
      <c r="AM1266" s="77"/>
      <c r="AN1266" s="77"/>
      <c r="AO1266" s="77"/>
      <c r="AP1266" s="77"/>
      <c r="AQ1266" s="77" t="s">
        <v>8740</v>
      </c>
      <c r="AR1266" s="77"/>
      <c r="AS1266" s="77"/>
      <c r="AT1266" s="77"/>
      <c r="AU1266" s="77"/>
      <c r="AV1266" s="83" t="str">
        <f>HYPERLINK("https://pbs.twimg.com/media/Fwfo167WIAUmK7v.jpg")</f>
        <v>https://pbs.twimg.com/media/Fwfo167WIAUmK7v.jpg</v>
      </c>
      <c r="AW1266" s="81" t="s">
        <v>10388</v>
      </c>
      <c r="AX1266" s="81" t="s">
        <v>10388</v>
      </c>
      <c r="AY1266" s="77"/>
      <c r="AZ1266" s="81" t="s">
        <v>11359</v>
      </c>
      <c r="BA1266" s="81" t="s">
        <v>11359</v>
      </c>
      <c r="BB1266" s="81" t="s">
        <v>11359</v>
      </c>
      <c r="BC1266" s="81" t="s">
        <v>10388</v>
      </c>
      <c r="BD1266" s="81" t="s">
        <v>11538</v>
      </c>
      <c r="BE1266" s="77"/>
      <c r="BF1266" s="77"/>
      <c r="BG1266" s="77"/>
      <c r="BH1266" s="77"/>
      <c r="BI1266" s="77"/>
    </row>
    <row r="1267" spans="1:61" x14ac:dyDescent="0.25">
      <c r="A1267" s="62" t="s">
        <v>493</v>
      </c>
      <c r="B1267" s="62" t="s">
        <v>493</v>
      </c>
      <c r="C1267" s="63"/>
      <c r="D1267" s="64"/>
      <c r="E1267" s="65"/>
      <c r="F1267" s="66"/>
      <c r="G1267" s="63"/>
      <c r="H1267" s="67"/>
      <c r="I1267" s="68"/>
      <c r="J1267" s="68"/>
      <c r="K1267" s="32"/>
      <c r="L1267" s="75">
        <v>1267</v>
      </c>
      <c r="M1267" s="75"/>
      <c r="N1267" s="70"/>
      <c r="O1267" s="77" t="s">
        <v>179</v>
      </c>
      <c r="P1267" s="79">
        <v>45064.746678240743</v>
      </c>
      <c r="Q1267" s="77" t="s">
        <v>2066</v>
      </c>
      <c r="R1267" s="77">
        <v>0</v>
      </c>
      <c r="S1267" s="77">
        <v>0</v>
      </c>
      <c r="T1267" s="77">
        <v>0</v>
      </c>
      <c r="U1267" s="77">
        <v>0</v>
      </c>
      <c r="V1267" s="77">
        <v>35</v>
      </c>
      <c r="W1267" s="81" t="s">
        <v>3575</v>
      </c>
      <c r="X1267" s="77"/>
      <c r="Y1267" s="77"/>
      <c r="Z1267" s="77"/>
      <c r="AA1267" s="77" t="s">
        <v>5238</v>
      </c>
      <c r="AB1267" s="77" t="s">
        <v>5794</v>
      </c>
      <c r="AC1267" s="81" t="s">
        <v>5805</v>
      </c>
      <c r="AD1267" s="77" t="s">
        <v>5850</v>
      </c>
      <c r="AE1267" s="83" t="str">
        <f>HYPERLINK("https://twitter.com/talentomayan/status/1659256339531538442")</f>
        <v>https://twitter.com/talentomayan/status/1659256339531538442</v>
      </c>
      <c r="AF1267" s="79">
        <v>45064.746678240743</v>
      </c>
      <c r="AG1267" s="85">
        <v>45064</v>
      </c>
      <c r="AH1267" s="81" t="s">
        <v>6930</v>
      </c>
      <c r="AI1267" s="77" t="b">
        <v>0</v>
      </c>
      <c r="AJ1267" s="77"/>
      <c r="AK1267" s="77"/>
      <c r="AL1267" s="77"/>
      <c r="AM1267" s="77"/>
      <c r="AN1267" s="77"/>
      <c r="AO1267" s="77"/>
      <c r="AP1267" s="77"/>
      <c r="AQ1267" s="77" t="s">
        <v>8741</v>
      </c>
      <c r="AR1267" s="77"/>
      <c r="AS1267" s="77"/>
      <c r="AT1267" s="77"/>
      <c r="AU1267" s="77"/>
      <c r="AV1267" s="83" t="str">
        <f>HYPERLINK("https://pbs.twimg.com/media/Fwbc1-0XoAg1YDy.jpg")</f>
        <v>https://pbs.twimg.com/media/Fwbc1-0XoAg1YDy.jpg</v>
      </c>
      <c r="AW1267" s="81" t="s">
        <v>10389</v>
      </c>
      <c r="AX1267" s="81" t="s">
        <v>10389</v>
      </c>
      <c r="AY1267" s="77"/>
      <c r="AZ1267" s="81" t="s">
        <v>11359</v>
      </c>
      <c r="BA1267" s="81" t="s">
        <v>11359</v>
      </c>
      <c r="BB1267" s="81" t="s">
        <v>11359</v>
      </c>
      <c r="BC1267" s="81" t="s">
        <v>10389</v>
      </c>
      <c r="BD1267" s="81" t="s">
        <v>11538</v>
      </c>
      <c r="BE1267" s="77"/>
      <c r="BF1267" s="77"/>
      <c r="BG1267" s="77"/>
      <c r="BH1267" s="77"/>
      <c r="BI1267" s="77"/>
    </row>
    <row r="1268" spans="1:61" x14ac:dyDescent="0.25">
      <c r="A1268" s="62" t="s">
        <v>493</v>
      </c>
      <c r="B1268" s="62" t="s">
        <v>493</v>
      </c>
      <c r="C1268" s="63"/>
      <c r="D1268" s="64"/>
      <c r="E1268" s="65"/>
      <c r="F1268" s="66"/>
      <c r="G1268" s="63"/>
      <c r="H1268" s="67"/>
      <c r="I1268" s="68"/>
      <c r="J1268" s="68"/>
      <c r="K1268" s="32"/>
      <c r="L1268" s="75">
        <v>1268</v>
      </c>
      <c r="M1268" s="75"/>
      <c r="N1268" s="70"/>
      <c r="O1268" s="77" t="s">
        <v>179</v>
      </c>
      <c r="P1268" s="79">
        <v>45015.66914351852</v>
      </c>
      <c r="Q1268" s="77" t="s">
        <v>2067</v>
      </c>
      <c r="R1268" s="77">
        <v>0</v>
      </c>
      <c r="S1268" s="77">
        <v>0</v>
      </c>
      <c r="T1268" s="77">
        <v>0</v>
      </c>
      <c r="U1268" s="77">
        <v>0</v>
      </c>
      <c r="V1268" s="77">
        <v>22</v>
      </c>
      <c r="W1268" s="81" t="s">
        <v>3578</v>
      </c>
      <c r="X1268" s="77"/>
      <c r="Y1268" s="77"/>
      <c r="Z1268" s="77"/>
      <c r="AA1268" s="77" t="s">
        <v>5239</v>
      </c>
      <c r="AB1268" s="77" t="s">
        <v>5794</v>
      </c>
      <c r="AC1268" s="81" t="s">
        <v>5805</v>
      </c>
      <c r="AD1268" s="77" t="s">
        <v>5850</v>
      </c>
      <c r="AE1268" s="83" t="str">
        <f>HYPERLINK("https://twitter.com/talentomayan/status/1641471238257225730")</f>
        <v>https://twitter.com/talentomayan/status/1641471238257225730</v>
      </c>
      <c r="AF1268" s="79">
        <v>45015.66914351852</v>
      </c>
      <c r="AG1268" s="85">
        <v>45015</v>
      </c>
      <c r="AH1268" s="81" t="s">
        <v>6039</v>
      </c>
      <c r="AI1268" s="77" t="b">
        <v>0</v>
      </c>
      <c r="AJ1268" s="77"/>
      <c r="AK1268" s="77"/>
      <c r="AL1268" s="77"/>
      <c r="AM1268" s="77"/>
      <c r="AN1268" s="77"/>
      <c r="AO1268" s="77"/>
      <c r="AP1268" s="77"/>
      <c r="AQ1268" s="77" t="s">
        <v>8742</v>
      </c>
      <c r="AR1268" s="77"/>
      <c r="AS1268" s="77"/>
      <c r="AT1268" s="77"/>
      <c r="AU1268" s="77"/>
      <c r="AV1268" s="83" t="str">
        <f>HYPERLINK("https://pbs.twimg.com/media/FsetYmbWAAE0xqB.jpg")</f>
        <v>https://pbs.twimg.com/media/FsetYmbWAAE0xqB.jpg</v>
      </c>
      <c r="AW1268" s="81" t="s">
        <v>10390</v>
      </c>
      <c r="AX1268" s="81" t="s">
        <v>10390</v>
      </c>
      <c r="AY1268" s="77"/>
      <c r="AZ1268" s="81" t="s">
        <v>11359</v>
      </c>
      <c r="BA1268" s="81" t="s">
        <v>11359</v>
      </c>
      <c r="BB1268" s="81" t="s">
        <v>11359</v>
      </c>
      <c r="BC1268" s="81" t="s">
        <v>10390</v>
      </c>
      <c r="BD1268" s="81" t="s">
        <v>11538</v>
      </c>
      <c r="BE1268" s="77"/>
      <c r="BF1268" s="77"/>
      <c r="BG1268" s="77"/>
      <c r="BH1268" s="77"/>
      <c r="BI1268" s="77"/>
    </row>
    <row r="1269" spans="1:61" x14ac:dyDescent="0.25">
      <c r="A1269" s="62" t="s">
        <v>493</v>
      </c>
      <c r="B1269" s="62" t="s">
        <v>493</v>
      </c>
      <c r="C1269" s="63"/>
      <c r="D1269" s="64"/>
      <c r="E1269" s="65"/>
      <c r="F1269" s="66"/>
      <c r="G1269" s="63"/>
      <c r="H1269" s="67"/>
      <c r="I1269" s="68"/>
      <c r="J1269" s="68"/>
      <c r="K1269" s="32"/>
      <c r="L1269" s="75">
        <v>1269</v>
      </c>
      <c r="M1269" s="75"/>
      <c r="N1269" s="70"/>
      <c r="O1269" s="77" t="s">
        <v>179</v>
      </c>
      <c r="P1269" s="79">
        <v>45015.637384259258</v>
      </c>
      <c r="Q1269" s="77" t="s">
        <v>2068</v>
      </c>
      <c r="R1269" s="77">
        <v>0</v>
      </c>
      <c r="S1269" s="77">
        <v>0</v>
      </c>
      <c r="T1269" s="77">
        <v>0</v>
      </c>
      <c r="U1269" s="77">
        <v>0</v>
      </c>
      <c r="V1269" s="77">
        <v>29</v>
      </c>
      <c r="W1269" s="81" t="s">
        <v>3575</v>
      </c>
      <c r="X1269" s="77"/>
      <c r="Y1269" s="77"/>
      <c r="Z1269" s="77"/>
      <c r="AA1269" s="77" t="s">
        <v>5240</v>
      </c>
      <c r="AB1269" s="77" t="s">
        <v>5794</v>
      </c>
      <c r="AC1269" s="81" t="s">
        <v>5805</v>
      </c>
      <c r="AD1269" s="77" t="s">
        <v>5850</v>
      </c>
      <c r="AE1269" s="83" t="str">
        <f>HYPERLINK("https://twitter.com/talentomayan/status/1641459728759898115")</f>
        <v>https://twitter.com/talentomayan/status/1641459728759898115</v>
      </c>
      <c r="AF1269" s="79">
        <v>45015.637384259258</v>
      </c>
      <c r="AG1269" s="85">
        <v>45015</v>
      </c>
      <c r="AH1269" s="81" t="s">
        <v>6931</v>
      </c>
      <c r="AI1269" s="77" t="b">
        <v>0</v>
      </c>
      <c r="AJ1269" s="77"/>
      <c r="AK1269" s="77"/>
      <c r="AL1269" s="77"/>
      <c r="AM1269" s="77"/>
      <c r="AN1269" s="77"/>
      <c r="AO1269" s="77"/>
      <c r="AP1269" s="77"/>
      <c r="AQ1269" s="77" t="s">
        <v>8743</v>
      </c>
      <c r="AR1269" s="77"/>
      <c r="AS1269" s="77"/>
      <c r="AT1269" s="77"/>
      <c r="AU1269" s="77"/>
      <c r="AV1269" s="83" t="str">
        <f>HYPERLINK("https://pbs.twimg.com/media/Fsei60qWwAARTam.jpg")</f>
        <v>https://pbs.twimg.com/media/Fsei60qWwAARTam.jpg</v>
      </c>
      <c r="AW1269" s="81" t="s">
        <v>10391</v>
      </c>
      <c r="AX1269" s="81" t="s">
        <v>10391</v>
      </c>
      <c r="AY1269" s="77"/>
      <c r="AZ1269" s="81" t="s">
        <v>11359</v>
      </c>
      <c r="BA1269" s="81" t="s">
        <v>11359</v>
      </c>
      <c r="BB1269" s="81" t="s">
        <v>11359</v>
      </c>
      <c r="BC1269" s="81" t="s">
        <v>10391</v>
      </c>
      <c r="BD1269" s="81" t="s">
        <v>11538</v>
      </c>
      <c r="BE1269" s="77"/>
      <c r="BF1269" s="77"/>
      <c r="BG1269" s="77"/>
      <c r="BH1269" s="77"/>
      <c r="BI1269" s="77"/>
    </row>
    <row r="1270" spans="1:61" x14ac:dyDescent="0.25">
      <c r="A1270" s="62" t="s">
        <v>493</v>
      </c>
      <c r="B1270" s="62" t="s">
        <v>493</v>
      </c>
      <c r="C1270" s="63"/>
      <c r="D1270" s="64"/>
      <c r="E1270" s="65"/>
      <c r="F1270" s="66"/>
      <c r="G1270" s="63"/>
      <c r="H1270" s="67"/>
      <c r="I1270" s="68"/>
      <c r="J1270" s="68"/>
      <c r="K1270" s="32"/>
      <c r="L1270" s="75">
        <v>1270</v>
      </c>
      <c r="M1270" s="75"/>
      <c r="N1270" s="70"/>
      <c r="O1270" s="77" t="s">
        <v>179</v>
      </c>
      <c r="P1270" s="79">
        <v>45012.78328703704</v>
      </c>
      <c r="Q1270" s="77" t="s">
        <v>2069</v>
      </c>
      <c r="R1270" s="77">
        <v>0</v>
      </c>
      <c r="S1270" s="77">
        <v>0</v>
      </c>
      <c r="T1270" s="77">
        <v>0</v>
      </c>
      <c r="U1270" s="77">
        <v>0</v>
      </c>
      <c r="V1270" s="77">
        <v>22</v>
      </c>
      <c r="W1270" s="81" t="s">
        <v>3578</v>
      </c>
      <c r="X1270" s="77"/>
      <c r="Y1270" s="77"/>
      <c r="Z1270" s="77"/>
      <c r="AA1270" s="77" t="s">
        <v>5241</v>
      </c>
      <c r="AB1270" s="77" t="s">
        <v>5794</v>
      </c>
      <c r="AC1270" s="81" t="s">
        <v>5805</v>
      </c>
      <c r="AD1270" s="77" t="s">
        <v>5850</v>
      </c>
      <c r="AE1270" s="83" t="str">
        <f>HYPERLINK("https://twitter.com/talentomayan/status/1640425438240489485")</f>
        <v>https://twitter.com/talentomayan/status/1640425438240489485</v>
      </c>
      <c r="AF1270" s="79">
        <v>45012.78328703704</v>
      </c>
      <c r="AG1270" s="85">
        <v>45012</v>
      </c>
      <c r="AH1270" s="81" t="s">
        <v>6932</v>
      </c>
      <c r="AI1270" s="77" t="b">
        <v>0</v>
      </c>
      <c r="AJ1270" s="77"/>
      <c r="AK1270" s="77"/>
      <c r="AL1270" s="77"/>
      <c r="AM1270" s="77"/>
      <c r="AN1270" s="77"/>
      <c r="AO1270" s="77"/>
      <c r="AP1270" s="77"/>
      <c r="AQ1270" s="77" t="s">
        <v>8744</v>
      </c>
      <c r="AR1270" s="77"/>
      <c r="AS1270" s="77"/>
      <c r="AT1270" s="77"/>
      <c r="AU1270" s="77"/>
      <c r="AV1270" s="83" t="str">
        <f>HYPERLINK("https://pbs.twimg.com/media/FsP2O6eWwCIVQyz.jpg")</f>
        <v>https://pbs.twimg.com/media/FsP2O6eWwCIVQyz.jpg</v>
      </c>
      <c r="AW1270" s="81" t="s">
        <v>10392</v>
      </c>
      <c r="AX1270" s="81" t="s">
        <v>10392</v>
      </c>
      <c r="AY1270" s="77"/>
      <c r="AZ1270" s="81" t="s">
        <v>11359</v>
      </c>
      <c r="BA1270" s="81" t="s">
        <v>11359</v>
      </c>
      <c r="BB1270" s="81" t="s">
        <v>11359</v>
      </c>
      <c r="BC1270" s="81" t="s">
        <v>10392</v>
      </c>
      <c r="BD1270" s="81" t="s">
        <v>11538</v>
      </c>
      <c r="BE1270" s="77"/>
      <c r="BF1270" s="77"/>
      <c r="BG1270" s="77"/>
      <c r="BH1270" s="77"/>
      <c r="BI1270" s="77"/>
    </row>
    <row r="1271" spans="1:61" x14ac:dyDescent="0.25">
      <c r="A1271" s="62" t="s">
        <v>493</v>
      </c>
      <c r="B1271" s="62" t="s">
        <v>493</v>
      </c>
      <c r="C1271" s="63"/>
      <c r="D1271" s="64"/>
      <c r="E1271" s="65"/>
      <c r="F1271" s="66"/>
      <c r="G1271" s="63"/>
      <c r="H1271" s="67"/>
      <c r="I1271" s="68"/>
      <c r="J1271" s="68"/>
      <c r="K1271" s="32"/>
      <c r="L1271" s="75">
        <v>1271</v>
      </c>
      <c r="M1271" s="75"/>
      <c r="N1271" s="70"/>
      <c r="O1271" s="77" t="s">
        <v>179</v>
      </c>
      <c r="P1271" s="79">
        <v>44957.627488425926</v>
      </c>
      <c r="Q1271" s="77" t="s">
        <v>2070</v>
      </c>
      <c r="R1271" s="77">
        <v>0</v>
      </c>
      <c r="S1271" s="77">
        <v>0</v>
      </c>
      <c r="T1271" s="77">
        <v>0</v>
      </c>
      <c r="U1271" s="77">
        <v>0</v>
      </c>
      <c r="V1271" s="77">
        <v>39</v>
      </c>
      <c r="W1271" s="81" t="s">
        <v>3575</v>
      </c>
      <c r="X1271" s="77"/>
      <c r="Y1271" s="77"/>
      <c r="Z1271" s="77"/>
      <c r="AA1271" s="77" t="s">
        <v>5242</v>
      </c>
      <c r="AB1271" s="77" t="s">
        <v>5794</v>
      </c>
      <c r="AC1271" s="81" t="s">
        <v>5805</v>
      </c>
      <c r="AD1271" s="77" t="s">
        <v>5850</v>
      </c>
      <c r="AE1271" s="83" t="str">
        <f>HYPERLINK("https://twitter.com/talentomayan/status/1620437643720011777")</f>
        <v>https://twitter.com/talentomayan/status/1620437643720011777</v>
      </c>
      <c r="AF1271" s="79">
        <v>44957.627488425926</v>
      </c>
      <c r="AG1271" s="85">
        <v>44957</v>
      </c>
      <c r="AH1271" s="81" t="s">
        <v>6933</v>
      </c>
      <c r="AI1271" s="77" t="b">
        <v>0</v>
      </c>
      <c r="AJ1271" s="77"/>
      <c r="AK1271" s="77"/>
      <c r="AL1271" s="77"/>
      <c r="AM1271" s="77"/>
      <c r="AN1271" s="77"/>
      <c r="AO1271" s="77"/>
      <c r="AP1271" s="77"/>
      <c r="AQ1271" s="77" t="s">
        <v>8745</v>
      </c>
      <c r="AR1271" s="77"/>
      <c r="AS1271" s="77"/>
      <c r="AT1271" s="77"/>
      <c r="AU1271" s="77"/>
      <c r="AV1271" s="83" t="str">
        <f>HYPERLINK("https://pbs.twimg.com/media/FnzzcdPXkAEK1_q.jpg")</f>
        <v>https://pbs.twimg.com/media/FnzzcdPXkAEK1_q.jpg</v>
      </c>
      <c r="AW1271" s="81" t="s">
        <v>10393</v>
      </c>
      <c r="AX1271" s="81" t="s">
        <v>10393</v>
      </c>
      <c r="AY1271" s="77"/>
      <c r="AZ1271" s="81" t="s">
        <v>11359</v>
      </c>
      <c r="BA1271" s="81" t="s">
        <v>11359</v>
      </c>
      <c r="BB1271" s="81" t="s">
        <v>11359</v>
      </c>
      <c r="BC1271" s="81" t="s">
        <v>10393</v>
      </c>
      <c r="BD1271" s="81" t="s">
        <v>11538</v>
      </c>
      <c r="BE1271" s="77"/>
      <c r="BF1271" s="77"/>
      <c r="BG1271" s="77"/>
      <c r="BH1271" s="77"/>
      <c r="BI1271" s="77"/>
    </row>
    <row r="1272" spans="1:61" x14ac:dyDescent="0.25">
      <c r="A1272" s="62" t="s">
        <v>493</v>
      </c>
      <c r="B1272" s="62" t="s">
        <v>493</v>
      </c>
      <c r="C1272" s="63"/>
      <c r="D1272" s="64"/>
      <c r="E1272" s="65"/>
      <c r="F1272" s="66"/>
      <c r="G1272" s="63"/>
      <c r="H1272" s="67"/>
      <c r="I1272" s="68"/>
      <c r="J1272" s="68"/>
      <c r="K1272" s="32"/>
      <c r="L1272" s="75">
        <v>1272</v>
      </c>
      <c r="M1272" s="75"/>
      <c r="N1272" s="70"/>
      <c r="O1272" s="77" t="s">
        <v>179</v>
      </c>
      <c r="P1272" s="79">
        <v>44954.598414351851</v>
      </c>
      <c r="Q1272" s="77" t="s">
        <v>2071</v>
      </c>
      <c r="R1272" s="77">
        <v>0</v>
      </c>
      <c r="S1272" s="77">
        <v>0</v>
      </c>
      <c r="T1272" s="77">
        <v>0</v>
      </c>
      <c r="U1272" s="77">
        <v>0</v>
      </c>
      <c r="V1272" s="77">
        <v>32</v>
      </c>
      <c r="W1272" s="81" t="s">
        <v>3575</v>
      </c>
      <c r="X1272" s="77"/>
      <c r="Y1272" s="77"/>
      <c r="Z1272" s="77"/>
      <c r="AA1272" s="77" t="s">
        <v>5243</v>
      </c>
      <c r="AB1272" s="77" t="s">
        <v>5794</v>
      </c>
      <c r="AC1272" s="81" t="s">
        <v>5805</v>
      </c>
      <c r="AD1272" s="77" t="s">
        <v>5850</v>
      </c>
      <c r="AE1272" s="83" t="str">
        <f>HYPERLINK("https://twitter.com/talentomayan/status/1619339944400658432")</f>
        <v>https://twitter.com/talentomayan/status/1619339944400658432</v>
      </c>
      <c r="AF1272" s="79">
        <v>44954.598414351851</v>
      </c>
      <c r="AG1272" s="85">
        <v>44954</v>
      </c>
      <c r="AH1272" s="81" t="s">
        <v>6934</v>
      </c>
      <c r="AI1272" s="77" t="b">
        <v>0</v>
      </c>
      <c r="AJ1272" s="77"/>
      <c r="AK1272" s="77"/>
      <c r="AL1272" s="77"/>
      <c r="AM1272" s="77"/>
      <c r="AN1272" s="77"/>
      <c r="AO1272" s="77"/>
      <c r="AP1272" s="77"/>
      <c r="AQ1272" s="77" t="s">
        <v>8746</v>
      </c>
      <c r="AR1272" s="77"/>
      <c r="AS1272" s="77"/>
      <c r="AT1272" s="77"/>
      <c r="AU1272" s="77"/>
      <c r="AV1272" s="83" t="str">
        <f>HYPERLINK("https://pbs.twimg.com/media/FnkNF-iXwAAX7lp.jpg")</f>
        <v>https://pbs.twimg.com/media/FnkNF-iXwAAX7lp.jpg</v>
      </c>
      <c r="AW1272" s="81" t="s">
        <v>10394</v>
      </c>
      <c r="AX1272" s="81" t="s">
        <v>10394</v>
      </c>
      <c r="AY1272" s="77"/>
      <c r="AZ1272" s="81" t="s">
        <v>11359</v>
      </c>
      <c r="BA1272" s="81" t="s">
        <v>11359</v>
      </c>
      <c r="BB1272" s="81" t="s">
        <v>11359</v>
      </c>
      <c r="BC1272" s="81" t="s">
        <v>10394</v>
      </c>
      <c r="BD1272" s="81" t="s">
        <v>11538</v>
      </c>
      <c r="BE1272" s="77"/>
      <c r="BF1272" s="77"/>
      <c r="BG1272" s="77"/>
      <c r="BH1272" s="77"/>
      <c r="BI1272" s="77"/>
    </row>
    <row r="1273" spans="1:61" x14ac:dyDescent="0.25">
      <c r="A1273" s="62" t="s">
        <v>493</v>
      </c>
      <c r="B1273" s="62" t="s">
        <v>493</v>
      </c>
      <c r="C1273" s="63"/>
      <c r="D1273" s="64"/>
      <c r="E1273" s="65"/>
      <c r="F1273" s="66"/>
      <c r="G1273" s="63"/>
      <c r="H1273" s="67"/>
      <c r="I1273" s="68"/>
      <c r="J1273" s="68"/>
      <c r="K1273" s="32"/>
      <c r="L1273" s="75">
        <v>1273</v>
      </c>
      <c r="M1273" s="75"/>
      <c r="N1273" s="70"/>
      <c r="O1273" s="77" t="s">
        <v>179</v>
      </c>
      <c r="P1273" s="79">
        <v>44953.766203703701</v>
      </c>
      <c r="Q1273" s="77" t="s">
        <v>2072</v>
      </c>
      <c r="R1273" s="77">
        <v>0</v>
      </c>
      <c r="S1273" s="77">
        <v>0</v>
      </c>
      <c r="T1273" s="77">
        <v>0</v>
      </c>
      <c r="U1273" s="77">
        <v>0</v>
      </c>
      <c r="V1273" s="77">
        <v>39</v>
      </c>
      <c r="W1273" s="81" t="s">
        <v>3575</v>
      </c>
      <c r="X1273" s="77"/>
      <c r="Y1273" s="77"/>
      <c r="Z1273" s="77"/>
      <c r="AA1273" s="77" t="s">
        <v>5244</v>
      </c>
      <c r="AB1273" s="77" t="s">
        <v>5794</v>
      </c>
      <c r="AC1273" s="81" t="s">
        <v>5805</v>
      </c>
      <c r="AD1273" s="77" t="s">
        <v>5850</v>
      </c>
      <c r="AE1273" s="83" t="str">
        <f>HYPERLINK("https://twitter.com/talentomayan/status/1619038363830591488")</f>
        <v>https://twitter.com/talentomayan/status/1619038363830591488</v>
      </c>
      <c r="AF1273" s="79">
        <v>44953.766203703701</v>
      </c>
      <c r="AG1273" s="85">
        <v>44953</v>
      </c>
      <c r="AH1273" s="81" t="s">
        <v>6935</v>
      </c>
      <c r="AI1273" s="77" t="b">
        <v>0</v>
      </c>
      <c r="AJ1273" s="77"/>
      <c r="AK1273" s="77"/>
      <c r="AL1273" s="77"/>
      <c r="AM1273" s="77"/>
      <c r="AN1273" s="77"/>
      <c r="AO1273" s="77"/>
      <c r="AP1273" s="77"/>
      <c r="AQ1273" s="77" t="s">
        <v>8747</v>
      </c>
      <c r="AR1273" s="77"/>
      <c r="AS1273" s="77"/>
      <c r="AT1273" s="77"/>
      <c r="AU1273" s="77"/>
      <c r="AV1273" s="83" t="str">
        <f>HYPERLINK("https://pbs.twimg.com/media/Fnf6znnXwAsNazQ.jpg")</f>
        <v>https://pbs.twimg.com/media/Fnf6znnXwAsNazQ.jpg</v>
      </c>
      <c r="AW1273" s="81" t="s">
        <v>10395</v>
      </c>
      <c r="AX1273" s="81" t="s">
        <v>10395</v>
      </c>
      <c r="AY1273" s="77"/>
      <c r="AZ1273" s="81" t="s">
        <v>11359</v>
      </c>
      <c r="BA1273" s="81" t="s">
        <v>11359</v>
      </c>
      <c r="BB1273" s="81" t="s">
        <v>11359</v>
      </c>
      <c r="BC1273" s="81" t="s">
        <v>10395</v>
      </c>
      <c r="BD1273" s="81" t="s">
        <v>11538</v>
      </c>
      <c r="BE1273" s="77"/>
      <c r="BF1273" s="77"/>
      <c r="BG1273" s="77"/>
      <c r="BH1273" s="77"/>
      <c r="BI1273" s="77"/>
    </row>
    <row r="1274" spans="1:61" x14ac:dyDescent="0.25">
      <c r="A1274" s="62" t="s">
        <v>493</v>
      </c>
      <c r="B1274" s="62" t="s">
        <v>493</v>
      </c>
      <c r="C1274" s="63"/>
      <c r="D1274" s="64"/>
      <c r="E1274" s="65"/>
      <c r="F1274" s="66"/>
      <c r="G1274" s="63"/>
      <c r="H1274" s="67"/>
      <c r="I1274" s="68"/>
      <c r="J1274" s="68"/>
      <c r="K1274" s="32"/>
      <c r="L1274" s="75">
        <v>1274</v>
      </c>
      <c r="M1274" s="75"/>
      <c r="N1274" s="70"/>
      <c r="O1274" s="77" t="s">
        <v>179</v>
      </c>
      <c r="P1274" s="79">
        <v>44953.572893518518</v>
      </c>
      <c r="Q1274" s="77" t="s">
        <v>2073</v>
      </c>
      <c r="R1274" s="77">
        <v>1</v>
      </c>
      <c r="S1274" s="77">
        <v>0</v>
      </c>
      <c r="T1274" s="77">
        <v>0</v>
      </c>
      <c r="U1274" s="77">
        <v>0</v>
      </c>
      <c r="V1274" s="77">
        <v>87</v>
      </c>
      <c r="W1274" s="81" t="s">
        <v>3575</v>
      </c>
      <c r="X1274" s="77"/>
      <c r="Y1274" s="77"/>
      <c r="Z1274" s="77"/>
      <c r="AA1274" s="77" t="s">
        <v>5245</v>
      </c>
      <c r="AB1274" s="77" t="s">
        <v>5794</v>
      </c>
      <c r="AC1274" s="81" t="s">
        <v>5805</v>
      </c>
      <c r="AD1274" s="77" t="s">
        <v>5850</v>
      </c>
      <c r="AE1274" s="83" t="str">
        <f>HYPERLINK("https://twitter.com/talentomayan/status/1618968308417728518")</f>
        <v>https://twitter.com/talentomayan/status/1618968308417728518</v>
      </c>
      <c r="AF1274" s="79">
        <v>44953.572893518518</v>
      </c>
      <c r="AG1274" s="85">
        <v>44953</v>
      </c>
      <c r="AH1274" s="81" t="s">
        <v>6936</v>
      </c>
      <c r="AI1274" s="77" t="b">
        <v>0</v>
      </c>
      <c r="AJ1274" s="77"/>
      <c r="AK1274" s="77"/>
      <c r="AL1274" s="77"/>
      <c r="AM1274" s="77"/>
      <c r="AN1274" s="77"/>
      <c r="AO1274" s="77"/>
      <c r="AP1274" s="77"/>
      <c r="AQ1274" s="77" t="s">
        <v>8748</v>
      </c>
      <c r="AR1274" s="77"/>
      <c r="AS1274" s="77"/>
      <c r="AT1274" s="77"/>
      <c r="AU1274" s="77"/>
      <c r="AV1274" s="83" t="str">
        <f>HYPERLINK("https://pbs.twimg.com/media/Fne7FywX0AAwVk2.jpg")</f>
        <v>https://pbs.twimg.com/media/Fne7FywX0AAwVk2.jpg</v>
      </c>
      <c r="AW1274" s="81" t="s">
        <v>10396</v>
      </c>
      <c r="AX1274" s="81" t="s">
        <v>10396</v>
      </c>
      <c r="AY1274" s="77"/>
      <c r="AZ1274" s="81" t="s">
        <v>11359</v>
      </c>
      <c r="BA1274" s="81" t="s">
        <v>11359</v>
      </c>
      <c r="BB1274" s="81" t="s">
        <v>11359</v>
      </c>
      <c r="BC1274" s="81" t="s">
        <v>10396</v>
      </c>
      <c r="BD1274" s="81" t="s">
        <v>11538</v>
      </c>
      <c r="BE1274" s="77"/>
      <c r="BF1274" s="77"/>
      <c r="BG1274" s="77"/>
      <c r="BH1274" s="77"/>
      <c r="BI1274" s="77"/>
    </row>
    <row r="1275" spans="1:61" x14ac:dyDescent="0.25">
      <c r="A1275" s="62" t="s">
        <v>493</v>
      </c>
      <c r="B1275" s="62" t="s">
        <v>493</v>
      </c>
      <c r="C1275" s="63"/>
      <c r="D1275" s="64"/>
      <c r="E1275" s="65"/>
      <c r="F1275" s="66"/>
      <c r="G1275" s="63"/>
      <c r="H1275" s="67"/>
      <c r="I1275" s="68"/>
      <c r="J1275" s="68"/>
      <c r="K1275" s="32"/>
      <c r="L1275" s="75">
        <v>1275</v>
      </c>
      <c r="M1275" s="75"/>
      <c r="N1275" s="70"/>
      <c r="O1275" s="77" t="s">
        <v>179</v>
      </c>
      <c r="P1275" s="79">
        <v>44951.576921296299</v>
      </c>
      <c r="Q1275" s="77" t="s">
        <v>2074</v>
      </c>
      <c r="R1275" s="77">
        <v>0</v>
      </c>
      <c r="S1275" s="77">
        <v>0</v>
      </c>
      <c r="T1275" s="77">
        <v>0</v>
      </c>
      <c r="U1275" s="77">
        <v>0</v>
      </c>
      <c r="V1275" s="77">
        <v>34</v>
      </c>
      <c r="W1275" s="81" t="s">
        <v>3575</v>
      </c>
      <c r="X1275" s="77"/>
      <c r="Y1275" s="77"/>
      <c r="Z1275" s="77"/>
      <c r="AA1275" s="77" t="s">
        <v>5246</v>
      </c>
      <c r="AB1275" s="77" t="s">
        <v>5794</v>
      </c>
      <c r="AC1275" s="81" t="s">
        <v>5805</v>
      </c>
      <c r="AD1275" s="77" t="s">
        <v>5850</v>
      </c>
      <c r="AE1275" s="83" t="str">
        <f>HYPERLINK("https://twitter.com/talentomayan/status/1618244993872953344")</f>
        <v>https://twitter.com/talentomayan/status/1618244993872953344</v>
      </c>
      <c r="AF1275" s="79">
        <v>44951.576921296299</v>
      </c>
      <c r="AG1275" s="85">
        <v>44951</v>
      </c>
      <c r="AH1275" s="81" t="s">
        <v>6937</v>
      </c>
      <c r="AI1275" s="77" t="b">
        <v>0</v>
      </c>
      <c r="AJ1275" s="77"/>
      <c r="AK1275" s="77"/>
      <c r="AL1275" s="77"/>
      <c r="AM1275" s="77"/>
      <c r="AN1275" s="77"/>
      <c r="AO1275" s="77"/>
      <c r="AP1275" s="77"/>
      <c r="AQ1275" s="77" t="s">
        <v>8749</v>
      </c>
      <c r="AR1275" s="77"/>
      <c r="AS1275" s="77"/>
      <c r="AT1275" s="77"/>
      <c r="AU1275" s="77"/>
      <c r="AV1275" s="83" t="str">
        <f>HYPERLINK("https://pbs.twimg.com/media/FnUpPTQWIAMGWHD.jpg")</f>
        <v>https://pbs.twimg.com/media/FnUpPTQWIAMGWHD.jpg</v>
      </c>
      <c r="AW1275" s="81" t="s">
        <v>10397</v>
      </c>
      <c r="AX1275" s="81" t="s">
        <v>10397</v>
      </c>
      <c r="AY1275" s="77"/>
      <c r="AZ1275" s="81" t="s">
        <v>11359</v>
      </c>
      <c r="BA1275" s="81" t="s">
        <v>11359</v>
      </c>
      <c r="BB1275" s="81" t="s">
        <v>11359</v>
      </c>
      <c r="BC1275" s="81" t="s">
        <v>10397</v>
      </c>
      <c r="BD1275" s="81" t="s">
        <v>11538</v>
      </c>
      <c r="BE1275" s="77"/>
      <c r="BF1275" s="77"/>
      <c r="BG1275" s="77"/>
      <c r="BH1275" s="77"/>
      <c r="BI1275" s="77"/>
    </row>
    <row r="1276" spans="1:61" x14ac:dyDescent="0.25">
      <c r="A1276" s="62" t="s">
        <v>493</v>
      </c>
      <c r="B1276" s="62" t="s">
        <v>493</v>
      </c>
      <c r="C1276" s="63"/>
      <c r="D1276" s="64"/>
      <c r="E1276" s="65"/>
      <c r="F1276" s="66"/>
      <c r="G1276" s="63"/>
      <c r="H1276" s="67"/>
      <c r="I1276" s="68"/>
      <c r="J1276" s="68"/>
      <c r="K1276" s="32"/>
      <c r="L1276" s="75">
        <v>1276</v>
      </c>
      <c r="M1276" s="75"/>
      <c r="N1276" s="70"/>
      <c r="O1276" s="77" t="s">
        <v>179</v>
      </c>
      <c r="P1276" s="79">
        <v>44950.630254629628</v>
      </c>
      <c r="Q1276" s="77" t="s">
        <v>2075</v>
      </c>
      <c r="R1276" s="77">
        <v>0</v>
      </c>
      <c r="S1276" s="77">
        <v>0</v>
      </c>
      <c r="T1276" s="77">
        <v>0</v>
      </c>
      <c r="U1276" s="77">
        <v>0</v>
      </c>
      <c r="V1276" s="77">
        <v>34</v>
      </c>
      <c r="W1276" s="81" t="s">
        <v>3575</v>
      </c>
      <c r="X1276" s="77"/>
      <c r="Y1276" s="77"/>
      <c r="Z1276" s="77"/>
      <c r="AA1276" s="77" t="s">
        <v>5247</v>
      </c>
      <c r="AB1276" s="77" t="s">
        <v>5794</v>
      </c>
      <c r="AC1276" s="81" t="s">
        <v>5805</v>
      </c>
      <c r="AD1276" s="77" t="s">
        <v>5850</v>
      </c>
      <c r="AE1276" s="83" t="str">
        <f>HYPERLINK("https://twitter.com/talentomayan/status/1617901932257087493")</f>
        <v>https://twitter.com/talentomayan/status/1617901932257087493</v>
      </c>
      <c r="AF1276" s="79">
        <v>44950.630254629628</v>
      </c>
      <c r="AG1276" s="85">
        <v>44950</v>
      </c>
      <c r="AH1276" s="81" t="s">
        <v>6938</v>
      </c>
      <c r="AI1276" s="77" t="b">
        <v>0</v>
      </c>
      <c r="AJ1276" s="77"/>
      <c r="AK1276" s="77"/>
      <c r="AL1276" s="77"/>
      <c r="AM1276" s="77"/>
      <c r="AN1276" s="77"/>
      <c r="AO1276" s="77"/>
      <c r="AP1276" s="77"/>
      <c r="AQ1276" s="77" t="s">
        <v>8750</v>
      </c>
      <c r="AR1276" s="77"/>
      <c r="AS1276" s="77"/>
      <c r="AT1276" s="77"/>
      <c r="AU1276" s="77"/>
      <c r="AV1276" s="83" t="str">
        <f>HYPERLINK("https://pbs.twimg.com/media/FnPxOplWAAEdSPQ.jpg")</f>
        <v>https://pbs.twimg.com/media/FnPxOplWAAEdSPQ.jpg</v>
      </c>
      <c r="AW1276" s="81" t="s">
        <v>10398</v>
      </c>
      <c r="AX1276" s="81" t="s">
        <v>10398</v>
      </c>
      <c r="AY1276" s="77"/>
      <c r="AZ1276" s="81" t="s">
        <v>11359</v>
      </c>
      <c r="BA1276" s="81" t="s">
        <v>11359</v>
      </c>
      <c r="BB1276" s="81" t="s">
        <v>11359</v>
      </c>
      <c r="BC1276" s="81" t="s">
        <v>10398</v>
      </c>
      <c r="BD1276" s="81" t="s">
        <v>11538</v>
      </c>
      <c r="BE1276" s="77"/>
      <c r="BF1276" s="77"/>
      <c r="BG1276" s="77"/>
      <c r="BH1276" s="77"/>
      <c r="BI1276" s="77"/>
    </row>
    <row r="1277" spans="1:61" x14ac:dyDescent="0.25">
      <c r="A1277" s="62" t="s">
        <v>493</v>
      </c>
      <c r="B1277" s="62" t="s">
        <v>493</v>
      </c>
      <c r="C1277" s="63"/>
      <c r="D1277" s="64"/>
      <c r="E1277" s="65"/>
      <c r="F1277" s="66"/>
      <c r="G1277" s="63"/>
      <c r="H1277" s="67"/>
      <c r="I1277" s="68"/>
      <c r="J1277" s="68"/>
      <c r="K1277" s="32"/>
      <c r="L1277" s="75">
        <v>1277</v>
      </c>
      <c r="M1277" s="75"/>
      <c r="N1277" s="70"/>
      <c r="O1277" s="77" t="s">
        <v>179</v>
      </c>
      <c r="P1277" s="79">
        <v>45063.582650462966</v>
      </c>
      <c r="Q1277" s="77" t="s">
        <v>2076</v>
      </c>
      <c r="R1277" s="77">
        <v>0</v>
      </c>
      <c r="S1277" s="77">
        <v>0</v>
      </c>
      <c r="T1277" s="77">
        <v>0</v>
      </c>
      <c r="U1277" s="77">
        <v>0</v>
      </c>
      <c r="V1277" s="77">
        <v>23</v>
      </c>
      <c r="W1277" s="81" t="s">
        <v>3575</v>
      </c>
      <c r="X1277" s="77"/>
      <c r="Y1277" s="77"/>
      <c r="Z1277" s="77"/>
      <c r="AA1277" s="77" t="s">
        <v>5248</v>
      </c>
      <c r="AB1277" s="77" t="s">
        <v>5794</v>
      </c>
      <c r="AC1277" s="81" t="s">
        <v>5805</v>
      </c>
      <c r="AD1277" s="77" t="s">
        <v>5850</v>
      </c>
      <c r="AE1277" s="83" t="str">
        <f>HYPERLINK("https://twitter.com/talentomayan/status/1658834511746957313")</f>
        <v>https://twitter.com/talentomayan/status/1658834511746957313</v>
      </c>
      <c r="AF1277" s="79">
        <v>45063.582650462966</v>
      </c>
      <c r="AG1277" s="85">
        <v>45063</v>
      </c>
      <c r="AH1277" s="81" t="s">
        <v>6939</v>
      </c>
      <c r="AI1277" s="77" t="b">
        <v>0</v>
      </c>
      <c r="AJ1277" s="77"/>
      <c r="AK1277" s="77"/>
      <c r="AL1277" s="77"/>
      <c r="AM1277" s="77"/>
      <c r="AN1277" s="77"/>
      <c r="AO1277" s="77"/>
      <c r="AP1277" s="77"/>
      <c r="AQ1277" s="77" t="s">
        <v>8751</v>
      </c>
      <c r="AR1277" s="77"/>
      <c r="AS1277" s="77"/>
      <c r="AT1277" s="77"/>
      <c r="AU1277" s="77"/>
      <c r="AV1277" s="83" t="str">
        <f>HYPERLINK("https://pbs.twimg.com/media/FwVdMieWIAE5eRP.jpg")</f>
        <v>https://pbs.twimg.com/media/FwVdMieWIAE5eRP.jpg</v>
      </c>
      <c r="AW1277" s="81" t="s">
        <v>10399</v>
      </c>
      <c r="AX1277" s="81" t="s">
        <v>10399</v>
      </c>
      <c r="AY1277" s="77"/>
      <c r="AZ1277" s="81" t="s">
        <v>11359</v>
      </c>
      <c r="BA1277" s="81" t="s">
        <v>11359</v>
      </c>
      <c r="BB1277" s="81" t="s">
        <v>11359</v>
      </c>
      <c r="BC1277" s="81" t="s">
        <v>10399</v>
      </c>
      <c r="BD1277" s="81" t="s">
        <v>11538</v>
      </c>
      <c r="BE1277" s="77"/>
      <c r="BF1277" s="77"/>
      <c r="BG1277" s="77"/>
      <c r="BH1277" s="77"/>
      <c r="BI1277" s="77"/>
    </row>
    <row r="1278" spans="1:61" x14ac:dyDescent="0.25">
      <c r="A1278" s="62" t="s">
        <v>493</v>
      </c>
      <c r="B1278" s="62" t="s">
        <v>493</v>
      </c>
      <c r="C1278" s="63"/>
      <c r="D1278" s="64"/>
      <c r="E1278" s="65"/>
      <c r="F1278" s="66"/>
      <c r="G1278" s="63"/>
      <c r="H1278" s="67"/>
      <c r="I1278" s="68"/>
      <c r="J1278" s="68"/>
      <c r="K1278" s="32"/>
      <c r="L1278" s="75">
        <v>1278</v>
      </c>
      <c r="M1278" s="75"/>
      <c r="N1278" s="70"/>
      <c r="O1278" s="77" t="s">
        <v>179</v>
      </c>
      <c r="P1278" s="79">
        <v>45062.560648148145</v>
      </c>
      <c r="Q1278" s="77" t="s">
        <v>2077</v>
      </c>
      <c r="R1278" s="77">
        <v>0</v>
      </c>
      <c r="S1278" s="77">
        <v>0</v>
      </c>
      <c r="T1278" s="77">
        <v>0</v>
      </c>
      <c r="U1278" s="77">
        <v>0</v>
      </c>
      <c r="V1278" s="77">
        <v>33</v>
      </c>
      <c r="W1278" s="81" t="s">
        <v>3575</v>
      </c>
      <c r="X1278" s="77"/>
      <c r="Y1278" s="77"/>
      <c r="Z1278" s="77"/>
      <c r="AA1278" s="77" t="s">
        <v>5249</v>
      </c>
      <c r="AB1278" s="77" t="s">
        <v>5794</v>
      </c>
      <c r="AC1278" s="81" t="s">
        <v>5805</v>
      </c>
      <c r="AD1278" s="77" t="s">
        <v>5850</v>
      </c>
      <c r="AE1278" s="83" t="str">
        <f>HYPERLINK("https://twitter.com/talentomayan/status/1658464147372232705")</f>
        <v>https://twitter.com/talentomayan/status/1658464147372232705</v>
      </c>
      <c r="AF1278" s="79">
        <v>45062.560648148145</v>
      </c>
      <c r="AG1278" s="85">
        <v>45062</v>
      </c>
      <c r="AH1278" s="81" t="s">
        <v>6940</v>
      </c>
      <c r="AI1278" s="77" t="b">
        <v>0</v>
      </c>
      <c r="AJ1278" s="77"/>
      <c r="AK1278" s="77"/>
      <c r="AL1278" s="77"/>
      <c r="AM1278" s="77"/>
      <c r="AN1278" s="77"/>
      <c r="AO1278" s="77"/>
      <c r="AP1278" s="77"/>
      <c r="AQ1278" s="77" t="s">
        <v>8752</v>
      </c>
      <c r="AR1278" s="77"/>
      <c r="AS1278" s="77"/>
      <c r="AT1278" s="77"/>
      <c r="AU1278" s="77"/>
      <c r="AV1278" s="83" t="str">
        <f>HYPERLINK("https://pbs.twimg.com/media/FwQMWRiWIAAm6Ho.jpg")</f>
        <v>https://pbs.twimg.com/media/FwQMWRiWIAAm6Ho.jpg</v>
      </c>
      <c r="AW1278" s="81" t="s">
        <v>10400</v>
      </c>
      <c r="AX1278" s="81" t="s">
        <v>10400</v>
      </c>
      <c r="AY1278" s="77"/>
      <c r="AZ1278" s="81" t="s">
        <v>11359</v>
      </c>
      <c r="BA1278" s="81" t="s">
        <v>11359</v>
      </c>
      <c r="BB1278" s="81" t="s">
        <v>11359</v>
      </c>
      <c r="BC1278" s="81" t="s">
        <v>10400</v>
      </c>
      <c r="BD1278" s="81" t="s">
        <v>11538</v>
      </c>
      <c r="BE1278" s="77"/>
      <c r="BF1278" s="77"/>
      <c r="BG1278" s="77"/>
      <c r="BH1278" s="77"/>
      <c r="BI1278" s="77"/>
    </row>
    <row r="1279" spans="1:61" x14ac:dyDescent="0.25">
      <c r="A1279" s="62" t="s">
        <v>493</v>
      </c>
      <c r="B1279" s="62" t="s">
        <v>493</v>
      </c>
      <c r="C1279" s="63"/>
      <c r="D1279" s="64"/>
      <c r="E1279" s="65"/>
      <c r="F1279" s="66"/>
      <c r="G1279" s="63"/>
      <c r="H1279" s="67"/>
      <c r="I1279" s="68"/>
      <c r="J1279" s="68"/>
      <c r="K1279" s="32"/>
      <c r="L1279" s="75">
        <v>1279</v>
      </c>
      <c r="M1279" s="75"/>
      <c r="N1279" s="70"/>
      <c r="O1279" s="77" t="s">
        <v>179</v>
      </c>
      <c r="P1279" s="79">
        <v>45061.582604166666</v>
      </c>
      <c r="Q1279" s="77" t="s">
        <v>2078</v>
      </c>
      <c r="R1279" s="77">
        <v>0</v>
      </c>
      <c r="S1279" s="77">
        <v>0</v>
      </c>
      <c r="T1279" s="77">
        <v>0</v>
      </c>
      <c r="U1279" s="77">
        <v>0</v>
      </c>
      <c r="V1279" s="77">
        <v>40</v>
      </c>
      <c r="W1279" s="81" t="s">
        <v>3575</v>
      </c>
      <c r="X1279" s="77"/>
      <c r="Y1279" s="77"/>
      <c r="Z1279" s="77"/>
      <c r="AA1279" s="77" t="s">
        <v>5250</v>
      </c>
      <c r="AB1279" s="77" t="s">
        <v>5794</v>
      </c>
      <c r="AC1279" s="81" t="s">
        <v>5805</v>
      </c>
      <c r="AD1279" s="77" t="s">
        <v>5850</v>
      </c>
      <c r="AE1279" s="83" t="str">
        <f>HYPERLINK("https://twitter.com/talentomayan/status/1658109716919189505")</f>
        <v>https://twitter.com/talentomayan/status/1658109716919189505</v>
      </c>
      <c r="AF1279" s="79">
        <v>45061.582604166666</v>
      </c>
      <c r="AG1279" s="85">
        <v>45061</v>
      </c>
      <c r="AH1279" s="81" t="s">
        <v>6941</v>
      </c>
      <c r="AI1279" s="77" t="b">
        <v>0</v>
      </c>
      <c r="AJ1279" s="77"/>
      <c r="AK1279" s="77"/>
      <c r="AL1279" s="77"/>
      <c r="AM1279" s="77"/>
      <c r="AN1279" s="77"/>
      <c r="AO1279" s="77"/>
      <c r="AP1279" s="77"/>
      <c r="AQ1279" s="77" t="s">
        <v>8753</v>
      </c>
      <c r="AR1279" s="77"/>
      <c r="AS1279" s="77"/>
      <c r="AT1279" s="77"/>
      <c r="AU1279" s="77"/>
      <c r="AV1279" s="83" t="str">
        <f>HYPERLINK("https://pbs.twimg.com/media/FwLJ_wxWAAQ4F98.jpg")</f>
        <v>https://pbs.twimg.com/media/FwLJ_wxWAAQ4F98.jpg</v>
      </c>
      <c r="AW1279" s="81" t="s">
        <v>10401</v>
      </c>
      <c r="AX1279" s="81" t="s">
        <v>10401</v>
      </c>
      <c r="AY1279" s="77"/>
      <c r="AZ1279" s="81" t="s">
        <v>11359</v>
      </c>
      <c r="BA1279" s="81" t="s">
        <v>11359</v>
      </c>
      <c r="BB1279" s="81" t="s">
        <v>11359</v>
      </c>
      <c r="BC1279" s="81" t="s">
        <v>10401</v>
      </c>
      <c r="BD1279" s="81" t="s">
        <v>11538</v>
      </c>
      <c r="BE1279" s="77"/>
      <c r="BF1279" s="77"/>
      <c r="BG1279" s="77"/>
      <c r="BH1279" s="77"/>
      <c r="BI1279" s="77"/>
    </row>
    <row r="1280" spans="1:61" x14ac:dyDescent="0.25">
      <c r="A1280" s="62" t="s">
        <v>493</v>
      </c>
      <c r="B1280" s="62" t="s">
        <v>493</v>
      </c>
      <c r="C1280" s="63"/>
      <c r="D1280" s="64"/>
      <c r="E1280" s="65"/>
      <c r="F1280" s="66"/>
      <c r="G1280" s="63"/>
      <c r="H1280" s="67"/>
      <c r="I1280" s="68"/>
      <c r="J1280" s="68"/>
      <c r="K1280" s="32"/>
      <c r="L1280" s="75">
        <v>1280</v>
      </c>
      <c r="M1280" s="75"/>
      <c r="N1280" s="70"/>
      <c r="O1280" s="77" t="s">
        <v>179</v>
      </c>
      <c r="P1280" s="79">
        <v>45028.720532407409</v>
      </c>
      <c r="Q1280" s="77" t="s">
        <v>2079</v>
      </c>
      <c r="R1280" s="77">
        <v>0</v>
      </c>
      <c r="S1280" s="77">
        <v>0</v>
      </c>
      <c r="T1280" s="77">
        <v>0</v>
      </c>
      <c r="U1280" s="77">
        <v>0</v>
      </c>
      <c r="V1280" s="77">
        <v>52</v>
      </c>
      <c r="W1280" s="81" t="s">
        <v>3575</v>
      </c>
      <c r="X1280" s="77"/>
      <c r="Y1280" s="77"/>
      <c r="Z1280" s="77"/>
      <c r="AA1280" s="77" t="s">
        <v>5251</v>
      </c>
      <c r="AB1280" s="77" t="s">
        <v>5794</v>
      </c>
      <c r="AC1280" s="81" t="s">
        <v>5805</v>
      </c>
      <c r="AD1280" s="77" t="s">
        <v>5850</v>
      </c>
      <c r="AE1280" s="83" t="str">
        <f>HYPERLINK("https://twitter.com/talentomayan/status/1646200902569672706")</f>
        <v>https://twitter.com/talentomayan/status/1646200902569672706</v>
      </c>
      <c r="AF1280" s="79">
        <v>45028.720532407409</v>
      </c>
      <c r="AG1280" s="85">
        <v>45028</v>
      </c>
      <c r="AH1280" s="81" t="s">
        <v>6942</v>
      </c>
      <c r="AI1280" s="77" t="b">
        <v>0</v>
      </c>
      <c r="AJ1280" s="77"/>
      <c r="AK1280" s="77"/>
      <c r="AL1280" s="77"/>
      <c r="AM1280" s="77"/>
      <c r="AN1280" s="77"/>
      <c r="AO1280" s="77"/>
      <c r="AP1280" s="77"/>
      <c r="AQ1280" s="77" t="s">
        <v>8754</v>
      </c>
      <c r="AR1280" s="77"/>
      <c r="AS1280" s="77"/>
      <c r="AT1280" s="77"/>
      <c r="AU1280" s="77"/>
      <c r="AV1280" s="83" t="str">
        <f>HYPERLINK("https://pbs.twimg.com/media/Fth6_b-XwAEhdbx.jpg")</f>
        <v>https://pbs.twimg.com/media/Fth6_b-XwAEhdbx.jpg</v>
      </c>
      <c r="AW1280" s="81" t="s">
        <v>10402</v>
      </c>
      <c r="AX1280" s="81" t="s">
        <v>10402</v>
      </c>
      <c r="AY1280" s="77"/>
      <c r="AZ1280" s="81" t="s">
        <v>11359</v>
      </c>
      <c r="BA1280" s="81" t="s">
        <v>11359</v>
      </c>
      <c r="BB1280" s="81" t="s">
        <v>11359</v>
      </c>
      <c r="BC1280" s="81" t="s">
        <v>10402</v>
      </c>
      <c r="BD1280" s="81" t="s">
        <v>11538</v>
      </c>
      <c r="BE1280" s="77"/>
      <c r="BF1280" s="77"/>
      <c r="BG1280" s="77"/>
      <c r="BH1280" s="77"/>
      <c r="BI1280" s="77"/>
    </row>
    <row r="1281" spans="1:61" x14ac:dyDescent="0.25">
      <c r="A1281" s="62" t="s">
        <v>493</v>
      </c>
      <c r="B1281" s="62" t="s">
        <v>493</v>
      </c>
      <c r="C1281" s="63"/>
      <c r="D1281" s="64"/>
      <c r="E1281" s="65"/>
      <c r="F1281" s="66"/>
      <c r="G1281" s="63"/>
      <c r="H1281" s="67"/>
      <c r="I1281" s="68"/>
      <c r="J1281" s="68"/>
      <c r="K1281" s="32"/>
      <c r="L1281" s="75">
        <v>1281</v>
      </c>
      <c r="M1281" s="75"/>
      <c r="N1281" s="70"/>
      <c r="O1281" s="77" t="s">
        <v>179</v>
      </c>
      <c r="P1281" s="79">
        <v>44984.874432870369</v>
      </c>
      <c r="Q1281" s="77" t="s">
        <v>2080</v>
      </c>
      <c r="R1281" s="77">
        <v>0</v>
      </c>
      <c r="S1281" s="77">
        <v>0</v>
      </c>
      <c r="T1281" s="77">
        <v>0</v>
      </c>
      <c r="U1281" s="77">
        <v>0</v>
      </c>
      <c r="V1281" s="77">
        <v>30</v>
      </c>
      <c r="W1281" s="81" t="s">
        <v>3575</v>
      </c>
      <c r="X1281" s="77"/>
      <c r="Y1281" s="77"/>
      <c r="Z1281" s="77"/>
      <c r="AA1281" s="77" t="s">
        <v>5252</v>
      </c>
      <c r="AB1281" s="77" t="s">
        <v>5794</v>
      </c>
      <c r="AC1281" s="81" t="s">
        <v>5805</v>
      </c>
      <c r="AD1281" s="77" t="s">
        <v>5850</v>
      </c>
      <c r="AE1281" s="83" t="str">
        <f>HYPERLINK("https://twitter.com/talentomayan/status/1630311607413743620")</f>
        <v>https://twitter.com/talentomayan/status/1630311607413743620</v>
      </c>
      <c r="AF1281" s="79">
        <v>44984.874432870369</v>
      </c>
      <c r="AG1281" s="85">
        <v>44984</v>
      </c>
      <c r="AH1281" s="81" t="s">
        <v>6943</v>
      </c>
      <c r="AI1281" s="77" t="b">
        <v>0</v>
      </c>
      <c r="AJ1281" s="77"/>
      <c r="AK1281" s="77"/>
      <c r="AL1281" s="77"/>
      <c r="AM1281" s="77"/>
      <c r="AN1281" s="77"/>
      <c r="AO1281" s="77"/>
      <c r="AP1281" s="77"/>
      <c r="AQ1281" s="77" t="s">
        <v>8755</v>
      </c>
      <c r="AR1281" s="77"/>
      <c r="AS1281" s="77"/>
      <c r="AT1281" s="77"/>
      <c r="AU1281" s="77"/>
      <c r="AV1281" s="83" t="str">
        <f>HYPERLINK("https://pbs.twimg.com/media/FqAHwzKWAAEyuKm.jpg")</f>
        <v>https://pbs.twimg.com/media/FqAHwzKWAAEyuKm.jpg</v>
      </c>
      <c r="AW1281" s="81" t="s">
        <v>10403</v>
      </c>
      <c r="AX1281" s="81" t="s">
        <v>10403</v>
      </c>
      <c r="AY1281" s="77"/>
      <c r="AZ1281" s="81" t="s">
        <v>11359</v>
      </c>
      <c r="BA1281" s="81" t="s">
        <v>11359</v>
      </c>
      <c r="BB1281" s="81" t="s">
        <v>11359</v>
      </c>
      <c r="BC1281" s="81" t="s">
        <v>10403</v>
      </c>
      <c r="BD1281" s="81" t="s">
        <v>11538</v>
      </c>
      <c r="BE1281" s="77"/>
      <c r="BF1281" s="77"/>
      <c r="BG1281" s="77"/>
      <c r="BH1281" s="77"/>
      <c r="BI1281" s="77"/>
    </row>
    <row r="1282" spans="1:61" x14ac:dyDescent="0.25">
      <c r="A1282" s="62" t="s">
        <v>493</v>
      </c>
      <c r="B1282" s="62" t="s">
        <v>493</v>
      </c>
      <c r="C1282" s="63"/>
      <c r="D1282" s="64"/>
      <c r="E1282" s="65"/>
      <c r="F1282" s="66"/>
      <c r="G1282" s="63"/>
      <c r="H1282" s="67"/>
      <c r="I1282" s="68"/>
      <c r="J1282" s="68"/>
      <c r="K1282" s="32"/>
      <c r="L1282" s="75">
        <v>1282</v>
      </c>
      <c r="M1282" s="75"/>
      <c r="N1282" s="70"/>
      <c r="O1282" s="77" t="s">
        <v>179</v>
      </c>
      <c r="P1282" s="79">
        <v>44984.613796296297</v>
      </c>
      <c r="Q1282" s="77" t="s">
        <v>2081</v>
      </c>
      <c r="R1282" s="77">
        <v>0</v>
      </c>
      <c r="S1282" s="77">
        <v>0</v>
      </c>
      <c r="T1282" s="77">
        <v>0</v>
      </c>
      <c r="U1282" s="77">
        <v>0</v>
      </c>
      <c r="V1282" s="77">
        <v>44</v>
      </c>
      <c r="W1282" s="81" t="s">
        <v>3575</v>
      </c>
      <c r="X1282" s="77"/>
      <c r="Y1282" s="77"/>
      <c r="Z1282" s="77"/>
      <c r="AA1282" s="77" t="s">
        <v>5253</v>
      </c>
      <c r="AB1282" s="77" t="s">
        <v>5794</v>
      </c>
      <c r="AC1282" s="81" t="s">
        <v>5805</v>
      </c>
      <c r="AD1282" s="77" t="s">
        <v>5850</v>
      </c>
      <c r="AE1282" s="83" t="str">
        <f>HYPERLINK("https://twitter.com/talentomayan/status/1630217154900443137")</f>
        <v>https://twitter.com/talentomayan/status/1630217154900443137</v>
      </c>
      <c r="AF1282" s="79">
        <v>44984.613796296297</v>
      </c>
      <c r="AG1282" s="85">
        <v>44984</v>
      </c>
      <c r="AH1282" s="81" t="s">
        <v>6944</v>
      </c>
      <c r="AI1282" s="77" t="b">
        <v>0</v>
      </c>
      <c r="AJ1282" s="77"/>
      <c r="AK1282" s="77"/>
      <c r="AL1282" s="77"/>
      <c r="AM1282" s="77"/>
      <c r="AN1282" s="77"/>
      <c r="AO1282" s="77"/>
      <c r="AP1282" s="77"/>
      <c r="AQ1282" s="77" t="s">
        <v>8756</v>
      </c>
      <c r="AR1282" s="77"/>
      <c r="AS1282" s="77"/>
      <c r="AT1282" s="77"/>
      <c r="AU1282" s="77"/>
      <c r="AV1282" s="83" t="str">
        <f>HYPERLINK("https://pbs.twimg.com/media/Fp-x3A9WAAATG6-.jpg")</f>
        <v>https://pbs.twimg.com/media/Fp-x3A9WAAATG6-.jpg</v>
      </c>
      <c r="AW1282" s="81" t="s">
        <v>10404</v>
      </c>
      <c r="AX1282" s="81" t="s">
        <v>10404</v>
      </c>
      <c r="AY1282" s="77"/>
      <c r="AZ1282" s="81" t="s">
        <v>11359</v>
      </c>
      <c r="BA1282" s="81" t="s">
        <v>11359</v>
      </c>
      <c r="BB1282" s="81" t="s">
        <v>11359</v>
      </c>
      <c r="BC1282" s="81" t="s">
        <v>10404</v>
      </c>
      <c r="BD1282" s="81" t="s">
        <v>11538</v>
      </c>
      <c r="BE1282" s="77"/>
      <c r="BF1282" s="77"/>
      <c r="BG1282" s="77"/>
      <c r="BH1282" s="77"/>
      <c r="BI1282" s="77"/>
    </row>
    <row r="1283" spans="1:61" x14ac:dyDescent="0.25">
      <c r="A1283" s="62" t="s">
        <v>493</v>
      </c>
      <c r="B1283" s="62" t="s">
        <v>493</v>
      </c>
      <c r="C1283" s="63"/>
      <c r="D1283" s="64"/>
      <c r="E1283" s="65"/>
      <c r="F1283" s="66"/>
      <c r="G1283" s="63"/>
      <c r="H1283" s="67"/>
      <c r="I1283" s="68"/>
      <c r="J1283" s="68"/>
      <c r="K1283" s="32"/>
      <c r="L1283" s="75">
        <v>1283</v>
      </c>
      <c r="M1283" s="75"/>
      <c r="N1283" s="70"/>
      <c r="O1283" s="77" t="s">
        <v>179</v>
      </c>
      <c r="P1283" s="79">
        <v>45093.678136574075</v>
      </c>
      <c r="Q1283" s="77" t="s">
        <v>2082</v>
      </c>
      <c r="R1283" s="77">
        <v>0</v>
      </c>
      <c r="S1283" s="77">
        <v>0</v>
      </c>
      <c r="T1283" s="77">
        <v>0</v>
      </c>
      <c r="U1283" s="77">
        <v>0</v>
      </c>
      <c r="V1283" s="77">
        <v>44</v>
      </c>
      <c r="W1283" s="81" t="s">
        <v>3575</v>
      </c>
      <c r="X1283" s="77"/>
      <c r="Y1283" s="77"/>
      <c r="Z1283" s="77"/>
      <c r="AA1283" s="77" t="s">
        <v>5254</v>
      </c>
      <c r="AB1283" s="77" t="s">
        <v>5794</v>
      </c>
      <c r="AC1283" s="81" t="s">
        <v>5805</v>
      </c>
      <c r="AD1283" s="77" t="s">
        <v>5850</v>
      </c>
      <c r="AE1283" s="83" t="str">
        <f>HYPERLINK("https://twitter.com/talentomayan/status/1669740750316158976")</f>
        <v>https://twitter.com/talentomayan/status/1669740750316158976</v>
      </c>
      <c r="AF1283" s="79">
        <v>45093.678136574075</v>
      </c>
      <c r="AG1283" s="85">
        <v>45093</v>
      </c>
      <c r="AH1283" s="81" t="s">
        <v>6945</v>
      </c>
      <c r="AI1283" s="77" t="b">
        <v>0</v>
      </c>
      <c r="AJ1283" s="77"/>
      <c r="AK1283" s="77"/>
      <c r="AL1283" s="77"/>
      <c r="AM1283" s="77"/>
      <c r="AN1283" s="77"/>
      <c r="AO1283" s="77"/>
      <c r="AP1283" s="77"/>
      <c r="AQ1283" s="77" t="s">
        <v>8757</v>
      </c>
      <c r="AR1283" s="77"/>
      <c r="AS1283" s="77"/>
      <c r="AT1283" s="77"/>
      <c r="AU1283" s="77"/>
      <c r="AV1283" s="83" t="str">
        <f>HYPERLINK("https://pbs.twimg.com/media/FywcW5IXgAARWAU.jpg")</f>
        <v>https://pbs.twimg.com/media/FywcW5IXgAARWAU.jpg</v>
      </c>
      <c r="AW1283" s="81" t="s">
        <v>10405</v>
      </c>
      <c r="AX1283" s="81" t="s">
        <v>10405</v>
      </c>
      <c r="AY1283" s="77"/>
      <c r="AZ1283" s="81" t="s">
        <v>11359</v>
      </c>
      <c r="BA1283" s="81" t="s">
        <v>11359</v>
      </c>
      <c r="BB1283" s="81" t="s">
        <v>11359</v>
      </c>
      <c r="BC1283" s="81" t="s">
        <v>10405</v>
      </c>
      <c r="BD1283" s="81" t="s">
        <v>11538</v>
      </c>
      <c r="BE1283" s="77"/>
      <c r="BF1283" s="77"/>
      <c r="BG1283" s="77"/>
      <c r="BH1283" s="77"/>
      <c r="BI1283" s="77"/>
    </row>
    <row r="1284" spans="1:61" x14ac:dyDescent="0.25">
      <c r="A1284" s="62" t="s">
        <v>493</v>
      </c>
      <c r="B1284" s="62" t="s">
        <v>493</v>
      </c>
      <c r="C1284" s="63"/>
      <c r="D1284" s="64"/>
      <c r="E1284" s="65"/>
      <c r="F1284" s="66"/>
      <c r="G1284" s="63"/>
      <c r="H1284" s="67"/>
      <c r="I1284" s="68"/>
      <c r="J1284" s="68"/>
      <c r="K1284" s="32"/>
      <c r="L1284" s="75">
        <v>1284</v>
      </c>
      <c r="M1284" s="75"/>
      <c r="N1284" s="70"/>
      <c r="O1284" s="77" t="s">
        <v>179</v>
      </c>
      <c r="P1284" s="79">
        <v>45071.626076388886</v>
      </c>
      <c r="Q1284" s="77" t="s">
        <v>2083</v>
      </c>
      <c r="R1284" s="77">
        <v>0</v>
      </c>
      <c r="S1284" s="77">
        <v>0</v>
      </c>
      <c r="T1284" s="77">
        <v>0</v>
      </c>
      <c r="U1284" s="77">
        <v>0</v>
      </c>
      <c r="V1284" s="77">
        <v>27</v>
      </c>
      <c r="W1284" s="81" t="s">
        <v>3575</v>
      </c>
      <c r="X1284" s="77"/>
      <c r="Y1284" s="77"/>
      <c r="Z1284" s="77"/>
      <c r="AA1284" s="77" t="s">
        <v>5255</v>
      </c>
      <c r="AB1284" s="77" t="s">
        <v>5794</v>
      </c>
      <c r="AC1284" s="81" t="s">
        <v>5805</v>
      </c>
      <c r="AD1284" s="77" t="s">
        <v>5850</v>
      </c>
      <c r="AE1284" s="83" t="str">
        <f>HYPERLINK("https://twitter.com/talentomayan/status/1661749351994253313")</f>
        <v>https://twitter.com/talentomayan/status/1661749351994253313</v>
      </c>
      <c r="AF1284" s="79">
        <v>45071.626076388886</v>
      </c>
      <c r="AG1284" s="85">
        <v>45071</v>
      </c>
      <c r="AH1284" s="81" t="s">
        <v>6946</v>
      </c>
      <c r="AI1284" s="77" t="b">
        <v>0</v>
      </c>
      <c r="AJ1284" s="77"/>
      <c r="AK1284" s="77"/>
      <c r="AL1284" s="77"/>
      <c r="AM1284" s="77"/>
      <c r="AN1284" s="77"/>
      <c r="AO1284" s="77"/>
      <c r="AP1284" s="77"/>
      <c r="AQ1284" s="77" t="s">
        <v>8758</v>
      </c>
      <c r="AR1284" s="77"/>
      <c r="AS1284" s="77"/>
      <c r="AT1284" s="77"/>
      <c r="AU1284" s="77"/>
      <c r="AV1284" s="83" t="str">
        <f>HYPERLINK("https://pbs.twimg.com/media/Fw-4Ob_aUA0k2W3.jpg")</f>
        <v>https://pbs.twimg.com/media/Fw-4Ob_aUA0k2W3.jpg</v>
      </c>
      <c r="AW1284" s="81" t="s">
        <v>10406</v>
      </c>
      <c r="AX1284" s="81" t="s">
        <v>10406</v>
      </c>
      <c r="AY1284" s="77"/>
      <c r="AZ1284" s="81" t="s">
        <v>11359</v>
      </c>
      <c r="BA1284" s="81" t="s">
        <v>11359</v>
      </c>
      <c r="BB1284" s="81" t="s">
        <v>11359</v>
      </c>
      <c r="BC1284" s="81" t="s">
        <v>10406</v>
      </c>
      <c r="BD1284" s="81" t="s">
        <v>11538</v>
      </c>
      <c r="BE1284" s="77"/>
      <c r="BF1284" s="77"/>
      <c r="BG1284" s="77"/>
      <c r="BH1284" s="77"/>
      <c r="BI1284" s="77"/>
    </row>
    <row r="1285" spans="1:61" x14ac:dyDescent="0.25">
      <c r="A1285" s="62" t="s">
        <v>493</v>
      </c>
      <c r="B1285" s="62" t="s">
        <v>493</v>
      </c>
      <c r="C1285" s="63"/>
      <c r="D1285" s="64"/>
      <c r="E1285" s="65"/>
      <c r="F1285" s="66"/>
      <c r="G1285" s="63"/>
      <c r="H1285" s="67"/>
      <c r="I1285" s="68"/>
      <c r="J1285" s="68"/>
      <c r="K1285" s="32"/>
      <c r="L1285" s="75">
        <v>1285</v>
      </c>
      <c r="M1285" s="75"/>
      <c r="N1285" s="70"/>
      <c r="O1285" s="77" t="s">
        <v>179</v>
      </c>
      <c r="P1285" s="79">
        <v>45070.654733796298</v>
      </c>
      <c r="Q1285" s="77" t="s">
        <v>2084</v>
      </c>
      <c r="R1285" s="77">
        <v>0</v>
      </c>
      <c r="S1285" s="77">
        <v>0</v>
      </c>
      <c r="T1285" s="77">
        <v>0</v>
      </c>
      <c r="U1285" s="77">
        <v>0</v>
      </c>
      <c r="V1285" s="77">
        <v>35</v>
      </c>
      <c r="W1285" s="81" t="s">
        <v>3575</v>
      </c>
      <c r="X1285" s="77"/>
      <c r="Y1285" s="77"/>
      <c r="Z1285" s="77"/>
      <c r="AA1285" s="77" t="s">
        <v>5256</v>
      </c>
      <c r="AB1285" s="77" t="s">
        <v>5794</v>
      </c>
      <c r="AC1285" s="81" t="s">
        <v>5805</v>
      </c>
      <c r="AD1285" s="77" t="s">
        <v>5850</v>
      </c>
      <c r="AE1285" s="83" t="str">
        <f>HYPERLINK("https://twitter.com/talentomayan/status/1661397347115343873")</f>
        <v>https://twitter.com/talentomayan/status/1661397347115343873</v>
      </c>
      <c r="AF1285" s="79">
        <v>45070.654733796298</v>
      </c>
      <c r="AG1285" s="85">
        <v>45070</v>
      </c>
      <c r="AH1285" s="81" t="s">
        <v>6947</v>
      </c>
      <c r="AI1285" s="77" t="b">
        <v>0</v>
      </c>
      <c r="AJ1285" s="77"/>
      <c r="AK1285" s="77"/>
      <c r="AL1285" s="77"/>
      <c r="AM1285" s="77"/>
      <c r="AN1285" s="77"/>
      <c r="AO1285" s="77"/>
      <c r="AP1285" s="77"/>
      <c r="AQ1285" s="77" t="s">
        <v>8759</v>
      </c>
      <c r="AR1285" s="77"/>
      <c r="AS1285" s="77"/>
      <c r="AT1285" s="77"/>
      <c r="AU1285" s="77"/>
      <c r="AV1285" s="83" t="str">
        <f>HYPERLINK("https://pbs.twimg.com/media/Fw54FHGX0AAk-Ai.jpg")</f>
        <v>https://pbs.twimg.com/media/Fw54FHGX0AAk-Ai.jpg</v>
      </c>
      <c r="AW1285" s="81" t="s">
        <v>10407</v>
      </c>
      <c r="AX1285" s="81" t="s">
        <v>10407</v>
      </c>
      <c r="AY1285" s="77"/>
      <c r="AZ1285" s="81" t="s">
        <v>11359</v>
      </c>
      <c r="BA1285" s="81" t="s">
        <v>11359</v>
      </c>
      <c r="BB1285" s="81" t="s">
        <v>11359</v>
      </c>
      <c r="BC1285" s="81" t="s">
        <v>10407</v>
      </c>
      <c r="BD1285" s="81" t="s">
        <v>11538</v>
      </c>
      <c r="BE1285" s="77"/>
      <c r="BF1285" s="77"/>
      <c r="BG1285" s="77"/>
      <c r="BH1285" s="77"/>
      <c r="BI1285" s="77"/>
    </row>
    <row r="1286" spans="1:61" x14ac:dyDescent="0.25">
      <c r="A1286" s="62" t="s">
        <v>493</v>
      </c>
      <c r="B1286" s="62" t="s">
        <v>493</v>
      </c>
      <c r="C1286" s="63"/>
      <c r="D1286" s="64"/>
      <c r="E1286" s="65"/>
      <c r="F1286" s="66"/>
      <c r="G1286" s="63"/>
      <c r="H1286" s="67"/>
      <c r="I1286" s="68"/>
      <c r="J1286" s="68"/>
      <c r="K1286" s="32"/>
      <c r="L1286" s="75">
        <v>1286</v>
      </c>
      <c r="M1286" s="75"/>
      <c r="N1286" s="70"/>
      <c r="O1286" s="77" t="s">
        <v>179</v>
      </c>
      <c r="P1286" s="79">
        <v>45069.884062500001</v>
      </c>
      <c r="Q1286" s="77" t="s">
        <v>2085</v>
      </c>
      <c r="R1286" s="77">
        <v>0</v>
      </c>
      <c r="S1286" s="77">
        <v>0</v>
      </c>
      <c r="T1286" s="77">
        <v>0</v>
      </c>
      <c r="U1286" s="77">
        <v>0</v>
      </c>
      <c r="V1286" s="77">
        <v>31</v>
      </c>
      <c r="W1286" s="81" t="s">
        <v>3575</v>
      </c>
      <c r="X1286" s="77"/>
      <c r="Y1286" s="77"/>
      <c r="Z1286" s="77"/>
      <c r="AA1286" s="77" t="s">
        <v>5257</v>
      </c>
      <c r="AB1286" s="77" t="s">
        <v>5794</v>
      </c>
      <c r="AC1286" s="81" t="s">
        <v>5805</v>
      </c>
      <c r="AD1286" s="77" t="s">
        <v>5850</v>
      </c>
      <c r="AE1286" s="83" t="str">
        <f>HYPERLINK("https://twitter.com/talentomayan/status/1661118063599558682")</f>
        <v>https://twitter.com/talentomayan/status/1661118063599558682</v>
      </c>
      <c r="AF1286" s="79">
        <v>45069.884062500001</v>
      </c>
      <c r="AG1286" s="85">
        <v>45069</v>
      </c>
      <c r="AH1286" s="81" t="s">
        <v>6948</v>
      </c>
      <c r="AI1286" s="77" t="b">
        <v>0</v>
      </c>
      <c r="AJ1286" s="77"/>
      <c r="AK1286" s="77"/>
      <c r="AL1286" s="77"/>
      <c r="AM1286" s="77"/>
      <c r="AN1286" s="77"/>
      <c r="AO1286" s="77"/>
      <c r="AP1286" s="77"/>
      <c r="AQ1286" s="77" t="s">
        <v>8760</v>
      </c>
      <c r="AR1286" s="77"/>
      <c r="AS1286" s="77"/>
      <c r="AT1286" s="77"/>
      <c r="AU1286" s="77"/>
      <c r="AV1286" s="83" t="str">
        <f>HYPERLINK("https://pbs.twimg.com/media/Fw16DB0WIAwDj3F.jpg")</f>
        <v>https://pbs.twimg.com/media/Fw16DB0WIAwDj3F.jpg</v>
      </c>
      <c r="AW1286" s="81" t="s">
        <v>10408</v>
      </c>
      <c r="AX1286" s="81" t="s">
        <v>10408</v>
      </c>
      <c r="AY1286" s="77"/>
      <c r="AZ1286" s="81" t="s">
        <v>11359</v>
      </c>
      <c r="BA1286" s="81" t="s">
        <v>11359</v>
      </c>
      <c r="BB1286" s="81" t="s">
        <v>11359</v>
      </c>
      <c r="BC1286" s="81" t="s">
        <v>10408</v>
      </c>
      <c r="BD1286" s="81" t="s">
        <v>11538</v>
      </c>
      <c r="BE1286" s="77"/>
      <c r="BF1286" s="77"/>
      <c r="BG1286" s="77"/>
      <c r="BH1286" s="77"/>
      <c r="BI1286" s="77"/>
    </row>
    <row r="1287" spans="1:61" x14ac:dyDescent="0.25">
      <c r="A1287" s="62" t="s">
        <v>493</v>
      </c>
      <c r="B1287" s="62" t="s">
        <v>493</v>
      </c>
      <c r="C1287" s="63"/>
      <c r="D1287" s="64"/>
      <c r="E1287" s="65"/>
      <c r="F1287" s="66"/>
      <c r="G1287" s="63"/>
      <c r="H1287" s="67"/>
      <c r="I1287" s="68"/>
      <c r="J1287" s="68"/>
      <c r="K1287" s="32"/>
      <c r="L1287" s="75">
        <v>1287</v>
      </c>
      <c r="M1287" s="75"/>
      <c r="N1287" s="70"/>
      <c r="O1287" s="77" t="s">
        <v>179</v>
      </c>
      <c r="P1287" s="79">
        <v>45026.615162037036</v>
      </c>
      <c r="Q1287" s="77" t="s">
        <v>2086</v>
      </c>
      <c r="R1287" s="77">
        <v>0</v>
      </c>
      <c r="S1287" s="77">
        <v>0</v>
      </c>
      <c r="T1287" s="77">
        <v>0</v>
      </c>
      <c r="U1287" s="77">
        <v>0</v>
      </c>
      <c r="V1287" s="77">
        <v>41</v>
      </c>
      <c r="W1287" s="81" t="s">
        <v>3575</v>
      </c>
      <c r="X1287" s="77"/>
      <c r="Y1287" s="77"/>
      <c r="Z1287" s="77"/>
      <c r="AA1287" s="77" t="s">
        <v>5258</v>
      </c>
      <c r="AB1287" s="77" t="s">
        <v>5794</v>
      </c>
      <c r="AC1287" s="81" t="s">
        <v>5805</v>
      </c>
      <c r="AD1287" s="77" t="s">
        <v>5850</v>
      </c>
      <c r="AE1287" s="83" t="str">
        <f>HYPERLINK("https://twitter.com/talentomayan/status/1645437938937786373")</f>
        <v>https://twitter.com/talentomayan/status/1645437938937786373</v>
      </c>
      <c r="AF1287" s="79">
        <v>45026.615162037036</v>
      </c>
      <c r="AG1287" s="85">
        <v>45026</v>
      </c>
      <c r="AH1287" s="81" t="s">
        <v>6949</v>
      </c>
      <c r="AI1287" s="77" t="b">
        <v>0</v>
      </c>
      <c r="AJ1287" s="77"/>
      <c r="AK1287" s="77"/>
      <c r="AL1287" s="77"/>
      <c r="AM1287" s="77"/>
      <c r="AN1287" s="77"/>
      <c r="AO1287" s="77"/>
      <c r="AP1287" s="77"/>
      <c r="AQ1287" s="77" t="s">
        <v>8761</v>
      </c>
      <c r="AR1287" s="77"/>
      <c r="AS1287" s="77"/>
      <c r="AT1287" s="77"/>
      <c r="AU1287" s="77"/>
      <c r="AV1287" s="83" t="str">
        <f>HYPERLINK("https://pbs.twimg.com/media/FtXFFOcXwAArEJB.jpg")</f>
        <v>https://pbs.twimg.com/media/FtXFFOcXwAArEJB.jpg</v>
      </c>
      <c r="AW1287" s="81" t="s">
        <v>10409</v>
      </c>
      <c r="AX1287" s="81" t="s">
        <v>10409</v>
      </c>
      <c r="AY1287" s="77"/>
      <c r="AZ1287" s="81" t="s">
        <v>11359</v>
      </c>
      <c r="BA1287" s="81" t="s">
        <v>11359</v>
      </c>
      <c r="BB1287" s="81" t="s">
        <v>11359</v>
      </c>
      <c r="BC1287" s="81" t="s">
        <v>10409</v>
      </c>
      <c r="BD1287" s="81" t="s">
        <v>11538</v>
      </c>
      <c r="BE1287" s="77"/>
      <c r="BF1287" s="77"/>
      <c r="BG1287" s="77"/>
      <c r="BH1287" s="77"/>
      <c r="BI1287" s="77"/>
    </row>
    <row r="1288" spans="1:61" x14ac:dyDescent="0.25">
      <c r="A1288" s="62" t="s">
        <v>493</v>
      </c>
      <c r="B1288" s="62" t="s">
        <v>493</v>
      </c>
      <c r="C1288" s="63"/>
      <c r="D1288" s="64"/>
      <c r="E1288" s="65"/>
      <c r="F1288" s="66"/>
      <c r="G1288" s="63"/>
      <c r="H1288" s="67"/>
      <c r="I1288" s="68"/>
      <c r="J1288" s="68"/>
      <c r="K1288" s="32"/>
      <c r="L1288" s="75">
        <v>1288</v>
      </c>
      <c r="M1288" s="75"/>
      <c r="N1288" s="70"/>
      <c r="O1288" s="77" t="s">
        <v>179</v>
      </c>
      <c r="P1288" s="79">
        <v>45024.584953703707</v>
      </c>
      <c r="Q1288" s="77" t="s">
        <v>2087</v>
      </c>
      <c r="R1288" s="77">
        <v>0</v>
      </c>
      <c r="S1288" s="77">
        <v>0</v>
      </c>
      <c r="T1288" s="77">
        <v>0</v>
      </c>
      <c r="U1288" s="77">
        <v>0</v>
      </c>
      <c r="V1288" s="77">
        <v>48</v>
      </c>
      <c r="W1288" s="81" t="s">
        <v>3575</v>
      </c>
      <c r="X1288" s="77"/>
      <c r="Y1288" s="77"/>
      <c r="Z1288" s="77"/>
      <c r="AA1288" s="77" t="s">
        <v>5259</v>
      </c>
      <c r="AB1288" s="77" t="s">
        <v>5794</v>
      </c>
      <c r="AC1288" s="81" t="s">
        <v>5805</v>
      </c>
      <c r="AD1288" s="77" t="s">
        <v>5850</v>
      </c>
      <c r="AE1288" s="83" t="str">
        <f>HYPERLINK("https://twitter.com/talentomayan/status/1644702215943204865")</f>
        <v>https://twitter.com/talentomayan/status/1644702215943204865</v>
      </c>
      <c r="AF1288" s="79">
        <v>45024.584953703707</v>
      </c>
      <c r="AG1288" s="85">
        <v>45024</v>
      </c>
      <c r="AH1288" s="81" t="s">
        <v>6950</v>
      </c>
      <c r="AI1288" s="77" t="b">
        <v>0</v>
      </c>
      <c r="AJ1288" s="77"/>
      <c r="AK1288" s="77"/>
      <c r="AL1288" s="77"/>
      <c r="AM1288" s="77"/>
      <c r="AN1288" s="77"/>
      <c r="AO1288" s="77"/>
      <c r="AP1288" s="77"/>
      <c r="AQ1288" s="77" t="s">
        <v>8762</v>
      </c>
      <c r="AR1288" s="77"/>
      <c r="AS1288" s="77"/>
      <c r="AT1288" s="77"/>
      <c r="AU1288" s="77"/>
      <c r="AV1288" s="83" t="str">
        <f>HYPERLINK("https://pbs.twimg.com/media/FtMn73MX0AgLffZ.jpg")</f>
        <v>https://pbs.twimg.com/media/FtMn73MX0AgLffZ.jpg</v>
      </c>
      <c r="AW1288" s="81" t="s">
        <v>10410</v>
      </c>
      <c r="AX1288" s="81" t="s">
        <v>10410</v>
      </c>
      <c r="AY1288" s="77"/>
      <c r="AZ1288" s="81" t="s">
        <v>11359</v>
      </c>
      <c r="BA1288" s="81" t="s">
        <v>11359</v>
      </c>
      <c r="BB1288" s="81" t="s">
        <v>11359</v>
      </c>
      <c r="BC1288" s="81" t="s">
        <v>10410</v>
      </c>
      <c r="BD1288" s="81" t="s">
        <v>11538</v>
      </c>
      <c r="BE1288" s="77"/>
      <c r="BF1288" s="77"/>
      <c r="BG1288" s="77"/>
      <c r="BH1288" s="77"/>
      <c r="BI1288" s="77"/>
    </row>
    <row r="1289" spans="1:61" x14ac:dyDescent="0.25">
      <c r="A1289" s="62" t="s">
        <v>493</v>
      </c>
      <c r="B1289" s="62" t="s">
        <v>493</v>
      </c>
      <c r="C1289" s="63"/>
      <c r="D1289" s="64"/>
      <c r="E1289" s="65"/>
      <c r="F1289" s="66"/>
      <c r="G1289" s="63"/>
      <c r="H1289" s="67"/>
      <c r="I1289" s="68"/>
      <c r="J1289" s="68"/>
      <c r="K1289" s="32"/>
      <c r="L1289" s="75">
        <v>1289</v>
      </c>
      <c r="M1289" s="75"/>
      <c r="N1289" s="70"/>
      <c r="O1289" s="77" t="s">
        <v>179</v>
      </c>
      <c r="P1289" s="79">
        <v>45023.723738425928</v>
      </c>
      <c r="Q1289" s="77" t="s">
        <v>2088</v>
      </c>
      <c r="R1289" s="77">
        <v>0</v>
      </c>
      <c r="S1289" s="77">
        <v>0</v>
      </c>
      <c r="T1289" s="77">
        <v>0</v>
      </c>
      <c r="U1289" s="77">
        <v>0</v>
      </c>
      <c r="V1289" s="77">
        <v>42</v>
      </c>
      <c r="W1289" s="81" t="s">
        <v>3575</v>
      </c>
      <c r="X1289" s="77"/>
      <c r="Y1289" s="77"/>
      <c r="Z1289" s="77"/>
      <c r="AA1289" s="77" t="s">
        <v>5260</v>
      </c>
      <c r="AB1289" s="77" t="s">
        <v>5794</v>
      </c>
      <c r="AC1289" s="81" t="s">
        <v>5805</v>
      </c>
      <c r="AD1289" s="77" t="s">
        <v>5850</v>
      </c>
      <c r="AE1289" s="83" t="str">
        <f>HYPERLINK("https://twitter.com/talentomayan/status/1644390124640141315")</f>
        <v>https://twitter.com/talentomayan/status/1644390124640141315</v>
      </c>
      <c r="AF1289" s="79">
        <v>45023.723738425928</v>
      </c>
      <c r="AG1289" s="85">
        <v>45023</v>
      </c>
      <c r="AH1289" s="81" t="s">
        <v>6951</v>
      </c>
      <c r="AI1289" s="77" t="b">
        <v>0</v>
      </c>
      <c r="AJ1289" s="77"/>
      <c r="AK1289" s="77"/>
      <c r="AL1289" s="77"/>
      <c r="AM1289" s="77"/>
      <c r="AN1289" s="77"/>
      <c r="AO1289" s="77"/>
      <c r="AP1289" s="77"/>
      <c r="AQ1289" s="77" t="s">
        <v>8763</v>
      </c>
      <c r="AR1289" s="77"/>
      <c r="AS1289" s="77"/>
      <c r="AT1289" s="77"/>
      <c r="AU1289" s="77"/>
      <c r="AV1289" s="83" t="str">
        <f>HYPERLINK("https://pbs.twimg.com/media/FtIMGWzWAAgH8vJ.jpg")</f>
        <v>https://pbs.twimg.com/media/FtIMGWzWAAgH8vJ.jpg</v>
      </c>
      <c r="AW1289" s="81" t="s">
        <v>10411</v>
      </c>
      <c r="AX1289" s="81" t="s">
        <v>10411</v>
      </c>
      <c r="AY1289" s="77"/>
      <c r="AZ1289" s="81" t="s">
        <v>11359</v>
      </c>
      <c r="BA1289" s="81" t="s">
        <v>11359</v>
      </c>
      <c r="BB1289" s="81" t="s">
        <v>11359</v>
      </c>
      <c r="BC1289" s="81" t="s">
        <v>10411</v>
      </c>
      <c r="BD1289" s="81" t="s">
        <v>11538</v>
      </c>
      <c r="BE1289" s="77"/>
      <c r="BF1289" s="77"/>
      <c r="BG1289" s="77"/>
      <c r="BH1289" s="77"/>
      <c r="BI1289" s="77"/>
    </row>
    <row r="1290" spans="1:61" x14ac:dyDescent="0.25">
      <c r="A1290" s="62" t="s">
        <v>493</v>
      </c>
      <c r="B1290" s="62" t="s">
        <v>493</v>
      </c>
      <c r="C1290" s="63"/>
      <c r="D1290" s="64"/>
      <c r="E1290" s="65"/>
      <c r="F1290" s="66"/>
      <c r="G1290" s="63"/>
      <c r="H1290" s="67"/>
      <c r="I1290" s="68"/>
      <c r="J1290" s="68"/>
      <c r="K1290" s="32"/>
      <c r="L1290" s="75">
        <v>1290</v>
      </c>
      <c r="M1290" s="75"/>
      <c r="N1290" s="70"/>
      <c r="O1290" s="77" t="s">
        <v>179</v>
      </c>
      <c r="P1290" s="79">
        <v>45022.856192129628</v>
      </c>
      <c r="Q1290" s="77" t="s">
        <v>2089</v>
      </c>
      <c r="R1290" s="77">
        <v>0</v>
      </c>
      <c r="S1290" s="77">
        <v>0</v>
      </c>
      <c r="T1290" s="77">
        <v>0</v>
      </c>
      <c r="U1290" s="77">
        <v>0</v>
      </c>
      <c r="V1290" s="77">
        <v>34</v>
      </c>
      <c r="W1290" s="81" t="s">
        <v>3575</v>
      </c>
      <c r="X1290" s="77"/>
      <c r="Y1290" s="77"/>
      <c r="Z1290" s="77"/>
      <c r="AA1290" s="77" t="s">
        <v>5261</v>
      </c>
      <c r="AB1290" s="77" t="s">
        <v>5794</v>
      </c>
      <c r="AC1290" s="81" t="s">
        <v>5805</v>
      </c>
      <c r="AD1290" s="77" t="s">
        <v>5850</v>
      </c>
      <c r="AE1290" s="83" t="str">
        <f>HYPERLINK("https://twitter.com/talentomayan/status/1644075735445905410")</f>
        <v>https://twitter.com/talentomayan/status/1644075735445905410</v>
      </c>
      <c r="AF1290" s="79">
        <v>45022.856192129628</v>
      </c>
      <c r="AG1290" s="85">
        <v>45022</v>
      </c>
      <c r="AH1290" s="81" t="s">
        <v>6952</v>
      </c>
      <c r="AI1290" s="77" t="b">
        <v>0</v>
      </c>
      <c r="AJ1290" s="77"/>
      <c r="AK1290" s="77"/>
      <c r="AL1290" s="77"/>
      <c r="AM1290" s="77"/>
      <c r="AN1290" s="77"/>
      <c r="AO1290" s="77"/>
      <c r="AP1290" s="77"/>
      <c r="AQ1290" s="77" t="s">
        <v>8764</v>
      </c>
      <c r="AR1290" s="77"/>
      <c r="AS1290" s="77"/>
      <c r="AT1290" s="77"/>
      <c r="AU1290" s="77"/>
      <c r="AV1290" s="83" t="str">
        <f>HYPERLINK("https://pbs.twimg.com/media/FtDuKlNXsAArlHB.jpg")</f>
        <v>https://pbs.twimg.com/media/FtDuKlNXsAArlHB.jpg</v>
      </c>
      <c r="AW1290" s="81" t="s">
        <v>10412</v>
      </c>
      <c r="AX1290" s="81" t="s">
        <v>10412</v>
      </c>
      <c r="AY1290" s="77"/>
      <c r="AZ1290" s="81" t="s">
        <v>11359</v>
      </c>
      <c r="BA1290" s="81" t="s">
        <v>11359</v>
      </c>
      <c r="BB1290" s="81" t="s">
        <v>11359</v>
      </c>
      <c r="BC1290" s="81" t="s">
        <v>10412</v>
      </c>
      <c r="BD1290" s="81" t="s">
        <v>11538</v>
      </c>
      <c r="BE1290" s="77"/>
      <c r="BF1290" s="77"/>
      <c r="BG1290" s="77"/>
      <c r="BH1290" s="77"/>
      <c r="BI1290" s="77"/>
    </row>
    <row r="1291" spans="1:61" x14ac:dyDescent="0.25">
      <c r="A1291" s="62" t="s">
        <v>493</v>
      </c>
      <c r="B1291" s="62" t="s">
        <v>493</v>
      </c>
      <c r="C1291" s="63"/>
      <c r="D1291" s="64"/>
      <c r="E1291" s="65"/>
      <c r="F1291" s="66"/>
      <c r="G1291" s="63"/>
      <c r="H1291" s="67"/>
      <c r="I1291" s="68"/>
      <c r="J1291" s="68"/>
      <c r="K1291" s="32"/>
      <c r="L1291" s="75">
        <v>1291</v>
      </c>
      <c r="M1291" s="75"/>
      <c r="N1291" s="70"/>
      <c r="O1291" s="77" t="s">
        <v>179</v>
      </c>
      <c r="P1291" s="79">
        <v>45022.599502314813</v>
      </c>
      <c r="Q1291" s="77" t="s">
        <v>2090</v>
      </c>
      <c r="R1291" s="77">
        <v>0</v>
      </c>
      <c r="S1291" s="77">
        <v>0</v>
      </c>
      <c r="T1291" s="77">
        <v>0</v>
      </c>
      <c r="U1291" s="77">
        <v>0</v>
      </c>
      <c r="V1291" s="77">
        <v>31</v>
      </c>
      <c r="W1291" s="81" t="s">
        <v>3575</v>
      </c>
      <c r="X1291" s="77"/>
      <c r="Y1291" s="77"/>
      <c r="Z1291" s="77"/>
      <c r="AA1291" s="77" t="s">
        <v>5262</v>
      </c>
      <c r="AB1291" s="77" t="s">
        <v>5794</v>
      </c>
      <c r="AC1291" s="81" t="s">
        <v>5805</v>
      </c>
      <c r="AD1291" s="77" t="s">
        <v>5850</v>
      </c>
      <c r="AE1291" s="83" t="str">
        <f>HYPERLINK("https://twitter.com/talentomayan/status/1643982714746601473")</f>
        <v>https://twitter.com/talentomayan/status/1643982714746601473</v>
      </c>
      <c r="AF1291" s="79">
        <v>45022.599502314813</v>
      </c>
      <c r="AG1291" s="85">
        <v>45022</v>
      </c>
      <c r="AH1291" s="81" t="s">
        <v>6953</v>
      </c>
      <c r="AI1291" s="77" t="b">
        <v>0</v>
      </c>
      <c r="AJ1291" s="77"/>
      <c r="AK1291" s="77"/>
      <c r="AL1291" s="77"/>
      <c r="AM1291" s="77"/>
      <c r="AN1291" s="77"/>
      <c r="AO1291" s="77"/>
      <c r="AP1291" s="77"/>
      <c r="AQ1291" s="77" t="s">
        <v>8765</v>
      </c>
      <c r="AR1291" s="77"/>
      <c r="AS1291" s="77"/>
      <c r="AT1291" s="77"/>
      <c r="AU1291" s="77"/>
      <c r="AV1291" s="83" t="str">
        <f>HYPERLINK("https://pbs.twimg.com/media/FtCZj-EacAEshCt.jpg")</f>
        <v>https://pbs.twimg.com/media/FtCZj-EacAEshCt.jpg</v>
      </c>
      <c r="AW1291" s="81" t="s">
        <v>10413</v>
      </c>
      <c r="AX1291" s="81" t="s">
        <v>10413</v>
      </c>
      <c r="AY1291" s="77"/>
      <c r="AZ1291" s="81" t="s">
        <v>11359</v>
      </c>
      <c r="BA1291" s="81" t="s">
        <v>11359</v>
      </c>
      <c r="BB1291" s="81" t="s">
        <v>11359</v>
      </c>
      <c r="BC1291" s="81" t="s">
        <v>10413</v>
      </c>
      <c r="BD1291" s="81" t="s">
        <v>11538</v>
      </c>
      <c r="BE1291" s="77"/>
      <c r="BF1291" s="77"/>
      <c r="BG1291" s="77"/>
      <c r="BH1291" s="77"/>
      <c r="BI1291" s="77"/>
    </row>
    <row r="1292" spans="1:61" x14ac:dyDescent="0.25">
      <c r="A1292" s="62" t="s">
        <v>493</v>
      </c>
      <c r="B1292" s="62" t="s">
        <v>493</v>
      </c>
      <c r="C1292" s="63"/>
      <c r="D1292" s="64"/>
      <c r="E1292" s="65"/>
      <c r="F1292" s="66"/>
      <c r="G1292" s="63"/>
      <c r="H1292" s="67"/>
      <c r="I1292" s="68"/>
      <c r="J1292" s="68"/>
      <c r="K1292" s="32"/>
      <c r="L1292" s="75">
        <v>1292</v>
      </c>
      <c r="M1292" s="75"/>
      <c r="N1292" s="70"/>
      <c r="O1292" s="77" t="s">
        <v>179</v>
      </c>
      <c r="P1292" s="79">
        <v>45020.63480324074</v>
      </c>
      <c r="Q1292" s="77" t="s">
        <v>2091</v>
      </c>
      <c r="R1292" s="77">
        <v>0</v>
      </c>
      <c r="S1292" s="77">
        <v>0</v>
      </c>
      <c r="T1292" s="77">
        <v>0</v>
      </c>
      <c r="U1292" s="77">
        <v>0</v>
      </c>
      <c r="V1292" s="77">
        <v>37</v>
      </c>
      <c r="W1292" s="81" t="s">
        <v>3575</v>
      </c>
      <c r="X1292" s="77"/>
      <c r="Y1292" s="77"/>
      <c r="Z1292" s="77"/>
      <c r="AA1292" s="77" t="s">
        <v>5263</v>
      </c>
      <c r="AB1292" s="77" t="s">
        <v>5794</v>
      </c>
      <c r="AC1292" s="81" t="s">
        <v>5805</v>
      </c>
      <c r="AD1292" s="77" t="s">
        <v>5850</v>
      </c>
      <c r="AE1292" s="83" t="str">
        <f>HYPERLINK("https://twitter.com/talentomayan/status/1643270732464500740")</f>
        <v>https://twitter.com/talentomayan/status/1643270732464500740</v>
      </c>
      <c r="AF1292" s="79">
        <v>45020.63480324074</v>
      </c>
      <c r="AG1292" s="85">
        <v>45020</v>
      </c>
      <c r="AH1292" s="81" t="s">
        <v>6954</v>
      </c>
      <c r="AI1292" s="77" t="b">
        <v>0</v>
      </c>
      <c r="AJ1292" s="77"/>
      <c r="AK1292" s="77"/>
      <c r="AL1292" s="77"/>
      <c r="AM1292" s="77"/>
      <c r="AN1292" s="77"/>
      <c r="AO1292" s="77"/>
      <c r="AP1292" s="77"/>
      <c r="AQ1292" s="77" t="s">
        <v>8766</v>
      </c>
      <c r="AR1292" s="77"/>
      <c r="AS1292" s="77"/>
      <c r="AT1292" s="77"/>
      <c r="AU1292" s="77"/>
      <c r="AV1292" s="83" t="str">
        <f>HYPERLINK("https://pbs.twimg.com/media/Fs4SAuGWAAEZezT.jpg")</f>
        <v>https://pbs.twimg.com/media/Fs4SAuGWAAEZezT.jpg</v>
      </c>
      <c r="AW1292" s="81" t="s">
        <v>10414</v>
      </c>
      <c r="AX1292" s="81" t="s">
        <v>10414</v>
      </c>
      <c r="AY1292" s="77"/>
      <c r="AZ1292" s="81" t="s">
        <v>11359</v>
      </c>
      <c r="BA1292" s="81" t="s">
        <v>11359</v>
      </c>
      <c r="BB1292" s="81" t="s">
        <v>11359</v>
      </c>
      <c r="BC1292" s="81" t="s">
        <v>10414</v>
      </c>
      <c r="BD1292" s="81" t="s">
        <v>11538</v>
      </c>
      <c r="BE1292" s="77"/>
      <c r="BF1292" s="77"/>
      <c r="BG1292" s="77"/>
      <c r="BH1292" s="77"/>
      <c r="BI1292" s="77"/>
    </row>
    <row r="1293" spans="1:61" x14ac:dyDescent="0.25">
      <c r="A1293" s="62" t="s">
        <v>493</v>
      </c>
      <c r="B1293" s="62" t="s">
        <v>493</v>
      </c>
      <c r="C1293" s="63"/>
      <c r="D1293" s="64"/>
      <c r="E1293" s="65"/>
      <c r="F1293" s="66"/>
      <c r="G1293" s="63"/>
      <c r="H1293" s="67"/>
      <c r="I1293" s="68"/>
      <c r="J1293" s="68"/>
      <c r="K1293" s="32"/>
      <c r="L1293" s="75">
        <v>1293</v>
      </c>
      <c r="M1293" s="75"/>
      <c r="N1293" s="70"/>
      <c r="O1293" s="77" t="s">
        <v>179</v>
      </c>
      <c r="P1293" s="79">
        <v>44979.581967592596</v>
      </c>
      <c r="Q1293" s="77" t="s">
        <v>2092</v>
      </c>
      <c r="R1293" s="77">
        <v>0</v>
      </c>
      <c r="S1293" s="77">
        <v>0</v>
      </c>
      <c r="T1293" s="77">
        <v>0</v>
      </c>
      <c r="U1293" s="77">
        <v>0</v>
      </c>
      <c r="V1293" s="77">
        <v>37</v>
      </c>
      <c r="W1293" s="81" t="s">
        <v>3575</v>
      </c>
      <c r="X1293" s="77"/>
      <c r="Y1293" s="77"/>
      <c r="Z1293" s="77"/>
      <c r="AA1293" s="77" t="s">
        <v>5264</v>
      </c>
      <c r="AB1293" s="77" t="s">
        <v>5794</v>
      </c>
      <c r="AC1293" s="81" t="s">
        <v>5805</v>
      </c>
      <c r="AD1293" s="77" t="s">
        <v>5850</v>
      </c>
      <c r="AE1293" s="83" t="str">
        <f>HYPERLINK("https://twitter.com/talentomayan/status/1628393681664221184")</f>
        <v>https://twitter.com/talentomayan/status/1628393681664221184</v>
      </c>
      <c r="AF1293" s="79">
        <v>44979.581967592596</v>
      </c>
      <c r="AG1293" s="85">
        <v>44979</v>
      </c>
      <c r="AH1293" s="81" t="s">
        <v>6955</v>
      </c>
      <c r="AI1293" s="77" t="b">
        <v>0</v>
      </c>
      <c r="AJ1293" s="77"/>
      <c r="AK1293" s="77"/>
      <c r="AL1293" s="77"/>
      <c r="AM1293" s="77"/>
      <c r="AN1293" s="77"/>
      <c r="AO1293" s="77"/>
      <c r="AP1293" s="77"/>
      <c r="AQ1293" s="77" t="s">
        <v>8767</v>
      </c>
      <c r="AR1293" s="77"/>
      <c r="AS1293" s="77"/>
      <c r="AT1293" s="77"/>
      <c r="AU1293" s="77"/>
      <c r="AV1293" s="83" t="str">
        <f>HYPERLINK("https://pbs.twimg.com/media/Fpk3a1lX0AAthOo.jpg")</f>
        <v>https://pbs.twimg.com/media/Fpk3a1lX0AAthOo.jpg</v>
      </c>
      <c r="AW1293" s="81" t="s">
        <v>10415</v>
      </c>
      <c r="AX1293" s="81" t="s">
        <v>10415</v>
      </c>
      <c r="AY1293" s="77"/>
      <c r="AZ1293" s="81" t="s">
        <v>11359</v>
      </c>
      <c r="BA1293" s="81" t="s">
        <v>11359</v>
      </c>
      <c r="BB1293" s="81" t="s">
        <v>11359</v>
      </c>
      <c r="BC1293" s="81" t="s">
        <v>10415</v>
      </c>
      <c r="BD1293" s="81" t="s">
        <v>11538</v>
      </c>
      <c r="BE1293" s="77"/>
      <c r="BF1293" s="77"/>
      <c r="BG1293" s="77"/>
      <c r="BH1293" s="77"/>
      <c r="BI1293" s="77"/>
    </row>
    <row r="1294" spans="1:61" x14ac:dyDescent="0.25">
      <c r="A1294" s="62" t="s">
        <v>493</v>
      </c>
      <c r="B1294" s="62" t="s">
        <v>493</v>
      </c>
      <c r="C1294" s="63"/>
      <c r="D1294" s="64"/>
      <c r="E1294" s="65"/>
      <c r="F1294" s="66"/>
      <c r="G1294" s="63"/>
      <c r="H1294" s="67"/>
      <c r="I1294" s="68"/>
      <c r="J1294" s="68"/>
      <c r="K1294" s="32"/>
      <c r="L1294" s="75">
        <v>1294</v>
      </c>
      <c r="M1294" s="75"/>
      <c r="N1294" s="70"/>
      <c r="O1294" s="77" t="s">
        <v>179</v>
      </c>
      <c r="P1294" s="79">
        <v>44949.73909722222</v>
      </c>
      <c r="Q1294" s="77" t="s">
        <v>2093</v>
      </c>
      <c r="R1294" s="77">
        <v>0</v>
      </c>
      <c r="S1294" s="77">
        <v>0</v>
      </c>
      <c r="T1294" s="77">
        <v>0</v>
      </c>
      <c r="U1294" s="77">
        <v>0</v>
      </c>
      <c r="V1294" s="77">
        <v>43</v>
      </c>
      <c r="W1294" s="81" t="s">
        <v>3575</v>
      </c>
      <c r="X1294" s="77"/>
      <c r="Y1294" s="77"/>
      <c r="Z1294" s="77"/>
      <c r="AA1294" s="77" t="s">
        <v>5265</v>
      </c>
      <c r="AB1294" s="77" t="s">
        <v>5794</v>
      </c>
      <c r="AC1294" s="81" t="s">
        <v>5805</v>
      </c>
      <c r="AD1294" s="77" t="s">
        <v>5850</v>
      </c>
      <c r="AE1294" s="83" t="str">
        <f>HYPERLINK("https://twitter.com/talentomayan/status/1617578988494258185")</f>
        <v>https://twitter.com/talentomayan/status/1617578988494258185</v>
      </c>
      <c r="AF1294" s="79">
        <v>44949.73909722222</v>
      </c>
      <c r="AG1294" s="85">
        <v>44949</v>
      </c>
      <c r="AH1294" s="81" t="s">
        <v>6956</v>
      </c>
      <c r="AI1294" s="77" t="b">
        <v>0</v>
      </c>
      <c r="AJ1294" s="77"/>
      <c r="AK1294" s="77"/>
      <c r="AL1294" s="77"/>
      <c r="AM1294" s="77"/>
      <c r="AN1294" s="77"/>
      <c r="AO1294" s="77"/>
      <c r="AP1294" s="77"/>
      <c r="AQ1294" s="77" t="s">
        <v>8768</v>
      </c>
      <c r="AR1294" s="77"/>
      <c r="AS1294" s="77"/>
      <c r="AT1294" s="77"/>
      <c r="AU1294" s="77"/>
      <c r="AV1294" s="83" t="str">
        <f>HYPERLINK("https://pbs.twimg.com/media/FnLLg-oWAAQ16zu.jpg")</f>
        <v>https://pbs.twimg.com/media/FnLLg-oWAAQ16zu.jpg</v>
      </c>
      <c r="AW1294" s="81" t="s">
        <v>10416</v>
      </c>
      <c r="AX1294" s="81" t="s">
        <v>10416</v>
      </c>
      <c r="AY1294" s="77"/>
      <c r="AZ1294" s="81" t="s">
        <v>11359</v>
      </c>
      <c r="BA1294" s="81" t="s">
        <v>11359</v>
      </c>
      <c r="BB1294" s="81" t="s">
        <v>11359</v>
      </c>
      <c r="BC1294" s="81" t="s">
        <v>10416</v>
      </c>
      <c r="BD1294" s="81" t="s">
        <v>11538</v>
      </c>
      <c r="BE1294" s="77"/>
      <c r="BF1294" s="77"/>
      <c r="BG1294" s="77"/>
      <c r="BH1294" s="77"/>
      <c r="BI1294" s="77"/>
    </row>
    <row r="1295" spans="1:61" x14ac:dyDescent="0.25">
      <c r="A1295" s="62" t="s">
        <v>493</v>
      </c>
      <c r="B1295" s="62" t="s">
        <v>493</v>
      </c>
      <c r="C1295" s="63"/>
      <c r="D1295" s="64"/>
      <c r="E1295" s="65"/>
      <c r="F1295" s="66"/>
      <c r="G1295" s="63"/>
      <c r="H1295" s="67"/>
      <c r="I1295" s="68"/>
      <c r="J1295" s="68"/>
      <c r="K1295" s="32"/>
      <c r="L1295" s="75">
        <v>1295</v>
      </c>
      <c r="M1295" s="75"/>
      <c r="N1295" s="70"/>
      <c r="O1295" s="77" t="s">
        <v>179</v>
      </c>
      <c r="P1295" s="79">
        <v>44949.565162037034</v>
      </c>
      <c r="Q1295" s="77" t="s">
        <v>2094</v>
      </c>
      <c r="R1295" s="77">
        <v>0</v>
      </c>
      <c r="S1295" s="77">
        <v>0</v>
      </c>
      <c r="T1295" s="77">
        <v>0</v>
      </c>
      <c r="U1295" s="77">
        <v>0</v>
      </c>
      <c r="V1295" s="77">
        <v>36</v>
      </c>
      <c r="W1295" s="81" t="s">
        <v>3575</v>
      </c>
      <c r="X1295" s="77"/>
      <c r="Y1295" s="77"/>
      <c r="Z1295" s="77"/>
      <c r="AA1295" s="77" t="s">
        <v>5266</v>
      </c>
      <c r="AB1295" s="77" t="s">
        <v>5794</v>
      </c>
      <c r="AC1295" s="81" t="s">
        <v>5805</v>
      </c>
      <c r="AD1295" s="77" t="s">
        <v>5850</v>
      </c>
      <c r="AE1295" s="83" t="str">
        <f>HYPERLINK("https://twitter.com/talentomayan/status/1617515955768201216")</f>
        <v>https://twitter.com/talentomayan/status/1617515955768201216</v>
      </c>
      <c r="AF1295" s="79">
        <v>44949.565162037034</v>
      </c>
      <c r="AG1295" s="85">
        <v>44949</v>
      </c>
      <c r="AH1295" s="81" t="s">
        <v>6957</v>
      </c>
      <c r="AI1295" s="77" t="b">
        <v>0</v>
      </c>
      <c r="AJ1295" s="77"/>
      <c r="AK1295" s="77"/>
      <c r="AL1295" s="77"/>
      <c r="AM1295" s="77"/>
      <c r="AN1295" s="77"/>
      <c r="AO1295" s="77"/>
      <c r="AP1295" s="77"/>
      <c r="AQ1295" s="77" t="s">
        <v>8769</v>
      </c>
      <c r="AR1295" s="77"/>
      <c r="AS1295" s="77"/>
      <c r="AT1295" s="77"/>
      <c r="AU1295" s="77"/>
      <c r="AV1295" s="83" t="str">
        <f>HYPERLINK("https://pbs.twimg.com/media/FnKSL7SakAA2FSh.jpg")</f>
        <v>https://pbs.twimg.com/media/FnKSL7SakAA2FSh.jpg</v>
      </c>
      <c r="AW1295" s="81" t="s">
        <v>10417</v>
      </c>
      <c r="AX1295" s="81" t="s">
        <v>10417</v>
      </c>
      <c r="AY1295" s="77"/>
      <c r="AZ1295" s="81" t="s">
        <v>11359</v>
      </c>
      <c r="BA1295" s="81" t="s">
        <v>11359</v>
      </c>
      <c r="BB1295" s="81" t="s">
        <v>11359</v>
      </c>
      <c r="BC1295" s="81" t="s">
        <v>10417</v>
      </c>
      <c r="BD1295" s="81" t="s">
        <v>11538</v>
      </c>
      <c r="BE1295" s="77"/>
      <c r="BF1295" s="77"/>
      <c r="BG1295" s="77"/>
      <c r="BH1295" s="77"/>
      <c r="BI1295" s="77"/>
    </row>
    <row r="1296" spans="1:61" x14ac:dyDescent="0.25">
      <c r="A1296" s="62" t="s">
        <v>493</v>
      </c>
      <c r="B1296" s="62" t="s">
        <v>493</v>
      </c>
      <c r="C1296" s="63"/>
      <c r="D1296" s="64"/>
      <c r="E1296" s="65"/>
      <c r="F1296" s="66"/>
      <c r="G1296" s="63"/>
      <c r="H1296" s="67"/>
      <c r="I1296" s="68"/>
      <c r="J1296" s="68"/>
      <c r="K1296" s="32"/>
      <c r="L1296" s="75">
        <v>1296</v>
      </c>
      <c r="M1296" s="75"/>
      <c r="N1296" s="70"/>
      <c r="O1296" s="77" t="s">
        <v>179</v>
      </c>
      <c r="P1296" s="79">
        <v>44947.703819444447</v>
      </c>
      <c r="Q1296" s="77" t="s">
        <v>2095</v>
      </c>
      <c r="R1296" s="77">
        <v>0</v>
      </c>
      <c r="S1296" s="77">
        <v>0</v>
      </c>
      <c r="T1296" s="77">
        <v>0</v>
      </c>
      <c r="U1296" s="77">
        <v>0</v>
      </c>
      <c r="V1296" s="77">
        <v>41</v>
      </c>
      <c r="W1296" s="81" t="s">
        <v>3575</v>
      </c>
      <c r="X1296" s="77"/>
      <c r="Y1296" s="77"/>
      <c r="Z1296" s="77"/>
      <c r="AA1296" s="77" t="s">
        <v>5267</v>
      </c>
      <c r="AB1296" s="77" t="s">
        <v>5794</v>
      </c>
      <c r="AC1296" s="81" t="s">
        <v>5805</v>
      </c>
      <c r="AD1296" s="77" t="s">
        <v>5850</v>
      </c>
      <c r="AE1296" s="83" t="str">
        <f>HYPERLINK("https://twitter.com/talentomayan/status/1616841429782773762")</f>
        <v>https://twitter.com/talentomayan/status/1616841429782773762</v>
      </c>
      <c r="AF1296" s="79">
        <v>44947.703819444447</v>
      </c>
      <c r="AG1296" s="85">
        <v>44947</v>
      </c>
      <c r="AH1296" s="81" t="s">
        <v>6958</v>
      </c>
      <c r="AI1296" s="77" t="b">
        <v>0</v>
      </c>
      <c r="AJ1296" s="77"/>
      <c r="AK1296" s="77"/>
      <c r="AL1296" s="77"/>
      <c r="AM1296" s="77"/>
      <c r="AN1296" s="77"/>
      <c r="AO1296" s="77"/>
      <c r="AP1296" s="77"/>
      <c r="AQ1296" s="77" t="s">
        <v>8770</v>
      </c>
      <c r="AR1296" s="77"/>
      <c r="AS1296" s="77"/>
      <c r="AT1296" s="77"/>
      <c r="AU1296" s="77"/>
      <c r="AV1296" s="83" t="str">
        <f>HYPERLINK("https://pbs.twimg.com/media/FnAstUvXgAEykht.jpg")</f>
        <v>https://pbs.twimg.com/media/FnAstUvXgAEykht.jpg</v>
      </c>
      <c r="AW1296" s="81" t="s">
        <v>10418</v>
      </c>
      <c r="AX1296" s="81" t="s">
        <v>10418</v>
      </c>
      <c r="AY1296" s="77"/>
      <c r="AZ1296" s="81" t="s">
        <v>11359</v>
      </c>
      <c r="BA1296" s="81" t="s">
        <v>11359</v>
      </c>
      <c r="BB1296" s="81" t="s">
        <v>11359</v>
      </c>
      <c r="BC1296" s="81" t="s">
        <v>10418</v>
      </c>
      <c r="BD1296" s="81" t="s">
        <v>11538</v>
      </c>
      <c r="BE1296" s="77"/>
      <c r="BF1296" s="77"/>
      <c r="BG1296" s="77"/>
      <c r="BH1296" s="77"/>
      <c r="BI1296" s="77"/>
    </row>
    <row r="1297" spans="1:61" x14ac:dyDescent="0.25">
      <c r="A1297" s="62" t="s">
        <v>493</v>
      </c>
      <c r="B1297" s="62" t="s">
        <v>493</v>
      </c>
      <c r="C1297" s="63"/>
      <c r="D1297" s="64"/>
      <c r="E1297" s="65"/>
      <c r="F1297" s="66"/>
      <c r="G1297" s="63"/>
      <c r="H1297" s="67"/>
      <c r="I1297" s="68"/>
      <c r="J1297" s="68"/>
      <c r="K1297" s="32"/>
      <c r="L1297" s="75">
        <v>1297</v>
      </c>
      <c r="M1297" s="75"/>
      <c r="N1297" s="70"/>
      <c r="O1297" s="77" t="s">
        <v>179</v>
      </c>
      <c r="P1297" s="79">
        <v>45082.659108796295</v>
      </c>
      <c r="Q1297" s="77" t="s">
        <v>2096</v>
      </c>
      <c r="R1297" s="77">
        <v>0</v>
      </c>
      <c r="S1297" s="77">
        <v>0</v>
      </c>
      <c r="T1297" s="77">
        <v>0</v>
      </c>
      <c r="U1297" s="77">
        <v>0</v>
      </c>
      <c r="V1297" s="77">
        <v>41</v>
      </c>
      <c r="W1297" s="81" t="s">
        <v>3575</v>
      </c>
      <c r="X1297" s="77"/>
      <c r="Y1297" s="77"/>
      <c r="Z1297" s="77"/>
      <c r="AA1297" s="77" t="s">
        <v>5268</v>
      </c>
      <c r="AB1297" s="77" t="s">
        <v>5794</v>
      </c>
      <c r="AC1297" s="81" t="s">
        <v>5805</v>
      </c>
      <c r="AD1297" s="77" t="s">
        <v>5850</v>
      </c>
      <c r="AE1297" s="83" t="str">
        <f>HYPERLINK("https://twitter.com/talentomayan/status/1665747587092164610")</f>
        <v>https://twitter.com/talentomayan/status/1665747587092164610</v>
      </c>
      <c r="AF1297" s="79">
        <v>45082.659108796295</v>
      </c>
      <c r="AG1297" s="85">
        <v>45082</v>
      </c>
      <c r="AH1297" s="81" t="s">
        <v>6959</v>
      </c>
      <c r="AI1297" s="77" t="b">
        <v>0</v>
      </c>
      <c r="AJ1297" s="77"/>
      <c r="AK1297" s="77"/>
      <c r="AL1297" s="77"/>
      <c r="AM1297" s="77"/>
      <c r="AN1297" s="77"/>
      <c r="AO1297" s="77"/>
      <c r="AP1297" s="77"/>
      <c r="AQ1297" s="77" t="s">
        <v>8771</v>
      </c>
      <c r="AR1297" s="77"/>
      <c r="AS1297" s="77"/>
      <c r="AT1297" s="77"/>
      <c r="AU1297" s="77"/>
      <c r="AV1297" s="83" t="str">
        <f>HYPERLINK("https://pbs.twimg.com/media/Fx3smO8WAAA-cPl.jpg")</f>
        <v>https://pbs.twimg.com/media/Fx3smO8WAAA-cPl.jpg</v>
      </c>
      <c r="AW1297" s="81" t="s">
        <v>10419</v>
      </c>
      <c r="AX1297" s="81" t="s">
        <v>10419</v>
      </c>
      <c r="AY1297" s="77"/>
      <c r="AZ1297" s="81" t="s">
        <v>11359</v>
      </c>
      <c r="BA1297" s="81" t="s">
        <v>11359</v>
      </c>
      <c r="BB1297" s="81" t="s">
        <v>11359</v>
      </c>
      <c r="BC1297" s="81" t="s">
        <v>10419</v>
      </c>
      <c r="BD1297" s="81" t="s">
        <v>11538</v>
      </c>
      <c r="BE1297" s="77"/>
      <c r="BF1297" s="77"/>
      <c r="BG1297" s="77"/>
      <c r="BH1297" s="77"/>
      <c r="BI1297" s="77"/>
    </row>
    <row r="1298" spans="1:61" x14ac:dyDescent="0.25">
      <c r="A1298" s="62" t="s">
        <v>493</v>
      </c>
      <c r="B1298" s="62" t="s">
        <v>493</v>
      </c>
      <c r="C1298" s="63"/>
      <c r="D1298" s="64"/>
      <c r="E1298" s="65"/>
      <c r="F1298" s="66"/>
      <c r="G1298" s="63"/>
      <c r="H1298" s="67"/>
      <c r="I1298" s="68"/>
      <c r="J1298" s="68"/>
      <c r="K1298" s="32"/>
      <c r="L1298" s="75">
        <v>1298</v>
      </c>
      <c r="M1298" s="75"/>
      <c r="N1298" s="70"/>
      <c r="O1298" s="77" t="s">
        <v>179</v>
      </c>
      <c r="P1298" s="79">
        <v>45036.740891203706</v>
      </c>
      <c r="Q1298" s="77" t="s">
        <v>2097</v>
      </c>
      <c r="R1298" s="77">
        <v>0</v>
      </c>
      <c r="S1298" s="77">
        <v>0</v>
      </c>
      <c r="T1298" s="77">
        <v>0</v>
      </c>
      <c r="U1298" s="77">
        <v>0</v>
      </c>
      <c r="V1298" s="77">
        <v>48</v>
      </c>
      <c r="W1298" s="81" t="s">
        <v>3575</v>
      </c>
      <c r="X1298" s="77"/>
      <c r="Y1298" s="77"/>
      <c r="Z1298" s="77"/>
      <c r="AA1298" s="77" t="s">
        <v>5269</v>
      </c>
      <c r="AB1298" s="77" t="s">
        <v>5794</v>
      </c>
      <c r="AC1298" s="81" t="s">
        <v>5805</v>
      </c>
      <c r="AD1298" s="77" t="s">
        <v>5850</v>
      </c>
      <c r="AE1298" s="83" t="str">
        <f>HYPERLINK("https://twitter.com/talentomayan/status/1649107383514169354")</f>
        <v>https://twitter.com/talentomayan/status/1649107383514169354</v>
      </c>
      <c r="AF1298" s="79">
        <v>45036.740891203706</v>
      </c>
      <c r="AG1298" s="85">
        <v>45036</v>
      </c>
      <c r="AH1298" s="81" t="s">
        <v>5895</v>
      </c>
      <c r="AI1298" s="77" t="b">
        <v>0</v>
      </c>
      <c r="AJ1298" s="77"/>
      <c r="AK1298" s="77"/>
      <c r="AL1298" s="77"/>
      <c r="AM1298" s="77"/>
      <c r="AN1298" s="77"/>
      <c r="AO1298" s="77"/>
      <c r="AP1298" s="77"/>
      <c r="AQ1298" s="77" t="s">
        <v>8772</v>
      </c>
      <c r="AR1298" s="77"/>
      <c r="AS1298" s="77"/>
      <c r="AT1298" s="77"/>
      <c r="AU1298" s="77"/>
      <c r="AV1298" s="83" t="str">
        <f>HYPERLINK("https://pbs.twimg.com/media/FuLObBKWYAIwiZX.jpg")</f>
        <v>https://pbs.twimg.com/media/FuLObBKWYAIwiZX.jpg</v>
      </c>
      <c r="AW1298" s="81" t="s">
        <v>10420</v>
      </c>
      <c r="AX1298" s="81" t="s">
        <v>10420</v>
      </c>
      <c r="AY1298" s="77"/>
      <c r="AZ1298" s="81" t="s">
        <v>11359</v>
      </c>
      <c r="BA1298" s="81" t="s">
        <v>11359</v>
      </c>
      <c r="BB1298" s="81" t="s">
        <v>11359</v>
      </c>
      <c r="BC1298" s="81" t="s">
        <v>10420</v>
      </c>
      <c r="BD1298" s="81" t="s">
        <v>11538</v>
      </c>
      <c r="BE1298" s="77"/>
      <c r="BF1298" s="77"/>
      <c r="BG1298" s="77"/>
      <c r="BH1298" s="77"/>
      <c r="BI1298" s="77"/>
    </row>
    <row r="1299" spans="1:61" x14ac:dyDescent="0.25">
      <c r="A1299" s="62" t="s">
        <v>493</v>
      </c>
      <c r="B1299" s="62" t="s">
        <v>493</v>
      </c>
      <c r="C1299" s="63"/>
      <c r="D1299" s="64"/>
      <c r="E1299" s="65"/>
      <c r="F1299" s="66"/>
      <c r="G1299" s="63"/>
      <c r="H1299" s="67"/>
      <c r="I1299" s="68"/>
      <c r="J1299" s="68"/>
      <c r="K1299" s="32"/>
      <c r="L1299" s="75">
        <v>1299</v>
      </c>
      <c r="M1299" s="75"/>
      <c r="N1299" s="70"/>
      <c r="O1299" s="77" t="s">
        <v>179</v>
      </c>
      <c r="P1299" s="79">
        <v>45035.574988425928</v>
      </c>
      <c r="Q1299" s="77" t="s">
        <v>2098</v>
      </c>
      <c r="R1299" s="77">
        <v>0</v>
      </c>
      <c r="S1299" s="77">
        <v>0</v>
      </c>
      <c r="T1299" s="77">
        <v>0</v>
      </c>
      <c r="U1299" s="77">
        <v>0</v>
      </c>
      <c r="V1299" s="77">
        <v>38</v>
      </c>
      <c r="W1299" s="81" t="s">
        <v>3575</v>
      </c>
      <c r="X1299" s="77"/>
      <c r="Y1299" s="77"/>
      <c r="Z1299" s="77"/>
      <c r="AA1299" s="77" t="s">
        <v>5270</v>
      </c>
      <c r="AB1299" s="77" t="s">
        <v>5794</v>
      </c>
      <c r="AC1299" s="81" t="s">
        <v>5805</v>
      </c>
      <c r="AD1299" s="77" t="s">
        <v>5850</v>
      </c>
      <c r="AE1299" s="83" t="str">
        <f>HYPERLINK("https://twitter.com/talentomayan/status/1648684872943255552")</f>
        <v>https://twitter.com/talentomayan/status/1648684872943255552</v>
      </c>
      <c r="AF1299" s="79">
        <v>45035.574988425928</v>
      </c>
      <c r="AG1299" s="85">
        <v>45035</v>
      </c>
      <c r="AH1299" s="81" t="s">
        <v>6960</v>
      </c>
      <c r="AI1299" s="77" t="b">
        <v>0</v>
      </c>
      <c r="AJ1299" s="77"/>
      <c r="AK1299" s="77"/>
      <c r="AL1299" s="77"/>
      <c r="AM1299" s="77"/>
      <c r="AN1299" s="77"/>
      <c r="AO1299" s="77"/>
      <c r="AP1299" s="77"/>
      <c r="AQ1299" s="77" t="s">
        <v>8773</v>
      </c>
      <c r="AR1299" s="77"/>
      <c r="AS1299" s="77"/>
      <c r="AT1299" s="77"/>
      <c r="AU1299" s="77"/>
      <c r="AV1299" s="83" t="str">
        <f>HYPERLINK("https://pbs.twimg.com/media/FuFOJjeWYAEjgHe.jpg")</f>
        <v>https://pbs.twimg.com/media/FuFOJjeWYAEjgHe.jpg</v>
      </c>
      <c r="AW1299" s="81" t="s">
        <v>10421</v>
      </c>
      <c r="AX1299" s="81" t="s">
        <v>10421</v>
      </c>
      <c r="AY1299" s="77"/>
      <c r="AZ1299" s="81" t="s">
        <v>11359</v>
      </c>
      <c r="BA1299" s="81" t="s">
        <v>11359</v>
      </c>
      <c r="BB1299" s="81" t="s">
        <v>11359</v>
      </c>
      <c r="BC1299" s="81" t="s">
        <v>10421</v>
      </c>
      <c r="BD1299" s="81" t="s">
        <v>11538</v>
      </c>
      <c r="BE1299" s="77"/>
      <c r="BF1299" s="77"/>
      <c r="BG1299" s="77"/>
      <c r="BH1299" s="77"/>
      <c r="BI1299" s="77"/>
    </row>
    <row r="1300" spans="1:61" x14ac:dyDescent="0.25">
      <c r="A1300" s="62" t="s">
        <v>493</v>
      </c>
      <c r="B1300" s="62" t="s">
        <v>493</v>
      </c>
      <c r="C1300" s="63"/>
      <c r="D1300" s="64"/>
      <c r="E1300" s="65"/>
      <c r="F1300" s="66"/>
      <c r="G1300" s="63"/>
      <c r="H1300" s="67"/>
      <c r="I1300" s="68"/>
      <c r="J1300" s="68"/>
      <c r="K1300" s="32"/>
      <c r="L1300" s="75">
        <v>1300</v>
      </c>
      <c r="M1300" s="75"/>
      <c r="N1300" s="70"/>
      <c r="O1300" s="77" t="s">
        <v>179</v>
      </c>
      <c r="P1300" s="79">
        <v>45034.593206018515</v>
      </c>
      <c r="Q1300" s="77" t="s">
        <v>2099</v>
      </c>
      <c r="R1300" s="77">
        <v>0</v>
      </c>
      <c r="S1300" s="77">
        <v>0</v>
      </c>
      <c r="T1300" s="77">
        <v>0</v>
      </c>
      <c r="U1300" s="77">
        <v>0</v>
      </c>
      <c r="V1300" s="77">
        <v>41</v>
      </c>
      <c r="W1300" s="81" t="s">
        <v>3575</v>
      </c>
      <c r="X1300" s="77"/>
      <c r="Y1300" s="77"/>
      <c r="Z1300" s="77"/>
      <c r="AA1300" s="77" t="s">
        <v>5271</v>
      </c>
      <c r="AB1300" s="77" t="s">
        <v>5794</v>
      </c>
      <c r="AC1300" s="81" t="s">
        <v>5805</v>
      </c>
      <c r="AD1300" s="77" t="s">
        <v>5850</v>
      </c>
      <c r="AE1300" s="83" t="str">
        <f>HYPERLINK("https://twitter.com/talentomayan/status/1648329086127808515")</f>
        <v>https://twitter.com/talentomayan/status/1648329086127808515</v>
      </c>
      <c r="AF1300" s="79">
        <v>45034.593206018515</v>
      </c>
      <c r="AG1300" s="85">
        <v>45034</v>
      </c>
      <c r="AH1300" s="81" t="s">
        <v>6961</v>
      </c>
      <c r="AI1300" s="77" t="b">
        <v>0</v>
      </c>
      <c r="AJ1300" s="77"/>
      <c r="AK1300" s="77"/>
      <c r="AL1300" s="77"/>
      <c r="AM1300" s="77"/>
      <c r="AN1300" s="77"/>
      <c r="AO1300" s="77"/>
      <c r="AP1300" s="77"/>
      <c r="AQ1300" s="77" t="s">
        <v>8774</v>
      </c>
      <c r="AR1300" s="77"/>
      <c r="AS1300" s="77"/>
      <c r="AT1300" s="77"/>
      <c r="AU1300" s="77"/>
      <c r="AV1300" s="83" t="str">
        <f>HYPERLINK("https://pbs.twimg.com/media/FuAKkFxWwAg8OQt.jpg")</f>
        <v>https://pbs.twimg.com/media/FuAKkFxWwAg8OQt.jpg</v>
      </c>
      <c r="AW1300" s="81" t="s">
        <v>10422</v>
      </c>
      <c r="AX1300" s="81" t="s">
        <v>10422</v>
      </c>
      <c r="AY1300" s="77"/>
      <c r="AZ1300" s="81" t="s">
        <v>11359</v>
      </c>
      <c r="BA1300" s="81" t="s">
        <v>11359</v>
      </c>
      <c r="BB1300" s="81" t="s">
        <v>11359</v>
      </c>
      <c r="BC1300" s="81" t="s">
        <v>10422</v>
      </c>
      <c r="BD1300" s="81" t="s">
        <v>11538</v>
      </c>
      <c r="BE1300" s="77"/>
      <c r="BF1300" s="77"/>
      <c r="BG1300" s="77"/>
      <c r="BH1300" s="77"/>
      <c r="BI1300" s="77"/>
    </row>
    <row r="1301" spans="1:61" x14ac:dyDescent="0.25">
      <c r="A1301" s="62" t="s">
        <v>493</v>
      </c>
      <c r="B1301" s="62" t="s">
        <v>493</v>
      </c>
      <c r="C1301" s="63"/>
      <c r="D1301" s="64"/>
      <c r="E1301" s="65"/>
      <c r="F1301" s="66"/>
      <c r="G1301" s="63"/>
      <c r="H1301" s="67"/>
      <c r="I1301" s="68"/>
      <c r="J1301" s="68"/>
      <c r="K1301" s="32"/>
      <c r="L1301" s="75">
        <v>1301</v>
      </c>
      <c r="M1301" s="75"/>
      <c r="N1301" s="70"/>
      <c r="O1301" s="77" t="s">
        <v>179</v>
      </c>
      <c r="P1301" s="79">
        <v>45033.790277777778</v>
      </c>
      <c r="Q1301" s="77" t="s">
        <v>2100</v>
      </c>
      <c r="R1301" s="77">
        <v>0</v>
      </c>
      <c r="S1301" s="77">
        <v>0</v>
      </c>
      <c r="T1301" s="77">
        <v>0</v>
      </c>
      <c r="U1301" s="77">
        <v>0</v>
      </c>
      <c r="V1301" s="77">
        <v>42</v>
      </c>
      <c r="W1301" s="81" t="s">
        <v>3575</v>
      </c>
      <c r="X1301" s="77"/>
      <c r="Y1301" s="77"/>
      <c r="Z1301" s="77"/>
      <c r="AA1301" s="77" t="s">
        <v>5272</v>
      </c>
      <c r="AB1301" s="77" t="s">
        <v>5794</v>
      </c>
      <c r="AC1301" s="81" t="s">
        <v>5805</v>
      </c>
      <c r="AD1301" s="77" t="s">
        <v>5850</v>
      </c>
      <c r="AE1301" s="83" t="str">
        <f>HYPERLINK("https://twitter.com/talentomayan/status/1648038116127567904")</f>
        <v>https://twitter.com/talentomayan/status/1648038116127567904</v>
      </c>
      <c r="AF1301" s="79">
        <v>45033.790277777778</v>
      </c>
      <c r="AG1301" s="85">
        <v>45033</v>
      </c>
      <c r="AH1301" s="81" t="s">
        <v>6962</v>
      </c>
      <c r="AI1301" s="77" t="b">
        <v>0</v>
      </c>
      <c r="AJ1301" s="77"/>
      <c r="AK1301" s="77"/>
      <c r="AL1301" s="77"/>
      <c r="AM1301" s="77"/>
      <c r="AN1301" s="77"/>
      <c r="AO1301" s="77"/>
      <c r="AP1301" s="77"/>
      <c r="AQ1301" s="77" t="s">
        <v>8775</v>
      </c>
      <c r="AR1301" s="77"/>
      <c r="AS1301" s="77"/>
      <c r="AT1301" s="77"/>
      <c r="AU1301" s="77"/>
      <c r="AV1301" s="83" t="str">
        <f>HYPERLINK("https://pbs.twimg.com/media/Ft8B7bjXgAAix_6.jpg")</f>
        <v>https://pbs.twimg.com/media/Ft8B7bjXgAAix_6.jpg</v>
      </c>
      <c r="AW1301" s="81" t="s">
        <v>10423</v>
      </c>
      <c r="AX1301" s="81" t="s">
        <v>10423</v>
      </c>
      <c r="AY1301" s="77"/>
      <c r="AZ1301" s="81" t="s">
        <v>11359</v>
      </c>
      <c r="BA1301" s="81" t="s">
        <v>11359</v>
      </c>
      <c r="BB1301" s="81" t="s">
        <v>11359</v>
      </c>
      <c r="BC1301" s="81" t="s">
        <v>10423</v>
      </c>
      <c r="BD1301" s="81" t="s">
        <v>11538</v>
      </c>
      <c r="BE1301" s="77"/>
      <c r="BF1301" s="77"/>
      <c r="BG1301" s="77"/>
      <c r="BH1301" s="77"/>
      <c r="BI1301" s="77"/>
    </row>
    <row r="1302" spans="1:61" x14ac:dyDescent="0.25">
      <c r="A1302" s="62" t="s">
        <v>493</v>
      </c>
      <c r="B1302" s="62" t="s">
        <v>493</v>
      </c>
      <c r="C1302" s="63"/>
      <c r="D1302" s="64"/>
      <c r="E1302" s="65"/>
      <c r="F1302" s="66"/>
      <c r="G1302" s="63"/>
      <c r="H1302" s="67"/>
      <c r="I1302" s="68"/>
      <c r="J1302" s="68"/>
      <c r="K1302" s="32"/>
      <c r="L1302" s="75">
        <v>1302</v>
      </c>
      <c r="M1302" s="75"/>
      <c r="N1302" s="70"/>
      <c r="O1302" s="77" t="s">
        <v>179</v>
      </c>
      <c r="P1302" s="79">
        <v>44998.723379629628</v>
      </c>
      <c r="Q1302" s="77" t="s">
        <v>2101</v>
      </c>
      <c r="R1302" s="77">
        <v>0</v>
      </c>
      <c r="S1302" s="77">
        <v>0</v>
      </c>
      <c r="T1302" s="77">
        <v>0</v>
      </c>
      <c r="U1302" s="77">
        <v>0</v>
      </c>
      <c r="V1302" s="77">
        <v>30</v>
      </c>
      <c r="W1302" s="81" t="s">
        <v>3578</v>
      </c>
      <c r="X1302" s="77"/>
      <c r="Y1302" s="77"/>
      <c r="Z1302" s="77"/>
      <c r="AA1302" s="77" t="s">
        <v>5273</v>
      </c>
      <c r="AB1302" s="77" t="s">
        <v>5794</v>
      </c>
      <c r="AC1302" s="81" t="s">
        <v>5805</v>
      </c>
      <c r="AD1302" s="77" t="s">
        <v>5850</v>
      </c>
      <c r="AE1302" s="83" t="str">
        <f>HYPERLINK("https://twitter.com/talentomayan/status/1635330298769707008")</f>
        <v>https://twitter.com/talentomayan/status/1635330298769707008</v>
      </c>
      <c r="AF1302" s="79">
        <v>44998.723379629628</v>
      </c>
      <c r="AG1302" s="85">
        <v>44998</v>
      </c>
      <c r="AH1302" s="81" t="s">
        <v>6963</v>
      </c>
      <c r="AI1302" s="77" t="b">
        <v>0</v>
      </c>
      <c r="AJ1302" s="77"/>
      <c r="AK1302" s="77"/>
      <c r="AL1302" s="77"/>
      <c r="AM1302" s="77"/>
      <c r="AN1302" s="77"/>
      <c r="AO1302" s="77"/>
      <c r="AP1302" s="77"/>
      <c r="AQ1302" s="77" t="s">
        <v>8776</v>
      </c>
      <c r="AR1302" s="77"/>
      <c r="AS1302" s="77"/>
      <c r="AT1302" s="77"/>
      <c r="AU1302" s="77"/>
      <c r="AV1302" s="83" t="str">
        <f>HYPERLINK("https://pbs.twimg.com/media/FrHcPAPXoBQs99J.jpg")</f>
        <v>https://pbs.twimg.com/media/FrHcPAPXoBQs99J.jpg</v>
      </c>
      <c r="AW1302" s="81" t="s">
        <v>10424</v>
      </c>
      <c r="AX1302" s="81" t="s">
        <v>10424</v>
      </c>
      <c r="AY1302" s="77"/>
      <c r="AZ1302" s="81" t="s">
        <v>11359</v>
      </c>
      <c r="BA1302" s="81" t="s">
        <v>11359</v>
      </c>
      <c r="BB1302" s="81" t="s">
        <v>11359</v>
      </c>
      <c r="BC1302" s="81" t="s">
        <v>10424</v>
      </c>
      <c r="BD1302" s="81" t="s">
        <v>11538</v>
      </c>
      <c r="BE1302" s="77"/>
      <c r="BF1302" s="77"/>
      <c r="BG1302" s="77"/>
      <c r="BH1302" s="77"/>
      <c r="BI1302" s="77"/>
    </row>
    <row r="1303" spans="1:61" x14ac:dyDescent="0.25">
      <c r="A1303" s="62" t="s">
        <v>493</v>
      </c>
      <c r="B1303" s="62" t="s">
        <v>493</v>
      </c>
      <c r="C1303" s="63"/>
      <c r="D1303" s="64"/>
      <c r="E1303" s="65"/>
      <c r="F1303" s="66"/>
      <c r="G1303" s="63"/>
      <c r="H1303" s="67"/>
      <c r="I1303" s="68"/>
      <c r="J1303" s="68"/>
      <c r="K1303" s="32"/>
      <c r="L1303" s="75">
        <v>1303</v>
      </c>
      <c r="M1303" s="75"/>
      <c r="N1303" s="70"/>
      <c r="O1303" s="77" t="s">
        <v>179</v>
      </c>
      <c r="P1303" s="79">
        <v>44998.60564814815</v>
      </c>
      <c r="Q1303" s="77" t="s">
        <v>2102</v>
      </c>
      <c r="R1303" s="77">
        <v>0</v>
      </c>
      <c r="S1303" s="77">
        <v>0</v>
      </c>
      <c r="T1303" s="77">
        <v>0</v>
      </c>
      <c r="U1303" s="77">
        <v>0</v>
      </c>
      <c r="V1303" s="77">
        <v>48</v>
      </c>
      <c r="W1303" s="81" t="s">
        <v>3575</v>
      </c>
      <c r="X1303" s="77"/>
      <c r="Y1303" s="77"/>
      <c r="Z1303" s="77"/>
      <c r="AA1303" s="77" t="s">
        <v>5274</v>
      </c>
      <c r="AB1303" s="77" t="s">
        <v>5794</v>
      </c>
      <c r="AC1303" s="81" t="s">
        <v>5805</v>
      </c>
      <c r="AD1303" s="77" t="s">
        <v>5850</v>
      </c>
      <c r="AE1303" s="83" t="str">
        <f>HYPERLINK("https://twitter.com/talentomayan/status/1635287631264350209")</f>
        <v>https://twitter.com/talentomayan/status/1635287631264350209</v>
      </c>
      <c r="AF1303" s="79">
        <v>44998.60564814815</v>
      </c>
      <c r="AG1303" s="85">
        <v>44998</v>
      </c>
      <c r="AH1303" s="81" t="s">
        <v>6964</v>
      </c>
      <c r="AI1303" s="77" t="b">
        <v>0</v>
      </c>
      <c r="AJ1303" s="77"/>
      <c r="AK1303" s="77"/>
      <c r="AL1303" s="77"/>
      <c r="AM1303" s="77"/>
      <c r="AN1303" s="77"/>
      <c r="AO1303" s="77"/>
      <c r="AP1303" s="77"/>
      <c r="AQ1303" s="77" t="s">
        <v>8777</v>
      </c>
      <c r="AR1303" s="77"/>
      <c r="AS1303" s="77"/>
      <c r="AT1303" s="77"/>
      <c r="AU1303" s="77"/>
      <c r="AV1303" s="83" t="str">
        <f>HYPERLINK("https://pbs.twimg.com/media/FrG1bXzaEAAiYIo.jpg")</f>
        <v>https://pbs.twimg.com/media/FrG1bXzaEAAiYIo.jpg</v>
      </c>
      <c r="AW1303" s="81" t="s">
        <v>10425</v>
      </c>
      <c r="AX1303" s="81" t="s">
        <v>10425</v>
      </c>
      <c r="AY1303" s="77"/>
      <c r="AZ1303" s="81" t="s">
        <v>11359</v>
      </c>
      <c r="BA1303" s="81" t="s">
        <v>11359</v>
      </c>
      <c r="BB1303" s="81" t="s">
        <v>11359</v>
      </c>
      <c r="BC1303" s="81" t="s">
        <v>10425</v>
      </c>
      <c r="BD1303" s="81" t="s">
        <v>11538</v>
      </c>
      <c r="BE1303" s="77"/>
      <c r="BF1303" s="77"/>
      <c r="BG1303" s="77"/>
      <c r="BH1303" s="77"/>
      <c r="BI1303" s="77"/>
    </row>
    <row r="1304" spans="1:61" x14ac:dyDescent="0.25">
      <c r="A1304" s="62" t="s">
        <v>493</v>
      </c>
      <c r="B1304" s="62" t="s">
        <v>493</v>
      </c>
      <c r="C1304" s="63"/>
      <c r="D1304" s="64"/>
      <c r="E1304" s="65"/>
      <c r="F1304" s="66"/>
      <c r="G1304" s="63"/>
      <c r="H1304" s="67"/>
      <c r="I1304" s="68"/>
      <c r="J1304" s="68"/>
      <c r="K1304" s="32"/>
      <c r="L1304" s="75">
        <v>1304</v>
      </c>
      <c r="M1304" s="75"/>
      <c r="N1304" s="70"/>
      <c r="O1304" s="77" t="s">
        <v>179</v>
      </c>
      <c r="P1304" s="79">
        <v>44996.688576388886</v>
      </c>
      <c r="Q1304" s="77" t="s">
        <v>2103</v>
      </c>
      <c r="R1304" s="77">
        <v>0</v>
      </c>
      <c r="S1304" s="77">
        <v>0</v>
      </c>
      <c r="T1304" s="77">
        <v>0</v>
      </c>
      <c r="U1304" s="77">
        <v>0</v>
      </c>
      <c r="V1304" s="77">
        <v>57</v>
      </c>
      <c r="W1304" s="81" t="s">
        <v>3575</v>
      </c>
      <c r="X1304" s="77"/>
      <c r="Y1304" s="77"/>
      <c r="Z1304" s="77"/>
      <c r="AA1304" s="77" t="s">
        <v>5275</v>
      </c>
      <c r="AB1304" s="77" t="s">
        <v>5794</v>
      </c>
      <c r="AC1304" s="81" t="s">
        <v>5805</v>
      </c>
      <c r="AD1304" s="77" t="s">
        <v>5850</v>
      </c>
      <c r="AE1304" s="83" t="str">
        <f>HYPERLINK("https://twitter.com/talentomayan/status/1634592909117775876")</f>
        <v>https://twitter.com/talentomayan/status/1634592909117775876</v>
      </c>
      <c r="AF1304" s="79">
        <v>44996.688576388886</v>
      </c>
      <c r="AG1304" s="85">
        <v>44996</v>
      </c>
      <c r="AH1304" s="81" t="s">
        <v>6965</v>
      </c>
      <c r="AI1304" s="77" t="b">
        <v>0</v>
      </c>
      <c r="AJ1304" s="77"/>
      <c r="AK1304" s="77"/>
      <c r="AL1304" s="77"/>
      <c r="AM1304" s="77"/>
      <c r="AN1304" s="77"/>
      <c r="AO1304" s="77"/>
      <c r="AP1304" s="77"/>
      <c r="AQ1304" s="77" t="s">
        <v>8778</v>
      </c>
      <c r="AR1304" s="77"/>
      <c r="AS1304" s="77"/>
      <c r="AT1304" s="77"/>
      <c r="AU1304" s="77"/>
      <c r="AV1304" s="83" t="str">
        <f>HYPERLINK("https://pbs.twimg.com/media/Fq89lExWYAc-d1B.jpg")</f>
        <v>https://pbs.twimg.com/media/Fq89lExWYAc-d1B.jpg</v>
      </c>
      <c r="AW1304" s="81" t="s">
        <v>10426</v>
      </c>
      <c r="AX1304" s="81" t="s">
        <v>10426</v>
      </c>
      <c r="AY1304" s="77"/>
      <c r="AZ1304" s="81" t="s">
        <v>11359</v>
      </c>
      <c r="BA1304" s="81" t="s">
        <v>11359</v>
      </c>
      <c r="BB1304" s="81" t="s">
        <v>11359</v>
      </c>
      <c r="BC1304" s="81" t="s">
        <v>10426</v>
      </c>
      <c r="BD1304" s="81" t="s">
        <v>11538</v>
      </c>
      <c r="BE1304" s="77"/>
      <c r="BF1304" s="77"/>
      <c r="BG1304" s="77"/>
      <c r="BH1304" s="77"/>
      <c r="BI1304" s="77"/>
    </row>
    <row r="1305" spans="1:61" x14ac:dyDescent="0.25">
      <c r="A1305" s="62" t="s">
        <v>493</v>
      </c>
      <c r="B1305" s="62" t="s">
        <v>493</v>
      </c>
      <c r="C1305" s="63"/>
      <c r="D1305" s="64"/>
      <c r="E1305" s="65"/>
      <c r="F1305" s="66"/>
      <c r="G1305" s="63"/>
      <c r="H1305" s="67"/>
      <c r="I1305" s="68"/>
      <c r="J1305" s="68"/>
      <c r="K1305" s="32"/>
      <c r="L1305" s="75">
        <v>1305</v>
      </c>
      <c r="M1305" s="75"/>
      <c r="N1305" s="70"/>
      <c r="O1305" s="77" t="s">
        <v>179</v>
      </c>
      <c r="P1305" s="79">
        <v>44996.678368055553</v>
      </c>
      <c r="Q1305" s="77" t="s">
        <v>2104</v>
      </c>
      <c r="R1305" s="77">
        <v>0</v>
      </c>
      <c r="S1305" s="77">
        <v>0</v>
      </c>
      <c r="T1305" s="77">
        <v>0</v>
      </c>
      <c r="U1305" s="77">
        <v>0</v>
      </c>
      <c r="V1305" s="77">
        <v>43</v>
      </c>
      <c r="W1305" s="81" t="s">
        <v>3575</v>
      </c>
      <c r="X1305" s="77"/>
      <c r="Y1305" s="77"/>
      <c r="Z1305" s="77"/>
      <c r="AA1305" s="77" t="s">
        <v>5276</v>
      </c>
      <c r="AB1305" s="77" t="s">
        <v>5794</v>
      </c>
      <c r="AC1305" s="81" t="s">
        <v>5805</v>
      </c>
      <c r="AD1305" s="77" t="s">
        <v>5850</v>
      </c>
      <c r="AE1305" s="83" t="str">
        <f>HYPERLINK("https://twitter.com/talentomayan/status/1634589211750793216")</f>
        <v>https://twitter.com/talentomayan/status/1634589211750793216</v>
      </c>
      <c r="AF1305" s="79">
        <v>44996.678368055553</v>
      </c>
      <c r="AG1305" s="85">
        <v>44996</v>
      </c>
      <c r="AH1305" s="81" t="s">
        <v>6966</v>
      </c>
      <c r="AI1305" s="77" t="b">
        <v>0</v>
      </c>
      <c r="AJ1305" s="77"/>
      <c r="AK1305" s="77"/>
      <c r="AL1305" s="77"/>
      <c r="AM1305" s="77"/>
      <c r="AN1305" s="77"/>
      <c r="AO1305" s="77"/>
      <c r="AP1305" s="77"/>
      <c r="AQ1305" s="77" t="s">
        <v>8779</v>
      </c>
      <c r="AR1305" s="77"/>
      <c r="AS1305" s="77"/>
      <c r="AT1305" s="77"/>
      <c r="AU1305" s="77"/>
      <c r="AV1305" s="83" t="str">
        <f>HYPERLINK("https://pbs.twimg.com/media/Fq86OOEWIAE3-Ch.jpg")</f>
        <v>https://pbs.twimg.com/media/Fq86OOEWIAE3-Ch.jpg</v>
      </c>
      <c r="AW1305" s="81" t="s">
        <v>10427</v>
      </c>
      <c r="AX1305" s="81" t="s">
        <v>10427</v>
      </c>
      <c r="AY1305" s="77"/>
      <c r="AZ1305" s="81" t="s">
        <v>11359</v>
      </c>
      <c r="BA1305" s="81" t="s">
        <v>11359</v>
      </c>
      <c r="BB1305" s="81" t="s">
        <v>11359</v>
      </c>
      <c r="BC1305" s="81" t="s">
        <v>10427</v>
      </c>
      <c r="BD1305" s="81" t="s">
        <v>11538</v>
      </c>
      <c r="BE1305" s="77"/>
      <c r="BF1305" s="77"/>
      <c r="BG1305" s="77"/>
      <c r="BH1305" s="77"/>
      <c r="BI1305" s="77"/>
    </row>
    <row r="1306" spans="1:61" x14ac:dyDescent="0.25">
      <c r="A1306" s="62" t="s">
        <v>493</v>
      </c>
      <c r="B1306" s="62" t="s">
        <v>493</v>
      </c>
      <c r="C1306" s="63"/>
      <c r="D1306" s="64"/>
      <c r="E1306" s="65"/>
      <c r="F1306" s="66"/>
      <c r="G1306" s="63"/>
      <c r="H1306" s="67"/>
      <c r="I1306" s="68"/>
      <c r="J1306" s="68"/>
      <c r="K1306" s="32"/>
      <c r="L1306" s="75">
        <v>1306</v>
      </c>
      <c r="M1306" s="75"/>
      <c r="N1306" s="70"/>
      <c r="O1306" s="77" t="s">
        <v>179</v>
      </c>
      <c r="P1306" s="79">
        <v>44996.636736111112</v>
      </c>
      <c r="Q1306" s="77" t="s">
        <v>2105</v>
      </c>
      <c r="R1306" s="77">
        <v>0</v>
      </c>
      <c r="S1306" s="77">
        <v>0</v>
      </c>
      <c r="T1306" s="77">
        <v>0</v>
      </c>
      <c r="U1306" s="77">
        <v>0</v>
      </c>
      <c r="V1306" s="77">
        <v>32</v>
      </c>
      <c r="W1306" s="81" t="s">
        <v>3578</v>
      </c>
      <c r="X1306" s="77"/>
      <c r="Y1306" s="77"/>
      <c r="Z1306" s="77"/>
      <c r="AA1306" s="77" t="s">
        <v>5277</v>
      </c>
      <c r="AB1306" s="77" t="s">
        <v>5794</v>
      </c>
      <c r="AC1306" s="81" t="s">
        <v>5805</v>
      </c>
      <c r="AD1306" s="77" t="s">
        <v>5850</v>
      </c>
      <c r="AE1306" s="83" t="str">
        <f>HYPERLINK("https://twitter.com/talentomayan/status/1634574125007085569")</f>
        <v>https://twitter.com/talentomayan/status/1634574125007085569</v>
      </c>
      <c r="AF1306" s="79">
        <v>44996.636736111112</v>
      </c>
      <c r="AG1306" s="85">
        <v>44996</v>
      </c>
      <c r="AH1306" s="81" t="s">
        <v>6967</v>
      </c>
      <c r="AI1306" s="77" t="b">
        <v>0</v>
      </c>
      <c r="AJ1306" s="77"/>
      <c r="AK1306" s="77"/>
      <c r="AL1306" s="77"/>
      <c r="AM1306" s="77"/>
      <c r="AN1306" s="77"/>
      <c r="AO1306" s="77"/>
      <c r="AP1306" s="77"/>
      <c r="AQ1306" s="77" t="s">
        <v>8780</v>
      </c>
      <c r="AR1306" s="77"/>
      <c r="AS1306" s="77"/>
      <c r="AT1306" s="77"/>
      <c r="AU1306" s="77"/>
      <c r="AV1306" s="83" t="str">
        <f>HYPERLINK("https://pbs.twimg.com/media/Fq8sgC_XsAI6nsQ.jpg")</f>
        <v>https://pbs.twimg.com/media/Fq8sgC_XsAI6nsQ.jpg</v>
      </c>
      <c r="AW1306" s="81" t="s">
        <v>10428</v>
      </c>
      <c r="AX1306" s="81" t="s">
        <v>10428</v>
      </c>
      <c r="AY1306" s="77"/>
      <c r="AZ1306" s="81" t="s">
        <v>11359</v>
      </c>
      <c r="BA1306" s="81" t="s">
        <v>11359</v>
      </c>
      <c r="BB1306" s="81" t="s">
        <v>11359</v>
      </c>
      <c r="BC1306" s="81" t="s">
        <v>10428</v>
      </c>
      <c r="BD1306" s="81" t="s">
        <v>11538</v>
      </c>
      <c r="BE1306" s="77"/>
      <c r="BF1306" s="77"/>
      <c r="BG1306" s="77"/>
      <c r="BH1306" s="77"/>
      <c r="BI1306" s="77"/>
    </row>
    <row r="1307" spans="1:61" x14ac:dyDescent="0.25">
      <c r="A1307" s="62" t="s">
        <v>493</v>
      </c>
      <c r="B1307" s="62" t="s">
        <v>493</v>
      </c>
      <c r="C1307" s="63"/>
      <c r="D1307" s="64"/>
      <c r="E1307" s="65"/>
      <c r="F1307" s="66"/>
      <c r="G1307" s="63"/>
      <c r="H1307" s="67"/>
      <c r="I1307" s="68"/>
      <c r="J1307" s="68"/>
      <c r="K1307" s="32"/>
      <c r="L1307" s="75">
        <v>1307</v>
      </c>
      <c r="M1307" s="75"/>
      <c r="N1307" s="70"/>
      <c r="O1307" s="77" t="s">
        <v>179</v>
      </c>
      <c r="P1307" s="79">
        <v>44966.602916666663</v>
      </c>
      <c r="Q1307" s="77" t="s">
        <v>2106</v>
      </c>
      <c r="R1307" s="77">
        <v>0</v>
      </c>
      <c r="S1307" s="77">
        <v>0</v>
      </c>
      <c r="T1307" s="77">
        <v>0</v>
      </c>
      <c r="U1307" s="77">
        <v>0</v>
      </c>
      <c r="V1307" s="77">
        <v>39</v>
      </c>
      <c r="W1307" s="81" t="s">
        <v>3575</v>
      </c>
      <c r="X1307" s="77"/>
      <c r="Y1307" s="77"/>
      <c r="Z1307" s="77"/>
      <c r="AA1307" s="77" t="s">
        <v>5278</v>
      </c>
      <c r="AB1307" s="77" t="s">
        <v>5794</v>
      </c>
      <c r="AC1307" s="81" t="s">
        <v>5805</v>
      </c>
      <c r="AD1307" s="77" t="s">
        <v>5850</v>
      </c>
      <c r="AE1307" s="83" t="str">
        <f>HYPERLINK("https://twitter.com/talentomayan/status/1623690231974137856")</f>
        <v>https://twitter.com/talentomayan/status/1623690231974137856</v>
      </c>
      <c r="AF1307" s="79">
        <v>44966.602916666663</v>
      </c>
      <c r="AG1307" s="85">
        <v>44966</v>
      </c>
      <c r="AH1307" s="81" t="s">
        <v>6968</v>
      </c>
      <c r="AI1307" s="77" t="b">
        <v>0</v>
      </c>
      <c r="AJ1307" s="77"/>
      <c r="AK1307" s="77"/>
      <c r="AL1307" s="77"/>
      <c r="AM1307" s="77"/>
      <c r="AN1307" s="77"/>
      <c r="AO1307" s="77"/>
      <c r="AP1307" s="77"/>
      <c r="AQ1307" s="77" t="s">
        <v>8781</v>
      </c>
      <c r="AR1307" s="77"/>
      <c r="AS1307" s="77"/>
      <c r="AT1307" s="77"/>
      <c r="AU1307" s="77"/>
      <c r="AV1307" s="83" t="str">
        <f>HYPERLINK("https://pbs.twimg.com/media/FoiBqFaWAAAFaI1.jpg")</f>
        <v>https://pbs.twimg.com/media/FoiBqFaWAAAFaI1.jpg</v>
      </c>
      <c r="AW1307" s="81" t="s">
        <v>10429</v>
      </c>
      <c r="AX1307" s="81" t="s">
        <v>10429</v>
      </c>
      <c r="AY1307" s="77"/>
      <c r="AZ1307" s="81" t="s">
        <v>11359</v>
      </c>
      <c r="BA1307" s="81" t="s">
        <v>11359</v>
      </c>
      <c r="BB1307" s="81" t="s">
        <v>11359</v>
      </c>
      <c r="BC1307" s="81" t="s">
        <v>10429</v>
      </c>
      <c r="BD1307" s="81" t="s">
        <v>11538</v>
      </c>
      <c r="BE1307" s="77"/>
      <c r="BF1307" s="77"/>
      <c r="BG1307" s="77"/>
      <c r="BH1307" s="77"/>
      <c r="BI1307" s="77"/>
    </row>
    <row r="1308" spans="1:61" x14ac:dyDescent="0.25">
      <c r="A1308" s="62" t="s">
        <v>493</v>
      </c>
      <c r="B1308" s="62" t="s">
        <v>493</v>
      </c>
      <c r="C1308" s="63"/>
      <c r="D1308" s="64"/>
      <c r="E1308" s="65"/>
      <c r="F1308" s="66"/>
      <c r="G1308" s="63"/>
      <c r="H1308" s="67"/>
      <c r="I1308" s="68"/>
      <c r="J1308" s="68"/>
      <c r="K1308" s="32"/>
      <c r="L1308" s="75">
        <v>1308</v>
      </c>
      <c r="M1308" s="75"/>
      <c r="N1308" s="70"/>
      <c r="O1308" s="77" t="s">
        <v>179</v>
      </c>
      <c r="P1308" s="79">
        <v>44965.627546296295</v>
      </c>
      <c r="Q1308" s="77" t="s">
        <v>2107</v>
      </c>
      <c r="R1308" s="77">
        <v>0</v>
      </c>
      <c r="S1308" s="77">
        <v>0</v>
      </c>
      <c r="T1308" s="77">
        <v>0</v>
      </c>
      <c r="U1308" s="77">
        <v>0</v>
      </c>
      <c r="V1308" s="77">
        <v>105</v>
      </c>
      <c r="W1308" s="81" t="s">
        <v>3575</v>
      </c>
      <c r="X1308" s="77"/>
      <c r="Y1308" s="77"/>
      <c r="Z1308" s="77"/>
      <c r="AA1308" s="77" t="s">
        <v>5279</v>
      </c>
      <c r="AB1308" s="77" t="s">
        <v>5794</v>
      </c>
      <c r="AC1308" s="81" t="s">
        <v>5805</v>
      </c>
      <c r="AD1308" s="77" t="s">
        <v>5850</v>
      </c>
      <c r="AE1308" s="83" t="str">
        <f>HYPERLINK("https://twitter.com/talentomayan/status/1623336770954833920")</f>
        <v>https://twitter.com/talentomayan/status/1623336770954833920</v>
      </c>
      <c r="AF1308" s="79">
        <v>44965.627546296295</v>
      </c>
      <c r="AG1308" s="85">
        <v>44965</v>
      </c>
      <c r="AH1308" s="81" t="s">
        <v>6969</v>
      </c>
      <c r="AI1308" s="77" t="b">
        <v>0</v>
      </c>
      <c r="AJ1308" s="77"/>
      <c r="AK1308" s="77"/>
      <c r="AL1308" s="77"/>
      <c r="AM1308" s="77"/>
      <c r="AN1308" s="77"/>
      <c r="AO1308" s="77"/>
      <c r="AP1308" s="77"/>
      <c r="AQ1308" s="77" t="s">
        <v>8782</v>
      </c>
      <c r="AR1308" s="77"/>
      <c r="AS1308" s="77"/>
      <c r="AT1308" s="77"/>
      <c r="AU1308" s="77"/>
      <c r="AV1308" s="83" t="str">
        <f>HYPERLINK("https://pbs.twimg.com/media/FodALxnXEAAzE3T.jpg")</f>
        <v>https://pbs.twimg.com/media/FodALxnXEAAzE3T.jpg</v>
      </c>
      <c r="AW1308" s="81" t="s">
        <v>10430</v>
      </c>
      <c r="AX1308" s="81" t="s">
        <v>10430</v>
      </c>
      <c r="AY1308" s="77"/>
      <c r="AZ1308" s="81" t="s">
        <v>11359</v>
      </c>
      <c r="BA1308" s="81" t="s">
        <v>11359</v>
      </c>
      <c r="BB1308" s="81" t="s">
        <v>11359</v>
      </c>
      <c r="BC1308" s="81" t="s">
        <v>10430</v>
      </c>
      <c r="BD1308" s="81" t="s">
        <v>11538</v>
      </c>
      <c r="BE1308" s="77"/>
      <c r="BF1308" s="77"/>
      <c r="BG1308" s="77"/>
      <c r="BH1308" s="77"/>
      <c r="BI1308" s="77"/>
    </row>
    <row r="1309" spans="1:61" x14ac:dyDescent="0.25">
      <c r="A1309" s="62" t="s">
        <v>493</v>
      </c>
      <c r="B1309" s="62" t="s">
        <v>493</v>
      </c>
      <c r="C1309" s="63"/>
      <c r="D1309" s="64"/>
      <c r="E1309" s="65"/>
      <c r="F1309" s="66"/>
      <c r="G1309" s="63"/>
      <c r="H1309" s="67"/>
      <c r="I1309" s="68"/>
      <c r="J1309" s="68"/>
      <c r="K1309" s="32"/>
      <c r="L1309" s="75">
        <v>1309</v>
      </c>
      <c r="M1309" s="75"/>
      <c r="N1309" s="70"/>
      <c r="O1309" s="77" t="s">
        <v>179</v>
      </c>
      <c r="P1309" s="79">
        <v>45098.608553240738</v>
      </c>
      <c r="Q1309" s="77" t="s">
        <v>2108</v>
      </c>
      <c r="R1309" s="77">
        <v>0</v>
      </c>
      <c r="S1309" s="77">
        <v>0</v>
      </c>
      <c r="T1309" s="77">
        <v>0</v>
      </c>
      <c r="U1309" s="77">
        <v>0</v>
      </c>
      <c r="V1309" s="77">
        <v>49</v>
      </c>
      <c r="W1309" s="81" t="s">
        <v>3575</v>
      </c>
      <c r="X1309" s="77"/>
      <c r="Y1309" s="77"/>
      <c r="Z1309" s="77"/>
      <c r="AA1309" s="77" t="s">
        <v>5280</v>
      </c>
      <c r="AB1309" s="77" t="s">
        <v>5794</v>
      </c>
      <c r="AC1309" s="81" t="s">
        <v>5805</v>
      </c>
      <c r="AD1309" s="77" t="s">
        <v>5850</v>
      </c>
      <c r="AE1309" s="83" t="str">
        <f>HYPERLINK("https://twitter.com/talentomayan/status/1671527472746078209")</f>
        <v>https://twitter.com/talentomayan/status/1671527472746078209</v>
      </c>
      <c r="AF1309" s="79">
        <v>45098.608553240738</v>
      </c>
      <c r="AG1309" s="85">
        <v>45098</v>
      </c>
      <c r="AH1309" s="81" t="s">
        <v>6970</v>
      </c>
      <c r="AI1309" s="77" t="b">
        <v>0</v>
      </c>
      <c r="AJ1309" s="77"/>
      <c r="AK1309" s="77"/>
      <c r="AL1309" s="77"/>
      <c r="AM1309" s="77"/>
      <c r="AN1309" s="77"/>
      <c r="AO1309" s="77"/>
      <c r="AP1309" s="77"/>
      <c r="AQ1309" s="77" t="s">
        <v>8783</v>
      </c>
      <c r="AR1309" s="77"/>
      <c r="AS1309" s="77"/>
      <c r="AT1309" s="77"/>
      <c r="AU1309" s="77"/>
      <c r="AV1309" s="83" t="str">
        <f>HYPERLINK("https://pbs.twimg.com/media/FzJ1X23X0AAKZQ6.jpg")</f>
        <v>https://pbs.twimg.com/media/FzJ1X23X0AAKZQ6.jpg</v>
      </c>
      <c r="AW1309" s="81" t="s">
        <v>10431</v>
      </c>
      <c r="AX1309" s="81" t="s">
        <v>10431</v>
      </c>
      <c r="AY1309" s="77"/>
      <c r="AZ1309" s="81" t="s">
        <v>11359</v>
      </c>
      <c r="BA1309" s="81" t="s">
        <v>11359</v>
      </c>
      <c r="BB1309" s="81" t="s">
        <v>11359</v>
      </c>
      <c r="BC1309" s="81" t="s">
        <v>10431</v>
      </c>
      <c r="BD1309" s="81" t="s">
        <v>11538</v>
      </c>
      <c r="BE1309" s="77"/>
      <c r="BF1309" s="77"/>
      <c r="BG1309" s="77"/>
      <c r="BH1309" s="77"/>
      <c r="BI1309" s="77"/>
    </row>
    <row r="1310" spans="1:61" x14ac:dyDescent="0.25">
      <c r="A1310" s="62" t="s">
        <v>493</v>
      </c>
      <c r="B1310" s="62" t="s">
        <v>493</v>
      </c>
      <c r="C1310" s="63"/>
      <c r="D1310" s="64"/>
      <c r="E1310" s="65"/>
      <c r="F1310" s="66"/>
      <c r="G1310" s="63"/>
      <c r="H1310" s="67"/>
      <c r="I1310" s="68"/>
      <c r="J1310" s="68"/>
      <c r="K1310" s="32"/>
      <c r="L1310" s="75">
        <v>1310</v>
      </c>
      <c r="M1310" s="75"/>
      <c r="N1310" s="70"/>
      <c r="O1310" s="77" t="s">
        <v>179</v>
      </c>
      <c r="P1310" s="79">
        <v>45077.608993055554</v>
      </c>
      <c r="Q1310" s="77" t="s">
        <v>2109</v>
      </c>
      <c r="R1310" s="77">
        <v>0</v>
      </c>
      <c r="S1310" s="77">
        <v>0</v>
      </c>
      <c r="T1310" s="77">
        <v>0</v>
      </c>
      <c r="U1310" s="77">
        <v>0</v>
      </c>
      <c r="V1310" s="77">
        <v>34</v>
      </c>
      <c r="W1310" s="81" t="s">
        <v>3575</v>
      </c>
      <c r="X1310" s="77"/>
      <c r="Y1310" s="77"/>
      <c r="Z1310" s="77"/>
      <c r="AA1310" s="77" t="s">
        <v>5281</v>
      </c>
      <c r="AB1310" s="77" t="s">
        <v>5794</v>
      </c>
      <c r="AC1310" s="81" t="s">
        <v>5805</v>
      </c>
      <c r="AD1310" s="77" t="s">
        <v>5850</v>
      </c>
      <c r="AE1310" s="83" t="str">
        <f>HYPERLINK("https://twitter.com/talentomayan/status/1663917485211500548")</f>
        <v>https://twitter.com/talentomayan/status/1663917485211500548</v>
      </c>
      <c r="AF1310" s="79">
        <v>45077.608993055554</v>
      </c>
      <c r="AG1310" s="85">
        <v>45077</v>
      </c>
      <c r="AH1310" s="81" t="s">
        <v>6971</v>
      </c>
      <c r="AI1310" s="77" t="b">
        <v>0</v>
      </c>
      <c r="AJ1310" s="77"/>
      <c r="AK1310" s="77"/>
      <c r="AL1310" s="77"/>
      <c r="AM1310" s="77"/>
      <c r="AN1310" s="77"/>
      <c r="AO1310" s="77"/>
      <c r="AP1310" s="77"/>
      <c r="AQ1310" s="77" t="s">
        <v>8784</v>
      </c>
      <c r="AR1310" s="77"/>
      <c r="AS1310" s="77"/>
      <c r="AT1310" s="77"/>
      <c r="AU1310" s="77"/>
      <c r="AV1310" s="83" t="str">
        <f>HYPERLINK("https://pbs.twimg.com/media/FxdsIG7WwAEsj9S.jpg")</f>
        <v>https://pbs.twimg.com/media/FxdsIG7WwAEsj9S.jpg</v>
      </c>
      <c r="AW1310" s="81" t="s">
        <v>10432</v>
      </c>
      <c r="AX1310" s="81" t="s">
        <v>10432</v>
      </c>
      <c r="AY1310" s="77"/>
      <c r="AZ1310" s="81" t="s">
        <v>11359</v>
      </c>
      <c r="BA1310" s="81" t="s">
        <v>11359</v>
      </c>
      <c r="BB1310" s="81" t="s">
        <v>11359</v>
      </c>
      <c r="BC1310" s="81" t="s">
        <v>10432</v>
      </c>
      <c r="BD1310" s="81" t="s">
        <v>11538</v>
      </c>
      <c r="BE1310" s="77"/>
      <c r="BF1310" s="77"/>
      <c r="BG1310" s="77"/>
      <c r="BH1310" s="77"/>
      <c r="BI1310" s="77"/>
    </row>
    <row r="1311" spans="1:61" x14ac:dyDescent="0.25">
      <c r="A1311" s="62" t="s">
        <v>493</v>
      </c>
      <c r="B1311" s="62" t="s">
        <v>493</v>
      </c>
      <c r="C1311" s="63"/>
      <c r="D1311" s="64"/>
      <c r="E1311" s="65"/>
      <c r="F1311" s="66"/>
      <c r="G1311" s="63"/>
      <c r="H1311" s="67"/>
      <c r="I1311" s="68"/>
      <c r="J1311" s="68"/>
      <c r="K1311" s="32"/>
      <c r="L1311" s="75">
        <v>1311</v>
      </c>
      <c r="M1311" s="75"/>
      <c r="N1311" s="70"/>
      <c r="O1311" s="77" t="s">
        <v>179</v>
      </c>
      <c r="P1311" s="79">
        <v>45048.598900462966</v>
      </c>
      <c r="Q1311" s="77" t="s">
        <v>2110</v>
      </c>
      <c r="R1311" s="77">
        <v>0</v>
      </c>
      <c r="S1311" s="77">
        <v>0</v>
      </c>
      <c r="T1311" s="77">
        <v>0</v>
      </c>
      <c r="U1311" s="77">
        <v>0</v>
      </c>
      <c r="V1311" s="77">
        <v>36</v>
      </c>
      <c r="W1311" s="81" t="s">
        <v>3575</v>
      </c>
      <c r="X1311" s="77"/>
      <c r="Y1311" s="77"/>
      <c r="Z1311" s="77"/>
      <c r="AA1311" s="77" t="s">
        <v>5282</v>
      </c>
      <c r="AB1311" s="77" t="s">
        <v>5794</v>
      </c>
      <c r="AC1311" s="81" t="s">
        <v>5805</v>
      </c>
      <c r="AD1311" s="77" t="s">
        <v>5850</v>
      </c>
      <c r="AE1311" s="83" t="str">
        <f>HYPERLINK("https://twitter.com/talentomayan/status/1653404579097182214")</f>
        <v>https://twitter.com/talentomayan/status/1653404579097182214</v>
      </c>
      <c r="AF1311" s="79">
        <v>45048.598900462966</v>
      </c>
      <c r="AG1311" s="85">
        <v>45048</v>
      </c>
      <c r="AH1311" s="81" t="s">
        <v>6972</v>
      </c>
      <c r="AI1311" s="77" t="b">
        <v>0</v>
      </c>
      <c r="AJ1311" s="77"/>
      <c r="AK1311" s="77"/>
      <c r="AL1311" s="77"/>
      <c r="AM1311" s="77"/>
      <c r="AN1311" s="77"/>
      <c r="AO1311" s="77"/>
      <c r="AP1311" s="77"/>
      <c r="AQ1311" s="77" t="s">
        <v>8785</v>
      </c>
      <c r="AR1311" s="77"/>
      <c r="AS1311" s="77"/>
      <c r="AT1311" s="77"/>
      <c r="AU1311" s="77"/>
      <c r="AV1311" s="83" t="str">
        <f>HYPERLINK("https://pbs.twimg.com/media/FvISsv2WcAEZZuV.jpg")</f>
        <v>https://pbs.twimg.com/media/FvISsv2WcAEZZuV.jpg</v>
      </c>
      <c r="AW1311" s="81" t="s">
        <v>10433</v>
      </c>
      <c r="AX1311" s="81" t="s">
        <v>10433</v>
      </c>
      <c r="AY1311" s="77"/>
      <c r="AZ1311" s="81" t="s">
        <v>11359</v>
      </c>
      <c r="BA1311" s="81" t="s">
        <v>11359</v>
      </c>
      <c r="BB1311" s="81" t="s">
        <v>11359</v>
      </c>
      <c r="BC1311" s="81" t="s">
        <v>10433</v>
      </c>
      <c r="BD1311" s="81" t="s">
        <v>11538</v>
      </c>
      <c r="BE1311" s="77"/>
      <c r="BF1311" s="77"/>
      <c r="BG1311" s="77"/>
      <c r="BH1311" s="77"/>
      <c r="BI1311" s="77"/>
    </row>
    <row r="1312" spans="1:61" x14ac:dyDescent="0.25">
      <c r="A1312" s="62" t="s">
        <v>493</v>
      </c>
      <c r="B1312" s="62" t="s">
        <v>493</v>
      </c>
      <c r="C1312" s="63"/>
      <c r="D1312" s="64"/>
      <c r="E1312" s="65"/>
      <c r="F1312" s="66"/>
      <c r="G1312" s="63"/>
      <c r="H1312" s="67"/>
      <c r="I1312" s="68"/>
      <c r="J1312" s="68"/>
      <c r="K1312" s="32"/>
      <c r="L1312" s="75">
        <v>1312</v>
      </c>
      <c r="M1312" s="75"/>
      <c r="N1312" s="70"/>
      <c r="O1312" s="77" t="s">
        <v>179</v>
      </c>
      <c r="P1312" s="79">
        <v>45006.614618055559</v>
      </c>
      <c r="Q1312" s="77" t="s">
        <v>2111</v>
      </c>
      <c r="R1312" s="77">
        <v>0</v>
      </c>
      <c r="S1312" s="77">
        <v>0</v>
      </c>
      <c r="T1312" s="77">
        <v>0</v>
      </c>
      <c r="U1312" s="77">
        <v>0</v>
      </c>
      <c r="V1312" s="77">
        <v>45</v>
      </c>
      <c r="W1312" s="81" t="s">
        <v>3575</v>
      </c>
      <c r="X1312" s="77"/>
      <c r="Y1312" s="77"/>
      <c r="Z1312" s="77"/>
      <c r="AA1312" s="77" t="s">
        <v>5283</v>
      </c>
      <c r="AB1312" s="77" t="s">
        <v>5794</v>
      </c>
      <c r="AC1312" s="81" t="s">
        <v>5805</v>
      </c>
      <c r="AD1312" s="77" t="s">
        <v>5850</v>
      </c>
      <c r="AE1312" s="83" t="str">
        <f>HYPERLINK("https://twitter.com/talentomayan/status/1638189986401906690")</f>
        <v>https://twitter.com/talentomayan/status/1638189986401906690</v>
      </c>
      <c r="AF1312" s="79">
        <v>45006.614618055559</v>
      </c>
      <c r="AG1312" s="85">
        <v>45006</v>
      </c>
      <c r="AH1312" s="81" t="s">
        <v>6973</v>
      </c>
      <c r="AI1312" s="77" t="b">
        <v>0</v>
      </c>
      <c r="AJ1312" s="77"/>
      <c r="AK1312" s="77"/>
      <c r="AL1312" s="77"/>
      <c r="AM1312" s="77"/>
      <c r="AN1312" s="77"/>
      <c r="AO1312" s="77"/>
      <c r="AP1312" s="77"/>
      <c r="AQ1312" s="77" t="s">
        <v>8786</v>
      </c>
      <c r="AR1312" s="77"/>
      <c r="AS1312" s="77"/>
      <c r="AT1312" s="77"/>
      <c r="AU1312" s="77"/>
      <c r="AV1312" s="83" t="str">
        <f>HYPERLINK("https://pbs.twimg.com/media/FrwFGy1XwAAzYO-.jpg")</f>
        <v>https://pbs.twimg.com/media/FrwFGy1XwAAzYO-.jpg</v>
      </c>
      <c r="AW1312" s="81" t="s">
        <v>10434</v>
      </c>
      <c r="AX1312" s="81" t="s">
        <v>10434</v>
      </c>
      <c r="AY1312" s="77"/>
      <c r="AZ1312" s="81" t="s">
        <v>11359</v>
      </c>
      <c r="BA1312" s="81" t="s">
        <v>11359</v>
      </c>
      <c r="BB1312" s="81" t="s">
        <v>11359</v>
      </c>
      <c r="BC1312" s="81" t="s">
        <v>10434</v>
      </c>
      <c r="BD1312" s="81" t="s">
        <v>11538</v>
      </c>
      <c r="BE1312" s="77"/>
      <c r="BF1312" s="77"/>
      <c r="BG1312" s="77"/>
      <c r="BH1312" s="77"/>
      <c r="BI1312" s="77"/>
    </row>
    <row r="1313" spans="1:61" x14ac:dyDescent="0.25">
      <c r="A1313" s="62" t="s">
        <v>493</v>
      </c>
      <c r="B1313" s="62" t="s">
        <v>493</v>
      </c>
      <c r="C1313" s="63"/>
      <c r="D1313" s="64"/>
      <c r="E1313" s="65"/>
      <c r="F1313" s="66"/>
      <c r="G1313" s="63"/>
      <c r="H1313" s="67"/>
      <c r="I1313" s="68"/>
      <c r="J1313" s="68"/>
      <c r="K1313" s="32"/>
      <c r="L1313" s="75">
        <v>1313</v>
      </c>
      <c r="M1313" s="75"/>
      <c r="N1313" s="70"/>
      <c r="O1313" s="77" t="s">
        <v>179</v>
      </c>
      <c r="P1313" s="79">
        <v>44970.793576388889</v>
      </c>
      <c r="Q1313" s="77" t="s">
        <v>2112</v>
      </c>
      <c r="R1313" s="77">
        <v>0</v>
      </c>
      <c r="S1313" s="77">
        <v>0</v>
      </c>
      <c r="T1313" s="77">
        <v>0</v>
      </c>
      <c r="U1313" s="77">
        <v>0</v>
      </c>
      <c r="V1313" s="77">
        <v>59</v>
      </c>
      <c r="W1313" s="81" t="s">
        <v>3575</v>
      </c>
      <c r="X1313" s="77"/>
      <c r="Y1313" s="77"/>
      <c r="Z1313" s="77"/>
      <c r="AA1313" s="77" t="s">
        <v>5284</v>
      </c>
      <c r="AB1313" s="77" t="s">
        <v>5794</v>
      </c>
      <c r="AC1313" s="81" t="s">
        <v>5805</v>
      </c>
      <c r="AD1313" s="77" t="s">
        <v>5850</v>
      </c>
      <c r="AE1313" s="83" t="str">
        <f>HYPERLINK("https://twitter.com/talentomayan/status/1625208873731690519")</f>
        <v>https://twitter.com/talentomayan/status/1625208873731690519</v>
      </c>
      <c r="AF1313" s="79">
        <v>44970.793576388889</v>
      </c>
      <c r="AG1313" s="85">
        <v>44970</v>
      </c>
      <c r="AH1313" s="81" t="s">
        <v>6974</v>
      </c>
      <c r="AI1313" s="77" t="b">
        <v>0</v>
      </c>
      <c r="AJ1313" s="77"/>
      <c r="AK1313" s="77"/>
      <c r="AL1313" s="77"/>
      <c r="AM1313" s="77"/>
      <c r="AN1313" s="77"/>
      <c r="AO1313" s="77"/>
      <c r="AP1313" s="77"/>
      <c r="AQ1313" s="77" t="s">
        <v>8787</v>
      </c>
      <c r="AR1313" s="77"/>
      <c r="AS1313" s="77"/>
      <c r="AT1313" s="77"/>
      <c r="AU1313" s="77"/>
      <c r="AV1313" s="83" t="str">
        <f>HYPERLINK("https://pbs.twimg.com/media/Fo3m2rjXECkogS9.jpg")</f>
        <v>https://pbs.twimg.com/media/Fo3m2rjXECkogS9.jpg</v>
      </c>
      <c r="AW1313" s="81" t="s">
        <v>10435</v>
      </c>
      <c r="AX1313" s="81" t="s">
        <v>10435</v>
      </c>
      <c r="AY1313" s="77"/>
      <c r="AZ1313" s="81" t="s">
        <v>11359</v>
      </c>
      <c r="BA1313" s="81" t="s">
        <v>11359</v>
      </c>
      <c r="BB1313" s="81" t="s">
        <v>11359</v>
      </c>
      <c r="BC1313" s="81" t="s">
        <v>10435</v>
      </c>
      <c r="BD1313" s="81" t="s">
        <v>11538</v>
      </c>
      <c r="BE1313" s="77"/>
      <c r="BF1313" s="77"/>
      <c r="BG1313" s="77"/>
      <c r="BH1313" s="77"/>
      <c r="BI1313" s="77"/>
    </row>
    <row r="1314" spans="1:61" x14ac:dyDescent="0.25">
      <c r="A1314" s="62" t="s">
        <v>493</v>
      </c>
      <c r="B1314" s="62" t="s">
        <v>493</v>
      </c>
      <c r="C1314" s="63"/>
      <c r="D1314" s="64"/>
      <c r="E1314" s="65"/>
      <c r="F1314" s="66"/>
      <c r="G1314" s="63"/>
      <c r="H1314" s="67"/>
      <c r="I1314" s="68"/>
      <c r="J1314" s="68"/>
      <c r="K1314" s="32"/>
      <c r="L1314" s="75">
        <v>1314</v>
      </c>
      <c r="M1314" s="75"/>
      <c r="N1314" s="70"/>
      <c r="O1314" s="77" t="s">
        <v>179</v>
      </c>
      <c r="P1314" s="79">
        <v>44970.66914351852</v>
      </c>
      <c r="Q1314" s="77" t="s">
        <v>2113</v>
      </c>
      <c r="R1314" s="77">
        <v>0</v>
      </c>
      <c r="S1314" s="77">
        <v>0</v>
      </c>
      <c r="T1314" s="77">
        <v>0</v>
      </c>
      <c r="U1314" s="77">
        <v>0</v>
      </c>
      <c r="V1314" s="77">
        <v>50</v>
      </c>
      <c r="W1314" s="81" t="s">
        <v>3575</v>
      </c>
      <c r="X1314" s="77"/>
      <c r="Y1314" s="77"/>
      <c r="Z1314" s="77"/>
      <c r="AA1314" s="77" t="s">
        <v>5285</v>
      </c>
      <c r="AB1314" s="77" t="s">
        <v>5794</v>
      </c>
      <c r="AC1314" s="81" t="s">
        <v>5805</v>
      </c>
      <c r="AD1314" s="77" t="s">
        <v>5850</v>
      </c>
      <c r="AE1314" s="83" t="str">
        <f>HYPERLINK("https://twitter.com/talentomayan/status/1625163781595623424")</f>
        <v>https://twitter.com/talentomayan/status/1625163781595623424</v>
      </c>
      <c r="AF1314" s="79">
        <v>44970.66914351852</v>
      </c>
      <c r="AG1314" s="85">
        <v>44970</v>
      </c>
      <c r="AH1314" s="81" t="s">
        <v>6039</v>
      </c>
      <c r="AI1314" s="77" t="b">
        <v>0</v>
      </c>
      <c r="AJ1314" s="77"/>
      <c r="AK1314" s="77"/>
      <c r="AL1314" s="77"/>
      <c r="AM1314" s="77"/>
      <c r="AN1314" s="77"/>
      <c r="AO1314" s="77"/>
      <c r="AP1314" s="77"/>
      <c r="AQ1314" s="77" t="s">
        <v>8788</v>
      </c>
      <c r="AR1314" s="77"/>
      <c r="AS1314" s="77"/>
      <c r="AT1314" s="77"/>
      <c r="AU1314" s="77"/>
      <c r="AV1314" s="83" t="str">
        <f>HYPERLINK("https://pbs.twimg.com/media/Fo2911kX0AAPtih.jpg")</f>
        <v>https://pbs.twimg.com/media/Fo2911kX0AAPtih.jpg</v>
      </c>
      <c r="AW1314" s="81" t="s">
        <v>10436</v>
      </c>
      <c r="AX1314" s="81" t="s">
        <v>10436</v>
      </c>
      <c r="AY1314" s="77"/>
      <c r="AZ1314" s="81" t="s">
        <v>11359</v>
      </c>
      <c r="BA1314" s="81" t="s">
        <v>11359</v>
      </c>
      <c r="BB1314" s="81" t="s">
        <v>11359</v>
      </c>
      <c r="BC1314" s="81" t="s">
        <v>10436</v>
      </c>
      <c r="BD1314" s="81" t="s">
        <v>11538</v>
      </c>
      <c r="BE1314" s="77"/>
      <c r="BF1314" s="77"/>
      <c r="BG1314" s="77"/>
      <c r="BH1314" s="77"/>
      <c r="BI1314" s="77"/>
    </row>
    <row r="1315" spans="1:61" x14ac:dyDescent="0.25">
      <c r="A1315" s="62" t="s">
        <v>493</v>
      </c>
      <c r="B1315" s="62" t="s">
        <v>493</v>
      </c>
      <c r="C1315" s="63"/>
      <c r="D1315" s="64"/>
      <c r="E1315" s="65"/>
      <c r="F1315" s="66"/>
      <c r="G1315" s="63"/>
      <c r="H1315" s="67"/>
      <c r="I1315" s="68"/>
      <c r="J1315" s="68"/>
      <c r="K1315" s="32"/>
      <c r="L1315" s="75">
        <v>1315</v>
      </c>
      <c r="M1315" s="75"/>
      <c r="N1315" s="70"/>
      <c r="O1315" s="77" t="s">
        <v>179</v>
      </c>
      <c r="P1315" s="79">
        <v>44968.791412037041</v>
      </c>
      <c r="Q1315" s="77" t="s">
        <v>2114</v>
      </c>
      <c r="R1315" s="77">
        <v>0</v>
      </c>
      <c r="S1315" s="77">
        <v>0</v>
      </c>
      <c r="T1315" s="77">
        <v>0</v>
      </c>
      <c r="U1315" s="77">
        <v>0</v>
      </c>
      <c r="V1315" s="77">
        <v>45</v>
      </c>
      <c r="W1315" s="81" t="s">
        <v>3575</v>
      </c>
      <c r="X1315" s="77"/>
      <c r="Y1315" s="77"/>
      <c r="Z1315" s="77"/>
      <c r="AA1315" s="77" t="s">
        <v>5286</v>
      </c>
      <c r="AB1315" s="77" t="s">
        <v>5794</v>
      </c>
      <c r="AC1315" s="81" t="s">
        <v>5805</v>
      </c>
      <c r="AD1315" s="77" t="s">
        <v>5850</v>
      </c>
      <c r="AE1315" s="83" t="str">
        <f>HYPERLINK("https://twitter.com/talentomayan/status/1624483314672312323")</f>
        <v>https://twitter.com/talentomayan/status/1624483314672312323</v>
      </c>
      <c r="AF1315" s="79">
        <v>44968.791412037041</v>
      </c>
      <c r="AG1315" s="85">
        <v>44968</v>
      </c>
      <c r="AH1315" s="81" t="s">
        <v>6975</v>
      </c>
      <c r="AI1315" s="77" t="b">
        <v>0</v>
      </c>
      <c r="AJ1315" s="77"/>
      <c r="AK1315" s="77"/>
      <c r="AL1315" s="77"/>
      <c r="AM1315" s="77"/>
      <c r="AN1315" s="77"/>
      <c r="AO1315" s="77"/>
      <c r="AP1315" s="77"/>
      <c r="AQ1315" s="77" t="s">
        <v>8789</v>
      </c>
      <c r="AR1315" s="77"/>
      <c r="AS1315" s="77"/>
      <c r="AT1315" s="77"/>
      <c r="AU1315" s="77"/>
      <c r="AV1315" s="83" t="str">
        <f>HYPERLINK("https://pbs.twimg.com/media/FotS9kzWAAYwLsO.jpg")</f>
        <v>https://pbs.twimg.com/media/FotS9kzWAAYwLsO.jpg</v>
      </c>
      <c r="AW1315" s="81" t="s">
        <v>10437</v>
      </c>
      <c r="AX1315" s="81" t="s">
        <v>10437</v>
      </c>
      <c r="AY1315" s="77"/>
      <c r="AZ1315" s="81" t="s">
        <v>11359</v>
      </c>
      <c r="BA1315" s="81" t="s">
        <v>11359</v>
      </c>
      <c r="BB1315" s="81" t="s">
        <v>11359</v>
      </c>
      <c r="BC1315" s="81" t="s">
        <v>10437</v>
      </c>
      <c r="BD1315" s="81" t="s">
        <v>11538</v>
      </c>
      <c r="BE1315" s="77"/>
      <c r="BF1315" s="77"/>
      <c r="BG1315" s="77"/>
      <c r="BH1315" s="77"/>
      <c r="BI1315" s="77"/>
    </row>
    <row r="1316" spans="1:61" x14ac:dyDescent="0.25">
      <c r="A1316" s="62" t="s">
        <v>493</v>
      </c>
      <c r="B1316" s="62" t="s">
        <v>493</v>
      </c>
      <c r="C1316" s="63"/>
      <c r="D1316" s="64"/>
      <c r="E1316" s="65"/>
      <c r="F1316" s="66"/>
      <c r="G1316" s="63"/>
      <c r="H1316" s="67"/>
      <c r="I1316" s="68"/>
      <c r="J1316" s="68"/>
      <c r="K1316" s="32"/>
      <c r="L1316" s="75">
        <v>1316</v>
      </c>
      <c r="M1316" s="75"/>
      <c r="N1316" s="70"/>
      <c r="O1316" s="77" t="s">
        <v>179</v>
      </c>
      <c r="P1316" s="79">
        <v>44967.813275462962</v>
      </c>
      <c r="Q1316" s="77" t="s">
        <v>2115</v>
      </c>
      <c r="R1316" s="77">
        <v>0</v>
      </c>
      <c r="S1316" s="77">
        <v>0</v>
      </c>
      <c r="T1316" s="77">
        <v>0</v>
      </c>
      <c r="U1316" s="77">
        <v>0</v>
      </c>
      <c r="V1316" s="77">
        <v>47</v>
      </c>
      <c r="W1316" s="81" t="s">
        <v>3575</v>
      </c>
      <c r="X1316" s="77"/>
      <c r="Y1316" s="77"/>
      <c r="Z1316" s="77"/>
      <c r="AA1316" s="77" t="s">
        <v>5287</v>
      </c>
      <c r="AB1316" s="77" t="s">
        <v>5794</v>
      </c>
      <c r="AC1316" s="81" t="s">
        <v>5805</v>
      </c>
      <c r="AD1316" s="77" t="s">
        <v>5850</v>
      </c>
      <c r="AE1316" s="83" t="str">
        <f>HYPERLINK("https://twitter.com/talentomayan/status/1624128850085965827")</f>
        <v>https://twitter.com/talentomayan/status/1624128850085965827</v>
      </c>
      <c r="AF1316" s="79">
        <v>44967.813275462962</v>
      </c>
      <c r="AG1316" s="85">
        <v>44967</v>
      </c>
      <c r="AH1316" s="81" t="s">
        <v>6976</v>
      </c>
      <c r="AI1316" s="77" t="b">
        <v>0</v>
      </c>
      <c r="AJ1316" s="77"/>
      <c r="AK1316" s="77"/>
      <c r="AL1316" s="77"/>
      <c r="AM1316" s="77"/>
      <c r="AN1316" s="77"/>
      <c r="AO1316" s="77"/>
      <c r="AP1316" s="77"/>
      <c r="AQ1316" s="77" t="s">
        <v>8790</v>
      </c>
      <c r="AR1316" s="77"/>
      <c r="AS1316" s="77"/>
      <c r="AT1316" s="77"/>
      <c r="AU1316" s="77"/>
      <c r="AV1316" s="83" t="str">
        <f>HYPERLINK("https://pbs.twimg.com/media/FooQk-kXEAQ_v9V.jpg")</f>
        <v>https://pbs.twimg.com/media/FooQk-kXEAQ_v9V.jpg</v>
      </c>
      <c r="AW1316" s="81" t="s">
        <v>10438</v>
      </c>
      <c r="AX1316" s="81" t="s">
        <v>10438</v>
      </c>
      <c r="AY1316" s="77"/>
      <c r="AZ1316" s="81" t="s">
        <v>11359</v>
      </c>
      <c r="BA1316" s="81" t="s">
        <v>11359</v>
      </c>
      <c r="BB1316" s="81" t="s">
        <v>11359</v>
      </c>
      <c r="BC1316" s="81" t="s">
        <v>10438</v>
      </c>
      <c r="BD1316" s="81" t="s">
        <v>11538</v>
      </c>
      <c r="BE1316" s="77"/>
      <c r="BF1316" s="77"/>
      <c r="BG1316" s="77"/>
      <c r="BH1316" s="77"/>
      <c r="BI1316" s="77"/>
    </row>
    <row r="1317" spans="1:61" x14ac:dyDescent="0.25">
      <c r="A1317" s="62" t="s">
        <v>493</v>
      </c>
      <c r="B1317" s="62" t="s">
        <v>493</v>
      </c>
      <c r="C1317" s="63"/>
      <c r="D1317" s="64"/>
      <c r="E1317" s="65"/>
      <c r="F1317" s="66"/>
      <c r="G1317" s="63"/>
      <c r="H1317" s="67"/>
      <c r="I1317" s="68"/>
      <c r="J1317" s="68"/>
      <c r="K1317" s="32"/>
      <c r="L1317" s="75">
        <v>1317</v>
      </c>
      <c r="M1317" s="75"/>
      <c r="N1317" s="70"/>
      <c r="O1317" s="77" t="s">
        <v>179</v>
      </c>
      <c r="P1317" s="79">
        <v>44967.562708333331</v>
      </c>
      <c r="Q1317" s="77" t="s">
        <v>2116</v>
      </c>
      <c r="R1317" s="77">
        <v>0</v>
      </c>
      <c r="S1317" s="77">
        <v>0</v>
      </c>
      <c r="T1317" s="77">
        <v>0</v>
      </c>
      <c r="U1317" s="77">
        <v>0</v>
      </c>
      <c r="V1317" s="77">
        <v>39</v>
      </c>
      <c r="W1317" s="81" t="s">
        <v>3575</v>
      </c>
      <c r="X1317" s="77"/>
      <c r="Y1317" s="77"/>
      <c r="Z1317" s="77"/>
      <c r="AA1317" s="77" t="s">
        <v>5288</v>
      </c>
      <c r="AB1317" s="77" t="s">
        <v>5794</v>
      </c>
      <c r="AC1317" s="81" t="s">
        <v>5805</v>
      </c>
      <c r="AD1317" s="77" t="s">
        <v>5850</v>
      </c>
      <c r="AE1317" s="83" t="str">
        <f>HYPERLINK("https://twitter.com/talentomayan/status/1624038047883960322")</f>
        <v>https://twitter.com/talentomayan/status/1624038047883960322</v>
      </c>
      <c r="AF1317" s="79">
        <v>44967.562708333331</v>
      </c>
      <c r="AG1317" s="85">
        <v>44967</v>
      </c>
      <c r="AH1317" s="81" t="s">
        <v>6977</v>
      </c>
      <c r="AI1317" s="77" t="b">
        <v>0</v>
      </c>
      <c r="AJ1317" s="77"/>
      <c r="AK1317" s="77"/>
      <c r="AL1317" s="77"/>
      <c r="AM1317" s="77"/>
      <c r="AN1317" s="77"/>
      <c r="AO1317" s="77"/>
      <c r="AP1317" s="77"/>
      <c r="AQ1317" s="77" t="s">
        <v>8791</v>
      </c>
      <c r="AR1317" s="77"/>
      <c r="AS1317" s="77"/>
      <c r="AT1317" s="77"/>
      <c r="AU1317" s="77"/>
      <c r="AV1317" s="83" t="str">
        <f>HYPERLINK("https://pbs.twimg.com/media/Fom9_njX0AMaVOw.jpg")</f>
        <v>https://pbs.twimg.com/media/Fom9_njX0AMaVOw.jpg</v>
      </c>
      <c r="AW1317" s="81" t="s">
        <v>10439</v>
      </c>
      <c r="AX1317" s="81" t="s">
        <v>10439</v>
      </c>
      <c r="AY1317" s="77"/>
      <c r="AZ1317" s="81" t="s">
        <v>11359</v>
      </c>
      <c r="BA1317" s="81" t="s">
        <v>11359</v>
      </c>
      <c r="BB1317" s="81" t="s">
        <v>11359</v>
      </c>
      <c r="BC1317" s="81" t="s">
        <v>10439</v>
      </c>
      <c r="BD1317" s="81" t="s">
        <v>11538</v>
      </c>
      <c r="BE1317" s="77"/>
      <c r="BF1317" s="77"/>
      <c r="BG1317" s="77"/>
      <c r="BH1317" s="77"/>
      <c r="BI1317" s="77"/>
    </row>
    <row r="1318" spans="1:61" x14ac:dyDescent="0.25">
      <c r="A1318" s="62" t="s">
        <v>493</v>
      </c>
      <c r="B1318" s="62" t="s">
        <v>493</v>
      </c>
      <c r="C1318" s="63"/>
      <c r="D1318" s="64"/>
      <c r="E1318" s="65"/>
      <c r="F1318" s="66"/>
      <c r="G1318" s="63"/>
      <c r="H1318" s="67"/>
      <c r="I1318" s="68"/>
      <c r="J1318" s="68"/>
      <c r="K1318" s="32"/>
      <c r="L1318" s="75">
        <v>1318</v>
      </c>
      <c r="M1318" s="75"/>
      <c r="N1318" s="70"/>
      <c r="O1318" s="77" t="s">
        <v>179</v>
      </c>
      <c r="P1318" s="79">
        <v>44931.609247685185</v>
      </c>
      <c r="Q1318" s="77" t="s">
        <v>2117</v>
      </c>
      <c r="R1318" s="77">
        <v>1</v>
      </c>
      <c r="S1318" s="77">
        <v>0</v>
      </c>
      <c r="T1318" s="77">
        <v>0</v>
      </c>
      <c r="U1318" s="77">
        <v>0</v>
      </c>
      <c r="V1318" s="77">
        <v>60</v>
      </c>
      <c r="W1318" s="81" t="s">
        <v>3577</v>
      </c>
      <c r="X1318" s="77"/>
      <c r="Y1318" s="77"/>
      <c r="Z1318" s="77"/>
      <c r="AA1318" s="77" t="s">
        <v>5289</v>
      </c>
      <c r="AB1318" s="77" t="s">
        <v>5794</v>
      </c>
      <c r="AC1318" s="81" t="s">
        <v>5805</v>
      </c>
      <c r="AD1318" s="77" t="s">
        <v>5850</v>
      </c>
      <c r="AE1318" s="83" t="str">
        <f>HYPERLINK("https://twitter.com/talentomayan/status/1611008950312353793")</f>
        <v>https://twitter.com/talentomayan/status/1611008950312353793</v>
      </c>
      <c r="AF1318" s="79">
        <v>44931.609247685185</v>
      </c>
      <c r="AG1318" s="85">
        <v>44931</v>
      </c>
      <c r="AH1318" s="81" t="s">
        <v>6978</v>
      </c>
      <c r="AI1318" s="77" t="b">
        <v>0</v>
      </c>
      <c r="AJ1318" s="77"/>
      <c r="AK1318" s="77"/>
      <c r="AL1318" s="77"/>
      <c r="AM1318" s="77"/>
      <c r="AN1318" s="77"/>
      <c r="AO1318" s="77"/>
      <c r="AP1318" s="77"/>
      <c r="AQ1318" s="77" t="s">
        <v>8792</v>
      </c>
      <c r="AR1318" s="77"/>
      <c r="AS1318" s="77"/>
      <c r="AT1318" s="77"/>
      <c r="AU1318" s="77"/>
      <c r="AV1318" s="83" t="str">
        <f>HYPERLINK("https://pbs.twimg.com/media/Flt0GMAWQAU6Zti.jpg")</f>
        <v>https://pbs.twimg.com/media/Flt0GMAWQAU6Zti.jpg</v>
      </c>
      <c r="AW1318" s="81" t="s">
        <v>10440</v>
      </c>
      <c r="AX1318" s="81" t="s">
        <v>10440</v>
      </c>
      <c r="AY1318" s="77"/>
      <c r="AZ1318" s="81" t="s">
        <v>11359</v>
      </c>
      <c r="BA1318" s="81" t="s">
        <v>11359</v>
      </c>
      <c r="BB1318" s="81" t="s">
        <v>11359</v>
      </c>
      <c r="BC1318" s="81" t="s">
        <v>10440</v>
      </c>
      <c r="BD1318" s="81" t="s">
        <v>11538</v>
      </c>
      <c r="BE1318" s="77"/>
      <c r="BF1318" s="77"/>
      <c r="BG1318" s="77"/>
      <c r="BH1318" s="77"/>
      <c r="BI1318" s="77"/>
    </row>
    <row r="1319" spans="1:61" x14ac:dyDescent="0.25">
      <c r="A1319" s="62" t="s">
        <v>493</v>
      </c>
      <c r="B1319" s="62" t="s">
        <v>493</v>
      </c>
      <c r="C1319" s="63"/>
      <c r="D1319" s="64"/>
      <c r="E1319" s="65"/>
      <c r="F1319" s="66"/>
      <c r="G1319" s="63"/>
      <c r="H1319" s="67"/>
      <c r="I1319" s="68"/>
      <c r="J1319" s="68"/>
      <c r="K1319" s="32"/>
      <c r="L1319" s="75">
        <v>1319</v>
      </c>
      <c r="M1319" s="75"/>
      <c r="N1319" s="70"/>
      <c r="O1319" s="77" t="s">
        <v>179</v>
      </c>
      <c r="P1319" s="79">
        <v>44930.753194444442</v>
      </c>
      <c r="Q1319" s="77" t="s">
        <v>2118</v>
      </c>
      <c r="R1319" s="77">
        <v>1</v>
      </c>
      <c r="S1319" s="77">
        <v>0</v>
      </c>
      <c r="T1319" s="77">
        <v>0</v>
      </c>
      <c r="U1319" s="77">
        <v>0</v>
      </c>
      <c r="V1319" s="77">
        <v>88</v>
      </c>
      <c r="W1319" s="81" t="s">
        <v>3575</v>
      </c>
      <c r="X1319" s="77"/>
      <c r="Y1319" s="77"/>
      <c r="Z1319" s="77"/>
      <c r="AA1319" s="77" t="s">
        <v>5290</v>
      </c>
      <c r="AB1319" s="77" t="s">
        <v>5794</v>
      </c>
      <c r="AC1319" s="81" t="s">
        <v>5805</v>
      </c>
      <c r="AD1319" s="77" t="s">
        <v>5850</v>
      </c>
      <c r="AE1319" s="83" t="str">
        <f>HYPERLINK("https://twitter.com/talentomayan/status/1610698727211110400")</f>
        <v>https://twitter.com/talentomayan/status/1610698727211110400</v>
      </c>
      <c r="AF1319" s="79">
        <v>44930.753194444442</v>
      </c>
      <c r="AG1319" s="85">
        <v>44930</v>
      </c>
      <c r="AH1319" s="81" t="s">
        <v>6979</v>
      </c>
      <c r="AI1319" s="77" t="b">
        <v>0</v>
      </c>
      <c r="AJ1319" s="77"/>
      <c r="AK1319" s="77"/>
      <c r="AL1319" s="77"/>
      <c r="AM1319" s="77"/>
      <c r="AN1319" s="77"/>
      <c r="AO1319" s="77"/>
      <c r="AP1319" s="77"/>
      <c r="AQ1319" s="77" t="s">
        <v>8793</v>
      </c>
      <c r="AR1319" s="77"/>
      <c r="AS1319" s="77"/>
      <c r="AT1319" s="77"/>
      <c r="AU1319" s="77"/>
      <c r="AV1319" s="83" t="str">
        <f>HYPERLINK("https://pbs.twimg.com/media/FlpZ83eXoAMbVot.jpg")</f>
        <v>https://pbs.twimg.com/media/FlpZ83eXoAMbVot.jpg</v>
      </c>
      <c r="AW1319" s="81" t="s">
        <v>10441</v>
      </c>
      <c r="AX1319" s="81" t="s">
        <v>10441</v>
      </c>
      <c r="AY1319" s="77"/>
      <c r="AZ1319" s="81" t="s">
        <v>11359</v>
      </c>
      <c r="BA1319" s="81" t="s">
        <v>11359</v>
      </c>
      <c r="BB1319" s="81" t="s">
        <v>11359</v>
      </c>
      <c r="BC1319" s="81" t="s">
        <v>10441</v>
      </c>
      <c r="BD1319" s="81" t="s">
        <v>11538</v>
      </c>
      <c r="BE1319" s="77"/>
      <c r="BF1319" s="77"/>
      <c r="BG1319" s="77"/>
      <c r="BH1319" s="77"/>
      <c r="BI1319" s="77"/>
    </row>
    <row r="1320" spans="1:61" x14ac:dyDescent="0.25">
      <c r="A1320" s="62" t="s">
        <v>493</v>
      </c>
      <c r="B1320" s="62" t="s">
        <v>493</v>
      </c>
      <c r="C1320" s="63"/>
      <c r="D1320" s="64"/>
      <c r="E1320" s="65"/>
      <c r="F1320" s="66"/>
      <c r="G1320" s="63"/>
      <c r="H1320" s="67"/>
      <c r="I1320" s="68"/>
      <c r="J1320" s="68"/>
      <c r="K1320" s="32"/>
      <c r="L1320" s="75">
        <v>1320</v>
      </c>
      <c r="M1320" s="75"/>
      <c r="N1320" s="70"/>
      <c r="O1320" s="77" t="s">
        <v>179</v>
      </c>
      <c r="P1320" s="79">
        <v>44930.565659722219</v>
      </c>
      <c r="Q1320" s="77" t="s">
        <v>2119</v>
      </c>
      <c r="R1320" s="77">
        <v>0</v>
      </c>
      <c r="S1320" s="77">
        <v>0</v>
      </c>
      <c r="T1320" s="77">
        <v>0</v>
      </c>
      <c r="U1320" s="77">
        <v>0</v>
      </c>
      <c r="V1320" s="77">
        <v>50</v>
      </c>
      <c r="W1320" s="81" t="s">
        <v>3575</v>
      </c>
      <c r="X1320" s="77"/>
      <c r="Y1320" s="77"/>
      <c r="Z1320" s="77"/>
      <c r="AA1320" s="77" t="s">
        <v>5291</v>
      </c>
      <c r="AB1320" s="77" t="s">
        <v>5794</v>
      </c>
      <c r="AC1320" s="81" t="s">
        <v>5805</v>
      </c>
      <c r="AD1320" s="77" t="s">
        <v>5850</v>
      </c>
      <c r="AE1320" s="83" t="str">
        <f>HYPERLINK("https://twitter.com/talentomayan/status/1610630766496473088")</f>
        <v>https://twitter.com/talentomayan/status/1610630766496473088</v>
      </c>
      <c r="AF1320" s="79">
        <v>44930.565659722219</v>
      </c>
      <c r="AG1320" s="85">
        <v>44930</v>
      </c>
      <c r="AH1320" s="81" t="s">
        <v>6980</v>
      </c>
      <c r="AI1320" s="77" t="b">
        <v>0</v>
      </c>
      <c r="AJ1320" s="77"/>
      <c r="AK1320" s="77"/>
      <c r="AL1320" s="77"/>
      <c r="AM1320" s="77"/>
      <c r="AN1320" s="77"/>
      <c r="AO1320" s="77"/>
      <c r="AP1320" s="77"/>
      <c r="AQ1320" s="77" t="s">
        <v>8794</v>
      </c>
      <c r="AR1320" s="77"/>
      <c r="AS1320" s="77"/>
      <c r="AT1320" s="77"/>
      <c r="AU1320" s="77"/>
      <c r="AV1320" s="83" t="str">
        <f>HYPERLINK("https://pbs.twimg.com/media/FlocHH0X0AEP1ah.jpg")</f>
        <v>https://pbs.twimg.com/media/FlocHH0X0AEP1ah.jpg</v>
      </c>
      <c r="AW1320" s="81" t="s">
        <v>10442</v>
      </c>
      <c r="AX1320" s="81" t="s">
        <v>10442</v>
      </c>
      <c r="AY1320" s="77"/>
      <c r="AZ1320" s="81" t="s">
        <v>11359</v>
      </c>
      <c r="BA1320" s="81" t="s">
        <v>11359</v>
      </c>
      <c r="BB1320" s="81" t="s">
        <v>11359</v>
      </c>
      <c r="BC1320" s="81" t="s">
        <v>10442</v>
      </c>
      <c r="BD1320" s="81" t="s">
        <v>11538</v>
      </c>
      <c r="BE1320" s="77"/>
      <c r="BF1320" s="77"/>
      <c r="BG1320" s="77"/>
      <c r="BH1320" s="77"/>
      <c r="BI1320" s="77"/>
    </row>
    <row r="1321" spans="1:61" x14ac:dyDescent="0.25">
      <c r="A1321" s="62" t="s">
        <v>493</v>
      </c>
      <c r="B1321" s="62" t="s">
        <v>493</v>
      </c>
      <c r="C1321" s="63"/>
      <c r="D1321" s="64"/>
      <c r="E1321" s="65"/>
      <c r="F1321" s="66"/>
      <c r="G1321" s="63"/>
      <c r="H1321" s="67"/>
      <c r="I1321" s="68"/>
      <c r="J1321" s="68"/>
      <c r="K1321" s="32"/>
      <c r="L1321" s="75">
        <v>1321</v>
      </c>
      <c r="M1321" s="75"/>
      <c r="N1321" s="70"/>
      <c r="O1321" s="77" t="s">
        <v>179</v>
      </c>
      <c r="P1321" s="79">
        <v>44929.85261574074</v>
      </c>
      <c r="Q1321" s="77" t="s">
        <v>2120</v>
      </c>
      <c r="R1321" s="77">
        <v>0</v>
      </c>
      <c r="S1321" s="77">
        <v>0</v>
      </c>
      <c r="T1321" s="77">
        <v>0</v>
      </c>
      <c r="U1321" s="77">
        <v>0</v>
      </c>
      <c r="V1321" s="77">
        <v>46</v>
      </c>
      <c r="W1321" s="81" t="s">
        <v>3575</v>
      </c>
      <c r="X1321" s="77"/>
      <c r="Y1321" s="77"/>
      <c r="Z1321" s="77"/>
      <c r="AA1321" s="77" t="s">
        <v>5292</v>
      </c>
      <c r="AB1321" s="77" t="s">
        <v>5794</v>
      </c>
      <c r="AC1321" s="81" t="s">
        <v>5805</v>
      </c>
      <c r="AD1321" s="77" t="s">
        <v>5850</v>
      </c>
      <c r="AE1321" s="83" t="str">
        <f>HYPERLINK("https://twitter.com/talentomayan/status/1610372366147915777")</f>
        <v>https://twitter.com/talentomayan/status/1610372366147915777</v>
      </c>
      <c r="AF1321" s="79">
        <v>44929.85261574074</v>
      </c>
      <c r="AG1321" s="85">
        <v>44929</v>
      </c>
      <c r="AH1321" s="81" t="s">
        <v>6981</v>
      </c>
      <c r="AI1321" s="77" t="b">
        <v>0</v>
      </c>
      <c r="AJ1321" s="77"/>
      <c r="AK1321" s="77"/>
      <c r="AL1321" s="77"/>
      <c r="AM1321" s="77"/>
      <c r="AN1321" s="77"/>
      <c r="AO1321" s="77"/>
      <c r="AP1321" s="77"/>
      <c r="AQ1321" s="77" t="s">
        <v>8795</v>
      </c>
      <c r="AR1321" s="77"/>
      <c r="AS1321" s="77"/>
      <c r="AT1321" s="77"/>
      <c r="AU1321" s="77"/>
      <c r="AV1321" s="83" t="str">
        <f>HYPERLINK("https://pbs.twimg.com/media/FlkxHzZXgAUt3fa.jpg")</f>
        <v>https://pbs.twimg.com/media/FlkxHzZXgAUt3fa.jpg</v>
      </c>
      <c r="AW1321" s="81" t="s">
        <v>10443</v>
      </c>
      <c r="AX1321" s="81" t="s">
        <v>10443</v>
      </c>
      <c r="AY1321" s="77"/>
      <c r="AZ1321" s="81" t="s">
        <v>11359</v>
      </c>
      <c r="BA1321" s="81" t="s">
        <v>11359</v>
      </c>
      <c r="BB1321" s="81" t="s">
        <v>11359</v>
      </c>
      <c r="BC1321" s="81" t="s">
        <v>10443</v>
      </c>
      <c r="BD1321" s="81" t="s">
        <v>11538</v>
      </c>
      <c r="BE1321" s="77"/>
      <c r="BF1321" s="77"/>
      <c r="BG1321" s="77"/>
      <c r="BH1321" s="77"/>
      <c r="BI1321" s="77"/>
    </row>
    <row r="1322" spans="1:61" x14ac:dyDescent="0.25">
      <c r="A1322" s="62" t="s">
        <v>493</v>
      </c>
      <c r="B1322" s="62" t="s">
        <v>493</v>
      </c>
      <c r="C1322" s="63"/>
      <c r="D1322" s="64"/>
      <c r="E1322" s="65"/>
      <c r="F1322" s="66"/>
      <c r="G1322" s="63"/>
      <c r="H1322" s="67"/>
      <c r="I1322" s="68"/>
      <c r="J1322" s="68"/>
      <c r="K1322" s="32"/>
      <c r="L1322" s="75">
        <v>1322</v>
      </c>
      <c r="M1322" s="75"/>
      <c r="N1322" s="70"/>
      <c r="O1322" s="77" t="s">
        <v>179</v>
      </c>
      <c r="P1322" s="79">
        <v>44929.700243055559</v>
      </c>
      <c r="Q1322" s="77" t="s">
        <v>2121</v>
      </c>
      <c r="R1322" s="77">
        <v>0</v>
      </c>
      <c r="S1322" s="77">
        <v>0</v>
      </c>
      <c r="T1322" s="77">
        <v>0</v>
      </c>
      <c r="U1322" s="77">
        <v>0</v>
      </c>
      <c r="V1322" s="77">
        <v>27</v>
      </c>
      <c r="W1322" s="81" t="s">
        <v>3575</v>
      </c>
      <c r="X1322" s="77"/>
      <c r="Y1322" s="77"/>
      <c r="Z1322" s="77"/>
      <c r="AA1322" s="77" t="s">
        <v>5293</v>
      </c>
      <c r="AB1322" s="77" t="s">
        <v>5794</v>
      </c>
      <c r="AC1322" s="81" t="s">
        <v>5805</v>
      </c>
      <c r="AD1322" s="77" t="s">
        <v>5850</v>
      </c>
      <c r="AE1322" s="83" t="str">
        <f>HYPERLINK("https://twitter.com/talentomayan/status/1610317148324233219")</f>
        <v>https://twitter.com/talentomayan/status/1610317148324233219</v>
      </c>
      <c r="AF1322" s="79">
        <v>44929.700243055559</v>
      </c>
      <c r="AG1322" s="85">
        <v>44929</v>
      </c>
      <c r="AH1322" s="81" t="s">
        <v>6982</v>
      </c>
      <c r="AI1322" s="77" t="b">
        <v>0</v>
      </c>
      <c r="AJ1322" s="77"/>
      <c r="AK1322" s="77"/>
      <c r="AL1322" s="77"/>
      <c r="AM1322" s="77"/>
      <c r="AN1322" s="77"/>
      <c r="AO1322" s="77"/>
      <c r="AP1322" s="77"/>
      <c r="AQ1322" s="77" t="s">
        <v>8796</v>
      </c>
      <c r="AR1322" s="77"/>
      <c r="AS1322" s="77"/>
      <c r="AT1322" s="77"/>
      <c r="AU1322" s="77"/>
      <c r="AV1322" s="83" t="str">
        <f>HYPERLINK("https://pbs.twimg.com/media/Flj-5-MXkAA_K0p.jpg")</f>
        <v>https://pbs.twimg.com/media/Flj-5-MXkAA_K0p.jpg</v>
      </c>
      <c r="AW1322" s="81" t="s">
        <v>10444</v>
      </c>
      <c r="AX1322" s="81" t="s">
        <v>10444</v>
      </c>
      <c r="AY1322" s="77"/>
      <c r="AZ1322" s="81" t="s">
        <v>11359</v>
      </c>
      <c r="BA1322" s="81" t="s">
        <v>11359</v>
      </c>
      <c r="BB1322" s="81" t="s">
        <v>11359</v>
      </c>
      <c r="BC1322" s="81" t="s">
        <v>10444</v>
      </c>
      <c r="BD1322" s="81" t="s">
        <v>11538</v>
      </c>
      <c r="BE1322" s="77"/>
      <c r="BF1322" s="77"/>
      <c r="BG1322" s="77"/>
      <c r="BH1322" s="77"/>
      <c r="BI1322" s="77"/>
    </row>
    <row r="1323" spans="1:61" x14ac:dyDescent="0.25">
      <c r="A1323" s="62" t="s">
        <v>493</v>
      </c>
      <c r="B1323" s="62" t="s">
        <v>493</v>
      </c>
      <c r="C1323" s="63"/>
      <c r="D1323" s="64"/>
      <c r="E1323" s="65"/>
      <c r="F1323" s="66"/>
      <c r="G1323" s="63"/>
      <c r="H1323" s="67"/>
      <c r="I1323" s="68"/>
      <c r="J1323" s="68"/>
      <c r="K1323" s="32"/>
      <c r="L1323" s="75">
        <v>1323</v>
      </c>
      <c r="M1323" s="75"/>
      <c r="N1323" s="70"/>
      <c r="O1323" s="77" t="s">
        <v>179</v>
      </c>
      <c r="P1323" s="79">
        <v>44928.772129629629</v>
      </c>
      <c r="Q1323" s="77" t="s">
        <v>2122</v>
      </c>
      <c r="R1323" s="77">
        <v>0</v>
      </c>
      <c r="S1323" s="77">
        <v>0</v>
      </c>
      <c r="T1323" s="77">
        <v>0</v>
      </c>
      <c r="U1323" s="77">
        <v>0</v>
      </c>
      <c r="V1323" s="77">
        <v>30</v>
      </c>
      <c r="W1323" s="81" t="s">
        <v>3575</v>
      </c>
      <c r="X1323" s="77"/>
      <c r="Y1323" s="77"/>
      <c r="Z1323" s="77"/>
      <c r="AA1323" s="77" t="s">
        <v>5294</v>
      </c>
      <c r="AB1323" s="77" t="s">
        <v>5794</v>
      </c>
      <c r="AC1323" s="81" t="s">
        <v>5805</v>
      </c>
      <c r="AD1323" s="77" t="s">
        <v>5850</v>
      </c>
      <c r="AE1323" s="83" t="str">
        <f>HYPERLINK("https://twitter.com/talentomayan/status/1609980814527275009")</f>
        <v>https://twitter.com/talentomayan/status/1609980814527275009</v>
      </c>
      <c r="AF1323" s="79">
        <v>44928.772129629629</v>
      </c>
      <c r="AG1323" s="85">
        <v>44928</v>
      </c>
      <c r="AH1323" s="81" t="s">
        <v>6983</v>
      </c>
      <c r="AI1323" s="77" t="b">
        <v>0</v>
      </c>
      <c r="AJ1323" s="77"/>
      <c r="AK1323" s="77"/>
      <c r="AL1323" s="77"/>
      <c r="AM1323" s="77"/>
      <c r="AN1323" s="77"/>
      <c r="AO1323" s="77"/>
      <c r="AP1323" s="77"/>
      <c r="AQ1323" s="77" t="s">
        <v>8797</v>
      </c>
      <c r="AR1323" s="77"/>
      <c r="AS1323" s="77"/>
      <c r="AT1323" s="77"/>
      <c r="AU1323" s="77"/>
      <c r="AV1323" s="83" t="str">
        <f>HYPERLINK("https://pbs.twimg.com/media/FlfNA6IXgAMF388.jpg")</f>
        <v>https://pbs.twimg.com/media/FlfNA6IXgAMF388.jpg</v>
      </c>
      <c r="AW1323" s="81" t="s">
        <v>10445</v>
      </c>
      <c r="AX1323" s="81" t="s">
        <v>10445</v>
      </c>
      <c r="AY1323" s="77"/>
      <c r="AZ1323" s="81" t="s">
        <v>11359</v>
      </c>
      <c r="BA1323" s="81" t="s">
        <v>11359</v>
      </c>
      <c r="BB1323" s="81" t="s">
        <v>11359</v>
      </c>
      <c r="BC1323" s="81" t="s">
        <v>10445</v>
      </c>
      <c r="BD1323" s="81" t="s">
        <v>11538</v>
      </c>
      <c r="BE1323" s="77"/>
      <c r="BF1323" s="77"/>
      <c r="BG1323" s="77"/>
      <c r="BH1323" s="77"/>
      <c r="BI1323" s="77"/>
    </row>
    <row r="1324" spans="1:61" x14ac:dyDescent="0.25">
      <c r="A1324" s="62" t="s">
        <v>493</v>
      </c>
      <c r="B1324" s="62" t="s">
        <v>493</v>
      </c>
      <c r="C1324" s="63"/>
      <c r="D1324" s="64"/>
      <c r="E1324" s="65"/>
      <c r="F1324" s="66"/>
      <c r="G1324" s="63"/>
      <c r="H1324" s="67"/>
      <c r="I1324" s="68"/>
      <c r="J1324" s="68"/>
      <c r="K1324" s="32"/>
      <c r="L1324" s="75">
        <v>1324</v>
      </c>
      <c r="M1324" s="75"/>
      <c r="N1324" s="70"/>
      <c r="O1324" s="77" t="s">
        <v>179</v>
      </c>
      <c r="P1324" s="79">
        <v>44928.632685185185</v>
      </c>
      <c r="Q1324" s="77" t="s">
        <v>2123</v>
      </c>
      <c r="R1324" s="77">
        <v>0</v>
      </c>
      <c r="S1324" s="77">
        <v>0</v>
      </c>
      <c r="T1324" s="77">
        <v>0</v>
      </c>
      <c r="U1324" s="77">
        <v>0</v>
      </c>
      <c r="V1324" s="77">
        <v>36</v>
      </c>
      <c r="W1324" s="81" t="s">
        <v>3575</v>
      </c>
      <c r="X1324" s="77"/>
      <c r="Y1324" s="77"/>
      <c r="Z1324" s="77"/>
      <c r="AA1324" s="77" t="s">
        <v>5295</v>
      </c>
      <c r="AB1324" s="77" t="s">
        <v>5794</v>
      </c>
      <c r="AC1324" s="81" t="s">
        <v>5805</v>
      </c>
      <c r="AD1324" s="77" t="s">
        <v>5850</v>
      </c>
      <c r="AE1324" s="83" t="str">
        <f>HYPERLINK("https://twitter.com/talentomayan/status/1609930281158418435")</f>
        <v>https://twitter.com/talentomayan/status/1609930281158418435</v>
      </c>
      <c r="AF1324" s="79">
        <v>44928.632685185185</v>
      </c>
      <c r="AG1324" s="85">
        <v>44928</v>
      </c>
      <c r="AH1324" s="81" t="s">
        <v>6984</v>
      </c>
      <c r="AI1324" s="77" t="b">
        <v>0</v>
      </c>
      <c r="AJ1324" s="77"/>
      <c r="AK1324" s="77"/>
      <c r="AL1324" s="77"/>
      <c r="AM1324" s="77"/>
      <c r="AN1324" s="77"/>
      <c r="AO1324" s="77"/>
      <c r="AP1324" s="77"/>
      <c r="AQ1324" s="77" t="s">
        <v>8798</v>
      </c>
      <c r="AR1324" s="77"/>
      <c r="AS1324" s="77"/>
      <c r="AT1324" s="77"/>
      <c r="AU1324" s="77"/>
      <c r="AV1324" s="83" t="str">
        <f>HYPERLINK("https://pbs.twimg.com/media/FlefBxkX0AIH80X.jpg")</f>
        <v>https://pbs.twimg.com/media/FlefBxkX0AIH80X.jpg</v>
      </c>
      <c r="AW1324" s="81" t="s">
        <v>10446</v>
      </c>
      <c r="AX1324" s="81" t="s">
        <v>10446</v>
      </c>
      <c r="AY1324" s="77"/>
      <c r="AZ1324" s="81" t="s">
        <v>11359</v>
      </c>
      <c r="BA1324" s="81" t="s">
        <v>11359</v>
      </c>
      <c r="BB1324" s="81" t="s">
        <v>11359</v>
      </c>
      <c r="BC1324" s="81" t="s">
        <v>10446</v>
      </c>
      <c r="BD1324" s="81" t="s">
        <v>11538</v>
      </c>
      <c r="BE1324" s="77"/>
      <c r="BF1324" s="77"/>
      <c r="BG1324" s="77"/>
      <c r="BH1324" s="77"/>
      <c r="BI1324" s="77"/>
    </row>
    <row r="1325" spans="1:61" x14ac:dyDescent="0.25">
      <c r="A1325" s="62" t="s">
        <v>493</v>
      </c>
      <c r="B1325" s="62" t="s">
        <v>493</v>
      </c>
      <c r="C1325" s="63"/>
      <c r="D1325" s="64"/>
      <c r="E1325" s="65"/>
      <c r="F1325" s="66"/>
      <c r="G1325" s="63"/>
      <c r="H1325" s="67"/>
      <c r="I1325" s="68"/>
      <c r="J1325" s="68"/>
      <c r="K1325" s="32"/>
      <c r="L1325" s="75">
        <v>1325</v>
      </c>
      <c r="M1325" s="75"/>
      <c r="N1325" s="70"/>
      <c r="O1325" s="77" t="s">
        <v>179</v>
      </c>
      <c r="P1325" s="79">
        <v>45099.603067129632</v>
      </c>
      <c r="Q1325" s="77" t="s">
        <v>2124</v>
      </c>
      <c r="R1325" s="77">
        <v>0</v>
      </c>
      <c r="S1325" s="77">
        <v>0</v>
      </c>
      <c r="T1325" s="77">
        <v>0</v>
      </c>
      <c r="U1325" s="77">
        <v>0</v>
      </c>
      <c r="V1325" s="77">
        <v>49</v>
      </c>
      <c r="W1325" s="81" t="s">
        <v>3575</v>
      </c>
      <c r="X1325" s="77"/>
      <c r="Y1325" s="77"/>
      <c r="Z1325" s="77"/>
      <c r="AA1325" s="77" t="s">
        <v>5296</v>
      </c>
      <c r="AB1325" s="77" t="s">
        <v>5794</v>
      </c>
      <c r="AC1325" s="81" t="s">
        <v>5805</v>
      </c>
      <c r="AD1325" s="77" t="s">
        <v>5850</v>
      </c>
      <c r="AE1325" s="83" t="str">
        <f>HYPERLINK("https://twitter.com/talentomayan/status/1671887870620221440")</f>
        <v>https://twitter.com/talentomayan/status/1671887870620221440</v>
      </c>
      <c r="AF1325" s="79">
        <v>45099.603067129632</v>
      </c>
      <c r="AG1325" s="85">
        <v>45099</v>
      </c>
      <c r="AH1325" s="81" t="s">
        <v>6985</v>
      </c>
      <c r="AI1325" s="77" t="b">
        <v>0</v>
      </c>
      <c r="AJ1325" s="77"/>
      <c r="AK1325" s="77"/>
      <c r="AL1325" s="77"/>
      <c r="AM1325" s="77"/>
      <c r="AN1325" s="77"/>
      <c r="AO1325" s="77"/>
      <c r="AP1325" s="77"/>
      <c r="AQ1325" s="77" t="s">
        <v>8799</v>
      </c>
      <c r="AR1325" s="77"/>
      <c r="AS1325" s="77"/>
      <c r="AT1325" s="77"/>
      <c r="AU1325" s="77"/>
      <c r="AV1325" s="83" t="str">
        <f>HYPERLINK("https://pbs.twimg.com/media/FzO9Jc4aMAAo66P.jpg")</f>
        <v>https://pbs.twimg.com/media/FzO9Jc4aMAAo66P.jpg</v>
      </c>
      <c r="AW1325" s="81" t="s">
        <v>10447</v>
      </c>
      <c r="AX1325" s="81" t="s">
        <v>10447</v>
      </c>
      <c r="AY1325" s="77"/>
      <c r="AZ1325" s="81" t="s">
        <v>11359</v>
      </c>
      <c r="BA1325" s="81" t="s">
        <v>11359</v>
      </c>
      <c r="BB1325" s="81" t="s">
        <v>11359</v>
      </c>
      <c r="BC1325" s="81" t="s">
        <v>10447</v>
      </c>
      <c r="BD1325" s="81" t="s">
        <v>11538</v>
      </c>
      <c r="BE1325" s="77"/>
      <c r="BF1325" s="77"/>
      <c r="BG1325" s="77"/>
      <c r="BH1325" s="77"/>
      <c r="BI1325" s="77"/>
    </row>
    <row r="1326" spans="1:61" x14ac:dyDescent="0.25">
      <c r="A1326" s="62" t="s">
        <v>493</v>
      </c>
      <c r="B1326" s="62" t="s">
        <v>493</v>
      </c>
      <c r="C1326" s="63"/>
      <c r="D1326" s="64"/>
      <c r="E1326" s="65"/>
      <c r="F1326" s="66"/>
      <c r="G1326" s="63"/>
      <c r="H1326" s="67"/>
      <c r="I1326" s="68"/>
      <c r="J1326" s="68"/>
      <c r="K1326" s="32"/>
      <c r="L1326" s="75">
        <v>1326</v>
      </c>
      <c r="M1326" s="75"/>
      <c r="N1326" s="70"/>
      <c r="O1326" s="77" t="s">
        <v>179</v>
      </c>
      <c r="P1326" s="79">
        <v>45075.604224537034</v>
      </c>
      <c r="Q1326" s="77" t="s">
        <v>2125</v>
      </c>
      <c r="R1326" s="77">
        <v>0</v>
      </c>
      <c r="S1326" s="77">
        <v>0</v>
      </c>
      <c r="T1326" s="77">
        <v>0</v>
      </c>
      <c r="U1326" s="77">
        <v>0</v>
      </c>
      <c r="V1326" s="77">
        <v>39</v>
      </c>
      <c r="W1326" s="81" t="s">
        <v>3575</v>
      </c>
      <c r="X1326" s="77"/>
      <c r="Y1326" s="77"/>
      <c r="Z1326" s="77"/>
      <c r="AA1326" s="77" t="s">
        <v>5297</v>
      </c>
      <c r="AB1326" s="77" t="s">
        <v>5794</v>
      </c>
      <c r="AC1326" s="81" t="s">
        <v>5805</v>
      </c>
      <c r="AD1326" s="77" t="s">
        <v>5850</v>
      </c>
      <c r="AE1326" s="83" t="str">
        <f>HYPERLINK("https://twitter.com/talentomayan/status/1663190982072971265")</f>
        <v>https://twitter.com/talentomayan/status/1663190982072971265</v>
      </c>
      <c r="AF1326" s="79">
        <v>45075.604224537034</v>
      </c>
      <c r="AG1326" s="85">
        <v>45075</v>
      </c>
      <c r="AH1326" s="81" t="s">
        <v>6986</v>
      </c>
      <c r="AI1326" s="77" t="b">
        <v>0</v>
      </c>
      <c r="AJ1326" s="77"/>
      <c r="AK1326" s="77"/>
      <c r="AL1326" s="77"/>
      <c r="AM1326" s="77"/>
      <c r="AN1326" s="77"/>
      <c r="AO1326" s="77"/>
      <c r="AP1326" s="77"/>
      <c r="AQ1326" s="77" t="s">
        <v>8800</v>
      </c>
      <c r="AR1326" s="77"/>
      <c r="AS1326" s="77"/>
      <c r="AT1326" s="77"/>
      <c r="AU1326" s="77"/>
      <c r="AV1326" s="83" t="str">
        <f>HYPERLINK("https://pbs.twimg.com/media/FxTXYU7WYAEP0Gc.jpg")</f>
        <v>https://pbs.twimg.com/media/FxTXYU7WYAEP0Gc.jpg</v>
      </c>
      <c r="AW1326" s="81" t="s">
        <v>10448</v>
      </c>
      <c r="AX1326" s="81" t="s">
        <v>10448</v>
      </c>
      <c r="AY1326" s="77"/>
      <c r="AZ1326" s="81" t="s">
        <v>11359</v>
      </c>
      <c r="BA1326" s="81" t="s">
        <v>11359</v>
      </c>
      <c r="BB1326" s="81" t="s">
        <v>11359</v>
      </c>
      <c r="BC1326" s="81" t="s">
        <v>10448</v>
      </c>
      <c r="BD1326" s="81" t="s">
        <v>11538</v>
      </c>
      <c r="BE1326" s="77"/>
      <c r="BF1326" s="77"/>
      <c r="BG1326" s="77"/>
      <c r="BH1326" s="77"/>
      <c r="BI1326" s="77"/>
    </row>
    <row r="1327" spans="1:61" x14ac:dyDescent="0.25">
      <c r="A1327" s="62" t="s">
        <v>493</v>
      </c>
      <c r="B1327" s="62" t="s">
        <v>493</v>
      </c>
      <c r="C1327" s="63"/>
      <c r="D1327" s="64"/>
      <c r="E1327" s="65"/>
      <c r="F1327" s="66"/>
      <c r="G1327" s="63"/>
      <c r="H1327" s="67"/>
      <c r="I1327" s="68"/>
      <c r="J1327" s="68"/>
      <c r="K1327" s="32"/>
      <c r="L1327" s="75">
        <v>1327</v>
      </c>
      <c r="M1327" s="75"/>
      <c r="N1327" s="70"/>
      <c r="O1327" s="77" t="s">
        <v>179</v>
      </c>
      <c r="P1327" s="79">
        <v>45042.789699074077</v>
      </c>
      <c r="Q1327" s="77" t="s">
        <v>2126</v>
      </c>
      <c r="R1327" s="77">
        <v>0</v>
      </c>
      <c r="S1327" s="77">
        <v>0</v>
      </c>
      <c r="T1327" s="77">
        <v>0</v>
      </c>
      <c r="U1327" s="77">
        <v>0</v>
      </c>
      <c r="V1327" s="77">
        <v>44</v>
      </c>
      <c r="W1327" s="81" t="s">
        <v>3575</v>
      </c>
      <c r="X1327" s="77"/>
      <c r="Y1327" s="77"/>
      <c r="Z1327" s="77"/>
      <c r="AA1327" s="77" t="s">
        <v>5298</v>
      </c>
      <c r="AB1327" s="77" t="s">
        <v>5794</v>
      </c>
      <c r="AC1327" s="81" t="s">
        <v>5805</v>
      </c>
      <c r="AD1327" s="77" t="s">
        <v>5850</v>
      </c>
      <c r="AE1327" s="83" t="str">
        <f>HYPERLINK("https://twitter.com/talentomayan/status/1651299397672501268")</f>
        <v>https://twitter.com/talentomayan/status/1651299397672501268</v>
      </c>
      <c r="AF1327" s="79">
        <v>45042.789699074077</v>
      </c>
      <c r="AG1327" s="85">
        <v>45042</v>
      </c>
      <c r="AH1327" s="81" t="s">
        <v>6987</v>
      </c>
      <c r="AI1327" s="77" t="b">
        <v>0</v>
      </c>
      <c r="AJ1327" s="77"/>
      <c r="AK1327" s="77"/>
      <c r="AL1327" s="77"/>
      <c r="AM1327" s="77"/>
      <c r="AN1327" s="77"/>
      <c r="AO1327" s="77"/>
      <c r="AP1327" s="77"/>
      <c r="AQ1327" s="77" t="s">
        <v>8801</v>
      </c>
      <c r="AR1327" s="77"/>
      <c r="AS1327" s="77"/>
      <c r="AT1327" s="77"/>
      <c r="AU1327" s="77"/>
      <c r="AV1327" s="83" t="str">
        <f>HYPERLINK("https://pbs.twimg.com/media/FuqYDCOWAAwuEnJ.jpg")</f>
        <v>https://pbs.twimg.com/media/FuqYDCOWAAwuEnJ.jpg</v>
      </c>
      <c r="AW1327" s="81" t="s">
        <v>10449</v>
      </c>
      <c r="AX1327" s="81" t="s">
        <v>10449</v>
      </c>
      <c r="AY1327" s="77"/>
      <c r="AZ1327" s="81" t="s">
        <v>11359</v>
      </c>
      <c r="BA1327" s="81" t="s">
        <v>11359</v>
      </c>
      <c r="BB1327" s="81" t="s">
        <v>11359</v>
      </c>
      <c r="BC1327" s="81" t="s">
        <v>10449</v>
      </c>
      <c r="BD1327" s="81" t="s">
        <v>11538</v>
      </c>
      <c r="BE1327" s="77"/>
      <c r="BF1327" s="77"/>
      <c r="BG1327" s="77"/>
      <c r="BH1327" s="77"/>
      <c r="BI1327" s="77"/>
    </row>
    <row r="1328" spans="1:61" x14ac:dyDescent="0.25">
      <c r="A1328" s="62" t="s">
        <v>493</v>
      </c>
      <c r="B1328" s="62" t="s">
        <v>493</v>
      </c>
      <c r="C1328" s="63"/>
      <c r="D1328" s="64"/>
      <c r="E1328" s="65"/>
      <c r="F1328" s="66"/>
      <c r="G1328" s="63"/>
      <c r="H1328" s="67"/>
      <c r="I1328" s="68"/>
      <c r="J1328" s="68"/>
      <c r="K1328" s="32"/>
      <c r="L1328" s="75">
        <v>1328</v>
      </c>
      <c r="M1328" s="75"/>
      <c r="N1328" s="70"/>
      <c r="O1328" s="77" t="s">
        <v>179</v>
      </c>
      <c r="P1328" s="79">
        <v>45033.614675925928</v>
      </c>
      <c r="Q1328" s="77" t="s">
        <v>2127</v>
      </c>
      <c r="R1328" s="77">
        <v>0</v>
      </c>
      <c r="S1328" s="77">
        <v>0</v>
      </c>
      <c r="T1328" s="77">
        <v>0</v>
      </c>
      <c r="U1328" s="77">
        <v>0</v>
      </c>
      <c r="V1328" s="77">
        <v>38</v>
      </c>
      <c r="W1328" s="81" t="s">
        <v>3575</v>
      </c>
      <c r="X1328" s="77"/>
      <c r="Y1328" s="77"/>
      <c r="Z1328" s="77"/>
      <c r="AA1328" s="77" t="s">
        <v>5299</v>
      </c>
      <c r="AB1328" s="77" t="s">
        <v>5794</v>
      </c>
      <c r="AC1328" s="81" t="s">
        <v>5805</v>
      </c>
      <c r="AD1328" s="77" t="s">
        <v>5850</v>
      </c>
      <c r="AE1328" s="83" t="str">
        <f>HYPERLINK("https://twitter.com/talentomayan/status/1647974480587702279")</f>
        <v>https://twitter.com/talentomayan/status/1647974480587702279</v>
      </c>
      <c r="AF1328" s="79">
        <v>45033.614675925928</v>
      </c>
      <c r="AG1328" s="85">
        <v>45033</v>
      </c>
      <c r="AH1328" s="81" t="s">
        <v>6988</v>
      </c>
      <c r="AI1328" s="77" t="b">
        <v>0</v>
      </c>
      <c r="AJ1328" s="77"/>
      <c r="AK1328" s="77"/>
      <c r="AL1328" s="77"/>
      <c r="AM1328" s="77"/>
      <c r="AN1328" s="77"/>
      <c r="AO1328" s="77"/>
      <c r="AP1328" s="77"/>
      <c r="AQ1328" s="77" t="s">
        <v>8802</v>
      </c>
      <c r="AR1328" s="77"/>
      <c r="AS1328" s="77"/>
      <c r="AT1328" s="77"/>
      <c r="AU1328" s="77"/>
      <c r="AV1328" s="83" t="str">
        <f>HYPERLINK("https://pbs.twimg.com/media/Ft7IDbnXoAEdS--.jpg")</f>
        <v>https://pbs.twimg.com/media/Ft7IDbnXoAEdS--.jpg</v>
      </c>
      <c r="AW1328" s="81" t="s">
        <v>10450</v>
      </c>
      <c r="AX1328" s="81" t="s">
        <v>10450</v>
      </c>
      <c r="AY1328" s="77"/>
      <c r="AZ1328" s="81" t="s">
        <v>11359</v>
      </c>
      <c r="BA1328" s="81" t="s">
        <v>11359</v>
      </c>
      <c r="BB1328" s="81" t="s">
        <v>11359</v>
      </c>
      <c r="BC1328" s="81" t="s">
        <v>10450</v>
      </c>
      <c r="BD1328" s="81" t="s">
        <v>11538</v>
      </c>
      <c r="BE1328" s="77"/>
      <c r="BF1328" s="77"/>
      <c r="BG1328" s="77"/>
      <c r="BH1328" s="77"/>
      <c r="BI1328" s="77"/>
    </row>
    <row r="1329" spans="1:61" x14ac:dyDescent="0.25">
      <c r="A1329" s="62" t="s">
        <v>493</v>
      </c>
      <c r="B1329" s="62" t="s">
        <v>493</v>
      </c>
      <c r="C1329" s="63"/>
      <c r="D1329" s="64"/>
      <c r="E1329" s="65"/>
      <c r="F1329" s="66"/>
      <c r="G1329" s="63"/>
      <c r="H1329" s="67"/>
      <c r="I1329" s="68"/>
      <c r="J1329" s="68"/>
      <c r="K1329" s="32"/>
      <c r="L1329" s="75">
        <v>1329</v>
      </c>
      <c r="M1329" s="75"/>
      <c r="N1329" s="70"/>
      <c r="O1329" s="77" t="s">
        <v>179</v>
      </c>
      <c r="P1329" s="79">
        <v>45030.723229166666</v>
      </c>
      <c r="Q1329" s="77" t="s">
        <v>2128</v>
      </c>
      <c r="R1329" s="77">
        <v>0</v>
      </c>
      <c r="S1329" s="77">
        <v>0</v>
      </c>
      <c r="T1329" s="77">
        <v>0</v>
      </c>
      <c r="U1329" s="77">
        <v>0</v>
      </c>
      <c r="V1329" s="77">
        <v>42</v>
      </c>
      <c r="W1329" s="81" t="s">
        <v>3575</v>
      </c>
      <c r="X1329" s="77"/>
      <c r="Y1329" s="77"/>
      <c r="Z1329" s="77"/>
      <c r="AA1329" s="77" t="s">
        <v>5300</v>
      </c>
      <c r="AB1329" s="77" t="s">
        <v>5794</v>
      </c>
      <c r="AC1329" s="81" t="s">
        <v>5805</v>
      </c>
      <c r="AD1329" s="77" t="s">
        <v>5850</v>
      </c>
      <c r="AE1329" s="83" t="str">
        <f>HYPERLINK("https://twitter.com/talentomayan/status/1646926654604730396")</f>
        <v>https://twitter.com/talentomayan/status/1646926654604730396</v>
      </c>
      <c r="AF1329" s="79">
        <v>45030.723229166666</v>
      </c>
      <c r="AG1329" s="85">
        <v>45030</v>
      </c>
      <c r="AH1329" s="81" t="s">
        <v>6989</v>
      </c>
      <c r="AI1329" s="77" t="b">
        <v>0</v>
      </c>
      <c r="AJ1329" s="77"/>
      <c r="AK1329" s="77"/>
      <c r="AL1329" s="77"/>
      <c r="AM1329" s="77"/>
      <c r="AN1329" s="77"/>
      <c r="AO1329" s="77"/>
      <c r="AP1329" s="77"/>
      <c r="AQ1329" s="77" t="s">
        <v>8803</v>
      </c>
      <c r="AR1329" s="77"/>
      <c r="AS1329" s="77"/>
      <c r="AT1329" s="77"/>
      <c r="AU1329" s="77"/>
      <c r="AV1329" s="83" t="str">
        <f>HYPERLINK("https://pbs.twimg.com/media/FtsPDGRWYAAfrvF.jpg")</f>
        <v>https://pbs.twimg.com/media/FtsPDGRWYAAfrvF.jpg</v>
      </c>
      <c r="AW1329" s="81" t="s">
        <v>10451</v>
      </c>
      <c r="AX1329" s="81" t="s">
        <v>10451</v>
      </c>
      <c r="AY1329" s="77"/>
      <c r="AZ1329" s="81" t="s">
        <v>11359</v>
      </c>
      <c r="BA1329" s="81" t="s">
        <v>11359</v>
      </c>
      <c r="BB1329" s="81" t="s">
        <v>11359</v>
      </c>
      <c r="BC1329" s="81" t="s">
        <v>10451</v>
      </c>
      <c r="BD1329" s="81" t="s">
        <v>11538</v>
      </c>
      <c r="BE1329" s="77"/>
      <c r="BF1329" s="77"/>
      <c r="BG1329" s="77"/>
      <c r="BH1329" s="77"/>
      <c r="BI1329" s="77"/>
    </row>
    <row r="1330" spans="1:61" x14ac:dyDescent="0.25">
      <c r="A1330" s="62" t="s">
        <v>493</v>
      </c>
      <c r="B1330" s="62" t="s">
        <v>493</v>
      </c>
      <c r="C1330" s="63"/>
      <c r="D1330" s="64"/>
      <c r="E1330" s="65"/>
      <c r="F1330" s="66"/>
      <c r="G1330" s="63"/>
      <c r="H1330" s="67"/>
      <c r="I1330" s="68"/>
      <c r="J1330" s="68"/>
      <c r="K1330" s="32"/>
      <c r="L1330" s="75">
        <v>1330</v>
      </c>
      <c r="M1330" s="75"/>
      <c r="N1330" s="70"/>
      <c r="O1330" s="77" t="s">
        <v>179</v>
      </c>
      <c r="P1330" s="79">
        <v>45002.569872685184</v>
      </c>
      <c r="Q1330" s="77" t="s">
        <v>2129</v>
      </c>
      <c r="R1330" s="77">
        <v>0</v>
      </c>
      <c r="S1330" s="77">
        <v>0</v>
      </c>
      <c r="T1330" s="77">
        <v>0</v>
      </c>
      <c r="U1330" s="77">
        <v>0</v>
      </c>
      <c r="V1330" s="77">
        <v>25</v>
      </c>
      <c r="W1330" s="81" t="s">
        <v>3578</v>
      </c>
      <c r="X1330" s="77"/>
      <c r="Y1330" s="77"/>
      <c r="Z1330" s="77"/>
      <c r="AA1330" s="77" t="s">
        <v>5301</v>
      </c>
      <c r="AB1330" s="77" t="s">
        <v>5794</v>
      </c>
      <c r="AC1330" s="81" t="s">
        <v>5805</v>
      </c>
      <c r="AD1330" s="77" t="s">
        <v>5850</v>
      </c>
      <c r="AE1330" s="83" t="str">
        <f>HYPERLINK("https://twitter.com/talentomayan/status/1636724218195845121")</f>
        <v>https://twitter.com/talentomayan/status/1636724218195845121</v>
      </c>
      <c r="AF1330" s="79">
        <v>45002.569872685184</v>
      </c>
      <c r="AG1330" s="85">
        <v>45002</v>
      </c>
      <c r="AH1330" s="81" t="s">
        <v>6990</v>
      </c>
      <c r="AI1330" s="77" t="b">
        <v>0</v>
      </c>
      <c r="AJ1330" s="77"/>
      <c r="AK1330" s="77"/>
      <c r="AL1330" s="77"/>
      <c r="AM1330" s="77"/>
      <c r="AN1330" s="77"/>
      <c r="AO1330" s="77"/>
      <c r="AP1330" s="77"/>
      <c r="AQ1330" s="77" t="s">
        <v>8804</v>
      </c>
      <c r="AR1330" s="77"/>
      <c r="AS1330" s="77"/>
      <c r="AT1330" s="77"/>
      <c r="AU1330" s="77"/>
      <c r="AV1330" s="83" t="str">
        <f>HYPERLINK("https://pbs.twimg.com/media/FrbP_8wWIAIh_DH.jpg")</f>
        <v>https://pbs.twimg.com/media/FrbP_8wWIAIh_DH.jpg</v>
      </c>
      <c r="AW1330" s="81" t="s">
        <v>10452</v>
      </c>
      <c r="AX1330" s="81" t="s">
        <v>10452</v>
      </c>
      <c r="AY1330" s="77"/>
      <c r="AZ1330" s="81" t="s">
        <v>11359</v>
      </c>
      <c r="BA1330" s="81" t="s">
        <v>11359</v>
      </c>
      <c r="BB1330" s="81" t="s">
        <v>11359</v>
      </c>
      <c r="BC1330" s="81" t="s">
        <v>10452</v>
      </c>
      <c r="BD1330" s="81" t="s">
        <v>11538</v>
      </c>
      <c r="BE1330" s="77"/>
      <c r="BF1330" s="77"/>
      <c r="BG1330" s="77"/>
      <c r="BH1330" s="77"/>
      <c r="BI1330" s="77"/>
    </row>
    <row r="1331" spans="1:61" x14ac:dyDescent="0.25">
      <c r="A1331" s="62" t="s">
        <v>493</v>
      </c>
      <c r="B1331" s="62" t="s">
        <v>493</v>
      </c>
      <c r="C1331" s="63"/>
      <c r="D1331" s="64"/>
      <c r="E1331" s="65"/>
      <c r="F1331" s="66"/>
      <c r="G1331" s="63"/>
      <c r="H1331" s="67"/>
      <c r="I1331" s="68"/>
      <c r="J1331" s="68"/>
      <c r="K1331" s="32"/>
      <c r="L1331" s="75">
        <v>1331</v>
      </c>
      <c r="M1331" s="75"/>
      <c r="N1331" s="70"/>
      <c r="O1331" s="77" t="s">
        <v>179</v>
      </c>
      <c r="P1331" s="79">
        <v>45002.558206018519</v>
      </c>
      <c r="Q1331" s="77" t="s">
        <v>2130</v>
      </c>
      <c r="R1331" s="77">
        <v>0</v>
      </c>
      <c r="S1331" s="77">
        <v>0</v>
      </c>
      <c r="T1331" s="77">
        <v>0</v>
      </c>
      <c r="U1331" s="77">
        <v>0</v>
      </c>
      <c r="V1331" s="77">
        <v>72</v>
      </c>
      <c r="W1331" s="81" t="s">
        <v>3575</v>
      </c>
      <c r="X1331" s="77"/>
      <c r="Y1331" s="77"/>
      <c r="Z1331" s="77"/>
      <c r="AA1331" s="77" t="s">
        <v>5302</v>
      </c>
      <c r="AB1331" s="77" t="s">
        <v>5794</v>
      </c>
      <c r="AC1331" s="81" t="s">
        <v>5805</v>
      </c>
      <c r="AD1331" s="77" t="s">
        <v>5850</v>
      </c>
      <c r="AE1331" s="83" t="str">
        <f>HYPERLINK("https://twitter.com/talentomayan/status/1636719989976707077")</f>
        <v>https://twitter.com/talentomayan/status/1636719989976707077</v>
      </c>
      <c r="AF1331" s="79">
        <v>45002.558206018519</v>
      </c>
      <c r="AG1331" s="85">
        <v>45002</v>
      </c>
      <c r="AH1331" s="81" t="s">
        <v>6991</v>
      </c>
      <c r="AI1331" s="77" t="b">
        <v>0</v>
      </c>
      <c r="AJ1331" s="77"/>
      <c r="AK1331" s="77"/>
      <c r="AL1331" s="77"/>
      <c r="AM1331" s="77"/>
      <c r="AN1331" s="77"/>
      <c r="AO1331" s="77"/>
      <c r="AP1331" s="77"/>
      <c r="AQ1331" s="77" t="s">
        <v>8805</v>
      </c>
      <c r="AR1331" s="77"/>
      <c r="AS1331" s="77"/>
      <c r="AT1331" s="77"/>
      <c r="AU1331" s="77"/>
      <c r="AV1331" s="83" t="str">
        <f>HYPERLINK("https://pbs.twimg.com/media/FrbMJzzWAAEeJjT.jpg")</f>
        <v>https://pbs.twimg.com/media/FrbMJzzWAAEeJjT.jpg</v>
      </c>
      <c r="AW1331" s="81" t="s">
        <v>10453</v>
      </c>
      <c r="AX1331" s="81" t="s">
        <v>10453</v>
      </c>
      <c r="AY1331" s="77"/>
      <c r="AZ1331" s="81" t="s">
        <v>11359</v>
      </c>
      <c r="BA1331" s="81" t="s">
        <v>11359</v>
      </c>
      <c r="BB1331" s="81" t="s">
        <v>11359</v>
      </c>
      <c r="BC1331" s="81" t="s">
        <v>10453</v>
      </c>
      <c r="BD1331" s="81" t="s">
        <v>11538</v>
      </c>
      <c r="BE1331" s="77"/>
      <c r="BF1331" s="77"/>
      <c r="BG1331" s="77"/>
      <c r="BH1331" s="77"/>
      <c r="BI1331" s="77"/>
    </row>
    <row r="1332" spans="1:61" x14ac:dyDescent="0.25">
      <c r="A1332" s="62" t="s">
        <v>493</v>
      </c>
      <c r="B1332" s="62" t="s">
        <v>493</v>
      </c>
      <c r="C1332" s="63"/>
      <c r="D1332" s="64"/>
      <c r="E1332" s="65"/>
      <c r="F1332" s="66"/>
      <c r="G1332" s="63"/>
      <c r="H1332" s="67"/>
      <c r="I1332" s="68"/>
      <c r="J1332" s="68"/>
      <c r="K1332" s="32"/>
      <c r="L1332" s="75">
        <v>1332</v>
      </c>
      <c r="M1332" s="75"/>
      <c r="N1332" s="70"/>
      <c r="O1332" s="77" t="s">
        <v>179</v>
      </c>
      <c r="P1332" s="79">
        <v>45001.667349537034</v>
      </c>
      <c r="Q1332" s="77" t="s">
        <v>2131</v>
      </c>
      <c r="R1332" s="77">
        <v>0</v>
      </c>
      <c r="S1332" s="77">
        <v>0</v>
      </c>
      <c r="T1332" s="77">
        <v>0</v>
      </c>
      <c r="U1332" s="77">
        <v>0</v>
      </c>
      <c r="V1332" s="77">
        <v>29</v>
      </c>
      <c r="W1332" s="81" t="s">
        <v>3578</v>
      </c>
      <c r="X1332" s="77"/>
      <c r="Y1332" s="77"/>
      <c r="Z1332" s="77"/>
      <c r="AA1332" s="77" t="s">
        <v>5303</v>
      </c>
      <c r="AB1332" s="77" t="s">
        <v>5794</v>
      </c>
      <c r="AC1332" s="81" t="s">
        <v>5805</v>
      </c>
      <c r="AD1332" s="77" t="s">
        <v>5850</v>
      </c>
      <c r="AE1332" s="83" t="str">
        <f>HYPERLINK("https://twitter.com/talentomayan/status/1636397156016836608")</f>
        <v>https://twitter.com/talentomayan/status/1636397156016836608</v>
      </c>
      <c r="AF1332" s="79">
        <v>45001.667349537034</v>
      </c>
      <c r="AG1332" s="85">
        <v>45001</v>
      </c>
      <c r="AH1332" s="81" t="s">
        <v>6992</v>
      </c>
      <c r="AI1332" s="77" t="b">
        <v>0</v>
      </c>
      <c r="AJ1332" s="77"/>
      <c r="AK1332" s="77"/>
      <c r="AL1332" s="77"/>
      <c r="AM1332" s="77"/>
      <c r="AN1332" s="77"/>
      <c r="AO1332" s="77"/>
      <c r="AP1332" s="77"/>
      <c r="AQ1332" s="77" t="s">
        <v>8806</v>
      </c>
      <c r="AR1332" s="77"/>
      <c r="AS1332" s="77"/>
      <c r="AT1332" s="77"/>
      <c r="AU1332" s="77"/>
      <c r="AV1332" s="83" t="str">
        <f>HYPERLINK("https://pbs.twimg.com/media/FrWmiPTXsAEqOZK.jpg")</f>
        <v>https://pbs.twimg.com/media/FrWmiPTXsAEqOZK.jpg</v>
      </c>
      <c r="AW1332" s="81" t="s">
        <v>10454</v>
      </c>
      <c r="AX1332" s="81" t="s">
        <v>10454</v>
      </c>
      <c r="AY1332" s="77"/>
      <c r="AZ1332" s="81" t="s">
        <v>11359</v>
      </c>
      <c r="BA1332" s="81" t="s">
        <v>11359</v>
      </c>
      <c r="BB1332" s="81" t="s">
        <v>11359</v>
      </c>
      <c r="BC1332" s="81" t="s">
        <v>10454</v>
      </c>
      <c r="BD1332" s="81" t="s">
        <v>11538</v>
      </c>
      <c r="BE1332" s="77"/>
      <c r="BF1332" s="77"/>
      <c r="BG1332" s="77"/>
      <c r="BH1332" s="77"/>
      <c r="BI1332" s="77"/>
    </row>
    <row r="1333" spans="1:61" x14ac:dyDescent="0.25">
      <c r="A1333" s="62" t="s">
        <v>493</v>
      </c>
      <c r="B1333" s="62" t="s">
        <v>493</v>
      </c>
      <c r="C1333" s="63"/>
      <c r="D1333" s="64"/>
      <c r="E1333" s="65"/>
      <c r="F1333" s="66"/>
      <c r="G1333" s="63"/>
      <c r="H1333" s="67"/>
      <c r="I1333" s="68"/>
      <c r="J1333" s="68"/>
      <c r="K1333" s="32"/>
      <c r="L1333" s="75">
        <v>1333</v>
      </c>
      <c r="M1333" s="75"/>
      <c r="N1333" s="70"/>
      <c r="O1333" s="77" t="s">
        <v>179</v>
      </c>
      <c r="P1333" s="79">
        <v>45001.647974537038</v>
      </c>
      <c r="Q1333" s="77" t="s">
        <v>2132</v>
      </c>
      <c r="R1333" s="77">
        <v>0</v>
      </c>
      <c r="S1333" s="77">
        <v>0</v>
      </c>
      <c r="T1333" s="77">
        <v>0</v>
      </c>
      <c r="U1333" s="77">
        <v>0</v>
      </c>
      <c r="V1333" s="77">
        <v>27</v>
      </c>
      <c r="W1333" s="81" t="s">
        <v>3575</v>
      </c>
      <c r="X1333" s="77"/>
      <c r="Y1333" s="77"/>
      <c r="Z1333" s="77"/>
      <c r="AA1333" s="77" t="s">
        <v>5304</v>
      </c>
      <c r="AB1333" s="77" t="s">
        <v>5794</v>
      </c>
      <c r="AC1333" s="81" t="s">
        <v>5805</v>
      </c>
      <c r="AD1333" s="77" t="s">
        <v>5850</v>
      </c>
      <c r="AE1333" s="83" t="str">
        <f>HYPERLINK("https://twitter.com/talentomayan/status/1636390134345269248")</f>
        <v>https://twitter.com/talentomayan/status/1636390134345269248</v>
      </c>
      <c r="AF1333" s="79">
        <v>45001.647974537038</v>
      </c>
      <c r="AG1333" s="85">
        <v>45001</v>
      </c>
      <c r="AH1333" s="81" t="s">
        <v>6993</v>
      </c>
      <c r="AI1333" s="77" t="b">
        <v>0</v>
      </c>
      <c r="AJ1333" s="77"/>
      <c r="AK1333" s="77"/>
      <c r="AL1333" s="77"/>
      <c r="AM1333" s="77"/>
      <c r="AN1333" s="77"/>
      <c r="AO1333" s="77"/>
      <c r="AP1333" s="77"/>
      <c r="AQ1333" s="77" t="s">
        <v>8807</v>
      </c>
      <c r="AR1333" s="77"/>
      <c r="AS1333" s="77"/>
      <c r="AT1333" s="77"/>
      <c r="AU1333" s="77"/>
      <c r="AV1333" s="83" t="str">
        <f>HYPERLINK("https://pbs.twimg.com/media/FrWgJesakAUNTQi.jpg")</f>
        <v>https://pbs.twimg.com/media/FrWgJesakAUNTQi.jpg</v>
      </c>
      <c r="AW1333" s="81" t="s">
        <v>10455</v>
      </c>
      <c r="AX1333" s="81" t="s">
        <v>10455</v>
      </c>
      <c r="AY1333" s="77"/>
      <c r="AZ1333" s="81" t="s">
        <v>11359</v>
      </c>
      <c r="BA1333" s="81" t="s">
        <v>11359</v>
      </c>
      <c r="BB1333" s="81" t="s">
        <v>11359</v>
      </c>
      <c r="BC1333" s="81" t="s">
        <v>10455</v>
      </c>
      <c r="BD1333" s="81" t="s">
        <v>11538</v>
      </c>
      <c r="BE1333" s="77"/>
      <c r="BF1333" s="77"/>
      <c r="BG1333" s="77"/>
      <c r="BH1333" s="77"/>
      <c r="BI1333" s="77"/>
    </row>
    <row r="1334" spans="1:61" x14ac:dyDescent="0.25">
      <c r="A1334" s="62" t="s">
        <v>493</v>
      </c>
      <c r="B1334" s="62" t="s">
        <v>493</v>
      </c>
      <c r="C1334" s="63"/>
      <c r="D1334" s="64"/>
      <c r="E1334" s="65"/>
      <c r="F1334" s="66"/>
      <c r="G1334" s="63"/>
      <c r="H1334" s="67"/>
      <c r="I1334" s="68"/>
      <c r="J1334" s="68"/>
      <c r="K1334" s="32"/>
      <c r="L1334" s="75">
        <v>1334</v>
      </c>
      <c r="M1334" s="75"/>
      <c r="N1334" s="70"/>
      <c r="O1334" s="77" t="s">
        <v>179</v>
      </c>
      <c r="P1334" s="79">
        <v>44973.620428240742</v>
      </c>
      <c r="Q1334" s="77" t="s">
        <v>2133</v>
      </c>
      <c r="R1334" s="77">
        <v>0</v>
      </c>
      <c r="S1334" s="77">
        <v>0</v>
      </c>
      <c r="T1334" s="77">
        <v>0</v>
      </c>
      <c r="U1334" s="77">
        <v>0</v>
      </c>
      <c r="V1334" s="77">
        <v>40</v>
      </c>
      <c r="W1334" s="81" t="s">
        <v>3575</v>
      </c>
      <c r="X1334" s="77"/>
      <c r="Y1334" s="77"/>
      <c r="Z1334" s="77"/>
      <c r="AA1334" s="77" t="s">
        <v>5305</v>
      </c>
      <c r="AB1334" s="77" t="s">
        <v>5794</v>
      </c>
      <c r="AC1334" s="81" t="s">
        <v>5805</v>
      </c>
      <c r="AD1334" s="77" t="s">
        <v>5850</v>
      </c>
      <c r="AE1334" s="83" t="str">
        <f>HYPERLINK("https://twitter.com/talentomayan/status/1626233292428312589")</f>
        <v>https://twitter.com/talentomayan/status/1626233292428312589</v>
      </c>
      <c r="AF1334" s="79">
        <v>44973.620428240742</v>
      </c>
      <c r="AG1334" s="85">
        <v>44973</v>
      </c>
      <c r="AH1334" s="81" t="s">
        <v>6994</v>
      </c>
      <c r="AI1334" s="77" t="b">
        <v>0</v>
      </c>
      <c r="AJ1334" s="77"/>
      <c r="AK1334" s="77"/>
      <c r="AL1334" s="77"/>
      <c r="AM1334" s="77"/>
      <c r="AN1334" s="77"/>
      <c r="AO1334" s="77"/>
      <c r="AP1334" s="77"/>
      <c r="AQ1334" s="77" t="s">
        <v>8808</v>
      </c>
      <c r="AR1334" s="77"/>
      <c r="AS1334" s="77"/>
      <c r="AT1334" s="77"/>
      <c r="AU1334" s="77"/>
      <c r="AV1334" s="83" t="str">
        <f>HYPERLINK("https://pbs.twimg.com/media/FpGKje2aYAU4WIY.jpg")</f>
        <v>https://pbs.twimg.com/media/FpGKje2aYAU4WIY.jpg</v>
      </c>
      <c r="AW1334" s="81" t="s">
        <v>10456</v>
      </c>
      <c r="AX1334" s="81" t="s">
        <v>10456</v>
      </c>
      <c r="AY1334" s="77"/>
      <c r="AZ1334" s="81" t="s">
        <v>11359</v>
      </c>
      <c r="BA1334" s="81" t="s">
        <v>11359</v>
      </c>
      <c r="BB1334" s="81" t="s">
        <v>11359</v>
      </c>
      <c r="BC1334" s="81" t="s">
        <v>10456</v>
      </c>
      <c r="BD1334" s="81" t="s">
        <v>11538</v>
      </c>
      <c r="BE1334" s="77"/>
      <c r="BF1334" s="77"/>
      <c r="BG1334" s="77"/>
      <c r="BH1334" s="77"/>
      <c r="BI1334" s="77"/>
    </row>
    <row r="1335" spans="1:61" x14ac:dyDescent="0.25">
      <c r="A1335" s="62" t="s">
        <v>493</v>
      </c>
      <c r="B1335" s="62" t="s">
        <v>493</v>
      </c>
      <c r="C1335" s="63"/>
      <c r="D1335" s="64"/>
      <c r="E1335" s="65"/>
      <c r="F1335" s="66"/>
      <c r="G1335" s="63"/>
      <c r="H1335" s="67"/>
      <c r="I1335" s="68"/>
      <c r="J1335" s="68"/>
      <c r="K1335" s="32"/>
      <c r="L1335" s="75">
        <v>1335</v>
      </c>
      <c r="M1335" s="75"/>
      <c r="N1335" s="70"/>
      <c r="O1335" s="77" t="s">
        <v>179</v>
      </c>
      <c r="P1335" s="79">
        <v>44939.592546296299</v>
      </c>
      <c r="Q1335" s="77" t="s">
        <v>2134</v>
      </c>
      <c r="R1335" s="77">
        <v>1</v>
      </c>
      <c r="S1335" s="77">
        <v>0</v>
      </c>
      <c r="T1335" s="77">
        <v>0</v>
      </c>
      <c r="U1335" s="77">
        <v>0</v>
      </c>
      <c r="V1335" s="77">
        <v>102</v>
      </c>
      <c r="W1335" s="81" t="s">
        <v>3575</v>
      </c>
      <c r="X1335" s="77"/>
      <c r="Y1335" s="77"/>
      <c r="Z1335" s="77"/>
      <c r="AA1335" s="77" t="s">
        <v>5306</v>
      </c>
      <c r="AB1335" s="77" t="s">
        <v>5794</v>
      </c>
      <c r="AC1335" s="81" t="s">
        <v>5805</v>
      </c>
      <c r="AD1335" s="77" t="s">
        <v>5850</v>
      </c>
      <c r="AE1335" s="83" t="str">
        <f>HYPERLINK("https://twitter.com/talentomayan/status/1613902001951080449")</f>
        <v>https://twitter.com/talentomayan/status/1613902001951080449</v>
      </c>
      <c r="AF1335" s="79">
        <v>44939.592546296299</v>
      </c>
      <c r="AG1335" s="85">
        <v>44939</v>
      </c>
      <c r="AH1335" s="81" t="s">
        <v>6995</v>
      </c>
      <c r="AI1335" s="77" t="b">
        <v>0</v>
      </c>
      <c r="AJ1335" s="77"/>
      <c r="AK1335" s="77"/>
      <c r="AL1335" s="77"/>
      <c r="AM1335" s="77"/>
      <c r="AN1335" s="77"/>
      <c r="AO1335" s="77"/>
      <c r="AP1335" s="77"/>
      <c r="AQ1335" s="77" t="s">
        <v>8809</v>
      </c>
      <c r="AR1335" s="77"/>
      <c r="AS1335" s="77"/>
      <c r="AT1335" s="77"/>
      <c r="AU1335" s="77"/>
      <c r="AV1335" s="83" t="str">
        <f>HYPERLINK("https://pbs.twimg.com/media/FmW7UG-X0AAd7GX.jpg")</f>
        <v>https://pbs.twimg.com/media/FmW7UG-X0AAd7GX.jpg</v>
      </c>
      <c r="AW1335" s="81" t="s">
        <v>10457</v>
      </c>
      <c r="AX1335" s="81" t="s">
        <v>10457</v>
      </c>
      <c r="AY1335" s="77"/>
      <c r="AZ1335" s="81" t="s">
        <v>11359</v>
      </c>
      <c r="BA1335" s="81" t="s">
        <v>11359</v>
      </c>
      <c r="BB1335" s="81" t="s">
        <v>11359</v>
      </c>
      <c r="BC1335" s="81" t="s">
        <v>10457</v>
      </c>
      <c r="BD1335" s="81" t="s">
        <v>11538</v>
      </c>
      <c r="BE1335" s="77"/>
      <c r="BF1335" s="77"/>
      <c r="BG1335" s="77"/>
      <c r="BH1335" s="77"/>
      <c r="BI1335" s="77"/>
    </row>
    <row r="1336" spans="1:61" x14ac:dyDescent="0.25">
      <c r="A1336" s="62" t="s">
        <v>493</v>
      </c>
      <c r="B1336" s="62" t="s">
        <v>493</v>
      </c>
      <c r="C1336" s="63"/>
      <c r="D1336" s="64"/>
      <c r="E1336" s="65"/>
      <c r="F1336" s="66"/>
      <c r="G1336" s="63"/>
      <c r="H1336" s="67"/>
      <c r="I1336" s="68"/>
      <c r="J1336" s="68"/>
      <c r="K1336" s="32"/>
      <c r="L1336" s="75">
        <v>1336</v>
      </c>
      <c r="M1336" s="75"/>
      <c r="N1336" s="70"/>
      <c r="O1336" s="77" t="s">
        <v>179</v>
      </c>
      <c r="P1336" s="79">
        <v>44938.609942129631</v>
      </c>
      <c r="Q1336" s="77" t="s">
        <v>2135</v>
      </c>
      <c r="R1336" s="77">
        <v>0</v>
      </c>
      <c r="S1336" s="77">
        <v>0</v>
      </c>
      <c r="T1336" s="77">
        <v>0</v>
      </c>
      <c r="U1336" s="77">
        <v>0</v>
      </c>
      <c r="V1336" s="77">
        <v>38</v>
      </c>
      <c r="W1336" s="81" t="s">
        <v>3575</v>
      </c>
      <c r="X1336" s="77"/>
      <c r="Y1336" s="77"/>
      <c r="Z1336" s="77"/>
      <c r="AA1336" s="77" t="s">
        <v>5307</v>
      </c>
      <c r="AB1336" s="77" t="s">
        <v>5794</v>
      </c>
      <c r="AC1336" s="81" t="s">
        <v>5805</v>
      </c>
      <c r="AD1336" s="77" t="s">
        <v>5850</v>
      </c>
      <c r="AE1336" s="83" t="str">
        <f>HYPERLINK("https://twitter.com/talentomayan/status/1613545916870365185")</f>
        <v>https://twitter.com/talentomayan/status/1613545916870365185</v>
      </c>
      <c r="AF1336" s="79">
        <v>44938.609942129631</v>
      </c>
      <c r="AG1336" s="85">
        <v>44938</v>
      </c>
      <c r="AH1336" s="81" t="s">
        <v>6996</v>
      </c>
      <c r="AI1336" s="77" t="b">
        <v>0</v>
      </c>
      <c r="AJ1336" s="77"/>
      <c r="AK1336" s="77"/>
      <c r="AL1336" s="77"/>
      <c r="AM1336" s="77"/>
      <c r="AN1336" s="77"/>
      <c r="AO1336" s="77"/>
      <c r="AP1336" s="77"/>
      <c r="AQ1336" s="77" t="s">
        <v>8810</v>
      </c>
      <c r="AR1336" s="77"/>
      <c r="AS1336" s="77"/>
      <c r="AT1336" s="77"/>
      <c r="AU1336" s="77"/>
      <c r="AV1336" s="83" t="str">
        <f>HYPERLINK("https://pbs.twimg.com/media/FmR3dGRXEAAI3aS.jpg")</f>
        <v>https://pbs.twimg.com/media/FmR3dGRXEAAI3aS.jpg</v>
      </c>
      <c r="AW1336" s="81" t="s">
        <v>10458</v>
      </c>
      <c r="AX1336" s="81" t="s">
        <v>10458</v>
      </c>
      <c r="AY1336" s="77"/>
      <c r="AZ1336" s="81" t="s">
        <v>11359</v>
      </c>
      <c r="BA1336" s="81" t="s">
        <v>11359</v>
      </c>
      <c r="BB1336" s="81" t="s">
        <v>11359</v>
      </c>
      <c r="BC1336" s="81" t="s">
        <v>10458</v>
      </c>
      <c r="BD1336" s="81" t="s">
        <v>11538</v>
      </c>
      <c r="BE1336" s="77"/>
      <c r="BF1336" s="77"/>
      <c r="BG1336" s="77"/>
      <c r="BH1336" s="77"/>
      <c r="BI1336" s="77"/>
    </row>
    <row r="1337" spans="1:61" x14ac:dyDescent="0.25">
      <c r="A1337" s="62" t="s">
        <v>494</v>
      </c>
      <c r="B1337" s="62" t="s">
        <v>494</v>
      </c>
      <c r="C1337" s="63"/>
      <c r="D1337" s="64"/>
      <c r="E1337" s="65"/>
      <c r="F1337" s="66"/>
      <c r="G1337" s="63"/>
      <c r="H1337" s="67"/>
      <c r="I1337" s="68"/>
      <c r="J1337" s="68"/>
      <c r="K1337" s="32"/>
      <c r="L1337" s="75">
        <v>1337</v>
      </c>
      <c r="M1337" s="75"/>
      <c r="N1337" s="70"/>
      <c r="O1337" s="77" t="s">
        <v>179</v>
      </c>
      <c r="P1337" s="79">
        <v>45092.333657407406</v>
      </c>
      <c r="Q1337" s="77" t="s">
        <v>2136</v>
      </c>
      <c r="R1337" s="77">
        <v>0</v>
      </c>
      <c r="S1337" s="77">
        <v>0</v>
      </c>
      <c r="T1337" s="77">
        <v>0</v>
      </c>
      <c r="U1337" s="77">
        <v>0</v>
      </c>
      <c r="V1337" s="77"/>
      <c r="W1337" s="81" t="s">
        <v>3579</v>
      </c>
      <c r="X1337" s="83" t="str">
        <f>HYPERLINK("https://frame.agencia.promo/como-aumentar-suas-vendas-no-linkedin/")</f>
        <v>https://frame.agencia.promo/como-aumentar-suas-vendas-no-linkedin/</v>
      </c>
      <c r="Y1337" s="77" t="s">
        <v>4287</v>
      </c>
      <c r="Z1337" s="77"/>
      <c r="AA1337" s="77"/>
      <c r="AB1337" s="77"/>
      <c r="AC1337" s="81" t="s">
        <v>5833</v>
      </c>
      <c r="AD1337" s="77" t="s">
        <v>5851</v>
      </c>
      <c r="AE1337" s="83" t="str">
        <f>HYPERLINK("https://twitter.com/framemktdigital/status/1669253524578770944")</f>
        <v>https://twitter.com/framemktdigital/status/1669253524578770944</v>
      </c>
      <c r="AF1337" s="79">
        <v>45092.333657407406</v>
      </c>
      <c r="AG1337" s="85">
        <v>45092</v>
      </c>
      <c r="AH1337" s="81" t="s">
        <v>6997</v>
      </c>
      <c r="AI1337" s="77" t="b">
        <v>0</v>
      </c>
      <c r="AJ1337" s="77"/>
      <c r="AK1337" s="77"/>
      <c r="AL1337" s="77"/>
      <c r="AM1337" s="77"/>
      <c r="AN1337" s="77"/>
      <c r="AO1337" s="77"/>
      <c r="AP1337" s="77"/>
      <c r="AQ1337" s="77"/>
      <c r="AR1337" s="77"/>
      <c r="AS1337" s="77"/>
      <c r="AT1337" s="77"/>
      <c r="AU1337" s="77"/>
      <c r="AV1337" s="83" t="str">
        <f>HYPERLINK("https://pbs.twimg.com/profile_images/1627809396498608131/WG9a5uTe_normal.jpg")</f>
        <v>https://pbs.twimg.com/profile_images/1627809396498608131/WG9a5uTe_normal.jpg</v>
      </c>
      <c r="AW1337" s="81" t="s">
        <v>10459</v>
      </c>
      <c r="AX1337" s="81" t="s">
        <v>10459</v>
      </c>
      <c r="AY1337" s="77"/>
      <c r="AZ1337" s="81" t="s">
        <v>11359</v>
      </c>
      <c r="BA1337" s="81" t="s">
        <v>11359</v>
      </c>
      <c r="BB1337" s="81" t="s">
        <v>11359</v>
      </c>
      <c r="BC1337" s="81" t="s">
        <v>10459</v>
      </c>
      <c r="BD1337" s="81" t="s">
        <v>11539</v>
      </c>
      <c r="BE1337" s="77"/>
      <c r="BF1337" s="77"/>
      <c r="BG1337" s="77"/>
      <c r="BH1337" s="77"/>
      <c r="BI1337" s="77"/>
    </row>
    <row r="1338" spans="1:61" x14ac:dyDescent="0.25">
      <c r="A1338" s="62" t="s">
        <v>495</v>
      </c>
      <c r="B1338" s="62" t="s">
        <v>495</v>
      </c>
      <c r="C1338" s="63"/>
      <c r="D1338" s="64"/>
      <c r="E1338" s="65"/>
      <c r="F1338" s="66"/>
      <c r="G1338" s="63"/>
      <c r="H1338" s="67"/>
      <c r="I1338" s="68"/>
      <c r="J1338" s="68"/>
      <c r="K1338" s="32"/>
      <c r="L1338" s="75">
        <v>1338</v>
      </c>
      <c r="M1338" s="75"/>
      <c r="N1338" s="70"/>
      <c r="O1338" s="77" t="s">
        <v>179</v>
      </c>
      <c r="P1338" s="79">
        <v>45176.905034722222</v>
      </c>
      <c r="Q1338" s="77" t="s">
        <v>2137</v>
      </c>
      <c r="R1338" s="77">
        <v>0</v>
      </c>
      <c r="S1338" s="77">
        <v>0</v>
      </c>
      <c r="T1338" s="77">
        <v>0</v>
      </c>
      <c r="U1338" s="77">
        <v>0</v>
      </c>
      <c r="V1338" s="77">
        <v>4</v>
      </c>
      <c r="W1338" s="81" t="s">
        <v>3580</v>
      </c>
      <c r="X1338" s="83" t="str">
        <f>HYPERLINK("https://lttr.ai/AGk2j")</f>
        <v>https://lttr.ai/AGk2j</v>
      </c>
      <c r="Y1338" s="77" t="s">
        <v>4288</v>
      </c>
      <c r="Z1338" s="77"/>
      <c r="AA1338" s="77" t="s">
        <v>5308</v>
      </c>
      <c r="AB1338" s="77" t="s">
        <v>5794</v>
      </c>
      <c r="AC1338" s="81" t="s">
        <v>5834</v>
      </c>
      <c r="AD1338" s="77" t="s">
        <v>5850</v>
      </c>
      <c r="AE1338" s="83" t="str">
        <f>HYPERLINK("https://twitter.com/ideiasedesafios/status/1699901168862826509")</f>
        <v>https://twitter.com/ideiasedesafios/status/1699901168862826509</v>
      </c>
      <c r="AF1338" s="79">
        <v>45176.905034722222</v>
      </c>
      <c r="AG1338" s="85">
        <v>45176</v>
      </c>
      <c r="AH1338" s="81" t="s">
        <v>6998</v>
      </c>
      <c r="AI1338" s="77" t="b">
        <v>0</v>
      </c>
      <c r="AJ1338" s="77"/>
      <c r="AK1338" s="77"/>
      <c r="AL1338" s="77"/>
      <c r="AM1338" s="77"/>
      <c r="AN1338" s="77"/>
      <c r="AO1338" s="77"/>
      <c r="AP1338" s="77"/>
      <c r="AQ1338" s="77" t="s">
        <v>8811</v>
      </c>
      <c r="AR1338" s="77"/>
      <c r="AS1338" s="77"/>
      <c r="AT1338" s="77"/>
      <c r="AU1338" s="77"/>
      <c r="AV1338" s="83" t="str">
        <f>HYPERLINK("https://pbs.twimg.com/media/F5dDGt5XAAEO9X3.jpg")</f>
        <v>https://pbs.twimg.com/media/F5dDGt5XAAEO9X3.jpg</v>
      </c>
      <c r="AW1338" s="81" t="s">
        <v>10460</v>
      </c>
      <c r="AX1338" s="81" t="s">
        <v>10460</v>
      </c>
      <c r="AY1338" s="77"/>
      <c r="AZ1338" s="81" t="s">
        <v>11359</v>
      </c>
      <c r="BA1338" s="81" t="s">
        <v>11359</v>
      </c>
      <c r="BB1338" s="81" t="s">
        <v>11359</v>
      </c>
      <c r="BC1338" s="81" t="s">
        <v>10460</v>
      </c>
      <c r="BD1338" s="77">
        <v>19333798</v>
      </c>
      <c r="BE1338" s="77"/>
      <c r="BF1338" s="77"/>
      <c r="BG1338" s="77"/>
      <c r="BH1338" s="77"/>
      <c r="BI1338" s="77"/>
    </row>
    <row r="1339" spans="1:61" x14ac:dyDescent="0.25">
      <c r="A1339" s="62" t="s">
        <v>495</v>
      </c>
      <c r="B1339" s="62" t="s">
        <v>495</v>
      </c>
      <c r="C1339" s="63"/>
      <c r="D1339" s="64"/>
      <c r="E1339" s="65"/>
      <c r="F1339" s="66"/>
      <c r="G1339" s="63"/>
      <c r="H1339" s="67"/>
      <c r="I1339" s="68"/>
      <c r="J1339" s="68"/>
      <c r="K1339" s="32"/>
      <c r="L1339" s="75">
        <v>1339</v>
      </c>
      <c r="M1339" s="75"/>
      <c r="N1339" s="70"/>
      <c r="O1339" s="77" t="s">
        <v>179</v>
      </c>
      <c r="P1339" s="79">
        <v>45178.905150462961</v>
      </c>
      <c r="Q1339" s="77" t="s">
        <v>2138</v>
      </c>
      <c r="R1339" s="77">
        <v>0</v>
      </c>
      <c r="S1339" s="77">
        <v>0</v>
      </c>
      <c r="T1339" s="77">
        <v>0</v>
      </c>
      <c r="U1339" s="77">
        <v>0</v>
      </c>
      <c r="V1339" s="77">
        <v>9</v>
      </c>
      <c r="W1339" s="81" t="s">
        <v>3580</v>
      </c>
      <c r="X1339" s="83" t="str">
        <f>HYPERLINK("https://lttr.ai/AGpz1")</f>
        <v>https://lttr.ai/AGpz1</v>
      </c>
      <c r="Y1339" s="77" t="s">
        <v>4288</v>
      </c>
      <c r="Z1339" s="77"/>
      <c r="AA1339" s="77" t="s">
        <v>5309</v>
      </c>
      <c r="AB1339" s="77" t="s">
        <v>5794</v>
      </c>
      <c r="AC1339" s="81" t="s">
        <v>5834</v>
      </c>
      <c r="AD1339" s="77" t="s">
        <v>5850</v>
      </c>
      <c r="AE1339" s="83" t="str">
        <f>HYPERLINK("https://twitter.com/ideiasedesafios/status/1700625984003715322")</f>
        <v>https://twitter.com/ideiasedesafios/status/1700625984003715322</v>
      </c>
      <c r="AF1339" s="79">
        <v>45178.905150462961</v>
      </c>
      <c r="AG1339" s="85">
        <v>45178</v>
      </c>
      <c r="AH1339" s="81" t="s">
        <v>6999</v>
      </c>
      <c r="AI1339" s="77" t="b">
        <v>0</v>
      </c>
      <c r="AJ1339" s="77"/>
      <c r="AK1339" s="77"/>
      <c r="AL1339" s="77"/>
      <c r="AM1339" s="77"/>
      <c r="AN1339" s="77"/>
      <c r="AO1339" s="77"/>
      <c r="AP1339" s="77"/>
      <c r="AQ1339" s="77" t="s">
        <v>8812</v>
      </c>
      <c r="AR1339" s="77"/>
      <c r="AS1339" s="77"/>
      <c r="AT1339" s="77"/>
      <c r="AU1339" s="77"/>
      <c r="AV1339" s="83" t="str">
        <f>HYPERLINK("https://pbs.twimg.com/media/F5nWUiaXMAAj7v0.jpg")</f>
        <v>https://pbs.twimg.com/media/F5nWUiaXMAAj7v0.jpg</v>
      </c>
      <c r="AW1339" s="81" t="s">
        <v>10461</v>
      </c>
      <c r="AX1339" s="81" t="s">
        <v>10461</v>
      </c>
      <c r="AY1339" s="77"/>
      <c r="AZ1339" s="81" t="s">
        <v>11359</v>
      </c>
      <c r="BA1339" s="81" t="s">
        <v>11359</v>
      </c>
      <c r="BB1339" s="81" t="s">
        <v>11359</v>
      </c>
      <c r="BC1339" s="81" t="s">
        <v>10461</v>
      </c>
      <c r="BD1339" s="77">
        <v>19333798</v>
      </c>
      <c r="BE1339" s="77"/>
      <c r="BF1339" s="77"/>
      <c r="BG1339" s="77"/>
      <c r="BH1339" s="77"/>
      <c r="BI1339" s="77"/>
    </row>
    <row r="1340" spans="1:61" x14ac:dyDescent="0.25">
      <c r="A1340" s="62" t="s">
        <v>495</v>
      </c>
      <c r="B1340" s="62" t="s">
        <v>495</v>
      </c>
      <c r="C1340" s="63"/>
      <c r="D1340" s="64"/>
      <c r="E1340" s="65"/>
      <c r="F1340" s="66"/>
      <c r="G1340" s="63"/>
      <c r="H1340" s="67"/>
      <c r="I1340" s="68"/>
      <c r="J1340" s="68"/>
      <c r="K1340" s="32"/>
      <c r="L1340" s="75">
        <v>1340</v>
      </c>
      <c r="M1340" s="75"/>
      <c r="N1340" s="70"/>
      <c r="O1340" s="77" t="s">
        <v>179</v>
      </c>
      <c r="P1340" s="79">
        <v>45175.848773148151</v>
      </c>
      <c r="Q1340" s="77" t="s">
        <v>2139</v>
      </c>
      <c r="R1340" s="77">
        <v>0</v>
      </c>
      <c r="S1340" s="77">
        <v>0</v>
      </c>
      <c r="T1340" s="77">
        <v>0</v>
      </c>
      <c r="U1340" s="77">
        <v>0</v>
      </c>
      <c r="V1340" s="77">
        <v>11</v>
      </c>
      <c r="W1340" s="81" t="s">
        <v>3580</v>
      </c>
      <c r="X1340" s="83" t="str">
        <f>HYPERLINK("https://lttr.ai/AGcBw")</f>
        <v>https://lttr.ai/AGcBw</v>
      </c>
      <c r="Y1340" s="77" t="s">
        <v>4288</v>
      </c>
      <c r="Z1340" s="77"/>
      <c r="AA1340" s="77" t="s">
        <v>5310</v>
      </c>
      <c r="AB1340" s="77" t="s">
        <v>5794</v>
      </c>
      <c r="AC1340" s="81" t="s">
        <v>5834</v>
      </c>
      <c r="AD1340" s="77" t="s">
        <v>5850</v>
      </c>
      <c r="AE1340" s="83" t="str">
        <f>HYPERLINK("https://twitter.com/ideiasedesafios/status/1699518389645885751")</f>
        <v>https://twitter.com/ideiasedesafios/status/1699518389645885751</v>
      </c>
      <c r="AF1340" s="79">
        <v>45175.848773148151</v>
      </c>
      <c r="AG1340" s="85">
        <v>45175</v>
      </c>
      <c r="AH1340" s="81" t="s">
        <v>7000</v>
      </c>
      <c r="AI1340" s="77" t="b">
        <v>0</v>
      </c>
      <c r="AJ1340" s="77"/>
      <c r="AK1340" s="77"/>
      <c r="AL1340" s="77"/>
      <c r="AM1340" s="77"/>
      <c r="AN1340" s="77"/>
      <c r="AO1340" s="77"/>
      <c r="AP1340" s="77"/>
      <c r="AQ1340" s="77" t="s">
        <v>8813</v>
      </c>
      <c r="AR1340" s="77"/>
      <c r="AS1340" s="77"/>
      <c r="AT1340" s="77"/>
      <c r="AU1340" s="77"/>
      <c r="AV1340" s="83" t="str">
        <f>HYPERLINK("https://pbs.twimg.com/media/F5Xm-BEWkAEBPIX.jpg")</f>
        <v>https://pbs.twimg.com/media/F5Xm-BEWkAEBPIX.jpg</v>
      </c>
      <c r="AW1340" s="81" t="s">
        <v>10462</v>
      </c>
      <c r="AX1340" s="81" t="s">
        <v>10462</v>
      </c>
      <c r="AY1340" s="77"/>
      <c r="AZ1340" s="81" t="s">
        <v>11359</v>
      </c>
      <c r="BA1340" s="81" t="s">
        <v>11359</v>
      </c>
      <c r="BB1340" s="81" t="s">
        <v>11359</v>
      </c>
      <c r="BC1340" s="81" t="s">
        <v>10462</v>
      </c>
      <c r="BD1340" s="77">
        <v>19333798</v>
      </c>
      <c r="BE1340" s="77"/>
      <c r="BF1340" s="77"/>
      <c r="BG1340" s="77"/>
      <c r="BH1340" s="77"/>
      <c r="BI1340" s="77"/>
    </row>
    <row r="1341" spans="1:61" x14ac:dyDescent="0.25">
      <c r="A1341" s="62" t="s">
        <v>495</v>
      </c>
      <c r="B1341" s="62" t="s">
        <v>495</v>
      </c>
      <c r="C1341" s="63"/>
      <c r="D1341" s="64"/>
      <c r="E1341" s="65"/>
      <c r="F1341" s="66"/>
      <c r="G1341" s="63"/>
      <c r="H1341" s="67"/>
      <c r="I1341" s="68"/>
      <c r="J1341" s="68"/>
      <c r="K1341" s="32"/>
      <c r="L1341" s="75">
        <v>1341</v>
      </c>
      <c r="M1341" s="75"/>
      <c r="N1341" s="70"/>
      <c r="O1341" s="77" t="s">
        <v>179</v>
      </c>
      <c r="P1341" s="79">
        <v>45189.905011574076</v>
      </c>
      <c r="Q1341" s="77" t="s">
        <v>2140</v>
      </c>
      <c r="R1341" s="77">
        <v>0</v>
      </c>
      <c r="S1341" s="77">
        <v>0</v>
      </c>
      <c r="T1341" s="77">
        <v>0</v>
      </c>
      <c r="U1341" s="77">
        <v>0</v>
      </c>
      <c r="V1341" s="77">
        <v>6</v>
      </c>
      <c r="W1341" s="81" t="s">
        <v>3580</v>
      </c>
      <c r="X1341" s="83" t="str">
        <f>HYPERLINK("https://lttr.ai/AHL29")</f>
        <v>https://lttr.ai/AHL29</v>
      </c>
      <c r="Y1341" s="77" t="s">
        <v>4288</v>
      </c>
      <c r="Z1341" s="77"/>
      <c r="AA1341" s="77" t="s">
        <v>5311</v>
      </c>
      <c r="AB1341" s="77" t="s">
        <v>5794</v>
      </c>
      <c r="AC1341" s="81" t="s">
        <v>5834</v>
      </c>
      <c r="AD1341" s="77" t="s">
        <v>5851</v>
      </c>
      <c r="AE1341" s="83" t="str">
        <f>HYPERLINK("https://twitter.com/ideiasedesafios/status/1704612200273600514")</f>
        <v>https://twitter.com/ideiasedesafios/status/1704612200273600514</v>
      </c>
      <c r="AF1341" s="79">
        <v>45189.905011574076</v>
      </c>
      <c r="AG1341" s="85">
        <v>45189</v>
      </c>
      <c r="AH1341" s="81" t="s">
        <v>7001</v>
      </c>
      <c r="AI1341" s="77" t="b">
        <v>0</v>
      </c>
      <c r="AJ1341" s="77"/>
      <c r="AK1341" s="77"/>
      <c r="AL1341" s="77"/>
      <c r="AM1341" s="77"/>
      <c r="AN1341" s="77"/>
      <c r="AO1341" s="77"/>
      <c r="AP1341" s="77"/>
      <c r="AQ1341" s="77" t="s">
        <v>8814</v>
      </c>
      <c r="AR1341" s="77"/>
      <c r="AS1341" s="77"/>
      <c r="AT1341" s="77"/>
      <c r="AU1341" s="77"/>
      <c r="AV1341" s="83" t="str">
        <f>HYPERLINK("https://pbs.twimg.com/media/F6f_w0qWMAAyKlz.jpg")</f>
        <v>https://pbs.twimg.com/media/F6f_w0qWMAAyKlz.jpg</v>
      </c>
      <c r="AW1341" s="81" t="s">
        <v>10463</v>
      </c>
      <c r="AX1341" s="81" t="s">
        <v>10463</v>
      </c>
      <c r="AY1341" s="77"/>
      <c r="AZ1341" s="81" t="s">
        <v>11359</v>
      </c>
      <c r="BA1341" s="81" t="s">
        <v>11359</v>
      </c>
      <c r="BB1341" s="81" t="s">
        <v>11359</v>
      </c>
      <c r="BC1341" s="81" t="s">
        <v>10463</v>
      </c>
      <c r="BD1341" s="77">
        <v>19333798</v>
      </c>
      <c r="BE1341" s="77"/>
      <c r="BF1341" s="77"/>
      <c r="BG1341" s="77"/>
      <c r="BH1341" s="77"/>
      <c r="BI1341" s="77"/>
    </row>
    <row r="1342" spans="1:61" x14ac:dyDescent="0.25">
      <c r="A1342" s="62" t="s">
        <v>495</v>
      </c>
      <c r="B1342" s="62" t="s">
        <v>495</v>
      </c>
      <c r="C1342" s="63"/>
      <c r="D1342" s="64"/>
      <c r="E1342" s="65"/>
      <c r="F1342" s="66"/>
      <c r="G1342" s="63"/>
      <c r="H1342" s="67"/>
      <c r="I1342" s="68"/>
      <c r="J1342" s="68"/>
      <c r="K1342" s="32"/>
      <c r="L1342" s="75">
        <v>1342</v>
      </c>
      <c r="M1342" s="75"/>
      <c r="N1342" s="70"/>
      <c r="O1342" s="77" t="s">
        <v>179</v>
      </c>
      <c r="P1342" s="79">
        <v>45182.84878472222</v>
      </c>
      <c r="Q1342" s="77" t="s">
        <v>2141</v>
      </c>
      <c r="R1342" s="77">
        <v>0</v>
      </c>
      <c r="S1342" s="77">
        <v>0</v>
      </c>
      <c r="T1342" s="77">
        <v>0</v>
      </c>
      <c r="U1342" s="77">
        <v>0</v>
      </c>
      <c r="V1342" s="77">
        <v>3</v>
      </c>
      <c r="W1342" s="81" t="s">
        <v>3580</v>
      </c>
      <c r="X1342" s="83" t="str">
        <f>HYPERLINK("https://lttr.ai/AG1e5")</f>
        <v>https://lttr.ai/AG1e5</v>
      </c>
      <c r="Y1342" s="77" t="s">
        <v>4288</v>
      </c>
      <c r="Z1342" s="77"/>
      <c r="AA1342" s="77" t="s">
        <v>5312</v>
      </c>
      <c r="AB1342" s="77" t="s">
        <v>5794</v>
      </c>
      <c r="AC1342" s="81" t="s">
        <v>5834</v>
      </c>
      <c r="AD1342" s="77" t="s">
        <v>5850</v>
      </c>
      <c r="AE1342" s="83" t="str">
        <f>HYPERLINK("https://twitter.com/ideiasedesafios/status/1702055109218247117")</f>
        <v>https://twitter.com/ideiasedesafios/status/1702055109218247117</v>
      </c>
      <c r="AF1342" s="79">
        <v>45182.84878472222</v>
      </c>
      <c r="AG1342" s="85">
        <v>45182</v>
      </c>
      <c r="AH1342" s="81" t="s">
        <v>7002</v>
      </c>
      <c r="AI1342" s="77" t="b">
        <v>0</v>
      </c>
      <c r="AJ1342" s="77"/>
      <c r="AK1342" s="77"/>
      <c r="AL1342" s="77"/>
      <c r="AM1342" s="77"/>
      <c r="AN1342" s="77"/>
      <c r="AO1342" s="77"/>
      <c r="AP1342" s="77"/>
      <c r="AQ1342" s="77" t="s">
        <v>8815</v>
      </c>
      <c r="AR1342" s="77"/>
      <c r="AS1342" s="77"/>
      <c r="AT1342" s="77"/>
      <c r="AU1342" s="77"/>
      <c r="AV1342" s="83" t="str">
        <f>HYPERLINK("https://pbs.twimg.com/media/F57qGhsXwAA53c1.jpg")</f>
        <v>https://pbs.twimg.com/media/F57qGhsXwAA53c1.jpg</v>
      </c>
      <c r="AW1342" s="81" t="s">
        <v>10464</v>
      </c>
      <c r="AX1342" s="81" t="s">
        <v>10464</v>
      </c>
      <c r="AY1342" s="77"/>
      <c r="AZ1342" s="81" t="s">
        <v>11359</v>
      </c>
      <c r="BA1342" s="81" t="s">
        <v>11359</v>
      </c>
      <c r="BB1342" s="81" t="s">
        <v>11359</v>
      </c>
      <c r="BC1342" s="81" t="s">
        <v>10464</v>
      </c>
      <c r="BD1342" s="77">
        <v>19333798</v>
      </c>
      <c r="BE1342" s="77"/>
      <c r="BF1342" s="77"/>
      <c r="BG1342" s="77"/>
      <c r="BH1342" s="77"/>
      <c r="BI1342" s="77"/>
    </row>
    <row r="1343" spans="1:61" x14ac:dyDescent="0.25">
      <c r="A1343" s="62" t="s">
        <v>495</v>
      </c>
      <c r="B1343" s="62" t="s">
        <v>495</v>
      </c>
      <c r="C1343" s="63"/>
      <c r="D1343" s="64"/>
      <c r="E1343" s="65"/>
      <c r="F1343" s="66"/>
      <c r="G1343" s="63"/>
      <c r="H1343" s="67"/>
      <c r="I1343" s="68"/>
      <c r="J1343" s="68"/>
      <c r="K1343" s="32"/>
      <c r="L1343" s="75">
        <v>1343</v>
      </c>
      <c r="M1343" s="75"/>
      <c r="N1343" s="70"/>
      <c r="O1343" s="77" t="s">
        <v>179</v>
      </c>
      <c r="P1343" s="79">
        <v>45177.848854166667</v>
      </c>
      <c r="Q1343" s="77" t="s">
        <v>2142</v>
      </c>
      <c r="R1343" s="77">
        <v>0</v>
      </c>
      <c r="S1343" s="77">
        <v>0</v>
      </c>
      <c r="T1343" s="77">
        <v>0</v>
      </c>
      <c r="U1343" s="77">
        <v>0</v>
      </c>
      <c r="V1343" s="77">
        <v>9</v>
      </c>
      <c r="W1343" s="81" t="s">
        <v>3580</v>
      </c>
      <c r="X1343" s="83" t="str">
        <f>HYPERLINK("https://lttr.ai/AGnx0")</f>
        <v>https://lttr.ai/AGnx0</v>
      </c>
      <c r="Y1343" s="77" t="s">
        <v>4288</v>
      </c>
      <c r="Z1343" s="77"/>
      <c r="AA1343" s="77" t="s">
        <v>5313</v>
      </c>
      <c r="AB1343" s="77" t="s">
        <v>5794</v>
      </c>
      <c r="AC1343" s="81" t="s">
        <v>5834</v>
      </c>
      <c r="AD1343" s="77" t="s">
        <v>5851</v>
      </c>
      <c r="AE1343" s="83" t="str">
        <f>HYPERLINK("https://twitter.com/ideiasedesafios/status/1700243196280746333")</f>
        <v>https://twitter.com/ideiasedesafios/status/1700243196280746333</v>
      </c>
      <c r="AF1343" s="79">
        <v>45177.848854166667</v>
      </c>
      <c r="AG1343" s="85">
        <v>45177</v>
      </c>
      <c r="AH1343" s="81" t="s">
        <v>7003</v>
      </c>
      <c r="AI1343" s="77" t="b">
        <v>0</v>
      </c>
      <c r="AJ1343" s="77"/>
      <c r="AK1343" s="77"/>
      <c r="AL1343" s="77"/>
      <c r="AM1343" s="77"/>
      <c r="AN1343" s="77"/>
      <c r="AO1343" s="77"/>
      <c r="AP1343" s="77"/>
      <c r="AQ1343" s="77" t="s">
        <v>8816</v>
      </c>
      <c r="AR1343" s="77"/>
      <c r="AS1343" s="77"/>
      <c r="AT1343" s="77"/>
      <c r="AU1343" s="77"/>
      <c r="AV1343" s="83" t="str">
        <f>HYPERLINK("https://pbs.twimg.com/media/F5h6LXWW4AABa0J.jpg")</f>
        <v>https://pbs.twimg.com/media/F5h6LXWW4AABa0J.jpg</v>
      </c>
      <c r="AW1343" s="81" t="s">
        <v>10465</v>
      </c>
      <c r="AX1343" s="81" t="s">
        <v>10465</v>
      </c>
      <c r="AY1343" s="77"/>
      <c r="AZ1343" s="81" t="s">
        <v>11359</v>
      </c>
      <c r="BA1343" s="81" t="s">
        <v>11359</v>
      </c>
      <c r="BB1343" s="81" t="s">
        <v>11359</v>
      </c>
      <c r="BC1343" s="81" t="s">
        <v>10465</v>
      </c>
      <c r="BD1343" s="77">
        <v>19333798</v>
      </c>
      <c r="BE1343" s="77"/>
      <c r="BF1343" s="77"/>
      <c r="BG1343" s="77"/>
      <c r="BH1343" s="77"/>
      <c r="BI1343" s="77"/>
    </row>
    <row r="1344" spans="1:61" x14ac:dyDescent="0.25">
      <c r="A1344" s="62" t="s">
        <v>495</v>
      </c>
      <c r="B1344" s="62" t="s">
        <v>495</v>
      </c>
      <c r="C1344" s="63"/>
      <c r="D1344" s="64"/>
      <c r="E1344" s="65"/>
      <c r="F1344" s="66"/>
      <c r="G1344" s="63"/>
      <c r="H1344" s="67"/>
      <c r="I1344" s="68"/>
      <c r="J1344" s="68"/>
      <c r="K1344" s="32"/>
      <c r="L1344" s="75">
        <v>1344</v>
      </c>
      <c r="M1344" s="75"/>
      <c r="N1344" s="70"/>
      <c r="O1344" s="77" t="s">
        <v>179</v>
      </c>
      <c r="P1344" s="79">
        <v>45188.905162037037</v>
      </c>
      <c r="Q1344" s="77" t="s">
        <v>2143</v>
      </c>
      <c r="R1344" s="77">
        <v>0</v>
      </c>
      <c r="S1344" s="77">
        <v>0</v>
      </c>
      <c r="T1344" s="77">
        <v>0</v>
      </c>
      <c r="U1344" s="77">
        <v>0</v>
      </c>
      <c r="V1344" s="77">
        <v>4</v>
      </c>
      <c r="W1344" s="81" t="s">
        <v>3580</v>
      </c>
      <c r="X1344" s="83" t="str">
        <f>HYPERLINK("https://lttr.ai/AHImu")</f>
        <v>https://lttr.ai/AHImu</v>
      </c>
      <c r="Y1344" s="77" t="s">
        <v>4288</v>
      </c>
      <c r="Z1344" s="77"/>
      <c r="AA1344" s="77" t="s">
        <v>5314</v>
      </c>
      <c r="AB1344" s="77" t="s">
        <v>5794</v>
      </c>
      <c r="AC1344" s="81" t="s">
        <v>5834</v>
      </c>
      <c r="AD1344" s="77" t="s">
        <v>5850</v>
      </c>
      <c r="AE1344" s="83" t="str">
        <f>HYPERLINK("https://twitter.com/ideiasedesafios/status/1704249866350715164")</f>
        <v>https://twitter.com/ideiasedesafios/status/1704249866350715164</v>
      </c>
      <c r="AF1344" s="79">
        <v>45188.905162037037</v>
      </c>
      <c r="AG1344" s="85">
        <v>45188</v>
      </c>
      <c r="AH1344" s="81" t="s">
        <v>7004</v>
      </c>
      <c r="AI1344" s="77" t="b">
        <v>0</v>
      </c>
      <c r="AJ1344" s="77"/>
      <c r="AK1344" s="77"/>
      <c r="AL1344" s="77"/>
      <c r="AM1344" s="77"/>
      <c r="AN1344" s="77"/>
      <c r="AO1344" s="77"/>
      <c r="AP1344" s="77"/>
      <c r="AQ1344" s="77" t="s">
        <v>8817</v>
      </c>
      <c r="AR1344" s="77"/>
      <c r="AS1344" s="77"/>
      <c r="AT1344" s="77"/>
      <c r="AU1344" s="77"/>
      <c r="AV1344" s="83" t="str">
        <f>HYPERLINK("https://pbs.twimg.com/media/F6a2OP6W0AAX05N.jpg")</f>
        <v>https://pbs.twimg.com/media/F6a2OP6W0AAX05N.jpg</v>
      </c>
      <c r="AW1344" s="81" t="s">
        <v>10466</v>
      </c>
      <c r="AX1344" s="81" t="s">
        <v>10466</v>
      </c>
      <c r="AY1344" s="77"/>
      <c r="AZ1344" s="81" t="s">
        <v>11359</v>
      </c>
      <c r="BA1344" s="81" t="s">
        <v>11359</v>
      </c>
      <c r="BB1344" s="81" t="s">
        <v>11359</v>
      </c>
      <c r="BC1344" s="81" t="s">
        <v>10466</v>
      </c>
      <c r="BD1344" s="77">
        <v>19333798</v>
      </c>
      <c r="BE1344" s="77"/>
      <c r="BF1344" s="77"/>
      <c r="BG1344" s="77"/>
      <c r="BH1344" s="77"/>
      <c r="BI1344" s="77"/>
    </row>
    <row r="1345" spans="1:61" x14ac:dyDescent="0.25">
      <c r="A1345" s="62" t="s">
        <v>495</v>
      </c>
      <c r="B1345" s="62" t="s">
        <v>495</v>
      </c>
      <c r="C1345" s="63"/>
      <c r="D1345" s="64"/>
      <c r="E1345" s="65"/>
      <c r="F1345" s="66"/>
      <c r="G1345" s="63"/>
      <c r="H1345" s="67"/>
      <c r="I1345" s="68"/>
      <c r="J1345" s="68"/>
      <c r="K1345" s="32"/>
      <c r="L1345" s="75">
        <v>1345</v>
      </c>
      <c r="M1345" s="75"/>
      <c r="N1345" s="70"/>
      <c r="O1345" s="77" t="s">
        <v>179</v>
      </c>
      <c r="P1345" s="79">
        <v>45186.84878472222</v>
      </c>
      <c r="Q1345" s="77" t="s">
        <v>2144</v>
      </c>
      <c r="R1345" s="77">
        <v>0</v>
      </c>
      <c r="S1345" s="77">
        <v>0</v>
      </c>
      <c r="T1345" s="77">
        <v>0</v>
      </c>
      <c r="U1345" s="77">
        <v>0</v>
      </c>
      <c r="V1345" s="77">
        <v>10</v>
      </c>
      <c r="W1345" s="81" t="s">
        <v>3580</v>
      </c>
      <c r="X1345" s="83" t="str">
        <f>HYPERLINK("https://lttr.ai/AHBgJ")</f>
        <v>https://lttr.ai/AHBgJ</v>
      </c>
      <c r="Y1345" s="77" t="s">
        <v>4288</v>
      </c>
      <c r="Z1345" s="77"/>
      <c r="AA1345" s="77" t="s">
        <v>5315</v>
      </c>
      <c r="AB1345" s="77" t="s">
        <v>5794</v>
      </c>
      <c r="AC1345" s="81" t="s">
        <v>5834</v>
      </c>
      <c r="AD1345" s="77" t="s">
        <v>5851</v>
      </c>
      <c r="AE1345" s="83" t="str">
        <f>HYPERLINK("https://twitter.com/ideiasedesafios/status/1703504659803939306")</f>
        <v>https://twitter.com/ideiasedesafios/status/1703504659803939306</v>
      </c>
      <c r="AF1345" s="79">
        <v>45186.84878472222</v>
      </c>
      <c r="AG1345" s="85">
        <v>45186</v>
      </c>
      <c r="AH1345" s="81" t="s">
        <v>7002</v>
      </c>
      <c r="AI1345" s="77" t="b">
        <v>0</v>
      </c>
      <c r="AJ1345" s="77"/>
      <c r="AK1345" s="77"/>
      <c r="AL1345" s="77"/>
      <c r="AM1345" s="77"/>
      <c r="AN1345" s="77"/>
      <c r="AO1345" s="77"/>
      <c r="AP1345" s="77"/>
      <c r="AQ1345" s="77" t="s">
        <v>8818</v>
      </c>
      <c r="AR1345" s="77"/>
      <c r="AS1345" s="77"/>
      <c r="AT1345" s="77"/>
      <c r="AU1345" s="77"/>
      <c r="AV1345" s="83" t="str">
        <f>HYPERLINK("https://pbs.twimg.com/media/F6QQdfAW8AADoJE.jpg")</f>
        <v>https://pbs.twimg.com/media/F6QQdfAW8AADoJE.jpg</v>
      </c>
      <c r="AW1345" s="81" t="s">
        <v>10467</v>
      </c>
      <c r="AX1345" s="81" t="s">
        <v>10467</v>
      </c>
      <c r="AY1345" s="77"/>
      <c r="AZ1345" s="81" t="s">
        <v>11359</v>
      </c>
      <c r="BA1345" s="81" t="s">
        <v>11359</v>
      </c>
      <c r="BB1345" s="81" t="s">
        <v>11359</v>
      </c>
      <c r="BC1345" s="81" t="s">
        <v>10467</v>
      </c>
      <c r="BD1345" s="77">
        <v>19333798</v>
      </c>
      <c r="BE1345" s="77"/>
      <c r="BF1345" s="77"/>
      <c r="BG1345" s="77"/>
      <c r="BH1345" s="77"/>
      <c r="BI1345" s="77"/>
    </row>
    <row r="1346" spans="1:61" x14ac:dyDescent="0.25">
      <c r="A1346" s="62" t="s">
        <v>495</v>
      </c>
      <c r="B1346" s="62" t="s">
        <v>495</v>
      </c>
      <c r="C1346" s="63"/>
      <c r="D1346" s="64"/>
      <c r="E1346" s="65"/>
      <c r="F1346" s="66"/>
      <c r="G1346" s="63"/>
      <c r="H1346" s="67"/>
      <c r="I1346" s="68"/>
      <c r="J1346" s="68"/>
      <c r="K1346" s="32"/>
      <c r="L1346" s="75">
        <v>1346</v>
      </c>
      <c r="M1346" s="75"/>
      <c r="N1346" s="70"/>
      <c r="O1346" s="77" t="s">
        <v>179</v>
      </c>
      <c r="P1346" s="79">
        <v>45184.905011574076</v>
      </c>
      <c r="Q1346" s="77" t="s">
        <v>2145</v>
      </c>
      <c r="R1346" s="77">
        <v>0</v>
      </c>
      <c r="S1346" s="77">
        <v>0</v>
      </c>
      <c r="T1346" s="77">
        <v>0</v>
      </c>
      <c r="U1346" s="77">
        <v>0</v>
      </c>
      <c r="V1346" s="77">
        <v>4</v>
      </c>
      <c r="W1346" s="81" t="s">
        <v>3580</v>
      </c>
      <c r="X1346" s="83" t="str">
        <f>HYPERLINK("https://lttr.ai/AG7r3")</f>
        <v>https://lttr.ai/AG7r3</v>
      </c>
      <c r="Y1346" s="77" t="s">
        <v>4288</v>
      </c>
      <c r="Z1346" s="77"/>
      <c r="AA1346" s="77" t="s">
        <v>5316</v>
      </c>
      <c r="AB1346" s="77" t="s">
        <v>5794</v>
      </c>
      <c r="AC1346" s="81" t="s">
        <v>5834</v>
      </c>
      <c r="AD1346" s="77" t="s">
        <v>5851</v>
      </c>
      <c r="AE1346" s="83" t="str">
        <f>HYPERLINK("https://twitter.com/ideiasedesafios/status/1702800262925029865")</f>
        <v>https://twitter.com/ideiasedesafios/status/1702800262925029865</v>
      </c>
      <c r="AF1346" s="79">
        <v>45184.905011574076</v>
      </c>
      <c r="AG1346" s="85">
        <v>45184</v>
      </c>
      <c r="AH1346" s="81" t="s">
        <v>7001</v>
      </c>
      <c r="AI1346" s="77" t="b">
        <v>0</v>
      </c>
      <c r="AJ1346" s="77"/>
      <c r="AK1346" s="77"/>
      <c r="AL1346" s="77"/>
      <c r="AM1346" s="77"/>
      <c r="AN1346" s="77"/>
      <c r="AO1346" s="77"/>
      <c r="AP1346" s="77"/>
      <c r="AQ1346" s="77" t="s">
        <v>8819</v>
      </c>
      <c r="AR1346" s="77"/>
      <c r="AS1346" s="77"/>
      <c r="AT1346" s="77"/>
      <c r="AU1346" s="77"/>
      <c r="AV1346" s="83" t="str">
        <f>HYPERLINK("https://pbs.twimg.com/media/F6GP0OiXUAAj-9A.jpg")</f>
        <v>https://pbs.twimg.com/media/F6GP0OiXUAAj-9A.jpg</v>
      </c>
      <c r="AW1346" s="81" t="s">
        <v>10468</v>
      </c>
      <c r="AX1346" s="81" t="s">
        <v>10468</v>
      </c>
      <c r="AY1346" s="77"/>
      <c r="AZ1346" s="81" t="s">
        <v>11359</v>
      </c>
      <c r="BA1346" s="81" t="s">
        <v>11359</v>
      </c>
      <c r="BB1346" s="81" t="s">
        <v>11359</v>
      </c>
      <c r="BC1346" s="81" t="s">
        <v>10468</v>
      </c>
      <c r="BD1346" s="77">
        <v>19333798</v>
      </c>
      <c r="BE1346" s="77"/>
      <c r="BF1346" s="77"/>
      <c r="BG1346" s="77"/>
      <c r="BH1346" s="77"/>
      <c r="BI1346" s="77"/>
    </row>
    <row r="1347" spans="1:61" x14ac:dyDescent="0.25">
      <c r="A1347" s="62" t="s">
        <v>495</v>
      </c>
      <c r="B1347" s="62" t="s">
        <v>495</v>
      </c>
      <c r="C1347" s="63"/>
      <c r="D1347" s="64"/>
      <c r="E1347" s="65"/>
      <c r="F1347" s="66"/>
      <c r="G1347" s="63"/>
      <c r="H1347" s="67"/>
      <c r="I1347" s="68"/>
      <c r="J1347" s="68"/>
      <c r="K1347" s="32"/>
      <c r="L1347" s="75">
        <v>1347</v>
      </c>
      <c r="M1347" s="75"/>
      <c r="N1347" s="70"/>
      <c r="O1347" s="77" t="s">
        <v>179</v>
      </c>
      <c r="P1347" s="79">
        <v>45180.905115740738</v>
      </c>
      <c r="Q1347" s="77" t="s">
        <v>2146</v>
      </c>
      <c r="R1347" s="77">
        <v>0</v>
      </c>
      <c r="S1347" s="77">
        <v>0</v>
      </c>
      <c r="T1347" s="77">
        <v>0</v>
      </c>
      <c r="U1347" s="77">
        <v>0</v>
      </c>
      <c r="V1347" s="77">
        <v>11</v>
      </c>
      <c r="W1347" s="81" t="s">
        <v>3580</v>
      </c>
      <c r="X1347" s="83" t="str">
        <f>HYPERLINK("https://lttr.ai/AGu7Y")</f>
        <v>https://lttr.ai/AGu7Y</v>
      </c>
      <c r="Y1347" s="77" t="s">
        <v>4288</v>
      </c>
      <c r="Z1347" s="77"/>
      <c r="AA1347" s="77" t="s">
        <v>5317</v>
      </c>
      <c r="AB1347" s="77" t="s">
        <v>5794</v>
      </c>
      <c r="AC1347" s="81" t="s">
        <v>5834</v>
      </c>
      <c r="AD1347" s="77" t="s">
        <v>5851</v>
      </c>
      <c r="AE1347" s="83" t="str">
        <f>HYPERLINK("https://twitter.com/ideiasedesafios/status/1701350747969863746")</f>
        <v>https://twitter.com/ideiasedesafios/status/1701350747969863746</v>
      </c>
      <c r="AF1347" s="79">
        <v>45180.905115740738</v>
      </c>
      <c r="AG1347" s="85">
        <v>45180</v>
      </c>
      <c r="AH1347" s="81" t="s">
        <v>7005</v>
      </c>
      <c r="AI1347" s="77" t="b">
        <v>0</v>
      </c>
      <c r="AJ1347" s="77"/>
      <c r="AK1347" s="77"/>
      <c r="AL1347" s="77"/>
      <c r="AM1347" s="77"/>
      <c r="AN1347" s="77"/>
      <c r="AO1347" s="77"/>
      <c r="AP1347" s="77"/>
      <c r="AQ1347" s="77" t="s">
        <v>8820</v>
      </c>
      <c r="AR1347" s="77"/>
      <c r="AS1347" s="77"/>
      <c r="AT1347" s="77"/>
      <c r="AU1347" s="77"/>
      <c r="AV1347" s="83" t="str">
        <f>HYPERLINK("https://pbs.twimg.com/media/F5xpfV6W8AAkcJO.jpg")</f>
        <v>https://pbs.twimg.com/media/F5xpfV6W8AAkcJO.jpg</v>
      </c>
      <c r="AW1347" s="81" t="s">
        <v>10469</v>
      </c>
      <c r="AX1347" s="81" t="s">
        <v>10469</v>
      </c>
      <c r="AY1347" s="77"/>
      <c r="AZ1347" s="81" t="s">
        <v>11359</v>
      </c>
      <c r="BA1347" s="81" t="s">
        <v>11359</v>
      </c>
      <c r="BB1347" s="81" t="s">
        <v>11359</v>
      </c>
      <c r="BC1347" s="81" t="s">
        <v>10469</v>
      </c>
      <c r="BD1347" s="77">
        <v>19333798</v>
      </c>
      <c r="BE1347" s="77"/>
      <c r="BF1347" s="77"/>
      <c r="BG1347" s="77"/>
      <c r="BH1347" s="77"/>
      <c r="BI1347" s="77"/>
    </row>
    <row r="1348" spans="1:61" x14ac:dyDescent="0.25">
      <c r="A1348" s="62" t="s">
        <v>496</v>
      </c>
      <c r="B1348" s="62" t="s">
        <v>496</v>
      </c>
      <c r="C1348" s="63"/>
      <c r="D1348" s="64"/>
      <c r="E1348" s="65"/>
      <c r="F1348" s="66"/>
      <c r="G1348" s="63"/>
      <c r="H1348" s="67"/>
      <c r="I1348" s="68"/>
      <c r="J1348" s="68"/>
      <c r="K1348" s="32"/>
      <c r="L1348" s="75">
        <v>1348</v>
      </c>
      <c r="M1348" s="75"/>
      <c r="N1348" s="70"/>
      <c r="O1348" s="77" t="s">
        <v>179</v>
      </c>
      <c r="P1348" s="79">
        <v>45094.823831018519</v>
      </c>
      <c r="Q1348" s="77" t="s">
        <v>2147</v>
      </c>
      <c r="R1348" s="77">
        <v>0</v>
      </c>
      <c r="S1348" s="77">
        <v>0</v>
      </c>
      <c r="T1348" s="77">
        <v>0</v>
      </c>
      <c r="U1348" s="77">
        <v>0</v>
      </c>
      <c r="V1348" s="77">
        <v>34</v>
      </c>
      <c r="W1348" s="81" t="s">
        <v>3581</v>
      </c>
      <c r="X1348" s="77"/>
      <c r="Y1348" s="77"/>
      <c r="Z1348" s="77"/>
      <c r="AA1348" s="77" t="s">
        <v>5318</v>
      </c>
      <c r="AB1348" s="77" t="s">
        <v>5795</v>
      </c>
      <c r="AC1348" s="81" t="s">
        <v>5803</v>
      </c>
      <c r="AD1348" s="77" t="s">
        <v>5851</v>
      </c>
      <c r="AE1348" s="83" t="str">
        <f>HYPERLINK("https://twitter.com/alexandremota/status/1670155935426269184")</f>
        <v>https://twitter.com/alexandremota/status/1670155935426269184</v>
      </c>
      <c r="AF1348" s="79">
        <v>45094.823831018519</v>
      </c>
      <c r="AG1348" s="85">
        <v>45094</v>
      </c>
      <c r="AH1348" s="81" t="s">
        <v>7006</v>
      </c>
      <c r="AI1348" s="77" t="b">
        <v>0</v>
      </c>
      <c r="AJ1348" s="77"/>
      <c r="AK1348" s="77"/>
      <c r="AL1348" s="77"/>
      <c r="AM1348" s="77"/>
      <c r="AN1348" s="77"/>
      <c r="AO1348" s="77"/>
      <c r="AP1348" s="77"/>
      <c r="AQ1348" s="77" t="s">
        <v>8821</v>
      </c>
      <c r="AR1348" s="77">
        <v>40566</v>
      </c>
      <c r="AS1348" s="77"/>
      <c r="AT1348" s="77"/>
      <c r="AU1348" s="77"/>
      <c r="AV1348" s="83" t="str">
        <f>HYPERLINK("https://pbs.twimg.com/ext_tw_video_thumb/1670155838877577219/pu/img/PEQARqHbuQ4V0ddt.jpg")</f>
        <v>https://pbs.twimg.com/ext_tw_video_thumb/1670155838877577219/pu/img/PEQARqHbuQ4V0ddt.jpg</v>
      </c>
      <c r="AW1348" s="81" t="s">
        <v>10470</v>
      </c>
      <c r="AX1348" s="81" t="s">
        <v>10470</v>
      </c>
      <c r="AY1348" s="77"/>
      <c r="AZ1348" s="81" t="s">
        <v>11359</v>
      </c>
      <c r="BA1348" s="81" t="s">
        <v>11359</v>
      </c>
      <c r="BB1348" s="81" t="s">
        <v>11359</v>
      </c>
      <c r="BC1348" s="81" t="s">
        <v>10470</v>
      </c>
      <c r="BD1348" s="77">
        <v>24393381</v>
      </c>
      <c r="BE1348" s="77"/>
      <c r="BF1348" s="77"/>
      <c r="BG1348" s="77"/>
      <c r="BH1348" s="77"/>
      <c r="BI1348" s="77"/>
    </row>
    <row r="1349" spans="1:61" x14ac:dyDescent="0.25">
      <c r="A1349" s="62" t="s">
        <v>497</v>
      </c>
      <c r="B1349" s="62" t="s">
        <v>497</v>
      </c>
      <c r="C1349" s="63"/>
      <c r="D1349" s="64"/>
      <c r="E1349" s="65"/>
      <c r="F1349" s="66"/>
      <c r="G1349" s="63"/>
      <c r="H1349" s="67"/>
      <c r="I1349" s="68"/>
      <c r="J1349" s="68"/>
      <c r="K1349" s="32"/>
      <c r="L1349" s="75">
        <v>1349</v>
      </c>
      <c r="M1349" s="75"/>
      <c r="N1349" s="70"/>
      <c r="O1349" s="77" t="s">
        <v>179</v>
      </c>
      <c r="P1349" s="79">
        <v>45097.552407407406</v>
      </c>
      <c r="Q1349" s="77" t="s">
        <v>2148</v>
      </c>
      <c r="R1349" s="77">
        <v>0</v>
      </c>
      <c r="S1349" s="77">
        <v>1</v>
      </c>
      <c r="T1349" s="77">
        <v>0</v>
      </c>
      <c r="U1349" s="77">
        <v>0</v>
      </c>
      <c r="V1349" s="77">
        <v>19</v>
      </c>
      <c r="W1349" s="81" t="s">
        <v>3582</v>
      </c>
      <c r="X1349" s="77"/>
      <c r="Y1349" s="77"/>
      <c r="Z1349" s="77"/>
      <c r="AA1349" s="77" t="s">
        <v>5319</v>
      </c>
      <c r="AB1349" s="77" t="s">
        <v>5794</v>
      </c>
      <c r="AC1349" s="81" t="s">
        <v>5808</v>
      </c>
      <c r="AD1349" s="77" t="s">
        <v>5851</v>
      </c>
      <c r="AE1349" s="83" t="str">
        <f>HYPERLINK("https://twitter.com/easycoboficial/status/1671144739322621952")</f>
        <v>https://twitter.com/easycoboficial/status/1671144739322621952</v>
      </c>
      <c r="AF1349" s="79">
        <v>45097.552407407406</v>
      </c>
      <c r="AG1349" s="85">
        <v>45097</v>
      </c>
      <c r="AH1349" s="81" t="s">
        <v>7007</v>
      </c>
      <c r="AI1349" s="77" t="b">
        <v>0</v>
      </c>
      <c r="AJ1349" s="77"/>
      <c r="AK1349" s="77"/>
      <c r="AL1349" s="77"/>
      <c r="AM1349" s="77"/>
      <c r="AN1349" s="77"/>
      <c r="AO1349" s="77"/>
      <c r="AP1349" s="77"/>
      <c r="AQ1349" s="77" t="s">
        <v>8822</v>
      </c>
      <c r="AR1349" s="77"/>
      <c r="AS1349" s="77"/>
      <c r="AT1349" s="77"/>
      <c r="AU1349" s="77"/>
      <c r="AV1349" s="83" t="str">
        <f>HYPERLINK("https://pbs.twimg.com/media/FzEZSPGX0AA3SCn.jpg")</f>
        <v>https://pbs.twimg.com/media/FzEZSPGX0AA3SCn.jpg</v>
      </c>
      <c r="AW1349" s="81" t="s">
        <v>10471</v>
      </c>
      <c r="AX1349" s="81" t="s">
        <v>10471</v>
      </c>
      <c r="AY1349" s="77"/>
      <c r="AZ1349" s="81" t="s">
        <v>11359</v>
      </c>
      <c r="BA1349" s="81" t="s">
        <v>11359</v>
      </c>
      <c r="BB1349" s="81" t="s">
        <v>11359</v>
      </c>
      <c r="BC1349" s="81" t="s">
        <v>10471</v>
      </c>
      <c r="BD1349" s="81" t="s">
        <v>11540</v>
      </c>
      <c r="BE1349" s="77"/>
      <c r="BF1349" s="77"/>
      <c r="BG1349" s="77"/>
      <c r="BH1349" s="77"/>
      <c r="BI1349" s="77"/>
    </row>
    <row r="1350" spans="1:61" x14ac:dyDescent="0.25">
      <c r="A1350" s="62" t="s">
        <v>498</v>
      </c>
      <c r="B1350" s="62" t="s">
        <v>498</v>
      </c>
      <c r="C1350" s="63"/>
      <c r="D1350" s="64"/>
      <c r="E1350" s="65"/>
      <c r="F1350" s="66"/>
      <c r="G1350" s="63"/>
      <c r="H1350" s="67"/>
      <c r="I1350" s="68"/>
      <c r="J1350" s="68"/>
      <c r="K1350" s="32"/>
      <c r="L1350" s="75">
        <v>1350</v>
      </c>
      <c r="M1350" s="75"/>
      <c r="N1350" s="70"/>
      <c r="O1350" s="77" t="s">
        <v>179</v>
      </c>
      <c r="P1350" s="79">
        <v>45105.698541666665</v>
      </c>
      <c r="Q1350" s="77" t="s">
        <v>2149</v>
      </c>
      <c r="R1350" s="77">
        <v>0</v>
      </c>
      <c r="S1350" s="77">
        <v>4</v>
      </c>
      <c r="T1350" s="77">
        <v>0</v>
      </c>
      <c r="U1350" s="77">
        <v>0</v>
      </c>
      <c r="V1350" s="77">
        <v>83</v>
      </c>
      <c r="W1350" s="81" t="s">
        <v>3583</v>
      </c>
      <c r="X1350" s="77"/>
      <c r="Y1350" s="77"/>
      <c r="Z1350" s="77"/>
      <c r="AA1350" s="77" t="s">
        <v>5320</v>
      </c>
      <c r="AB1350" s="77" t="s">
        <v>5794</v>
      </c>
      <c r="AC1350" s="81" t="s">
        <v>5801</v>
      </c>
      <c r="AD1350" s="77" t="s">
        <v>5853</v>
      </c>
      <c r="AE1350" s="83" t="str">
        <f>HYPERLINK("https://twitter.com/jesusal50997127/status/1674096799353819136")</f>
        <v>https://twitter.com/jesusal50997127/status/1674096799353819136</v>
      </c>
      <c r="AF1350" s="79">
        <v>45105.698541666665</v>
      </c>
      <c r="AG1350" s="85">
        <v>45105</v>
      </c>
      <c r="AH1350" s="81" t="s">
        <v>7008</v>
      </c>
      <c r="AI1350" s="77" t="b">
        <v>0</v>
      </c>
      <c r="AJ1350" s="77"/>
      <c r="AK1350" s="77"/>
      <c r="AL1350" s="77"/>
      <c r="AM1350" s="77"/>
      <c r="AN1350" s="77"/>
      <c r="AO1350" s="77"/>
      <c r="AP1350" s="77"/>
      <c r="AQ1350" s="77" t="s">
        <v>8823</v>
      </c>
      <c r="AR1350" s="77"/>
      <c r="AS1350" s="77"/>
      <c r="AT1350" s="77"/>
      <c r="AU1350" s="77"/>
      <c r="AV1350" s="83" t="str">
        <f>HYPERLINK("https://pbs.twimg.com/media/FzuWKvpaIAAYf_G.jpg")</f>
        <v>https://pbs.twimg.com/media/FzuWKvpaIAAYf_G.jpg</v>
      </c>
      <c r="AW1350" s="81" t="s">
        <v>10472</v>
      </c>
      <c r="AX1350" s="81" t="s">
        <v>10472</v>
      </c>
      <c r="AY1350" s="77"/>
      <c r="AZ1350" s="81" t="s">
        <v>11359</v>
      </c>
      <c r="BA1350" s="81" t="s">
        <v>11359</v>
      </c>
      <c r="BB1350" s="81" t="s">
        <v>11359</v>
      </c>
      <c r="BC1350" s="81" t="s">
        <v>10472</v>
      </c>
      <c r="BD1350" s="81" t="s">
        <v>11541</v>
      </c>
      <c r="BE1350" s="77"/>
      <c r="BF1350" s="77"/>
      <c r="BG1350" s="77"/>
      <c r="BH1350" s="77"/>
      <c r="BI1350" s="77"/>
    </row>
    <row r="1351" spans="1:61" x14ac:dyDescent="0.25">
      <c r="A1351" s="62" t="s">
        <v>499</v>
      </c>
      <c r="B1351" s="62" t="s">
        <v>499</v>
      </c>
      <c r="C1351" s="63"/>
      <c r="D1351" s="64"/>
      <c r="E1351" s="65"/>
      <c r="F1351" s="66"/>
      <c r="G1351" s="63"/>
      <c r="H1351" s="67"/>
      <c r="I1351" s="68"/>
      <c r="J1351" s="68"/>
      <c r="K1351" s="32"/>
      <c r="L1351" s="75">
        <v>1351</v>
      </c>
      <c r="M1351" s="75"/>
      <c r="N1351" s="70"/>
      <c r="O1351" s="77" t="s">
        <v>179</v>
      </c>
      <c r="P1351" s="79">
        <v>45009.597743055558</v>
      </c>
      <c r="Q1351" s="77" t="s">
        <v>2150</v>
      </c>
      <c r="R1351" s="77">
        <v>0</v>
      </c>
      <c r="S1351" s="77">
        <v>0</v>
      </c>
      <c r="T1351" s="77">
        <v>0</v>
      </c>
      <c r="U1351" s="77">
        <v>0</v>
      </c>
      <c r="V1351" s="77">
        <v>27</v>
      </c>
      <c r="W1351" s="81" t="s">
        <v>3584</v>
      </c>
      <c r="X1351" s="77"/>
      <c r="Y1351" s="77"/>
      <c r="Z1351" s="77"/>
      <c r="AA1351" s="77" t="s">
        <v>5321</v>
      </c>
      <c r="AB1351" s="77" t="s">
        <v>5794</v>
      </c>
      <c r="AC1351" s="81" t="s">
        <v>5801</v>
      </c>
      <c r="AD1351" s="77" t="s">
        <v>5851</v>
      </c>
      <c r="AE1351" s="83" t="str">
        <f>HYPERLINK("https://twitter.com/segevidenceone/status/1639271034384785408")</f>
        <v>https://twitter.com/segevidenceone/status/1639271034384785408</v>
      </c>
      <c r="AF1351" s="79">
        <v>45009.597743055558</v>
      </c>
      <c r="AG1351" s="85">
        <v>45009</v>
      </c>
      <c r="AH1351" s="81" t="s">
        <v>7009</v>
      </c>
      <c r="AI1351" s="77" t="b">
        <v>0</v>
      </c>
      <c r="AJ1351" s="77"/>
      <c r="AK1351" s="77"/>
      <c r="AL1351" s="77"/>
      <c r="AM1351" s="77"/>
      <c r="AN1351" s="77"/>
      <c r="AO1351" s="77"/>
      <c r="AP1351" s="77"/>
      <c r="AQ1351" s="77" t="s">
        <v>8824</v>
      </c>
      <c r="AR1351" s="77"/>
      <c r="AS1351" s="77"/>
      <c r="AT1351" s="77"/>
      <c r="AU1351" s="77"/>
      <c r="AV1351" s="83" t="str">
        <f>HYPERLINK("https://pbs.twimg.com/media/Fr_cUFNXsAgBime.jpg")</f>
        <v>https://pbs.twimg.com/media/Fr_cUFNXsAgBime.jpg</v>
      </c>
      <c r="AW1351" s="81" t="s">
        <v>10473</v>
      </c>
      <c r="AX1351" s="81" t="s">
        <v>10473</v>
      </c>
      <c r="AY1351" s="77"/>
      <c r="AZ1351" s="81" t="s">
        <v>11359</v>
      </c>
      <c r="BA1351" s="81" t="s">
        <v>11359</v>
      </c>
      <c r="BB1351" s="81" t="s">
        <v>11359</v>
      </c>
      <c r="BC1351" s="81" t="s">
        <v>10473</v>
      </c>
      <c r="BD1351" s="81" t="s">
        <v>11542</v>
      </c>
      <c r="BE1351" s="77"/>
      <c r="BF1351" s="77"/>
      <c r="BG1351" s="77"/>
      <c r="BH1351" s="77"/>
      <c r="BI1351" s="77"/>
    </row>
    <row r="1352" spans="1:61" x14ac:dyDescent="0.25">
      <c r="A1352" s="62" t="s">
        <v>499</v>
      </c>
      <c r="B1352" s="62" t="s">
        <v>499</v>
      </c>
      <c r="C1352" s="63"/>
      <c r="D1352" s="64"/>
      <c r="E1352" s="65"/>
      <c r="F1352" s="66"/>
      <c r="G1352" s="63"/>
      <c r="H1352" s="67"/>
      <c r="I1352" s="68"/>
      <c r="J1352" s="68"/>
      <c r="K1352" s="32"/>
      <c r="L1352" s="75">
        <v>1352</v>
      </c>
      <c r="M1352" s="75"/>
      <c r="N1352" s="70"/>
      <c r="O1352" s="77" t="s">
        <v>179</v>
      </c>
      <c r="P1352" s="79">
        <v>45009.491331018522</v>
      </c>
      <c r="Q1352" s="77" t="s">
        <v>2151</v>
      </c>
      <c r="R1352" s="77">
        <v>0</v>
      </c>
      <c r="S1352" s="77">
        <v>0</v>
      </c>
      <c r="T1352" s="77">
        <v>0</v>
      </c>
      <c r="U1352" s="77">
        <v>0</v>
      </c>
      <c r="V1352" s="77">
        <v>34</v>
      </c>
      <c r="W1352" s="81" t="s">
        <v>3585</v>
      </c>
      <c r="X1352" s="77"/>
      <c r="Y1352" s="77"/>
      <c r="Z1352" s="77"/>
      <c r="AA1352" s="77" t="s">
        <v>5322</v>
      </c>
      <c r="AB1352" s="77" t="s">
        <v>5794</v>
      </c>
      <c r="AC1352" s="81" t="s">
        <v>5801</v>
      </c>
      <c r="AD1352" s="77" t="s">
        <v>5851</v>
      </c>
      <c r="AE1352" s="83" t="str">
        <f>HYPERLINK("https://twitter.com/segevidenceone/status/1639232470678753281")</f>
        <v>https://twitter.com/segevidenceone/status/1639232470678753281</v>
      </c>
      <c r="AF1352" s="79">
        <v>45009.491331018522</v>
      </c>
      <c r="AG1352" s="85">
        <v>45009</v>
      </c>
      <c r="AH1352" s="81" t="s">
        <v>7010</v>
      </c>
      <c r="AI1352" s="77" t="b">
        <v>0</v>
      </c>
      <c r="AJ1352" s="77"/>
      <c r="AK1352" s="77"/>
      <c r="AL1352" s="77"/>
      <c r="AM1352" s="77"/>
      <c r="AN1352" s="77"/>
      <c r="AO1352" s="77"/>
      <c r="AP1352" s="77"/>
      <c r="AQ1352" s="77" t="s">
        <v>8825</v>
      </c>
      <c r="AR1352" s="77"/>
      <c r="AS1352" s="77"/>
      <c r="AT1352" s="77"/>
      <c r="AU1352" s="77"/>
      <c r="AV1352" s="83" t="str">
        <f>HYPERLINK("https://pbs.twimg.com/media/Fr-5PNRWAAEBYND.jpg")</f>
        <v>https://pbs.twimg.com/media/Fr-5PNRWAAEBYND.jpg</v>
      </c>
      <c r="AW1352" s="81" t="s">
        <v>10474</v>
      </c>
      <c r="AX1352" s="81" t="s">
        <v>10474</v>
      </c>
      <c r="AY1352" s="77"/>
      <c r="AZ1352" s="81" t="s">
        <v>11359</v>
      </c>
      <c r="BA1352" s="81" t="s">
        <v>11359</v>
      </c>
      <c r="BB1352" s="81" t="s">
        <v>11359</v>
      </c>
      <c r="BC1352" s="81" t="s">
        <v>10474</v>
      </c>
      <c r="BD1352" s="81" t="s">
        <v>11542</v>
      </c>
      <c r="BE1352" s="77"/>
      <c r="BF1352" s="77"/>
      <c r="BG1352" s="77"/>
      <c r="BH1352" s="77"/>
      <c r="BI1352" s="77"/>
    </row>
    <row r="1353" spans="1:61" x14ac:dyDescent="0.25">
      <c r="A1353" s="62" t="s">
        <v>500</v>
      </c>
      <c r="B1353" s="62" t="s">
        <v>500</v>
      </c>
      <c r="C1353" s="63"/>
      <c r="D1353" s="64"/>
      <c r="E1353" s="65"/>
      <c r="F1353" s="66"/>
      <c r="G1353" s="63"/>
      <c r="H1353" s="67"/>
      <c r="I1353" s="68"/>
      <c r="J1353" s="68"/>
      <c r="K1353" s="32"/>
      <c r="L1353" s="75">
        <v>1353</v>
      </c>
      <c r="M1353" s="75"/>
      <c r="N1353" s="70"/>
      <c r="O1353" s="77" t="s">
        <v>179</v>
      </c>
      <c r="P1353" s="79">
        <v>44941.728206018517</v>
      </c>
      <c r="Q1353" s="77" t="s">
        <v>2152</v>
      </c>
      <c r="R1353" s="77">
        <v>0</v>
      </c>
      <c r="S1353" s="77">
        <v>0</v>
      </c>
      <c r="T1353" s="77">
        <v>0</v>
      </c>
      <c r="U1353" s="77">
        <v>0</v>
      </c>
      <c r="V1353" s="77">
        <v>26</v>
      </c>
      <c r="W1353" s="81" t="s">
        <v>3586</v>
      </c>
      <c r="X1353" s="77"/>
      <c r="Y1353" s="77"/>
      <c r="Z1353" s="77"/>
      <c r="AA1353" s="77" t="s">
        <v>5323</v>
      </c>
      <c r="AB1353" s="77" t="s">
        <v>5794</v>
      </c>
      <c r="AC1353" s="81" t="s">
        <v>5801</v>
      </c>
      <c r="AD1353" s="77" t="s">
        <v>5851</v>
      </c>
      <c r="AE1353" s="83" t="str">
        <f>HYPERLINK("https://twitter.com/ofcphilip/status/1614675939094298629")</f>
        <v>https://twitter.com/ofcphilip/status/1614675939094298629</v>
      </c>
      <c r="AF1353" s="79">
        <v>44941.728206018517</v>
      </c>
      <c r="AG1353" s="85">
        <v>44941</v>
      </c>
      <c r="AH1353" s="81" t="s">
        <v>7011</v>
      </c>
      <c r="AI1353" s="77" t="b">
        <v>0</v>
      </c>
      <c r="AJ1353" s="77"/>
      <c r="AK1353" s="77"/>
      <c r="AL1353" s="77"/>
      <c r="AM1353" s="77"/>
      <c r="AN1353" s="77"/>
      <c r="AO1353" s="77"/>
      <c r="AP1353" s="77"/>
      <c r="AQ1353" s="77" t="s">
        <v>8826</v>
      </c>
      <c r="AR1353" s="77"/>
      <c r="AS1353" s="77"/>
      <c r="AT1353" s="77"/>
      <c r="AU1353" s="77"/>
      <c r="AV1353" s="83" t="str">
        <f>HYPERLINK("https://pbs.twimg.com/media/Fmh7M2kXEAExI6x.jpg")</f>
        <v>https://pbs.twimg.com/media/Fmh7M2kXEAExI6x.jpg</v>
      </c>
      <c r="AW1353" s="81" t="s">
        <v>10475</v>
      </c>
      <c r="AX1353" s="81" t="s">
        <v>10475</v>
      </c>
      <c r="AY1353" s="77"/>
      <c r="AZ1353" s="81" t="s">
        <v>11359</v>
      </c>
      <c r="BA1353" s="81" t="s">
        <v>11359</v>
      </c>
      <c r="BB1353" s="81" t="s">
        <v>11359</v>
      </c>
      <c r="BC1353" s="81" t="s">
        <v>10475</v>
      </c>
      <c r="BD1353" s="81" t="s">
        <v>11543</v>
      </c>
      <c r="BE1353" s="77"/>
      <c r="BF1353" s="77"/>
      <c r="BG1353" s="77"/>
      <c r="BH1353" s="77"/>
      <c r="BI1353" s="77"/>
    </row>
    <row r="1354" spans="1:61" x14ac:dyDescent="0.25">
      <c r="A1354" s="62" t="s">
        <v>501</v>
      </c>
      <c r="B1354" s="62" t="s">
        <v>501</v>
      </c>
      <c r="C1354" s="63"/>
      <c r="D1354" s="64"/>
      <c r="E1354" s="65"/>
      <c r="F1354" s="66"/>
      <c r="G1354" s="63"/>
      <c r="H1354" s="67"/>
      <c r="I1354" s="68"/>
      <c r="J1354" s="68"/>
      <c r="K1354" s="32"/>
      <c r="L1354" s="75">
        <v>1354</v>
      </c>
      <c r="M1354" s="75"/>
      <c r="N1354" s="70"/>
      <c r="O1354" s="77" t="s">
        <v>179</v>
      </c>
      <c r="P1354" s="79">
        <v>45174.715601851851</v>
      </c>
      <c r="Q1354" s="77" t="s">
        <v>2153</v>
      </c>
      <c r="R1354" s="77">
        <v>0</v>
      </c>
      <c r="S1354" s="77">
        <v>0</v>
      </c>
      <c r="T1354" s="77">
        <v>0</v>
      </c>
      <c r="U1354" s="77">
        <v>0</v>
      </c>
      <c r="V1354" s="77">
        <v>356</v>
      </c>
      <c r="W1354" s="81" t="s">
        <v>3587</v>
      </c>
      <c r="X1354" s="77"/>
      <c r="Y1354" s="77"/>
      <c r="Z1354" s="77"/>
      <c r="AA1354" s="77" t="s">
        <v>5324</v>
      </c>
      <c r="AB1354" s="77" t="s">
        <v>5794</v>
      </c>
      <c r="AC1354" s="81" t="s">
        <v>5812</v>
      </c>
      <c r="AD1354" s="77" t="s">
        <v>5850</v>
      </c>
      <c r="AE1354" s="83" t="str">
        <f>HYPERLINK("https://twitter.com/kiaframx/status/1699107741006991410")</f>
        <v>https://twitter.com/kiaframx/status/1699107741006991410</v>
      </c>
      <c r="AF1354" s="79">
        <v>45174.715601851851</v>
      </c>
      <c r="AG1354" s="85">
        <v>45174</v>
      </c>
      <c r="AH1354" s="81" t="s">
        <v>6146</v>
      </c>
      <c r="AI1354" s="77" t="b">
        <v>0</v>
      </c>
      <c r="AJ1354" s="77"/>
      <c r="AK1354" s="77"/>
      <c r="AL1354" s="77"/>
      <c r="AM1354" s="77"/>
      <c r="AN1354" s="77"/>
      <c r="AO1354" s="77"/>
      <c r="AP1354" s="77"/>
      <c r="AQ1354" s="77" t="s">
        <v>8827</v>
      </c>
      <c r="AR1354" s="77"/>
      <c r="AS1354" s="77"/>
      <c r="AT1354" s="77"/>
      <c r="AU1354" s="77"/>
      <c r="AV1354" s="83" t="str">
        <f>HYPERLINK("https://pbs.twimg.com/media/F5RxfAdWQAA9qXU.jpg")</f>
        <v>https://pbs.twimg.com/media/F5RxfAdWQAA9qXU.jpg</v>
      </c>
      <c r="AW1354" s="81" t="s">
        <v>10476</v>
      </c>
      <c r="AX1354" s="81" t="s">
        <v>10476</v>
      </c>
      <c r="AY1354" s="77"/>
      <c r="AZ1354" s="81" t="s">
        <v>11359</v>
      </c>
      <c r="BA1354" s="81" t="s">
        <v>11359</v>
      </c>
      <c r="BB1354" s="81" t="s">
        <v>11359</v>
      </c>
      <c r="BC1354" s="81" t="s">
        <v>10476</v>
      </c>
      <c r="BD1354" s="81" t="s">
        <v>11544</v>
      </c>
      <c r="BE1354" s="77"/>
      <c r="BF1354" s="77"/>
      <c r="BG1354" s="77"/>
      <c r="BH1354" s="77"/>
      <c r="BI1354" s="77"/>
    </row>
    <row r="1355" spans="1:61" x14ac:dyDescent="0.25">
      <c r="A1355" s="62" t="s">
        <v>501</v>
      </c>
      <c r="B1355" s="62" t="s">
        <v>501</v>
      </c>
      <c r="C1355" s="63"/>
      <c r="D1355" s="64"/>
      <c r="E1355" s="65"/>
      <c r="F1355" s="66"/>
      <c r="G1355" s="63"/>
      <c r="H1355" s="67"/>
      <c r="I1355" s="68"/>
      <c r="J1355" s="68"/>
      <c r="K1355" s="32"/>
      <c r="L1355" s="75">
        <v>1355</v>
      </c>
      <c r="M1355" s="75"/>
      <c r="N1355" s="70"/>
      <c r="O1355" s="77" t="s">
        <v>179</v>
      </c>
      <c r="P1355" s="79">
        <v>45173.798946759256</v>
      </c>
      <c r="Q1355" s="77" t="s">
        <v>2154</v>
      </c>
      <c r="R1355" s="77">
        <v>0</v>
      </c>
      <c r="S1355" s="77">
        <v>0</v>
      </c>
      <c r="T1355" s="77">
        <v>0</v>
      </c>
      <c r="U1355" s="77">
        <v>0</v>
      </c>
      <c r="V1355" s="77">
        <v>119</v>
      </c>
      <c r="W1355" s="81" t="s">
        <v>3587</v>
      </c>
      <c r="X1355" s="77"/>
      <c r="Y1355" s="77"/>
      <c r="Z1355" s="77"/>
      <c r="AA1355" s="77" t="s">
        <v>5325</v>
      </c>
      <c r="AB1355" s="77" t="s">
        <v>5794</v>
      </c>
      <c r="AC1355" s="81" t="s">
        <v>5812</v>
      </c>
      <c r="AD1355" s="77" t="s">
        <v>5850</v>
      </c>
      <c r="AE1355" s="83" t="str">
        <f>HYPERLINK("https://twitter.com/kiaframx/status/1698775557511553277")</f>
        <v>https://twitter.com/kiaframx/status/1698775557511553277</v>
      </c>
      <c r="AF1355" s="79">
        <v>45173.798946759256</v>
      </c>
      <c r="AG1355" s="85">
        <v>45173</v>
      </c>
      <c r="AH1355" s="81" t="s">
        <v>7012</v>
      </c>
      <c r="AI1355" s="77" t="b">
        <v>0</v>
      </c>
      <c r="AJ1355" s="77"/>
      <c r="AK1355" s="77"/>
      <c r="AL1355" s="77"/>
      <c r="AM1355" s="77"/>
      <c r="AN1355" s="77"/>
      <c r="AO1355" s="77"/>
      <c r="AP1355" s="77"/>
      <c r="AQ1355" s="77" t="s">
        <v>8828</v>
      </c>
      <c r="AR1355" s="77"/>
      <c r="AS1355" s="77"/>
      <c r="AT1355" s="77"/>
      <c r="AU1355" s="77"/>
      <c r="AV1355" s="83" t="str">
        <f>HYPERLINK("https://pbs.twimg.com/media/F5NDXOVWEAA0Px2.jpg")</f>
        <v>https://pbs.twimg.com/media/F5NDXOVWEAA0Px2.jpg</v>
      </c>
      <c r="AW1355" s="81" t="s">
        <v>10477</v>
      </c>
      <c r="AX1355" s="81" t="s">
        <v>10477</v>
      </c>
      <c r="AY1355" s="77"/>
      <c r="AZ1355" s="81" t="s">
        <v>11359</v>
      </c>
      <c r="BA1355" s="81" t="s">
        <v>11359</v>
      </c>
      <c r="BB1355" s="81" t="s">
        <v>11359</v>
      </c>
      <c r="BC1355" s="81" t="s">
        <v>10477</v>
      </c>
      <c r="BD1355" s="81" t="s">
        <v>11544</v>
      </c>
      <c r="BE1355" s="77"/>
      <c r="BF1355" s="77"/>
      <c r="BG1355" s="77"/>
      <c r="BH1355" s="77"/>
      <c r="BI1355" s="77"/>
    </row>
    <row r="1356" spans="1:61" x14ac:dyDescent="0.25">
      <c r="A1356" s="62" t="s">
        <v>501</v>
      </c>
      <c r="B1356" s="62" t="s">
        <v>501</v>
      </c>
      <c r="C1356" s="63"/>
      <c r="D1356" s="64"/>
      <c r="E1356" s="65"/>
      <c r="F1356" s="66"/>
      <c r="G1356" s="63"/>
      <c r="H1356" s="67"/>
      <c r="I1356" s="68"/>
      <c r="J1356" s="68"/>
      <c r="K1356" s="32"/>
      <c r="L1356" s="75">
        <v>1356</v>
      </c>
      <c r="M1356" s="75"/>
      <c r="N1356" s="70"/>
      <c r="O1356" s="77" t="s">
        <v>179</v>
      </c>
      <c r="P1356" s="79">
        <v>45187.771168981482</v>
      </c>
      <c r="Q1356" s="77" t="s">
        <v>2155</v>
      </c>
      <c r="R1356" s="77">
        <v>0</v>
      </c>
      <c r="S1356" s="77">
        <v>0</v>
      </c>
      <c r="T1356" s="77">
        <v>0</v>
      </c>
      <c r="U1356" s="77">
        <v>0</v>
      </c>
      <c r="V1356" s="77">
        <v>76</v>
      </c>
      <c r="W1356" s="81" t="s">
        <v>3587</v>
      </c>
      <c r="X1356" s="77"/>
      <c r="Y1356" s="77"/>
      <c r="Z1356" s="77"/>
      <c r="AA1356" s="77" t="s">
        <v>5326</v>
      </c>
      <c r="AB1356" s="77" t="s">
        <v>5794</v>
      </c>
      <c r="AC1356" s="81" t="s">
        <v>5812</v>
      </c>
      <c r="AD1356" s="77" t="s">
        <v>5850</v>
      </c>
      <c r="AE1356" s="83" t="str">
        <f>HYPERLINK("https://twitter.com/kiaframx/status/1703838923011567975")</f>
        <v>https://twitter.com/kiaframx/status/1703838923011567975</v>
      </c>
      <c r="AF1356" s="79">
        <v>45187.771168981482</v>
      </c>
      <c r="AG1356" s="85">
        <v>45187</v>
      </c>
      <c r="AH1356" s="81" t="s">
        <v>7013</v>
      </c>
      <c r="AI1356" s="77" t="b">
        <v>0</v>
      </c>
      <c r="AJ1356" s="77"/>
      <c r="AK1356" s="77"/>
      <c r="AL1356" s="77"/>
      <c r="AM1356" s="77"/>
      <c r="AN1356" s="77"/>
      <c r="AO1356" s="77"/>
      <c r="AP1356" s="77"/>
      <c r="AQ1356" s="77" t="s">
        <v>8829</v>
      </c>
      <c r="AR1356" s="77"/>
      <c r="AS1356" s="77"/>
      <c r="AT1356" s="77"/>
      <c r="AU1356" s="77"/>
      <c r="AV1356" s="83" t="str">
        <f>HYPERLINK("https://pbs.twimg.com/media/F6VAeACWMAA5qPz.jpg")</f>
        <v>https://pbs.twimg.com/media/F6VAeACWMAA5qPz.jpg</v>
      </c>
      <c r="AW1356" s="81" t="s">
        <v>10478</v>
      </c>
      <c r="AX1356" s="81" t="s">
        <v>10478</v>
      </c>
      <c r="AY1356" s="77"/>
      <c r="AZ1356" s="81" t="s">
        <v>11359</v>
      </c>
      <c r="BA1356" s="81" t="s">
        <v>11359</v>
      </c>
      <c r="BB1356" s="81" t="s">
        <v>11359</v>
      </c>
      <c r="BC1356" s="81" t="s">
        <v>10478</v>
      </c>
      <c r="BD1356" s="81" t="s">
        <v>11544</v>
      </c>
      <c r="BE1356" s="77"/>
      <c r="BF1356" s="77"/>
      <c r="BG1356" s="77"/>
      <c r="BH1356" s="77"/>
      <c r="BI1356" s="77"/>
    </row>
    <row r="1357" spans="1:61" x14ac:dyDescent="0.25">
      <c r="A1357" s="62" t="s">
        <v>501</v>
      </c>
      <c r="B1357" s="62" t="s">
        <v>501</v>
      </c>
      <c r="C1357" s="63"/>
      <c r="D1357" s="64"/>
      <c r="E1357" s="65"/>
      <c r="F1357" s="66"/>
      <c r="G1357" s="63"/>
      <c r="H1357" s="67"/>
      <c r="I1357" s="68"/>
      <c r="J1357" s="68"/>
      <c r="K1357" s="32"/>
      <c r="L1357" s="75">
        <v>1357</v>
      </c>
      <c r="M1357" s="75"/>
      <c r="N1357" s="70"/>
      <c r="O1357" s="77" t="s">
        <v>179</v>
      </c>
      <c r="P1357" s="79">
        <v>45174.896203703705</v>
      </c>
      <c r="Q1357" s="77" t="s">
        <v>2156</v>
      </c>
      <c r="R1357" s="77">
        <v>0</v>
      </c>
      <c r="S1357" s="77">
        <v>0</v>
      </c>
      <c r="T1357" s="77">
        <v>0</v>
      </c>
      <c r="U1357" s="77">
        <v>0</v>
      </c>
      <c r="V1357" s="77">
        <v>233</v>
      </c>
      <c r="W1357" s="81" t="s">
        <v>3587</v>
      </c>
      <c r="X1357" s="77"/>
      <c r="Y1357" s="77"/>
      <c r="Z1357" s="77"/>
      <c r="AA1357" s="77" t="s">
        <v>5327</v>
      </c>
      <c r="AB1357" s="77" t="s">
        <v>5795</v>
      </c>
      <c r="AC1357" s="81" t="s">
        <v>5812</v>
      </c>
      <c r="AD1357" s="77" t="s">
        <v>5850</v>
      </c>
      <c r="AE1357" s="83" t="str">
        <f>HYPERLINK("https://twitter.com/kiaframx/status/1699173191657132401")</f>
        <v>https://twitter.com/kiaframx/status/1699173191657132401</v>
      </c>
      <c r="AF1357" s="79">
        <v>45174.896203703705</v>
      </c>
      <c r="AG1357" s="85">
        <v>45174</v>
      </c>
      <c r="AH1357" s="81" t="s">
        <v>7014</v>
      </c>
      <c r="AI1357" s="77" t="b">
        <v>0</v>
      </c>
      <c r="AJ1357" s="77"/>
      <c r="AK1357" s="77"/>
      <c r="AL1357" s="77"/>
      <c r="AM1357" s="77"/>
      <c r="AN1357" s="77"/>
      <c r="AO1357" s="77"/>
      <c r="AP1357" s="77"/>
      <c r="AQ1357" s="77" t="s">
        <v>8830</v>
      </c>
      <c r="AR1357" s="77">
        <v>6041</v>
      </c>
      <c r="AS1357" s="77"/>
      <c r="AT1357" s="77"/>
      <c r="AU1357" s="77"/>
      <c r="AV1357" s="83" t="str">
        <f>HYPERLINK("https://pbs.twimg.com/ext_tw_video_thumb/1699173165639823360/pu/img/UUlP5Mksh-siW5YD.jpg")</f>
        <v>https://pbs.twimg.com/ext_tw_video_thumb/1699173165639823360/pu/img/UUlP5Mksh-siW5YD.jpg</v>
      </c>
      <c r="AW1357" s="81" t="s">
        <v>10479</v>
      </c>
      <c r="AX1357" s="81" t="s">
        <v>10479</v>
      </c>
      <c r="AY1357" s="77"/>
      <c r="AZ1357" s="81" t="s">
        <v>11359</v>
      </c>
      <c r="BA1357" s="81" t="s">
        <v>11359</v>
      </c>
      <c r="BB1357" s="81" t="s">
        <v>11359</v>
      </c>
      <c r="BC1357" s="81" t="s">
        <v>10479</v>
      </c>
      <c r="BD1357" s="81" t="s">
        <v>11544</v>
      </c>
      <c r="BE1357" s="77"/>
      <c r="BF1357" s="77"/>
      <c r="BG1357" s="77"/>
      <c r="BH1357" s="77"/>
      <c r="BI1357" s="77"/>
    </row>
    <row r="1358" spans="1:61" x14ac:dyDescent="0.25">
      <c r="A1358" s="62" t="s">
        <v>501</v>
      </c>
      <c r="B1358" s="62" t="s">
        <v>501</v>
      </c>
      <c r="C1358" s="63"/>
      <c r="D1358" s="64"/>
      <c r="E1358" s="65"/>
      <c r="F1358" s="66"/>
      <c r="G1358" s="63"/>
      <c r="H1358" s="67"/>
      <c r="I1358" s="68"/>
      <c r="J1358" s="68"/>
      <c r="K1358" s="32"/>
      <c r="L1358" s="75">
        <v>1358</v>
      </c>
      <c r="M1358" s="75"/>
      <c r="N1358" s="70"/>
      <c r="O1358" s="77" t="s">
        <v>179</v>
      </c>
      <c r="P1358" s="79">
        <v>45194.771168981482</v>
      </c>
      <c r="Q1358" s="77" t="s">
        <v>2157</v>
      </c>
      <c r="R1358" s="77">
        <v>0</v>
      </c>
      <c r="S1358" s="77">
        <v>0</v>
      </c>
      <c r="T1358" s="77">
        <v>0</v>
      </c>
      <c r="U1358" s="77">
        <v>0</v>
      </c>
      <c r="V1358" s="77">
        <v>62</v>
      </c>
      <c r="W1358" s="81" t="s">
        <v>3587</v>
      </c>
      <c r="X1358" s="77"/>
      <c r="Y1358" s="77"/>
      <c r="Z1358" s="77"/>
      <c r="AA1358" s="77" t="s">
        <v>5328</v>
      </c>
      <c r="AB1358" s="77" t="s">
        <v>5794</v>
      </c>
      <c r="AC1358" s="81" t="s">
        <v>5812</v>
      </c>
      <c r="AD1358" s="77" t="s">
        <v>5850</v>
      </c>
      <c r="AE1358" s="83" t="str">
        <f>HYPERLINK("https://twitter.com/kiaframx/status/1706375637580030411")</f>
        <v>https://twitter.com/kiaframx/status/1706375637580030411</v>
      </c>
      <c r="AF1358" s="79">
        <v>45194.771168981482</v>
      </c>
      <c r="AG1358" s="85">
        <v>45194</v>
      </c>
      <c r="AH1358" s="81" t="s">
        <v>7013</v>
      </c>
      <c r="AI1358" s="77" t="b">
        <v>0</v>
      </c>
      <c r="AJ1358" s="77"/>
      <c r="AK1358" s="77"/>
      <c r="AL1358" s="77"/>
      <c r="AM1358" s="77"/>
      <c r="AN1358" s="77"/>
      <c r="AO1358" s="77"/>
      <c r="AP1358" s="77"/>
      <c r="AQ1358" s="77" t="s">
        <v>8831</v>
      </c>
      <c r="AR1358" s="77"/>
      <c r="AS1358" s="77"/>
      <c r="AT1358" s="77"/>
      <c r="AU1358" s="77"/>
      <c r="AV1358" s="83" t="str">
        <f>HYPERLINK("https://pbs.twimg.com/media/F65DmSKXoAE6puJ.jpg")</f>
        <v>https://pbs.twimg.com/media/F65DmSKXoAE6puJ.jpg</v>
      </c>
      <c r="AW1358" s="81" t="s">
        <v>10480</v>
      </c>
      <c r="AX1358" s="81" t="s">
        <v>10480</v>
      </c>
      <c r="AY1358" s="77"/>
      <c r="AZ1358" s="81" t="s">
        <v>11359</v>
      </c>
      <c r="BA1358" s="81" t="s">
        <v>11359</v>
      </c>
      <c r="BB1358" s="81" t="s">
        <v>11359</v>
      </c>
      <c r="BC1358" s="81" t="s">
        <v>10480</v>
      </c>
      <c r="BD1358" s="81" t="s">
        <v>11544</v>
      </c>
      <c r="BE1358" s="77"/>
      <c r="BF1358" s="77"/>
      <c r="BG1358" s="77"/>
      <c r="BH1358" s="77"/>
      <c r="BI1358" s="77"/>
    </row>
    <row r="1359" spans="1:61" x14ac:dyDescent="0.25">
      <c r="A1359" s="62" t="s">
        <v>502</v>
      </c>
      <c r="B1359" s="62" t="s">
        <v>502</v>
      </c>
      <c r="C1359" s="63"/>
      <c r="D1359" s="64"/>
      <c r="E1359" s="65"/>
      <c r="F1359" s="66"/>
      <c r="G1359" s="63"/>
      <c r="H1359" s="67"/>
      <c r="I1359" s="68"/>
      <c r="J1359" s="68"/>
      <c r="K1359" s="32"/>
      <c r="L1359" s="75">
        <v>1359</v>
      </c>
      <c r="M1359" s="75"/>
      <c r="N1359" s="70"/>
      <c r="O1359" s="77" t="s">
        <v>179</v>
      </c>
      <c r="P1359" s="79">
        <v>44963.112256944441</v>
      </c>
      <c r="Q1359" s="77" t="s">
        <v>2158</v>
      </c>
      <c r="R1359" s="77">
        <v>0</v>
      </c>
      <c r="S1359" s="77">
        <v>0</v>
      </c>
      <c r="T1359" s="77">
        <v>0</v>
      </c>
      <c r="U1359" s="77">
        <v>0</v>
      </c>
      <c r="V1359" s="77">
        <v>21</v>
      </c>
      <c r="W1359" s="81" t="s">
        <v>3588</v>
      </c>
      <c r="X1359" s="77"/>
      <c r="Y1359" s="77"/>
      <c r="Z1359" s="77"/>
      <c r="AA1359" s="77" t="s">
        <v>5329</v>
      </c>
      <c r="AB1359" s="77" t="s">
        <v>5795</v>
      </c>
      <c r="AC1359" s="81" t="s">
        <v>5805</v>
      </c>
      <c r="AD1359" s="77" t="s">
        <v>5853</v>
      </c>
      <c r="AE1359" s="83" t="str">
        <f>HYPERLINK("https://twitter.com/silveriorique/status/1622425259575021569")</f>
        <v>https://twitter.com/silveriorique/status/1622425259575021569</v>
      </c>
      <c r="AF1359" s="79">
        <v>44963.112256944441</v>
      </c>
      <c r="AG1359" s="85">
        <v>44963</v>
      </c>
      <c r="AH1359" s="81" t="s">
        <v>7015</v>
      </c>
      <c r="AI1359" s="77" t="b">
        <v>0</v>
      </c>
      <c r="AJ1359" s="77"/>
      <c r="AK1359" s="77"/>
      <c r="AL1359" s="77"/>
      <c r="AM1359" s="77"/>
      <c r="AN1359" s="77"/>
      <c r="AO1359" s="77"/>
      <c r="AP1359" s="77"/>
      <c r="AQ1359" s="77" t="s">
        <v>8832</v>
      </c>
      <c r="AR1359" s="77">
        <v>60880</v>
      </c>
      <c r="AS1359" s="77"/>
      <c r="AT1359" s="77"/>
      <c r="AU1359" s="77"/>
      <c r="AV1359" s="83" t="str">
        <f>HYPERLINK("https://pbs.twimg.com/ext_tw_video_thumb/1622425098635415559/pu/img/v0NR_ktzmZLr4nsz.jpg")</f>
        <v>https://pbs.twimg.com/ext_tw_video_thumb/1622425098635415559/pu/img/v0NR_ktzmZLr4nsz.jpg</v>
      </c>
      <c r="AW1359" s="81" t="s">
        <v>10481</v>
      </c>
      <c r="AX1359" s="81" t="s">
        <v>10481</v>
      </c>
      <c r="AY1359" s="77"/>
      <c r="AZ1359" s="81" t="s">
        <v>11359</v>
      </c>
      <c r="BA1359" s="81" t="s">
        <v>11359</v>
      </c>
      <c r="BB1359" s="81" t="s">
        <v>11359</v>
      </c>
      <c r="BC1359" s="81" t="s">
        <v>10481</v>
      </c>
      <c r="BD1359" s="77">
        <v>218656539</v>
      </c>
      <c r="BE1359" s="77"/>
      <c r="BF1359" s="77"/>
      <c r="BG1359" s="77"/>
      <c r="BH1359" s="77"/>
      <c r="BI1359" s="77"/>
    </row>
    <row r="1360" spans="1:61" x14ac:dyDescent="0.25">
      <c r="A1360" s="62" t="s">
        <v>503</v>
      </c>
      <c r="B1360" s="62" t="s">
        <v>503</v>
      </c>
      <c r="C1360" s="63"/>
      <c r="D1360" s="64"/>
      <c r="E1360" s="65"/>
      <c r="F1360" s="66"/>
      <c r="G1360" s="63"/>
      <c r="H1360" s="67"/>
      <c r="I1360" s="68"/>
      <c r="J1360" s="68"/>
      <c r="K1360" s="32"/>
      <c r="L1360" s="75">
        <v>1360</v>
      </c>
      <c r="M1360" s="75"/>
      <c r="N1360" s="70"/>
      <c r="O1360" s="77" t="s">
        <v>179</v>
      </c>
      <c r="P1360" s="79">
        <v>45188.481481481482</v>
      </c>
      <c r="Q1360" s="77" t="s">
        <v>2159</v>
      </c>
      <c r="R1360" s="77">
        <v>0</v>
      </c>
      <c r="S1360" s="77">
        <v>0</v>
      </c>
      <c r="T1360" s="77">
        <v>0</v>
      </c>
      <c r="U1360" s="77">
        <v>0</v>
      </c>
      <c r="V1360" s="77">
        <v>421</v>
      </c>
      <c r="W1360" s="81" t="s">
        <v>3589</v>
      </c>
      <c r="X1360" s="77"/>
      <c r="Y1360" s="77"/>
      <c r="Z1360" s="77"/>
      <c r="AA1360" s="77" t="s">
        <v>5330</v>
      </c>
      <c r="AB1360" s="77" t="s">
        <v>5795</v>
      </c>
      <c r="AC1360" s="81" t="s">
        <v>5805</v>
      </c>
      <c r="AD1360" s="77" t="s">
        <v>5850</v>
      </c>
      <c r="AE1360" s="83" t="str">
        <f>HYPERLINK("https://twitter.com/desdeparaguay/status/1704096332372201664")</f>
        <v>https://twitter.com/desdeparaguay/status/1704096332372201664</v>
      </c>
      <c r="AF1360" s="79">
        <v>45188.481481481482</v>
      </c>
      <c r="AG1360" s="85">
        <v>45188</v>
      </c>
      <c r="AH1360" s="81" t="s">
        <v>7016</v>
      </c>
      <c r="AI1360" s="77" t="b">
        <v>0</v>
      </c>
      <c r="AJ1360" s="77"/>
      <c r="AK1360" s="77"/>
      <c r="AL1360" s="77"/>
      <c r="AM1360" s="77"/>
      <c r="AN1360" s="77"/>
      <c r="AO1360" s="77"/>
      <c r="AP1360" s="77"/>
      <c r="AQ1360" s="77" t="s">
        <v>8833</v>
      </c>
      <c r="AR1360" s="77">
        <v>7894</v>
      </c>
      <c r="AS1360" s="77"/>
      <c r="AT1360" s="77"/>
      <c r="AU1360" s="77"/>
      <c r="AV1360" s="83" t="str">
        <f>HYPERLINK("https://pbs.twimg.com/ext_tw_video_thumb/1704096299417538561/pu/img/KL_DnOyxVgdkI7bm.jpg")</f>
        <v>https://pbs.twimg.com/ext_tw_video_thumb/1704096299417538561/pu/img/KL_DnOyxVgdkI7bm.jpg</v>
      </c>
      <c r="AW1360" s="81" t="s">
        <v>10482</v>
      </c>
      <c r="AX1360" s="81" t="s">
        <v>10482</v>
      </c>
      <c r="AY1360" s="77"/>
      <c r="AZ1360" s="81" t="s">
        <v>11359</v>
      </c>
      <c r="BA1360" s="81" t="s">
        <v>11359</v>
      </c>
      <c r="BB1360" s="81" t="s">
        <v>11359</v>
      </c>
      <c r="BC1360" s="81" t="s">
        <v>10482</v>
      </c>
      <c r="BD1360" s="77">
        <v>32920184</v>
      </c>
      <c r="BE1360" s="77"/>
      <c r="BF1360" s="77"/>
      <c r="BG1360" s="77"/>
      <c r="BH1360" s="77"/>
      <c r="BI1360" s="77"/>
    </row>
    <row r="1361" spans="1:61" x14ac:dyDescent="0.25">
      <c r="A1361" s="62" t="s">
        <v>504</v>
      </c>
      <c r="B1361" s="62" t="s">
        <v>925</v>
      </c>
      <c r="C1361" s="63"/>
      <c r="D1361" s="64"/>
      <c r="E1361" s="65"/>
      <c r="F1361" s="66"/>
      <c r="G1361" s="63"/>
      <c r="H1361" s="67"/>
      <c r="I1361" s="68"/>
      <c r="J1361" s="68"/>
      <c r="K1361" s="32"/>
      <c r="L1361" s="75">
        <v>1361</v>
      </c>
      <c r="M1361" s="75"/>
      <c r="N1361" s="70"/>
      <c r="O1361" s="77" t="s">
        <v>967</v>
      </c>
      <c r="P1361" s="79">
        <v>45033.885810185187</v>
      </c>
      <c r="Q1361" s="77" t="s">
        <v>2160</v>
      </c>
      <c r="R1361" s="77">
        <v>1</v>
      </c>
      <c r="S1361" s="77">
        <v>19</v>
      </c>
      <c r="T1361" s="77">
        <v>0</v>
      </c>
      <c r="U1361" s="77">
        <v>0</v>
      </c>
      <c r="V1361" s="77">
        <v>581</v>
      </c>
      <c r="W1361" s="81" t="s">
        <v>3590</v>
      </c>
      <c r="X1361" s="83" t="str">
        <f>HYPERLINK("https://www.sonoticiaboa.com.br/2023/04/17/paulo-dindin-ganha-geladeira-aluguel-pago-internautas")</f>
        <v>https://www.sonoticiaboa.com.br/2023/04/17/paulo-dindin-ganha-geladeira-aluguel-pago-internautas</v>
      </c>
      <c r="Y1361" s="77" t="s">
        <v>4223</v>
      </c>
      <c r="Z1361" s="77" t="s">
        <v>4378</v>
      </c>
      <c r="AA1361" s="77"/>
      <c r="AB1361" s="77"/>
      <c r="AC1361" s="81" t="s">
        <v>5805</v>
      </c>
      <c r="AD1361" s="77" t="s">
        <v>5851</v>
      </c>
      <c r="AE1361" s="83" t="str">
        <f>HYPERLINK("https://twitter.com/sonoticiaboaofc/status/1648072736583950338")</f>
        <v>https://twitter.com/sonoticiaboaofc/status/1648072736583950338</v>
      </c>
      <c r="AF1361" s="79">
        <v>45033.885810185187</v>
      </c>
      <c r="AG1361" s="85">
        <v>45033</v>
      </c>
      <c r="AH1361" s="81" t="s">
        <v>7017</v>
      </c>
      <c r="AI1361" s="77" t="b">
        <v>1</v>
      </c>
      <c r="AJ1361" s="77"/>
      <c r="AK1361" s="77"/>
      <c r="AL1361" s="77"/>
      <c r="AM1361" s="77"/>
      <c r="AN1361" s="77"/>
      <c r="AO1361" s="77"/>
      <c r="AP1361" s="77"/>
      <c r="AQ1361" s="77"/>
      <c r="AR1361" s="77"/>
      <c r="AS1361" s="77"/>
      <c r="AT1361" s="77"/>
      <c r="AU1361" s="77"/>
      <c r="AV1361" s="83" t="str">
        <f>HYPERLINK("https://pbs.twimg.com/profile_images/1157780273112715264/VrTYn4Si_normal.jpg")</f>
        <v>https://pbs.twimg.com/profile_images/1157780273112715264/VrTYn4Si_normal.jpg</v>
      </c>
      <c r="AW1361" s="81" t="s">
        <v>10483</v>
      </c>
      <c r="AX1361" s="81" t="s">
        <v>10483</v>
      </c>
      <c r="AY1361" s="77"/>
      <c r="AZ1361" s="81" t="s">
        <v>11359</v>
      </c>
      <c r="BA1361" s="81" t="s">
        <v>11359</v>
      </c>
      <c r="BB1361" s="81" t="s">
        <v>11359</v>
      </c>
      <c r="BC1361" s="81" t="s">
        <v>10483</v>
      </c>
      <c r="BD1361" s="77">
        <v>329857969</v>
      </c>
      <c r="BE1361" s="77"/>
      <c r="BF1361" s="77"/>
      <c r="BG1361" s="77"/>
      <c r="BH1361" s="77"/>
      <c r="BI1361" s="77"/>
    </row>
    <row r="1362" spans="1:61" x14ac:dyDescent="0.25">
      <c r="A1362" s="62" t="s">
        <v>504</v>
      </c>
      <c r="B1362" s="62" t="s">
        <v>926</v>
      </c>
      <c r="C1362" s="63"/>
      <c r="D1362" s="64"/>
      <c r="E1362" s="65"/>
      <c r="F1362" s="66"/>
      <c r="G1362" s="63"/>
      <c r="H1362" s="67"/>
      <c r="I1362" s="68"/>
      <c r="J1362" s="68"/>
      <c r="K1362" s="32"/>
      <c r="L1362" s="75">
        <v>1362</v>
      </c>
      <c r="M1362" s="75"/>
      <c r="N1362" s="70"/>
      <c r="O1362" s="77" t="s">
        <v>967</v>
      </c>
      <c r="P1362" s="79">
        <v>44932.448819444442</v>
      </c>
      <c r="Q1362" s="77" t="s">
        <v>2161</v>
      </c>
      <c r="R1362" s="77">
        <v>3</v>
      </c>
      <c r="S1362" s="77">
        <v>9</v>
      </c>
      <c r="T1362" s="77">
        <v>0</v>
      </c>
      <c r="U1362" s="77">
        <v>0</v>
      </c>
      <c r="V1362" s="77">
        <v>659</v>
      </c>
      <c r="W1362" s="81" t="s">
        <v>3591</v>
      </c>
      <c r="X1362" s="83" t="str">
        <f>HYPERLINK("https://www.sonoticiaboa.com.br/2023/01/06/pai-vende-doces-na-rua-para-realizar-sonho-dos-filhos-lutadores-de-jiu-jitsu-competir-pelo-brasil")</f>
        <v>https://www.sonoticiaboa.com.br/2023/01/06/pai-vende-doces-na-rua-para-realizar-sonho-dos-filhos-lutadores-de-jiu-jitsu-competir-pelo-brasil</v>
      </c>
      <c r="Y1362" s="77" t="s">
        <v>4223</v>
      </c>
      <c r="Z1362" s="77" t="s">
        <v>926</v>
      </c>
      <c r="AA1362" s="77"/>
      <c r="AB1362" s="77"/>
      <c r="AC1362" s="81" t="s">
        <v>5805</v>
      </c>
      <c r="AD1362" s="77" t="s">
        <v>5851</v>
      </c>
      <c r="AE1362" s="83" t="str">
        <f>HYPERLINK("https://twitter.com/sonoticiaboaofc/status/1611313202327093248")</f>
        <v>https://twitter.com/sonoticiaboaofc/status/1611313202327093248</v>
      </c>
      <c r="AF1362" s="79">
        <v>44932.448819444442</v>
      </c>
      <c r="AG1362" s="85">
        <v>44932</v>
      </c>
      <c r="AH1362" s="81" t="s">
        <v>7018</v>
      </c>
      <c r="AI1362" s="77" t="b">
        <v>1</v>
      </c>
      <c r="AJ1362" s="77"/>
      <c r="AK1362" s="77"/>
      <c r="AL1362" s="77"/>
      <c r="AM1362" s="77"/>
      <c r="AN1362" s="77"/>
      <c r="AO1362" s="77"/>
      <c r="AP1362" s="77"/>
      <c r="AQ1362" s="77"/>
      <c r="AR1362" s="77"/>
      <c r="AS1362" s="77"/>
      <c r="AT1362" s="77"/>
      <c r="AU1362" s="77"/>
      <c r="AV1362" s="83" t="str">
        <f>HYPERLINK("https://pbs.twimg.com/profile_images/1157780273112715264/VrTYn4Si_normal.jpg")</f>
        <v>https://pbs.twimg.com/profile_images/1157780273112715264/VrTYn4Si_normal.jpg</v>
      </c>
      <c r="AW1362" s="81" t="s">
        <v>10484</v>
      </c>
      <c r="AX1362" s="81" t="s">
        <v>10484</v>
      </c>
      <c r="AY1362" s="77"/>
      <c r="AZ1362" s="81" t="s">
        <v>11359</v>
      </c>
      <c r="BA1362" s="81" t="s">
        <v>11359</v>
      </c>
      <c r="BB1362" s="81" t="s">
        <v>11359</v>
      </c>
      <c r="BC1362" s="81" t="s">
        <v>10484</v>
      </c>
      <c r="BD1362" s="77">
        <v>329857969</v>
      </c>
      <c r="BE1362" s="77"/>
      <c r="BF1362" s="77"/>
      <c r="BG1362" s="77"/>
      <c r="BH1362" s="77"/>
      <c r="BI1362" s="77"/>
    </row>
    <row r="1363" spans="1:61" x14ac:dyDescent="0.25">
      <c r="A1363" s="62" t="s">
        <v>504</v>
      </c>
      <c r="B1363" s="62" t="s">
        <v>926</v>
      </c>
      <c r="C1363" s="63"/>
      <c r="D1363" s="64"/>
      <c r="E1363" s="65"/>
      <c r="F1363" s="66"/>
      <c r="G1363" s="63"/>
      <c r="H1363" s="67"/>
      <c r="I1363" s="68"/>
      <c r="J1363" s="68"/>
      <c r="K1363" s="32"/>
      <c r="L1363" s="75">
        <v>1363</v>
      </c>
      <c r="M1363" s="75"/>
      <c r="N1363" s="70"/>
      <c r="O1363" s="77" t="s">
        <v>967</v>
      </c>
      <c r="P1363" s="79">
        <v>45033.885810185187</v>
      </c>
      <c r="Q1363" s="77" t="s">
        <v>2160</v>
      </c>
      <c r="R1363" s="77">
        <v>1</v>
      </c>
      <c r="S1363" s="77">
        <v>19</v>
      </c>
      <c r="T1363" s="77">
        <v>0</v>
      </c>
      <c r="U1363" s="77">
        <v>0</v>
      </c>
      <c r="V1363" s="77">
        <v>581</v>
      </c>
      <c r="W1363" s="81" t="s">
        <v>3590</v>
      </c>
      <c r="X1363" s="83" t="str">
        <f>HYPERLINK("https://www.sonoticiaboa.com.br/2023/04/17/paulo-dindin-ganha-geladeira-aluguel-pago-internautas")</f>
        <v>https://www.sonoticiaboa.com.br/2023/04/17/paulo-dindin-ganha-geladeira-aluguel-pago-internautas</v>
      </c>
      <c r="Y1363" s="77" t="s">
        <v>4223</v>
      </c>
      <c r="Z1363" s="77" t="s">
        <v>4378</v>
      </c>
      <c r="AA1363" s="77"/>
      <c r="AB1363" s="77"/>
      <c r="AC1363" s="81" t="s">
        <v>5805</v>
      </c>
      <c r="AD1363" s="77" t="s">
        <v>5851</v>
      </c>
      <c r="AE1363" s="83" t="str">
        <f>HYPERLINK("https://twitter.com/sonoticiaboaofc/status/1648072736583950338")</f>
        <v>https://twitter.com/sonoticiaboaofc/status/1648072736583950338</v>
      </c>
      <c r="AF1363" s="79">
        <v>45033.885810185187</v>
      </c>
      <c r="AG1363" s="85">
        <v>45033</v>
      </c>
      <c r="AH1363" s="81" t="s">
        <v>7017</v>
      </c>
      <c r="AI1363" s="77" t="b">
        <v>1</v>
      </c>
      <c r="AJ1363" s="77"/>
      <c r="AK1363" s="77"/>
      <c r="AL1363" s="77"/>
      <c r="AM1363" s="77"/>
      <c r="AN1363" s="77"/>
      <c r="AO1363" s="77"/>
      <c r="AP1363" s="77"/>
      <c r="AQ1363" s="77"/>
      <c r="AR1363" s="77"/>
      <c r="AS1363" s="77"/>
      <c r="AT1363" s="77"/>
      <c r="AU1363" s="77"/>
      <c r="AV1363" s="83" t="str">
        <f>HYPERLINK("https://pbs.twimg.com/profile_images/1157780273112715264/VrTYn4Si_normal.jpg")</f>
        <v>https://pbs.twimg.com/profile_images/1157780273112715264/VrTYn4Si_normal.jpg</v>
      </c>
      <c r="AW1363" s="81" t="s">
        <v>10483</v>
      </c>
      <c r="AX1363" s="81" t="s">
        <v>10483</v>
      </c>
      <c r="AY1363" s="77"/>
      <c r="AZ1363" s="81" t="s">
        <v>11359</v>
      </c>
      <c r="BA1363" s="81" t="s">
        <v>11359</v>
      </c>
      <c r="BB1363" s="81" t="s">
        <v>11359</v>
      </c>
      <c r="BC1363" s="81" t="s">
        <v>10483</v>
      </c>
      <c r="BD1363" s="77">
        <v>329857969</v>
      </c>
      <c r="BE1363" s="77"/>
      <c r="BF1363" s="77"/>
      <c r="BG1363" s="77"/>
      <c r="BH1363" s="77"/>
      <c r="BI1363" s="77"/>
    </row>
    <row r="1364" spans="1:61" x14ac:dyDescent="0.25">
      <c r="A1364" s="62" t="s">
        <v>504</v>
      </c>
      <c r="B1364" s="62" t="s">
        <v>926</v>
      </c>
      <c r="C1364" s="63"/>
      <c r="D1364" s="64"/>
      <c r="E1364" s="65"/>
      <c r="F1364" s="66"/>
      <c r="G1364" s="63"/>
      <c r="H1364" s="67"/>
      <c r="I1364" s="68"/>
      <c r="J1364" s="68"/>
      <c r="K1364" s="32"/>
      <c r="L1364" s="75">
        <v>1364</v>
      </c>
      <c r="M1364" s="75"/>
      <c r="N1364" s="70"/>
      <c r="O1364" s="77" t="s">
        <v>967</v>
      </c>
      <c r="P1364" s="79">
        <v>45030.827696759261</v>
      </c>
      <c r="Q1364" s="77" t="s">
        <v>2162</v>
      </c>
      <c r="R1364" s="77">
        <v>5</v>
      </c>
      <c r="S1364" s="77">
        <v>14</v>
      </c>
      <c r="T1364" s="77">
        <v>0</v>
      </c>
      <c r="U1364" s="77">
        <v>0</v>
      </c>
      <c r="V1364" s="77">
        <v>485</v>
      </c>
      <c r="W1364" s="81" t="s">
        <v>3592</v>
      </c>
      <c r="X1364" s="83" t="str">
        <f>HYPERLINK("https://www.sonoticiaboa.com.br/2023/04/14/vendedor-paralisia-cerebral-emociona-video-ganha-apoio-web")</f>
        <v>https://www.sonoticiaboa.com.br/2023/04/14/vendedor-paralisia-cerebral-emociona-video-ganha-apoio-web</v>
      </c>
      <c r="Y1364" s="77" t="s">
        <v>4223</v>
      </c>
      <c r="Z1364" s="77" t="s">
        <v>926</v>
      </c>
      <c r="AA1364" s="77"/>
      <c r="AB1364" s="77"/>
      <c r="AC1364" s="81" t="s">
        <v>5805</v>
      </c>
      <c r="AD1364" s="77" t="s">
        <v>5851</v>
      </c>
      <c r="AE1364" s="83" t="str">
        <f>HYPERLINK("https://twitter.com/sonoticiaboaofc/status/1646964512199790599")</f>
        <v>https://twitter.com/sonoticiaboaofc/status/1646964512199790599</v>
      </c>
      <c r="AF1364" s="79">
        <v>45030.827696759261</v>
      </c>
      <c r="AG1364" s="85">
        <v>45030</v>
      </c>
      <c r="AH1364" s="81" t="s">
        <v>7019</v>
      </c>
      <c r="AI1364" s="77" t="b">
        <v>1</v>
      </c>
      <c r="AJ1364" s="77"/>
      <c r="AK1364" s="77"/>
      <c r="AL1364" s="77"/>
      <c r="AM1364" s="77"/>
      <c r="AN1364" s="77"/>
      <c r="AO1364" s="77"/>
      <c r="AP1364" s="77"/>
      <c r="AQ1364" s="77"/>
      <c r="AR1364" s="77"/>
      <c r="AS1364" s="77"/>
      <c r="AT1364" s="77"/>
      <c r="AU1364" s="77"/>
      <c r="AV1364" s="83" t="str">
        <f>HYPERLINK("https://pbs.twimg.com/profile_images/1157780273112715264/VrTYn4Si_normal.jpg")</f>
        <v>https://pbs.twimg.com/profile_images/1157780273112715264/VrTYn4Si_normal.jpg</v>
      </c>
      <c r="AW1364" s="81" t="s">
        <v>10485</v>
      </c>
      <c r="AX1364" s="81" t="s">
        <v>10485</v>
      </c>
      <c r="AY1364" s="77"/>
      <c r="AZ1364" s="81" t="s">
        <v>11359</v>
      </c>
      <c r="BA1364" s="81" t="s">
        <v>11359</v>
      </c>
      <c r="BB1364" s="81" t="s">
        <v>11359</v>
      </c>
      <c r="BC1364" s="81" t="s">
        <v>10485</v>
      </c>
      <c r="BD1364" s="77">
        <v>329857969</v>
      </c>
      <c r="BE1364" s="77"/>
      <c r="BF1364" s="77"/>
      <c r="BG1364" s="77"/>
      <c r="BH1364" s="77"/>
      <c r="BI1364" s="77"/>
    </row>
    <row r="1365" spans="1:61" x14ac:dyDescent="0.25">
      <c r="A1365" s="62" t="s">
        <v>504</v>
      </c>
      <c r="B1365" s="62" t="s">
        <v>504</v>
      </c>
      <c r="C1365" s="63"/>
      <c r="D1365" s="64"/>
      <c r="E1365" s="65"/>
      <c r="F1365" s="66"/>
      <c r="G1365" s="63"/>
      <c r="H1365" s="67"/>
      <c r="I1365" s="68"/>
      <c r="J1365" s="68"/>
      <c r="K1365" s="32"/>
      <c r="L1365" s="75">
        <v>1365</v>
      </c>
      <c r="M1365" s="75"/>
      <c r="N1365" s="70"/>
      <c r="O1365" s="77" t="s">
        <v>179</v>
      </c>
      <c r="P1365" s="79">
        <v>44959.436909722222</v>
      </c>
      <c r="Q1365" s="77" t="s">
        <v>2163</v>
      </c>
      <c r="R1365" s="77">
        <v>1</v>
      </c>
      <c r="S1365" s="77">
        <v>5</v>
      </c>
      <c r="T1365" s="77">
        <v>0</v>
      </c>
      <c r="U1365" s="77">
        <v>0</v>
      </c>
      <c r="V1365" s="77">
        <v>344</v>
      </c>
      <c r="W1365" s="81" t="s">
        <v>3593</v>
      </c>
      <c r="X1365" s="83" t="str">
        <f>HYPERLINK("https://www.sonoticiaboa.com.br/2023/02/02/palhaco-aprovado-medicina-universidade-federal-tentou-9-anos")</f>
        <v>https://www.sonoticiaboa.com.br/2023/02/02/palhaco-aprovado-medicina-universidade-federal-tentou-9-anos</v>
      </c>
      <c r="Y1365" s="77" t="s">
        <v>4223</v>
      </c>
      <c r="Z1365" s="77"/>
      <c r="AA1365" s="77"/>
      <c r="AB1365" s="77"/>
      <c r="AC1365" s="81" t="s">
        <v>5805</v>
      </c>
      <c r="AD1365" s="77" t="s">
        <v>5851</v>
      </c>
      <c r="AE1365" s="83" t="str">
        <f>HYPERLINK("https://twitter.com/sonoticiaboaofc/status/1621093358470057985")</f>
        <v>https://twitter.com/sonoticiaboaofc/status/1621093358470057985</v>
      </c>
      <c r="AF1365" s="79">
        <v>44959.436909722222</v>
      </c>
      <c r="AG1365" s="85">
        <v>44959</v>
      </c>
      <c r="AH1365" s="81" t="s">
        <v>7020</v>
      </c>
      <c r="AI1365" s="77" t="b">
        <v>1</v>
      </c>
      <c r="AJ1365" s="77"/>
      <c r="AK1365" s="77"/>
      <c r="AL1365" s="77"/>
      <c r="AM1365" s="77"/>
      <c r="AN1365" s="77"/>
      <c r="AO1365" s="77"/>
      <c r="AP1365" s="77"/>
      <c r="AQ1365" s="77"/>
      <c r="AR1365" s="77"/>
      <c r="AS1365" s="77"/>
      <c r="AT1365" s="77"/>
      <c r="AU1365" s="77"/>
      <c r="AV1365" s="83" t="str">
        <f>HYPERLINK("https://pbs.twimg.com/profile_images/1157780273112715264/VrTYn4Si_normal.jpg")</f>
        <v>https://pbs.twimg.com/profile_images/1157780273112715264/VrTYn4Si_normal.jpg</v>
      </c>
      <c r="AW1365" s="81" t="s">
        <v>10486</v>
      </c>
      <c r="AX1365" s="81" t="s">
        <v>10486</v>
      </c>
      <c r="AY1365" s="77"/>
      <c r="AZ1365" s="81" t="s">
        <v>11359</v>
      </c>
      <c r="BA1365" s="81" t="s">
        <v>11359</v>
      </c>
      <c r="BB1365" s="81" t="s">
        <v>11359</v>
      </c>
      <c r="BC1365" s="81" t="s">
        <v>10486</v>
      </c>
      <c r="BD1365" s="77">
        <v>329857969</v>
      </c>
      <c r="BE1365" s="77"/>
      <c r="BF1365" s="77"/>
      <c r="BG1365" s="77"/>
      <c r="BH1365" s="77"/>
      <c r="BI1365" s="77"/>
    </row>
    <row r="1366" spans="1:61" x14ac:dyDescent="0.25">
      <c r="A1366" s="62" t="s">
        <v>504</v>
      </c>
      <c r="B1366" s="62" t="s">
        <v>504</v>
      </c>
      <c r="C1366" s="63"/>
      <c r="D1366" s="64"/>
      <c r="E1366" s="65"/>
      <c r="F1366" s="66"/>
      <c r="G1366" s="63"/>
      <c r="H1366" s="67"/>
      <c r="I1366" s="68"/>
      <c r="J1366" s="68"/>
      <c r="K1366" s="32"/>
      <c r="L1366" s="75">
        <v>1366</v>
      </c>
      <c r="M1366" s="75"/>
      <c r="N1366" s="70"/>
      <c r="O1366" s="77" t="s">
        <v>179</v>
      </c>
      <c r="P1366" s="79">
        <v>45009.486018518517</v>
      </c>
      <c r="Q1366" s="77" t="s">
        <v>2164</v>
      </c>
      <c r="R1366" s="77">
        <v>1</v>
      </c>
      <c r="S1366" s="77">
        <v>11</v>
      </c>
      <c r="T1366" s="77">
        <v>1</v>
      </c>
      <c r="U1366" s="77">
        <v>1</v>
      </c>
      <c r="V1366" s="77">
        <v>1708</v>
      </c>
      <c r="W1366" s="81" t="s">
        <v>3594</v>
      </c>
      <c r="X1366" s="83" t="str">
        <f>HYPERLINK("https://www.sonoticiaboa.com.br/2023/03/24/alunos-comovidos-compram-todos-lanches-vendedor-proibido-vender-escola")</f>
        <v>https://www.sonoticiaboa.com.br/2023/03/24/alunos-comovidos-compram-todos-lanches-vendedor-proibido-vender-escola</v>
      </c>
      <c r="Y1366" s="77" t="s">
        <v>4223</v>
      </c>
      <c r="Z1366" s="77"/>
      <c r="AA1366" s="77"/>
      <c r="AB1366" s="77"/>
      <c r="AC1366" s="81" t="s">
        <v>5805</v>
      </c>
      <c r="AD1366" s="77" t="s">
        <v>5851</v>
      </c>
      <c r="AE1366" s="83" t="str">
        <f>HYPERLINK("https://twitter.com/sonoticiaboaofc/status/1639230548592807939")</f>
        <v>https://twitter.com/sonoticiaboaofc/status/1639230548592807939</v>
      </c>
      <c r="AF1366" s="79">
        <v>45009.486018518517</v>
      </c>
      <c r="AG1366" s="85">
        <v>45009</v>
      </c>
      <c r="AH1366" s="81" t="s">
        <v>7021</v>
      </c>
      <c r="AI1366" s="77" t="b">
        <v>1</v>
      </c>
      <c r="AJ1366" s="77"/>
      <c r="AK1366" s="77"/>
      <c r="AL1366" s="77"/>
      <c r="AM1366" s="77"/>
      <c r="AN1366" s="77"/>
      <c r="AO1366" s="77"/>
      <c r="AP1366" s="77"/>
      <c r="AQ1366" s="77"/>
      <c r="AR1366" s="77"/>
      <c r="AS1366" s="77"/>
      <c r="AT1366" s="77"/>
      <c r="AU1366" s="77"/>
      <c r="AV1366" s="83" t="str">
        <f>HYPERLINK("https://pbs.twimg.com/profile_images/1157780273112715264/VrTYn4Si_normal.jpg")</f>
        <v>https://pbs.twimg.com/profile_images/1157780273112715264/VrTYn4Si_normal.jpg</v>
      </c>
      <c r="AW1366" s="81" t="s">
        <v>10487</v>
      </c>
      <c r="AX1366" s="81" t="s">
        <v>10487</v>
      </c>
      <c r="AY1366" s="77"/>
      <c r="AZ1366" s="81" t="s">
        <v>11359</v>
      </c>
      <c r="BA1366" s="81" t="s">
        <v>11359</v>
      </c>
      <c r="BB1366" s="81" t="s">
        <v>11359</v>
      </c>
      <c r="BC1366" s="81" t="s">
        <v>10487</v>
      </c>
      <c r="BD1366" s="77">
        <v>329857969</v>
      </c>
      <c r="BE1366" s="77"/>
      <c r="BF1366" s="77"/>
      <c r="BG1366" s="77"/>
      <c r="BH1366" s="77"/>
      <c r="BI1366" s="77"/>
    </row>
    <row r="1367" spans="1:61" x14ac:dyDescent="0.25">
      <c r="A1367" s="62" t="s">
        <v>504</v>
      </c>
      <c r="B1367" s="62" t="s">
        <v>504</v>
      </c>
      <c r="C1367" s="63"/>
      <c r="D1367" s="64"/>
      <c r="E1367" s="65"/>
      <c r="F1367" s="66"/>
      <c r="G1367" s="63"/>
      <c r="H1367" s="67"/>
      <c r="I1367" s="68"/>
      <c r="J1367" s="68"/>
      <c r="K1367" s="32"/>
      <c r="L1367" s="75">
        <v>1367</v>
      </c>
      <c r="M1367" s="75"/>
      <c r="N1367" s="70"/>
      <c r="O1367" s="77" t="s">
        <v>179</v>
      </c>
      <c r="P1367" s="79">
        <v>44938.555231481485</v>
      </c>
      <c r="Q1367" s="77" t="s">
        <v>2165</v>
      </c>
      <c r="R1367" s="77">
        <v>1</v>
      </c>
      <c r="S1367" s="77">
        <v>4</v>
      </c>
      <c r="T1367" s="77">
        <v>0</v>
      </c>
      <c r="U1367" s="77">
        <v>0</v>
      </c>
      <c r="V1367" s="77">
        <v>263</v>
      </c>
      <c r="W1367" s="81" t="s">
        <v>3595</v>
      </c>
      <c r="X1367" s="83" t="str">
        <f>HYPERLINK("https://www.sonoticiaboa.com.br/2023/01/12/ex-vendedor-praia-milionario-franquia-recargas-celulares")</f>
        <v>https://www.sonoticiaboa.com.br/2023/01/12/ex-vendedor-praia-milionario-franquia-recargas-celulares</v>
      </c>
      <c r="Y1367" s="77" t="s">
        <v>4223</v>
      </c>
      <c r="Z1367" s="77"/>
      <c r="AA1367" s="77"/>
      <c r="AB1367" s="77"/>
      <c r="AC1367" s="81" t="s">
        <v>5805</v>
      </c>
      <c r="AD1367" s="77" t="s">
        <v>5851</v>
      </c>
      <c r="AE1367" s="83" t="str">
        <f>HYPERLINK("https://twitter.com/sonoticiaboaofc/status/1613526091427192833")</f>
        <v>https://twitter.com/sonoticiaboaofc/status/1613526091427192833</v>
      </c>
      <c r="AF1367" s="79">
        <v>44938.555231481485</v>
      </c>
      <c r="AG1367" s="85">
        <v>44938</v>
      </c>
      <c r="AH1367" s="81" t="s">
        <v>7022</v>
      </c>
      <c r="AI1367" s="77" t="b">
        <v>1</v>
      </c>
      <c r="AJ1367" s="77"/>
      <c r="AK1367" s="77"/>
      <c r="AL1367" s="77"/>
      <c r="AM1367" s="77"/>
      <c r="AN1367" s="77"/>
      <c r="AO1367" s="77"/>
      <c r="AP1367" s="77"/>
      <c r="AQ1367" s="77"/>
      <c r="AR1367" s="77"/>
      <c r="AS1367" s="77"/>
      <c r="AT1367" s="77"/>
      <c r="AU1367" s="77"/>
      <c r="AV1367" s="83" t="str">
        <f>HYPERLINK("https://pbs.twimg.com/profile_images/1157780273112715264/VrTYn4Si_normal.jpg")</f>
        <v>https://pbs.twimg.com/profile_images/1157780273112715264/VrTYn4Si_normal.jpg</v>
      </c>
      <c r="AW1367" s="81" t="s">
        <v>10488</v>
      </c>
      <c r="AX1367" s="81" t="s">
        <v>10488</v>
      </c>
      <c r="AY1367" s="77"/>
      <c r="AZ1367" s="81" t="s">
        <v>11359</v>
      </c>
      <c r="BA1367" s="81" t="s">
        <v>11359</v>
      </c>
      <c r="BB1367" s="81" t="s">
        <v>11359</v>
      </c>
      <c r="BC1367" s="81" t="s">
        <v>10488</v>
      </c>
      <c r="BD1367" s="77">
        <v>329857969</v>
      </c>
      <c r="BE1367" s="77"/>
      <c r="BF1367" s="77"/>
      <c r="BG1367" s="77"/>
      <c r="BH1367" s="77"/>
      <c r="BI1367" s="77"/>
    </row>
    <row r="1368" spans="1:61" x14ac:dyDescent="0.25">
      <c r="A1368" s="62" t="s">
        <v>504</v>
      </c>
      <c r="B1368" s="62" t="s">
        <v>504</v>
      </c>
      <c r="C1368" s="63"/>
      <c r="D1368" s="64"/>
      <c r="E1368" s="65"/>
      <c r="F1368" s="66"/>
      <c r="G1368" s="63"/>
      <c r="H1368" s="67"/>
      <c r="I1368" s="68"/>
      <c r="J1368" s="68"/>
      <c r="K1368" s="32"/>
      <c r="L1368" s="75">
        <v>1368</v>
      </c>
      <c r="M1368" s="75"/>
      <c r="N1368" s="70"/>
      <c r="O1368" s="77" t="s">
        <v>179</v>
      </c>
      <c r="P1368" s="79">
        <v>44995.718715277777</v>
      </c>
      <c r="Q1368" s="77" t="s">
        <v>2166</v>
      </c>
      <c r="R1368" s="77">
        <v>1</v>
      </c>
      <c r="S1368" s="77">
        <v>10</v>
      </c>
      <c r="T1368" s="77">
        <v>0</v>
      </c>
      <c r="U1368" s="77">
        <v>0</v>
      </c>
      <c r="V1368" s="77">
        <v>588</v>
      </c>
      <c r="W1368" s="81" t="s">
        <v>3596</v>
      </c>
      <c r="X1368" s="83" t="str">
        <f>HYPERLINK("https://www.sonoticiaboa.com.br/2023/03/10/influenciadora-da-carro-para-vendedor-de-doces-e-boa-acao-viraliza-na-web")</f>
        <v>https://www.sonoticiaboa.com.br/2023/03/10/influenciadora-da-carro-para-vendedor-de-doces-e-boa-acao-viraliza-na-web</v>
      </c>
      <c r="Y1368" s="77" t="s">
        <v>4223</v>
      </c>
      <c r="Z1368" s="77"/>
      <c r="AA1368" s="77"/>
      <c r="AB1368" s="77"/>
      <c r="AC1368" s="81" t="s">
        <v>5805</v>
      </c>
      <c r="AD1368" s="77" t="s">
        <v>5851</v>
      </c>
      <c r="AE1368" s="83" t="str">
        <f>HYPERLINK("https://twitter.com/sonoticiaboaofc/status/1634241442431287296")</f>
        <v>https://twitter.com/sonoticiaboaofc/status/1634241442431287296</v>
      </c>
      <c r="AF1368" s="79">
        <v>44995.718715277777</v>
      </c>
      <c r="AG1368" s="85">
        <v>44995</v>
      </c>
      <c r="AH1368" s="81" t="s">
        <v>7023</v>
      </c>
      <c r="AI1368" s="77" t="b">
        <v>1</v>
      </c>
      <c r="AJ1368" s="77"/>
      <c r="AK1368" s="77"/>
      <c r="AL1368" s="77"/>
      <c r="AM1368" s="77"/>
      <c r="AN1368" s="77"/>
      <c r="AO1368" s="77"/>
      <c r="AP1368" s="77"/>
      <c r="AQ1368" s="77"/>
      <c r="AR1368" s="77"/>
      <c r="AS1368" s="77"/>
      <c r="AT1368" s="77"/>
      <c r="AU1368" s="77"/>
      <c r="AV1368" s="83" t="str">
        <f>HYPERLINK("https://pbs.twimg.com/profile_images/1157780273112715264/VrTYn4Si_normal.jpg")</f>
        <v>https://pbs.twimg.com/profile_images/1157780273112715264/VrTYn4Si_normal.jpg</v>
      </c>
      <c r="AW1368" s="81" t="s">
        <v>10489</v>
      </c>
      <c r="AX1368" s="81" t="s">
        <v>10489</v>
      </c>
      <c r="AY1368" s="77"/>
      <c r="AZ1368" s="81" t="s">
        <v>11359</v>
      </c>
      <c r="BA1368" s="81" t="s">
        <v>11359</v>
      </c>
      <c r="BB1368" s="81" t="s">
        <v>11359</v>
      </c>
      <c r="BC1368" s="81" t="s">
        <v>10489</v>
      </c>
      <c r="BD1368" s="77">
        <v>329857969</v>
      </c>
      <c r="BE1368" s="77"/>
      <c r="BF1368" s="77"/>
      <c r="BG1368" s="77"/>
      <c r="BH1368" s="77"/>
      <c r="BI1368" s="77"/>
    </row>
    <row r="1369" spans="1:61" x14ac:dyDescent="0.25">
      <c r="A1369" s="62" t="s">
        <v>504</v>
      </c>
      <c r="B1369" s="62" t="s">
        <v>504</v>
      </c>
      <c r="C1369" s="63"/>
      <c r="D1369" s="64"/>
      <c r="E1369" s="65"/>
      <c r="F1369" s="66"/>
      <c r="G1369" s="63"/>
      <c r="H1369" s="67"/>
      <c r="I1369" s="68"/>
      <c r="J1369" s="68"/>
      <c r="K1369" s="32"/>
      <c r="L1369" s="75">
        <v>1369</v>
      </c>
      <c r="M1369" s="75"/>
      <c r="N1369" s="70"/>
      <c r="O1369" s="77" t="s">
        <v>179</v>
      </c>
      <c r="P1369" s="79">
        <v>44988.544062499997</v>
      </c>
      <c r="Q1369" s="77" t="s">
        <v>2167</v>
      </c>
      <c r="R1369" s="77">
        <v>2</v>
      </c>
      <c r="S1369" s="77">
        <v>9</v>
      </c>
      <c r="T1369" s="77">
        <v>0</v>
      </c>
      <c r="U1369" s="77">
        <v>0</v>
      </c>
      <c r="V1369" s="77">
        <v>291</v>
      </c>
      <c r="W1369" s="81" t="s">
        <v>3597</v>
      </c>
      <c r="X1369" s="83" t="str">
        <f>HYPERLINK("https://www.sonoticiaboa.com.br/2023/03/03/vendedor-chupchup-aprovado-universidade")</f>
        <v>https://www.sonoticiaboa.com.br/2023/03/03/vendedor-chupchup-aprovado-universidade</v>
      </c>
      <c r="Y1369" s="77" t="s">
        <v>4223</v>
      </c>
      <c r="Z1369" s="77"/>
      <c r="AA1369" s="77"/>
      <c r="AB1369" s="77"/>
      <c r="AC1369" s="81" t="s">
        <v>5805</v>
      </c>
      <c r="AD1369" s="77" t="s">
        <v>5851</v>
      </c>
      <c r="AE1369" s="83" t="str">
        <f>HYPERLINK("https://twitter.com/sonoticiaboaofc/status/1631641436524257282")</f>
        <v>https://twitter.com/sonoticiaboaofc/status/1631641436524257282</v>
      </c>
      <c r="AF1369" s="79">
        <v>44988.544062499997</v>
      </c>
      <c r="AG1369" s="85">
        <v>44988</v>
      </c>
      <c r="AH1369" s="81" t="s">
        <v>7024</v>
      </c>
      <c r="AI1369" s="77" t="b">
        <v>1</v>
      </c>
      <c r="AJ1369" s="77"/>
      <c r="AK1369" s="77"/>
      <c r="AL1369" s="77"/>
      <c r="AM1369" s="77"/>
      <c r="AN1369" s="77"/>
      <c r="AO1369" s="77"/>
      <c r="AP1369" s="77"/>
      <c r="AQ1369" s="77"/>
      <c r="AR1369" s="77"/>
      <c r="AS1369" s="77"/>
      <c r="AT1369" s="77"/>
      <c r="AU1369" s="77"/>
      <c r="AV1369" s="83" t="str">
        <f>HYPERLINK("https://pbs.twimg.com/profile_images/1157780273112715264/VrTYn4Si_normal.jpg")</f>
        <v>https://pbs.twimg.com/profile_images/1157780273112715264/VrTYn4Si_normal.jpg</v>
      </c>
      <c r="AW1369" s="81" t="s">
        <v>10490</v>
      </c>
      <c r="AX1369" s="81" t="s">
        <v>10490</v>
      </c>
      <c r="AY1369" s="77"/>
      <c r="AZ1369" s="81" t="s">
        <v>11359</v>
      </c>
      <c r="BA1369" s="81" t="s">
        <v>11359</v>
      </c>
      <c r="BB1369" s="81" t="s">
        <v>11359</v>
      </c>
      <c r="BC1369" s="81" t="s">
        <v>10490</v>
      </c>
      <c r="BD1369" s="77">
        <v>329857969</v>
      </c>
      <c r="BE1369" s="77"/>
      <c r="BF1369" s="77"/>
      <c r="BG1369" s="77"/>
      <c r="BH1369" s="77"/>
      <c r="BI1369" s="77"/>
    </row>
    <row r="1370" spans="1:61" x14ac:dyDescent="0.25">
      <c r="A1370" s="62" t="s">
        <v>504</v>
      </c>
      <c r="B1370" s="62" t="s">
        <v>504</v>
      </c>
      <c r="C1370" s="63"/>
      <c r="D1370" s="64"/>
      <c r="E1370" s="65"/>
      <c r="F1370" s="66"/>
      <c r="G1370" s="63"/>
      <c r="H1370" s="67"/>
      <c r="I1370" s="68"/>
      <c r="J1370" s="68"/>
      <c r="K1370" s="32"/>
      <c r="L1370" s="75">
        <v>1370</v>
      </c>
      <c r="M1370" s="75"/>
      <c r="N1370" s="70"/>
      <c r="O1370" s="77" t="s">
        <v>179</v>
      </c>
      <c r="P1370" s="79">
        <v>45073.417500000003</v>
      </c>
      <c r="Q1370" s="77" t="s">
        <v>2168</v>
      </c>
      <c r="R1370" s="77">
        <v>4</v>
      </c>
      <c r="S1370" s="77">
        <v>17</v>
      </c>
      <c r="T1370" s="77">
        <v>2</v>
      </c>
      <c r="U1370" s="77">
        <v>0</v>
      </c>
      <c r="V1370" s="77">
        <v>2701</v>
      </c>
      <c r="W1370" s="81" t="s">
        <v>3598</v>
      </c>
      <c r="X1370" s="83" t="str">
        <f>HYPERLINK("https://www.sonoticiaboa.com.br/2023/05/27/ambulante-descoberto-praia-vira-modelo-estreia-spfw")</f>
        <v>https://www.sonoticiaboa.com.br/2023/05/27/ambulante-descoberto-praia-vira-modelo-estreia-spfw</v>
      </c>
      <c r="Y1370" s="77" t="s">
        <v>4223</v>
      </c>
      <c r="Z1370" s="77"/>
      <c r="AA1370" s="77"/>
      <c r="AB1370" s="77"/>
      <c r="AC1370" s="81" t="s">
        <v>5805</v>
      </c>
      <c r="AD1370" s="77" t="s">
        <v>5851</v>
      </c>
      <c r="AE1370" s="83" t="str">
        <f>HYPERLINK("https://twitter.com/sonoticiaboaofc/status/1662398541631815680")</f>
        <v>https://twitter.com/sonoticiaboaofc/status/1662398541631815680</v>
      </c>
      <c r="AF1370" s="79">
        <v>45073.417500000003</v>
      </c>
      <c r="AG1370" s="85">
        <v>45073</v>
      </c>
      <c r="AH1370" s="81" t="s">
        <v>7025</v>
      </c>
      <c r="AI1370" s="77" t="b">
        <v>1</v>
      </c>
      <c r="AJ1370" s="77"/>
      <c r="AK1370" s="77"/>
      <c r="AL1370" s="77"/>
      <c r="AM1370" s="77"/>
      <c r="AN1370" s="77"/>
      <c r="AO1370" s="77"/>
      <c r="AP1370" s="77"/>
      <c r="AQ1370" s="77"/>
      <c r="AR1370" s="77"/>
      <c r="AS1370" s="77"/>
      <c r="AT1370" s="77"/>
      <c r="AU1370" s="77"/>
      <c r="AV1370" s="83" t="str">
        <f>HYPERLINK("https://pbs.twimg.com/profile_images/1157780273112715264/VrTYn4Si_normal.jpg")</f>
        <v>https://pbs.twimg.com/profile_images/1157780273112715264/VrTYn4Si_normal.jpg</v>
      </c>
      <c r="AW1370" s="81" t="s">
        <v>10491</v>
      </c>
      <c r="AX1370" s="81" t="s">
        <v>10491</v>
      </c>
      <c r="AY1370" s="77"/>
      <c r="AZ1370" s="81" t="s">
        <v>11359</v>
      </c>
      <c r="BA1370" s="81" t="s">
        <v>11359</v>
      </c>
      <c r="BB1370" s="81" t="s">
        <v>11359</v>
      </c>
      <c r="BC1370" s="81" t="s">
        <v>10491</v>
      </c>
      <c r="BD1370" s="77">
        <v>329857969</v>
      </c>
      <c r="BE1370" s="77"/>
      <c r="BF1370" s="77"/>
      <c r="BG1370" s="77"/>
      <c r="BH1370" s="77"/>
      <c r="BI1370" s="77"/>
    </row>
    <row r="1371" spans="1:61" x14ac:dyDescent="0.25">
      <c r="A1371" s="62" t="s">
        <v>504</v>
      </c>
      <c r="B1371" s="62" t="s">
        <v>504</v>
      </c>
      <c r="C1371" s="63"/>
      <c r="D1371" s="64"/>
      <c r="E1371" s="65"/>
      <c r="F1371" s="66"/>
      <c r="G1371" s="63"/>
      <c r="H1371" s="67"/>
      <c r="I1371" s="68"/>
      <c r="J1371" s="68"/>
      <c r="K1371" s="32"/>
      <c r="L1371" s="75">
        <v>1371</v>
      </c>
      <c r="M1371" s="75"/>
      <c r="N1371" s="70"/>
      <c r="O1371" s="77" t="s">
        <v>179</v>
      </c>
      <c r="P1371" s="79">
        <v>44947.435243055559</v>
      </c>
      <c r="Q1371" s="77" t="s">
        <v>2169</v>
      </c>
      <c r="R1371" s="77">
        <v>4</v>
      </c>
      <c r="S1371" s="77">
        <v>31</v>
      </c>
      <c r="T1371" s="77">
        <v>0</v>
      </c>
      <c r="U1371" s="77">
        <v>0</v>
      </c>
      <c r="V1371" s="77">
        <v>1103</v>
      </c>
      <c r="W1371" s="81" t="s">
        <v>3599</v>
      </c>
      <c r="X1371" s="83" t="str">
        <f>HYPERLINK("https://www.sonoticiaboa.com.br/2023/01/21/jovens-flagram-vendedor-hot-dog-dormindo-assumem-vendas-video-16m")</f>
        <v>https://www.sonoticiaboa.com.br/2023/01/21/jovens-flagram-vendedor-hot-dog-dormindo-assumem-vendas-video-16m</v>
      </c>
      <c r="Y1371" s="77" t="s">
        <v>4223</v>
      </c>
      <c r="Z1371" s="77"/>
      <c r="AA1371" s="77"/>
      <c r="AB1371" s="77"/>
      <c r="AC1371" s="81" t="s">
        <v>5805</v>
      </c>
      <c r="AD1371" s="77" t="s">
        <v>5851</v>
      </c>
      <c r="AE1371" s="83" t="str">
        <f>HYPERLINK("https://twitter.com/sonoticiaboaofc/status/1616744099603972097")</f>
        <v>https://twitter.com/sonoticiaboaofc/status/1616744099603972097</v>
      </c>
      <c r="AF1371" s="79">
        <v>44947.435243055559</v>
      </c>
      <c r="AG1371" s="85">
        <v>44947</v>
      </c>
      <c r="AH1371" s="81" t="s">
        <v>7026</v>
      </c>
      <c r="AI1371" s="77" t="b">
        <v>1</v>
      </c>
      <c r="AJ1371" s="77"/>
      <c r="AK1371" s="77"/>
      <c r="AL1371" s="77"/>
      <c r="AM1371" s="77"/>
      <c r="AN1371" s="77"/>
      <c r="AO1371" s="77"/>
      <c r="AP1371" s="77"/>
      <c r="AQ1371" s="77"/>
      <c r="AR1371" s="77"/>
      <c r="AS1371" s="77"/>
      <c r="AT1371" s="77"/>
      <c r="AU1371" s="77"/>
      <c r="AV1371" s="83" t="str">
        <f>HYPERLINK("https://pbs.twimg.com/profile_images/1157780273112715264/VrTYn4Si_normal.jpg")</f>
        <v>https://pbs.twimg.com/profile_images/1157780273112715264/VrTYn4Si_normal.jpg</v>
      </c>
      <c r="AW1371" s="81" t="s">
        <v>10492</v>
      </c>
      <c r="AX1371" s="81" t="s">
        <v>10492</v>
      </c>
      <c r="AY1371" s="77"/>
      <c r="AZ1371" s="81" t="s">
        <v>11359</v>
      </c>
      <c r="BA1371" s="81" t="s">
        <v>11359</v>
      </c>
      <c r="BB1371" s="81" t="s">
        <v>11359</v>
      </c>
      <c r="BC1371" s="81" t="s">
        <v>10492</v>
      </c>
      <c r="BD1371" s="77">
        <v>329857969</v>
      </c>
      <c r="BE1371" s="77"/>
      <c r="BF1371" s="77"/>
      <c r="BG1371" s="77"/>
      <c r="BH1371" s="77"/>
      <c r="BI1371" s="77"/>
    </row>
    <row r="1372" spans="1:61" x14ac:dyDescent="0.25">
      <c r="A1372" s="62" t="s">
        <v>504</v>
      </c>
      <c r="B1372" s="62" t="s">
        <v>504</v>
      </c>
      <c r="C1372" s="63"/>
      <c r="D1372" s="64"/>
      <c r="E1372" s="65"/>
      <c r="F1372" s="66"/>
      <c r="G1372" s="63"/>
      <c r="H1372" s="67"/>
      <c r="I1372" s="68"/>
      <c r="J1372" s="68"/>
      <c r="K1372" s="32"/>
      <c r="L1372" s="75">
        <v>1372</v>
      </c>
      <c r="M1372" s="75"/>
      <c r="N1372" s="70"/>
      <c r="O1372" s="77" t="s">
        <v>179</v>
      </c>
      <c r="P1372" s="79">
        <v>45110.493460648147</v>
      </c>
      <c r="Q1372" s="77" t="s">
        <v>2170</v>
      </c>
      <c r="R1372" s="77">
        <v>2</v>
      </c>
      <c r="S1372" s="77">
        <v>5</v>
      </c>
      <c r="T1372" s="77">
        <v>0</v>
      </c>
      <c r="U1372" s="77">
        <v>0</v>
      </c>
      <c r="V1372" s="77">
        <v>282</v>
      </c>
      <c r="W1372" s="81" t="s">
        <v>3600</v>
      </c>
      <c r="X1372" s="83" t="str">
        <f>HYPERLINK("https://www.sonoticiaboa.com.br/2023/07/03/moradores-unem-dao-bike-cargueira-idoso-93-furtado")</f>
        <v>https://www.sonoticiaboa.com.br/2023/07/03/moradores-unem-dao-bike-cargueira-idoso-93-furtado</v>
      </c>
      <c r="Y1372" s="77" t="s">
        <v>4223</v>
      </c>
      <c r="Z1372" s="77"/>
      <c r="AA1372" s="77"/>
      <c r="AB1372" s="77"/>
      <c r="AC1372" s="81" t="s">
        <v>5805</v>
      </c>
      <c r="AD1372" s="77" t="s">
        <v>5851</v>
      </c>
      <c r="AE1372" s="83" t="str">
        <f>HYPERLINK("https://twitter.com/sonoticiaboaofc/status/1675834417988751361")</f>
        <v>https://twitter.com/sonoticiaboaofc/status/1675834417988751361</v>
      </c>
      <c r="AF1372" s="79">
        <v>45110.493460648147</v>
      </c>
      <c r="AG1372" s="85">
        <v>45110</v>
      </c>
      <c r="AH1372" s="81" t="s">
        <v>7027</v>
      </c>
      <c r="AI1372" s="77" t="b">
        <v>1</v>
      </c>
      <c r="AJ1372" s="77"/>
      <c r="AK1372" s="77"/>
      <c r="AL1372" s="77"/>
      <c r="AM1372" s="77"/>
      <c r="AN1372" s="77"/>
      <c r="AO1372" s="77"/>
      <c r="AP1372" s="77"/>
      <c r="AQ1372" s="77"/>
      <c r="AR1372" s="77"/>
      <c r="AS1372" s="77"/>
      <c r="AT1372" s="77"/>
      <c r="AU1372" s="77"/>
      <c r="AV1372" s="83" t="str">
        <f>HYPERLINK("https://pbs.twimg.com/profile_images/1157780273112715264/VrTYn4Si_normal.jpg")</f>
        <v>https://pbs.twimg.com/profile_images/1157780273112715264/VrTYn4Si_normal.jpg</v>
      </c>
      <c r="AW1372" s="81" t="s">
        <v>10493</v>
      </c>
      <c r="AX1372" s="81" t="s">
        <v>10493</v>
      </c>
      <c r="AY1372" s="77"/>
      <c r="AZ1372" s="81" t="s">
        <v>11359</v>
      </c>
      <c r="BA1372" s="81" t="s">
        <v>11359</v>
      </c>
      <c r="BB1372" s="81" t="s">
        <v>11359</v>
      </c>
      <c r="BC1372" s="81" t="s">
        <v>10493</v>
      </c>
      <c r="BD1372" s="77">
        <v>329857969</v>
      </c>
      <c r="BE1372" s="77"/>
      <c r="BF1372" s="77"/>
      <c r="BG1372" s="77"/>
      <c r="BH1372" s="77"/>
      <c r="BI1372" s="77"/>
    </row>
    <row r="1373" spans="1:61" x14ac:dyDescent="0.25">
      <c r="A1373" s="62" t="s">
        <v>505</v>
      </c>
      <c r="B1373" s="62" t="s">
        <v>505</v>
      </c>
      <c r="C1373" s="63"/>
      <c r="D1373" s="64"/>
      <c r="E1373" s="65"/>
      <c r="F1373" s="66"/>
      <c r="G1373" s="63"/>
      <c r="H1373" s="67"/>
      <c r="I1373" s="68"/>
      <c r="J1373" s="68"/>
      <c r="K1373" s="32"/>
      <c r="L1373" s="75">
        <v>1373</v>
      </c>
      <c r="M1373" s="75"/>
      <c r="N1373" s="70"/>
      <c r="O1373" s="77" t="s">
        <v>179</v>
      </c>
      <c r="P1373" s="79">
        <v>45033.66578703704</v>
      </c>
      <c r="Q1373" s="77" t="s">
        <v>2171</v>
      </c>
      <c r="R1373" s="77">
        <v>0</v>
      </c>
      <c r="S1373" s="77">
        <v>0</v>
      </c>
      <c r="T1373" s="77">
        <v>0</v>
      </c>
      <c r="U1373" s="77">
        <v>0</v>
      </c>
      <c r="V1373" s="77">
        <v>30</v>
      </c>
      <c r="W1373" s="81" t="s">
        <v>3601</v>
      </c>
      <c r="X1373" s="77"/>
      <c r="Y1373" s="77"/>
      <c r="Z1373" s="77"/>
      <c r="AA1373" s="77" t="s">
        <v>5331</v>
      </c>
      <c r="AB1373" s="77" t="s">
        <v>5794</v>
      </c>
      <c r="AC1373" s="81" t="s">
        <v>5803</v>
      </c>
      <c r="AD1373" s="77" t="s">
        <v>5853</v>
      </c>
      <c r="AE1373" s="83" t="str">
        <f>HYPERLINK("https://twitter.com/carolcamponez/status/1647993000545460225")</f>
        <v>https://twitter.com/carolcamponez/status/1647993000545460225</v>
      </c>
      <c r="AF1373" s="79">
        <v>45033.66578703704</v>
      </c>
      <c r="AG1373" s="85">
        <v>45033</v>
      </c>
      <c r="AH1373" s="81" t="s">
        <v>7028</v>
      </c>
      <c r="AI1373" s="77" t="b">
        <v>0</v>
      </c>
      <c r="AJ1373" s="77"/>
      <c r="AK1373" s="77"/>
      <c r="AL1373" s="77"/>
      <c r="AM1373" s="77"/>
      <c r="AN1373" s="77"/>
      <c r="AO1373" s="77"/>
      <c r="AP1373" s="77"/>
      <c r="AQ1373" s="77" t="s">
        <v>8834</v>
      </c>
      <c r="AR1373" s="77"/>
      <c r="AS1373" s="77"/>
      <c r="AT1373" s="77"/>
      <c r="AU1373" s="77"/>
      <c r="AV1373" s="83" t="str">
        <f>HYPERLINK("https://pbs.twimg.com/media/Ft7Y5fsX0AA8wzJ.jpg")</f>
        <v>https://pbs.twimg.com/media/Ft7Y5fsX0AA8wzJ.jpg</v>
      </c>
      <c r="AW1373" s="81" t="s">
        <v>10494</v>
      </c>
      <c r="AX1373" s="81" t="s">
        <v>10494</v>
      </c>
      <c r="AY1373" s="77"/>
      <c r="AZ1373" s="81" t="s">
        <v>11359</v>
      </c>
      <c r="BA1373" s="81" t="s">
        <v>11359</v>
      </c>
      <c r="BB1373" s="81" t="s">
        <v>11359</v>
      </c>
      <c r="BC1373" s="81" t="s">
        <v>10494</v>
      </c>
      <c r="BD1373" s="77">
        <v>39355971</v>
      </c>
      <c r="BE1373" s="77"/>
      <c r="BF1373" s="77"/>
      <c r="BG1373" s="77"/>
      <c r="BH1373" s="77"/>
      <c r="BI1373" s="77"/>
    </row>
    <row r="1374" spans="1:61" x14ac:dyDescent="0.25">
      <c r="A1374" s="62" t="s">
        <v>506</v>
      </c>
      <c r="B1374" s="62" t="s">
        <v>506</v>
      </c>
      <c r="C1374" s="63"/>
      <c r="D1374" s="64"/>
      <c r="E1374" s="65"/>
      <c r="F1374" s="66"/>
      <c r="G1374" s="63"/>
      <c r="H1374" s="67"/>
      <c r="I1374" s="68"/>
      <c r="J1374" s="68"/>
      <c r="K1374" s="32"/>
      <c r="L1374" s="75">
        <v>1374</v>
      </c>
      <c r="M1374" s="75"/>
      <c r="N1374" s="70"/>
      <c r="O1374" s="77" t="s">
        <v>179</v>
      </c>
      <c r="P1374" s="79">
        <v>44959.882800925923</v>
      </c>
      <c r="Q1374" s="77" t="s">
        <v>2172</v>
      </c>
      <c r="R1374" s="77">
        <v>0</v>
      </c>
      <c r="S1374" s="77">
        <v>1</v>
      </c>
      <c r="T1374" s="77">
        <v>0</v>
      </c>
      <c r="U1374" s="77">
        <v>0</v>
      </c>
      <c r="V1374" s="77">
        <v>8</v>
      </c>
      <c r="W1374" s="81" t="s">
        <v>3602</v>
      </c>
      <c r="X1374" s="83" t="str">
        <f>HYPERLINK("https://my.mtr.cool/bwalnnprvc")</f>
        <v>https://my.mtr.cool/bwalnnprvc</v>
      </c>
      <c r="Y1374" s="77" t="s">
        <v>4289</v>
      </c>
      <c r="Z1374" s="77"/>
      <c r="AA1374" s="77" t="s">
        <v>5332</v>
      </c>
      <c r="AB1374" s="77" t="s">
        <v>5796</v>
      </c>
      <c r="AC1374" s="81" t="s">
        <v>5812</v>
      </c>
      <c r="AD1374" s="77" t="s">
        <v>5850</v>
      </c>
      <c r="AE1374" s="83" t="str">
        <f>HYPERLINK("https://twitter.com/fotoganando/status/1621254942823424006")</f>
        <v>https://twitter.com/fotoganando/status/1621254942823424006</v>
      </c>
      <c r="AF1374" s="79">
        <v>44959.882800925923</v>
      </c>
      <c r="AG1374" s="85">
        <v>44959</v>
      </c>
      <c r="AH1374" s="81" t="s">
        <v>7029</v>
      </c>
      <c r="AI1374" s="77" t="b">
        <v>0</v>
      </c>
      <c r="AJ1374" s="77"/>
      <c r="AK1374" s="77"/>
      <c r="AL1374" s="77"/>
      <c r="AM1374" s="77"/>
      <c r="AN1374" s="77"/>
      <c r="AO1374" s="77"/>
      <c r="AP1374" s="77"/>
      <c r="AQ1374" s="77" t="s">
        <v>8835</v>
      </c>
      <c r="AR1374" s="77"/>
      <c r="AS1374" s="77"/>
      <c r="AT1374" s="77"/>
      <c r="AU1374" s="77"/>
      <c r="AV1374" s="83" t="str">
        <f>HYPERLINK("https://pbs.twimg.com/tweet_video_thumb/Fn_axsvXgAgiges.jpg")</f>
        <v>https://pbs.twimg.com/tweet_video_thumb/Fn_axsvXgAgiges.jpg</v>
      </c>
      <c r="AW1374" s="81" t="s">
        <v>10495</v>
      </c>
      <c r="AX1374" s="81" t="s">
        <v>10495</v>
      </c>
      <c r="AY1374" s="77"/>
      <c r="AZ1374" s="81" t="s">
        <v>11359</v>
      </c>
      <c r="BA1374" s="81" t="s">
        <v>11359</v>
      </c>
      <c r="BB1374" s="81" t="s">
        <v>11359</v>
      </c>
      <c r="BC1374" s="81" t="s">
        <v>10495</v>
      </c>
      <c r="BD1374" s="77">
        <v>408407234</v>
      </c>
      <c r="BE1374" s="77"/>
      <c r="BF1374" s="77"/>
      <c r="BG1374" s="77"/>
      <c r="BH1374" s="77"/>
      <c r="BI1374" s="77"/>
    </row>
    <row r="1375" spans="1:61" x14ac:dyDescent="0.25">
      <c r="A1375" s="62" t="s">
        <v>506</v>
      </c>
      <c r="B1375" s="62" t="s">
        <v>506</v>
      </c>
      <c r="C1375" s="63"/>
      <c r="D1375" s="64"/>
      <c r="E1375" s="65"/>
      <c r="F1375" s="66"/>
      <c r="G1375" s="63"/>
      <c r="H1375" s="67"/>
      <c r="I1375" s="68"/>
      <c r="J1375" s="68"/>
      <c r="K1375" s="32"/>
      <c r="L1375" s="75">
        <v>1375</v>
      </c>
      <c r="M1375" s="75"/>
      <c r="N1375" s="70"/>
      <c r="O1375" s="77" t="s">
        <v>179</v>
      </c>
      <c r="P1375" s="79">
        <v>44978.347430555557</v>
      </c>
      <c r="Q1375" s="77" t="s">
        <v>2173</v>
      </c>
      <c r="R1375" s="77">
        <v>0</v>
      </c>
      <c r="S1375" s="77">
        <v>0</v>
      </c>
      <c r="T1375" s="77">
        <v>0</v>
      </c>
      <c r="U1375" s="77">
        <v>0</v>
      </c>
      <c r="V1375" s="77">
        <v>7</v>
      </c>
      <c r="W1375" s="81" t="s">
        <v>3603</v>
      </c>
      <c r="X1375" s="83" t="str">
        <f>HYPERLINK("https://i.mtr.cool/ylefmjlgjv")</f>
        <v>https://i.mtr.cool/ylefmjlgjv</v>
      </c>
      <c r="Y1375" s="77" t="s">
        <v>4289</v>
      </c>
      <c r="Z1375" s="77"/>
      <c r="AA1375" s="77" t="s">
        <v>5333</v>
      </c>
      <c r="AB1375" s="77" t="s">
        <v>5799</v>
      </c>
      <c r="AC1375" s="81" t="s">
        <v>5812</v>
      </c>
      <c r="AD1375" s="77" t="s">
        <v>5850</v>
      </c>
      <c r="AE1375" s="83" t="str">
        <f>HYPERLINK("https://twitter.com/fotoganando/status/1627946301181534208")</f>
        <v>https://twitter.com/fotoganando/status/1627946301181534208</v>
      </c>
      <c r="AF1375" s="79">
        <v>44978.347430555557</v>
      </c>
      <c r="AG1375" s="85">
        <v>44978</v>
      </c>
      <c r="AH1375" s="81" t="s">
        <v>7030</v>
      </c>
      <c r="AI1375" s="77" t="b">
        <v>0</v>
      </c>
      <c r="AJ1375" s="77"/>
      <c r="AK1375" s="77"/>
      <c r="AL1375" s="77"/>
      <c r="AM1375" s="77"/>
      <c r="AN1375" s="77"/>
      <c r="AO1375" s="77"/>
      <c r="AP1375" s="77"/>
      <c r="AQ1375" s="77" t="s">
        <v>8836</v>
      </c>
      <c r="AR1375" s="77"/>
      <c r="AS1375" s="77"/>
      <c r="AT1375" s="77"/>
      <c r="AU1375" s="77"/>
      <c r="AV1375" s="83" t="str">
        <f>HYPERLINK("https://pbs.twimg.com/media/FpeghT7XoAgobSC.jpg")</f>
        <v>https://pbs.twimg.com/media/FpeghT7XoAgobSC.jpg</v>
      </c>
      <c r="AW1375" s="81" t="s">
        <v>10496</v>
      </c>
      <c r="AX1375" s="81" t="s">
        <v>10496</v>
      </c>
      <c r="AY1375" s="77"/>
      <c r="AZ1375" s="81" t="s">
        <v>11359</v>
      </c>
      <c r="BA1375" s="81" t="s">
        <v>11359</v>
      </c>
      <c r="BB1375" s="81" t="s">
        <v>11359</v>
      </c>
      <c r="BC1375" s="81" t="s">
        <v>10496</v>
      </c>
      <c r="BD1375" s="77">
        <v>408407234</v>
      </c>
      <c r="BE1375" s="77"/>
      <c r="BF1375" s="77"/>
      <c r="BG1375" s="77"/>
      <c r="BH1375" s="77"/>
      <c r="BI1375" s="77"/>
    </row>
    <row r="1376" spans="1:61" x14ac:dyDescent="0.25">
      <c r="A1376" s="62" t="s">
        <v>506</v>
      </c>
      <c r="B1376" s="62" t="s">
        <v>506</v>
      </c>
      <c r="C1376" s="63"/>
      <c r="D1376" s="64"/>
      <c r="E1376" s="65"/>
      <c r="F1376" s="66"/>
      <c r="G1376" s="63"/>
      <c r="H1376" s="67"/>
      <c r="I1376" s="68"/>
      <c r="J1376" s="68"/>
      <c r="K1376" s="32"/>
      <c r="L1376" s="75">
        <v>1376</v>
      </c>
      <c r="M1376" s="75"/>
      <c r="N1376" s="70"/>
      <c r="O1376" s="77" t="s">
        <v>179</v>
      </c>
      <c r="P1376" s="79">
        <v>44935.347418981481</v>
      </c>
      <c r="Q1376" s="77" t="s">
        <v>2174</v>
      </c>
      <c r="R1376" s="77">
        <v>0</v>
      </c>
      <c r="S1376" s="77">
        <v>1</v>
      </c>
      <c r="T1376" s="77">
        <v>0</v>
      </c>
      <c r="U1376" s="77">
        <v>0</v>
      </c>
      <c r="V1376" s="77">
        <v>22</v>
      </c>
      <c r="W1376" s="81" t="s">
        <v>3603</v>
      </c>
      <c r="X1376" s="83" t="str">
        <f>HYPERLINK("https://my.mtr.cool/sctwvukrvb")</f>
        <v>https://my.mtr.cool/sctwvukrvb</v>
      </c>
      <c r="Y1376" s="77" t="s">
        <v>4289</v>
      </c>
      <c r="Z1376" s="77"/>
      <c r="AA1376" s="77" t="s">
        <v>5334</v>
      </c>
      <c r="AB1376" s="77" t="s">
        <v>5799</v>
      </c>
      <c r="AC1376" s="81" t="s">
        <v>5812</v>
      </c>
      <c r="AD1376" s="77" t="s">
        <v>5850</v>
      </c>
      <c r="AE1376" s="83" t="str">
        <f>HYPERLINK("https://twitter.com/fotoganando/status/1612363616157581312")</f>
        <v>https://twitter.com/fotoganando/status/1612363616157581312</v>
      </c>
      <c r="AF1376" s="79">
        <v>44935.347418981481</v>
      </c>
      <c r="AG1376" s="85">
        <v>44935</v>
      </c>
      <c r="AH1376" s="81" t="s">
        <v>7031</v>
      </c>
      <c r="AI1376" s="77" t="b">
        <v>0</v>
      </c>
      <c r="AJ1376" s="77"/>
      <c r="AK1376" s="77"/>
      <c r="AL1376" s="77"/>
      <c r="AM1376" s="77"/>
      <c r="AN1376" s="77"/>
      <c r="AO1376" s="77"/>
      <c r="AP1376" s="77"/>
      <c r="AQ1376" s="77" t="s">
        <v>8837</v>
      </c>
      <c r="AR1376" s="77"/>
      <c r="AS1376" s="77"/>
      <c r="AT1376" s="77"/>
      <c r="AU1376" s="77"/>
      <c r="AV1376" s="83" t="str">
        <f>HYPERLINK("https://pbs.twimg.com/media/FmBEJmZXEAErqef.jpg")</f>
        <v>https://pbs.twimg.com/media/FmBEJmZXEAErqef.jpg</v>
      </c>
      <c r="AW1376" s="81" t="s">
        <v>10497</v>
      </c>
      <c r="AX1376" s="81" t="s">
        <v>10497</v>
      </c>
      <c r="AY1376" s="77"/>
      <c r="AZ1376" s="81" t="s">
        <v>11359</v>
      </c>
      <c r="BA1376" s="81" t="s">
        <v>11359</v>
      </c>
      <c r="BB1376" s="81" t="s">
        <v>11359</v>
      </c>
      <c r="BC1376" s="81" t="s">
        <v>10497</v>
      </c>
      <c r="BD1376" s="77">
        <v>408407234</v>
      </c>
      <c r="BE1376" s="77"/>
      <c r="BF1376" s="77"/>
      <c r="BG1376" s="77"/>
      <c r="BH1376" s="77"/>
      <c r="BI1376" s="77"/>
    </row>
    <row r="1377" spans="1:61" x14ac:dyDescent="0.25">
      <c r="A1377" s="62" t="s">
        <v>506</v>
      </c>
      <c r="B1377" s="62" t="s">
        <v>506</v>
      </c>
      <c r="C1377" s="63"/>
      <c r="D1377" s="64"/>
      <c r="E1377" s="65"/>
      <c r="F1377" s="66"/>
      <c r="G1377" s="63"/>
      <c r="H1377" s="67"/>
      <c r="I1377" s="68"/>
      <c r="J1377" s="68"/>
      <c r="K1377" s="32"/>
      <c r="L1377" s="75">
        <v>1377</v>
      </c>
      <c r="M1377" s="75"/>
      <c r="N1377" s="70"/>
      <c r="O1377" s="77" t="s">
        <v>179</v>
      </c>
      <c r="P1377" s="79">
        <v>45020.88008101852</v>
      </c>
      <c r="Q1377" s="77" t="s">
        <v>2175</v>
      </c>
      <c r="R1377" s="77">
        <v>0</v>
      </c>
      <c r="S1377" s="77">
        <v>0</v>
      </c>
      <c r="T1377" s="77">
        <v>0</v>
      </c>
      <c r="U1377" s="77">
        <v>0</v>
      </c>
      <c r="V1377" s="77">
        <v>17</v>
      </c>
      <c r="W1377" s="81" t="s">
        <v>3603</v>
      </c>
      <c r="X1377" s="83" t="str">
        <f>HYPERLINK("https://mtr.cool/ljsdpqutyo")</f>
        <v>https://mtr.cool/ljsdpqutyo</v>
      </c>
      <c r="Y1377" s="77" t="s">
        <v>4289</v>
      </c>
      <c r="Z1377" s="77"/>
      <c r="AA1377" s="77" t="s">
        <v>5335</v>
      </c>
      <c r="AB1377" s="77" t="s">
        <v>5799</v>
      </c>
      <c r="AC1377" s="81" t="s">
        <v>5812</v>
      </c>
      <c r="AD1377" s="77" t="s">
        <v>5850</v>
      </c>
      <c r="AE1377" s="83" t="str">
        <f>HYPERLINK("https://twitter.com/fotoganando/status/1643359616951099393")</f>
        <v>https://twitter.com/fotoganando/status/1643359616951099393</v>
      </c>
      <c r="AF1377" s="79">
        <v>45020.88008101852</v>
      </c>
      <c r="AG1377" s="85">
        <v>45020</v>
      </c>
      <c r="AH1377" s="81" t="s">
        <v>7032</v>
      </c>
      <c r="AI1377" s="77" t="b">
        <v>0</v>
      </c>
      <c r="AJ1377" s="77"/>
      <c r="AK1377" s="77"/>
      <c r="AL1377" s="77"/>
      <c r="AM1377" s="77"/>
      <c r="AN1377" s="77"/>
      <c r="AO1377" s="77"/>
      <c r="AP1377" s="77"/>
      <c r="AQ1377" s="77" t="s">
        <v>8838</v>
      </c>
      <c r="AR1377" s="77"/>
      <c r="AS1377" s="77"/>
      <c r="AT1377" s="77"/>
      <c r="AU1377" s="77"/>
      <c r="AV1377" s="83" t="str">
        <f>HYPERLINK("https://pbs.twimg.com/media/Fs5i2LuWAAAgf4t.jpg")</f>
        <v>https://pbs.twimg.com/media/Fs5i2LuWAAAgf4t.jpg</v>
      </c>
      <c r="AW1377" s="81" t="s">
        <v>10498</v>
      </c>
      <c r="AX1377" s="81" t="s">
        <v>10498</v>
      </c>
      <c r="AY1377" s="77"/>
      <c r="AZ1377" s="81" t="s">
        <v>11359</v>
      </c>
      <c r="BA1377" s="81" t="s">
        <v>11359</v>
      </c>
      <c r="BB1377" s="81" t="s">
        <v>11359</v>
      </c>
      <c r="BC1377" s="81" t="s">
        <v>10498</v>
      </c>
      <c r="BD1377" s="77">
        <v>408407234</v>
      </c>
      <c r="BE1377" s="77"/>
      <c r="BF1377" s="77"/>
      <c r="BG1377" s="77"/>
      <c r="BH1377" s="77"/>
      <c r="BI1377" s="77"/>
    </row>
    <row r="1378" spans="1:61" x14ac:dyDescent="0.25">
      <c r="A1378" s="62" t="s">
        <v>506</v>
      </c>
      <c r="B1378" s="62" t="s">
        <v>506</v>
      </c>
      <c r="C1378" s="63"/>
      <c r="D1378" s="64"/>
      <c r="E1378" s="65"/>
      <c r="F1378" s="66"/>
      <c r="G1378" s="63"/>
      <c r="H1378" s="67"/>
      <c r="I1378" s="68"/>
      <c r="J1378" s="68"/>
      <c r="K1378" s="32"/>
      <c r="L1378" s="75">
        <v>1378</v>
      </c>
      <c r="M1378" s="75"/>
      <c r="N1378" s="70"/>
      <c r="O1378" s="77" t="s">
        <v>179</v>
      </c>
      <c r="P1378" s="79">
        <v>45002.927303240744</v>
      </c>
      <c r="Q1378" s="77" t="s">
        <v>2176</v>
      </c>
      <c r="R1378" s="77">
        <v>0</v>
      </c>
      <c r="S1378" s="77">
        <v>0</v>
      </c>
      <c r="T1378" s="77">
        <v>0</v>
      </c>
      <c r="U1378" s="77">
        <v>0</v>
      </c>
      <c r="V1378" s="77">
        <v>16</v>
      </c>
      <c r="W1378" s="81" t="s">
        <v>3602</v>
      </c>
      <c r="X1378" s="83" t="str">
        <f>HYPERLINK("https://i.mtr.cool/tyzfxzxstf")</f>
        <v>https://i.mtr.cool/tyzfxzxstf</v>
      </c>
      <c r="Y1378" s="77" t="s">
        <v>4289</v>
      </c>
      <c r="Z1378" s="77"/>
      <c r="AA1378" s="77" t="s">
        <v>5336</v>
      </c>
      <c r="AB1378" s="77" t="s">
        <v>5796</v>
      </c>
      <c r="AC1378" s="81" t="s">
        <v>5812</v>
      </c>
      <c r="AD1378" s="77" t="s">
        <v>5850</v>
      </c>
      <c r="AE1378" s="83" t="str">
        <f>HYPERLINK("https://twitter.com/fotoganando/status/1636853746306101249")</f>
        <v>https://twitter.com/fotoganando/status/1636853746306101249</v>
      </c>
      <c r="AF1378" s="79">
        <v>45002.927303240744</v>
      </c>
      <c r="AG1378" s="85">
        <v>45002</v>
      </c>
      <c r="AH1378" s="81" t="s">
        <v>7033</v>
      </c>
      <c r="AI1378" s="77" t="b">
        <v>0</v>
      </c>
      <c r="AJ1378" s="77"/>
      <c r="AK1378" s="77"/>
      <c r="AL1378" s="77"/>
      <c r="AM1378" s="77"/>
      <c r="AN1378" s="77"/>
      <c r="AO1378" s="77"/>
      <c r="AP1378" s="77"/>
      <c r="AQ1378" s="77" t="s">
        <v>8839</v>
      </c>
      <c r="AR1378" s="77"/>
      <c r="AS1378" s="77"/>
      <c r="AT1378" s="77"/>
      <c r="AU1378" s="77"/>
      <c r="AV1378" s="83" t="str">
        <f>HYPERLINK("https://pbs.twimg.com/tweet_video_thumb/FrdFzS3XsAADAeE.jpg")</f>
        <v>https://pbs.twimg.com/tweet_video_thumb/FrdFzS3XsAADAeE.jpg</v>
      </c>
      <c r="AW1378" s="81" t="s">
        <v>10499</v>
      </c>
      <c r="AX1378" s="81" t="s">
        <v>10499</v>
      </c>
      <c r="AY1378" s="77"/>
      <c r="AZ1378" s="81" t="s">
        <v>11359</v>
      </c>
      <c r="BA1378" s="81" t="s">
        <v>11359</v>
      </c>
      <c r="BB1378" s="81" t="s">
        <v>11359</v>
      </c>
      <c r="BC1378" s="81" t="s">
        <v>10499</v>
      </c>
      <c r="BD1378" s="77">
        <v>408407234</v>
      </c>
      <c r="BE1378" s="77"/>
      <c r="BF1378" s="77"/>
      <c r="BG1378" s="77"/>
      <c r="BH1378" s="77"/>
      <c r="BI1378" s="77"/>
    </row>
    <row r="1379" spans="1:61" x14ac:dyDescent="0.25">
      <c r="A1379" s="62" t="s">
        <v>506</v>
      </c>
      <c r="B1379" s="62" t="s">
        <v>506</v>
      </c>
      <c r="C1379" s="63"/>
      <c r="D1379" s="64"/>
      <c r="E1379" s="65"/>
      <c r="F1379" s="66"/>
      <c r="G1379" s="63"/>
      <c r="H1379" s="67"/>
      <c r="I1379" s="68"/>
      <c r="J1379" s="68"/>
      <c r="K1379" s="32"/>
      <c r="L1379" s="75">
        <v>1379</v>
      </c>
      <c r="M1379" s="75"/>
      <c r="N1379" s="70"/>
      <c r="O1379" s="77" t="s">
        <v>179</v>
      </c>
      <c r="P1379" s="79">
        <v>45045.885567129626</v>
      </c>
      <c r="Q1379" s="77" t="s">
        <v>2177</v>
      </c>
      <c r="R1379" s="77">
        <v>0</v>
      </c>
      <c r="S1379" s="77">
        <v>0</v>
      </c>
      <c r="T1379" s="77">
        <v>0</v>
      </c>
      <c r="U1379" s="77">
        <v>0</v>
      </c>
      <c r="V1379" s="77">
        <v>8</v>
      </c>
      <c r="W1379" s="81" t="s">
        <v>3602</v>
      </c>
      <c r="X1379" s="83" t="str">
        <f>HYPERLINK("https://mtr.cool/zfgsgquktk")</f>
        <v>https://mtr.cool/zfgsgquktk</v>
      </c>
      <c r="Y1379" s="77" t="s">
        <v>4289</v>
      </c>
      <c r="Z1379" s="77"/>
      <c r="AA1379" s="77" t="s">
        <v>5337</v>
      </c>
      <c r="AB1379" s="77" t="s">
        <v>5796</v>
      </c>
      <c r="AC1379" s="81" t="s">
        <v>5812</v>
      </c>
      <c r="AD1379" s="77" t="s">
        <v>5850</v>
      </c>
      <c r="AE1379" s="83" t="str">
        <f>HYPERLINK("https://twitter.com/fotoganando/status/1652421303687688192")</f>
        <v>https://twitter.com/fotoganando/status/1652421303687688192</v>
      </c>
      <c r="AF1379" s="79">
        <v>45045.885567129626</v>
      </c>
      <c r="AG1379" s="85">
        <v>45045</v>
      </c>
      <c r="AH1379" s="81" t="s">
        <v>7034</v>
      </c>
      <c r="AI1379" s="77" t="b">
        <v>0</v>
      </c>
      <c r="AJ1379" s="77"/>
      <c r="AK1379" s="77"/>
      <c r="AL1379" s="77"/>
      <c r="AM1379" s="77"/>
      <c r="AN1379" s="77"/>
      <c r="AO1379" s="77"/>
      <c r="AP1379" s="77"/>
      <c r="AQ1379" s="77" t="s">
        <v>8840</v>
      </c>
      <c r="AR1379" s="77"/>
      <c r="AS1379" s="77"/>
      <c r="AT1379" s="77"/>
      <c r="AU1379" s="77"/>
      <c r="AV1379" s="83" t="str">
        <f>HYPERLINK("https://pbs.twimg.com/tweet_video_thumb/Fu6Uas2WIAEMLgB.jpg")</f>
        <v>https://pbs.twimg.com/tweet_video_thumb/Fu6Uas2WIAEMLgB.jpg</v>
      </c>
      <c r="AW1379" s="81" t="s">
        <v>10500</v>
      </c>
      <c r="AX1379" s="81" t="s">
        <v>10500</v>
      </c>
      <c r="AY1379" s="77"/>
      <c r="AZ1379" s="81" t="s">
        <v>11359</v>
      </c>
      <c r="BA1379" s="81" t="s">
        <v>11359</v>
      </c>
      <c r="BB1379" s="81" t="s">
        <v>11359</v>
      </c>
      <c r="BC1379" s="81" t="s">
        <v>10500</v>
      </c>
      <c r="BD1379" s="77">
        <v>408407234</v>
      </c>
      <c r="BE1379" s="77"/>
      <c r="BF1379" s="77"/>
      <c r="BG1379" s="77"/>
      <c r="BH1379" s="77"/>
      <c r="BI1379" s="77"/>
    </row>
    <row r="1380" spans="1:61" x14ac:dyDescent="0.25">
      <c r="A1380" s="62" t="s">
        <v>506</v>
      </c>
      <c r="B1380" s="62" t="s">
        <v>506</v>
      </c>
      <c r="C1380" s="63"/>
      <c r="D1380" s="64"/>
      <c r="E1380" s="65"/>
      <c r="F1380" s="66"/>
      <c r="G1380" s="63"/>
      <c r="H1380" s="67"/>
      <c r="I1380" s="68"/>
      <c r="J1380" s="68"/>
      <c r="K1380" s="32"/>
      <c r="L1380" s="75">
        <v>1380</v>
      </c>
      <c r="M1380" s="75"/>
      <c r="N1380" s="70"/>
      <c r="O1380" s="77" t="s">
        <v>179</v>
      </c>
      <c r="P1380" s="79">
        <v>45106.480138888888</v>
      </c>
      <c r="Q1380" s="77" t="s">
        <v>2178</v>
      </c>
      <c r="R1380" s="77">
        <v>0</v>
      </c>
      <c r="S1380" s="77">
        <v>0</v>
      </c>
      <c r="T1380" s="77">
        <v>0</v>
      </c>
      <c r="U1380" s="77">
        <v>0</v>
      </c>
      <c r="V1380" s="77">
        <v>17</v>
      </c>
      <c r="W1380" s="81" t="s">
        <v>3603</v>
      </c>
      <c r="X1380" s="83" t="str">
        <f>HYPERLINK("https://my.mtr.cool/reyqdlivuy")</f>
        <v>https://my.mtr.cool/reyqdlivuy</v>
      </c>
      <c r="Y1380" s="77" t="s">
        <v>4289</v>
      </c>
      <c r="Z1380" s="77"/>
      <c r="AA1380" s="77" t="s">
        <v>5338</v>
      </c>
      <c r="AB1380" s="77" t="s">
        <v>5799</v>
      </c>
      <c r="AC1380" s="81" t="s">
        <v>5812</v>
      </c>
      <c r="AD1380" s="77" t="s">
        <v>5850</v>
      </c>
      <c r="AE1380" s="83" t="str">
        <f>HYPERLINK("https://twitter.com/fotoganando/status/1674380039608053760")</f>
        <v>https://twitter.com/fotoganando/status/1674380039608053760</v>
      </c>
      <c r="AF1380" s="79">
        <v>45106.480138888888</v>
      </c>
      <c r="AG1380" s="85">
        <v>45106</v>
      </c>
      <c r="AH1380" s="81" t="s">
        <v>7035</v>
      </c>
      <c r="AI1380" s="77" t="b">
        <v>0</v>
      </c>
      <c r="AJ1380" s="77"/>
      <c r="AK1380" s="77"/>
      <c r="AL1380" s="77"/>
      <c r="AM1380" s="77"/>
      <c r="AN1380" s="77"/>
      <c r="AO1380" s="77"/>
      <c r="AP1380" s="77"/>
      <c r="AQ1380" s="77" t="s">
        <v>8841</v>
      </c>
      <c r="AR1380" s="77"/>
      <c r="AS1380" s="77"/>
      <c r="AT1380" s="77"/>
      <c r="AU1380" s="77"/>
      <c r="AV1380" s="83" t="str">
        <f>HYPERLINK("https://pbs.twimg.com/media/FzyXwjYXwAAGhKI.jpg")</f>
        <v>https://pbs.twimg.com/media/FzyXwjYXwAAGhKI.jpg</v>
      </c>
      <c r="AW1380" s="81" t="s">
        <v>10501</v>
      </c>
      <c r="AX1380" s="81" t="s">
        <v>10501</v>
      </c>
      <c r="AY1380" s="77"/>
      <c r="AZ1380" s="81" t="s">
        <v>11359</v>
      </c>
      <c r="BA1380" s="81" t="s">
        <v>11359</v>
      </c>
      <c r="BB1380" s="81" t="s">
        <v>11359</v>
      </c>
      <c r="BC1380" s="81" t="s">
        <v>10501</v>
      </c>
      <c r="BD1380" s="77">
        <v>408407234</v>
      </c>
      <c r="BE1380" s="77"/>
      <c r="BF1380" s="77"/>
      <c r="BG1380" s="77"/>
      <c r="BH1380" s="77"/>
      <c r="BI1380" s="77"/>
    </row>
    <row r="1381" spans="1:61" x14ac:dyDescent="0.25">
      <c r="A1381" s="62" t="s">
        <v>506</v>
      </c>
      <c r="B1381" s="62" t="s">
        <v>506</v>
      </c>
      <c r="C1381" s="63"/>
      <c r="D1381" s="64"/>
      <c r="E1381" s="65"/>
      <c r="F1381" s="66"/>
      <c r="G1381" s="63"/>
      <c r="H1381" s="67"/>
      <c r="I1381" s="68"/>
      <c r="J1381" s="68"/>
      <c r="K1381" s="32"/>
      <c r="L1381" s="75">
        <v>1381</v>
      </c>
      <c r="M1381" s="75"/>
      <c r="N1381" s="70"/>
      <c r="O1381" s="77" t="s">
        <v>179</v>
      </c>
      <c r="P1381" s="79">
        <v>45174.88009259259</v>
      </c>
      <c r="Q1381" s="77" t="s">
        <v>2179</v>
      </c>
      <c r="R1381" s="77">
        <v>0</v>
      </c>
      <c r="S1381" s="77">
        <v>0</v>
      </c>
      <c r="T1381" s="77">
        <v>0</v>
      </c>
      <c r="U1381" s="77">
        <v>0</v>
      </c>
      <c r="V1381" s="77">
        <v>3</v>
      </c>
      <c r="W1381" s="81" t="s">
        <v>3602</v>
      </c>
      <c r="X1381" s="83" t="str">
        <f>HYPERLINK("https://mtr.cool/jqgibjbwrv")</f>
        <v>https://mtr.cool/jqgibjbwrv</v>
      </c>
      <c r="Y1381" s="77" t="s">
        <v>4289</v>
      </c>
      <c r="Z1381" s="77"/>
      <c r="AA1381" s="77" t="s">
        <v>5339</v>
      </c>
      <c r="AB1381" s="77" t="s">
        <v>5796</v>
      </c>
      <c r="AC1381" s="81" t="s">
        <v>5812</v>
      </c>
      <c r="AD1381" s="77" t="s">
        <v>5850</v>
      </c>
      <c r="AE1381" s="83" t="str">
        <f>HYPERLINK("https://twitter.com/fotoganando/status/1699167350640062709")</f>
        <v>https://twitter.com/fotoganando/status/1699167350640062709</v>
      </c>
      <c r="AF1381" s="79">
        <v>45174.88009259259</v>
      </c>
      <c r="AG1381" s="85">
        <v>45174</v>
      </c>
      <c r="AH1381" s="81" t="s">
        <v>7036</v>
      </c>
      <c r="AI1381" s="77" t="b">
        <v>0</v>
      </c>
      <c r="AJ1381" s="77"/>
      <c r="AK1381" s="77"/>
      <c r="AL1381" s="77"/>
      <c r="AM1381" s="77"/>
      <c r="AN1381" s="77"/>
      <c r="AO1381" s="77"/>
      <c r="AP1381" s="77"/>
      <c r="AQ1381" s="77" t="s">
        <v>8842</v>
      </c>
      <c r="AR1381" s="77"/>
      <c r="AS1381" s="77"/>
      <c r="AT1381" s="77"/>
      <c r="AU1381" s="77"/>
      <c r="AV1381" s="83" t="str">
        <f>HYPERLINK("https://pbs.twimg.com/tweet_video_thumb/F5Snss4XkAEf87T.jpg")</f>
        <v>https://pbs.twimg.com/tweet_video_thumb/F5Snss4XkAEf87T.jpg</v>
      </c>
      <c r="AW1381" s="81" t="s">
        <v>10502</v>
      </c>
      <c r="AX1381" s="81" t="s">
        <v>10502</v>
      </c>
      <c r="AY1381" s="77"/>
      <c r="AZ1381" s="81" t="s">
        <v>11359</v>
      </c>
      <c r="BA1381" s="81" t="s">
        <v>11359</v>
      </c>
      <c r="BB1381" s="81" t="s">
        <v>11359</v>
      </c>
      <c r="BC1381" s="81" t="s">
        <v>10502</v>
      </c>
      <c r="BD1381" s="77">
        <v>408407234</v>
      </c>
      <c r="BE1381" s="77"/>
      <c r="BF1381" s="77"/>
      <c r="BG1381" s="77"/>
      <c r="BH1381" s="77"/>
      <c r="BI1381" s="77"/>
    </row>
    <row r="1382" spans="1:61" x14ac:dyDescent="0.25">
      <c r="A1382" s="62" t="s">
        <v>506</v>
      </c>
      <c r="B1382" s="62" t="s">
        <v>506</v>
      </c>
      <c r="C1382" s="63"/>
      <c r="D1382" s="64"/>
      <c r="E1382" s="65"/>
      <c r="F1382" s="66"/>
      <c r="G1382" s="63"/>
      <c r="H1382" s="67"/>
      <c r="I1382" s="68"/>
      <c r="J1382" s="68"/>
      <c r="K1382" s="32"/>
      <c r="L1382" s="75">
        <v>1382</v>
      </c>
      <c r="M1382" s="75"/>
      <c r="N1382" s="70"/>
      <c r="O1382" s="77" t="s">
        <v>179</v>
      </c>
      <c r="P1382" s="79">
        <v>45132.305787037039</v>
      </c>
      <c r="Q1382" s="77" t="s">
        <v>2180</v>
      </c>
      <c r="R1382" s="77">
        <v>0</v>
      </c>
      <c r="S1382" s="77">
        <v>0</v>
      </c>
      <c r="T1382" s="77">
        <v>0</v>
      </c>
      <c r="U1382" s="77">
        <v>0</v>
      </c>
      <c r="V1382" s="77">
        <v>2</v>
      </c>
      <c r="W1382" s="81" t="s">
        <v>3602</v>
      </c>
      <c r="X1382" s="83" t="str">
        <f>HYPERLINK("https://mtr.cool/pclmmvszjb")</f>
        <v>https://mtr.cool/pclmmvszjb</v>
      </c>
      <c r="Y1382" s="77" t="s">
        <v>4289</v>
      </c>
      <c r="Z1382" s="77"/>
      <c r="AA1382" s="77" t="s">
        <v>5340</v>
      </c>
      <c r="AB1382" s="77" t="s">
        <v>5796</v>
      </c>
      <c r="AC1382" s="81" t="s">
        <v>5812</v>
      </c>
      <c r="AD1382" s="77" t="s">
        <v>5850</v>
      </c>
      <c r="AE1382" s="83" t="str">
        <f>HYPERLINK("https://twitter.com/fotoganando/status/1683738941751541760")</f>
        <v>https://twitter.com/fotoganando/status/1683738941751541760</v>
      </c>
      <c r="AF1382" s="79">
        <v>45132.305787037039</v>
      </c>
      <c r="AG1382" s="85">
        <v>45132</v>
      </c>
      <c r="AH1382" s="81" t="s">
        <v>7037</v>
      </c>
      <c r="AI1382" s="77" t="b">
        <v>0</v>
      </c>
      <c r="AJ1382" s="77"/>
      <c r="AK1382" s="77"/>
      <c r="AL1382" s="77"/>
      <c r="AM1382" s="77"/>
      <c r="AN1382" s="77"/>
      <c r="AO1382" s="77"/>
      <c r="AP1382" s="77"/>
      <c r="AQ1382" s="77" t="s">
        <v>8843</v>
      </c>
      <c r="AR1382" s="77"/>
      <c r="AS1382" s="77"/>
      <c r="AT1382" s="77"/>
      <c r="AU1382" s="77"/>
      <c r="AV1382" s="83" t="str">
        <f>HYPERLINK("https://pbs.twimg.com/tweet_video_thumb/F13XpJnXwAI4X1x.jpg")</f>
        <v>https://pbs.twimg.com/tweet_video_thumb/F13XpJnXwAI4X1x.jpg</v>
      </c>
      <c r="AW1382" s="81" t="s">
        <v>10503</v>
      </c>
      <c r="AX1382" s="81" t="s">
        <v>10503</v>
      </c>
      <c r="AY1382" s="77"/>
      <c r="AZ1382" s="81" t="s">
        <v>11359</v>
      </c>
      <c r="BA1382" s="81" t="s">
        <v>11359</v>
      </c>
      <c r="BB1382" s="81" t="s">
        <v>11359</v>
      </c>
      <c r="BC1382" s="81" t="s">
        <v>10503</v>
      </c>
      <c r="BD1382" s="77">
        <v>408407234</v>
      </c>
      <c r="BE1382" s="77"/>
      <c r="BF1382" s="77"/>
      <c r="BG1382" s="77"/>
      <c r="BH1382" s="77"/>
      <c r="BI1382" s="77"/>
    </row>
    <row r="1383" spans="1:61" x14ac:dyDescent="0.25">
      <c r="A1383" s="62" t="s">
        <v>506</v>
      </c>
      <c r="B1383" s="62" t="s">
        <v>506</v>
      </c>
      <c r="C1383" s="63"/>
      <c r="D1383" s="64"/>
      <c r="E1383" s="65"/>
      <c r="F1383" s="66"/>
      <c r="G1383" s="63"/>
      <c r="H1383" s="67"/>
      <c r="I1383" s="68"/>
      <c r="J1383" s="68"/>
      <c r="K1383" s="32"/>
      <c r="L1383" s="75">
        <v>1383</v>
      </c>
      <c r="M1383" s="75"/>
      <c r="N1383" s="70"/>
      <c r="O1383" s="77" t="s">
        <v>179</v>
      </c>
      <c r="P1383" s="79">
        <v>45063.841203703705</v>
      </c>
      <c r="Q1383" s="77" t="s">
        <v>2181</v>
      </c>
      <c r="R1383" s="77">
        <v>0</v>
      </c>
      <c r="S1383" s="77">
        <v>0</v>
      </c>
      <c r="T1383" s="77">
        <v>1</v>
      </c>
      <c r="U1383" s="77">
        <v>0</v>
      </c>
      <c r="V1383" s="77">
        <v>11</v>
      </c>
      <c r="W1383" s="81" t="s">
        <v>3603</v>
      </c>
      <c r="X1383" s="83" t="str">
        <f>HYPERLINK("https://mtr.cool/mkcavmfbnd")</f>
        <v>https://mtr.cool/mkcavmfbnd</v>
      </c>
      <c r="Y1383" s="77" t="s">
        <v>4289</v>
      </c>
      <c r="Z1383" s="77"/>
      <c r="AA1383" s="77" t="s">
        <v>5341</v>
      </c>
      <c r="AB1383" s="77" t="s">
        <v>5799</v>
      </c>
      <c r="AC1383" s="81" t="s">
        <v>5812</v>
      </c>
      <c r="AD1383" s="77" t="s">
        <v>5850</v>
      </c>
      <c r="AE1383" s="83" t="str">
        <f>HYPERLINK("https://twitter.com/fotoganando/status/1658928205279948800")</f>
        <v>https://twitter.com/fotoganando/status/1658928205279948800</v>
      </c>
      <c r="AF1383" s="79">
        <v>45063.841203703705</v>
      </c>
      <c r="AG1383" s="85">
        <v>45063</v>
      </c>
      <c r="AH1383" s="81" t="s">
        <v>7038</v>
      </c>
      <c r="AI1383" s="77" t="b">
        <v>0</v>
      </c>
      <c r="AJ1383" s="77"/>
      <c r="AK1383" s="77"/>
      <c r="AL1383" s="77"/>
      <c r="AM1383" s="77"/>
      <c r="AN1383" s="77"/>
      <c r="AO1383" s="77"/>
      <c r="AP1383" s="77"/>
      <c r="AQ1383" s="77" t="s">
        <v>8844</v>
      </c>
      <c r="AR1383" s="77"/>
      <c r="AS1383" s="77"/>
      <c r="AT1383" s="77"/>
      <c r="AU1383" s="77"/>
      <c r="AV1383" s="83" t="str">
        <f>HYPERLINK("https://pbs.twimg.com/media/FwWyZUDXwAMdZi5.jpg")</f>
        <v>https://pbs.twimg.com/media/FwWyZUDXwAMdZi5.jpg</v>
      </c>
      <c r="AW1383" s="81" t="s">
        <v>10504</v>
      </c>
      <c r="AX1383" s="81" t="s">
        <v>10504</v>
      </c>
      <c r="AY1383" s="77"/>
      <c r="AZ1383" s="81" t="s">
        <v>11359</v>
      </c>
      <c r="BA1383" s="81" t="s">
        <v>11359</v>
      </c>
      <c r="BB1383" s="81" t="s">
        <v>11359</v>
      </c>
      <c r="BC1383" s="81" t="s">
        <v>10504</v>
      </c>
      <c r="BD1383" s="77">
        <v>408407234</v>
      </c>
      <c r="BE1383" s="77"/>
      <c r="BF1383" s="77"/>
      <c r="BG1383" s="77"/>
      <c r="BH1383" s="77"/>
      <c r="BI1383" s="77"/>
    </row>
    <row r="1384" spans="1:61" x14ac:dyDescent="0.25">
      <c r="A1384" s="62" t="s">
        <v>506</v>
      </c>
      <c r="B1384" s="62" t="s">
        <v>506</v>
      </c>
      <c r="C1384" s="63"/>
      <c r="D1384" s="64"/>
      <c r="E1384" s="65"/>
      <c r="F1384" s="66"/>
      <c r="G1384" s="63"/>
      <c r="H1384" s="67"/>
      <c r="I1384" s="68"/>
      <c r="J1384" s="68"/>
      <c r="K1384" s="32"/>
      <c r="L1384" s="75">
        <v>1384</v>
      </c>
      <c r="M1384" s="75"/>
      <c r="N1384" s="70"/>
      <c r="O1384" s="77" t="s">
        <v>179</v>
      </c>
      <c r="P1384" s="79">
        <v>45192.305798611109</v>
      </c>
      <c r="Q1384" s="77" t="s">
        <v>2182</v>
      </c>
      <c r="R1384" s="77">
        <v>0</v>
      </c>
      <c r="S1384" s="77">
        <v>0</v>
      </c>
      <c r="T1384" s="77">
        <v>0</v>
      </c>
      <c r="U1384" s="77">
        <v>0</v>
      </c>
      <c r="V1384" s="77">
        <v>10</v>
      </c>
      <c r="W1384" s="81" t="s">
        <v>3603</v>
      </c>
      <c r="X1384" s="83" t="str">
        <f>HYPERLINK("https://mtr.cool/bghqezmwja")</f>
        <v>https://mtr.cool/bghqezmwja</v>
      </c>
      <c r="Y1384" s="77" t="s">
        <v>4289</v>
      </c>
      <c r="Z1384" s="77"/>
      <c r="AA1384" s="77" t="s">
        <v>5342</v>
      </c>
      <c r="AB1384" s="77" t="s">
        <v>5799</v>
      </c>
      <c r="AC1384" s="81" t="s">
        <v>5812</v>
      </c>
      <c r="AD1384" s="77" t="s">
        <v>5850</v>
      </c>
      <c r="AE1384" s="83" t="str">
        <f>HYPERLINK("https://twitter.com/fotoganando/status/1705482216178864465")</f>
        <v>https://twitter.com/fotoganando/status/1705482216178864465</v>
      </c>
      <c r="AF1384" s="79">
        <v>45192.305798611109</v>
      </c>
      <c r="AG1384" s="85">
        <v>45192</v>
      </c>
      <c r="AH1384" s="81" t="s">
        <v>7039</v>
      </c>
      <c r="AI1384" s="77" t="b">
        <v>0</v>
      </c>
      <c r="AJ1384" s="77"/>
      <c r="AK1384" s="77"/>
      <c r="AL1384" s="77"/>
      <c r="AM1384" s="77"/>
      <c r="AN1384" s="77"/>
      <c r="AO1384" s="77"/>
      <c r="AP1384" s="77"/>
      <c r="AQ1384" s="77" t="s">
        <v>8845</v>
      </c>
      <c r="AR1384" s="77"/>
      <c r="AS1384" s="77"/>
      <c r="AT1384" s="77"/>
      <c r="AU1384" s="77"/>
      <c r="AV1384" s="83" t="str">
        <f>HYPERLINK("https://pbs.twimg.com/media/F6sXBbmXgAA5jOw.jpg")</f>
        <v>https://pbs.twimg.com/media/F6sXBbmXgAA5jOw.jpg</v>
      </c>
      <c r="AW1384" s="81" t="s">
        <v>10505</v>
      </c>
      <c r="AX1384" s="81" t="s">
        <v>10505</v>
      </c>
      <c r="AY1384" s="77"/>
      <c r="AZ1384" s="81" t="s">
        <v>11359</v>
      </c>
      <c r="BA1384" s="81" t="s">
        <v>11359</v>
      </c>
      <c r="BB1384" s="81" t="s">
        <v>11359</v>
      </c>
      <c r="BC1384" s="81" t="s">
        <v>10505</v>
      </c>
      <c r="BD1384" s="77">
        <v>408407234</v>
      </c>
      <c r="BE1384" s="77"/>
      <c r="BF1384" s="77"/>
      <c r="BG1384" s="77"/>
      <c r="BH1384" s="77"/>
      <c r="BI1384" s="77"/>
    </row>
    <row r="1385" spans="1:61" x14ac:dyDescent="0.25">
      <c r="A1385" s="62" t="s">
        <v>506</v>
      </c>
      <c r="B1385" s="62" t="s">
        <v>506</v>
      </c>
      <c r="C1385" s="63"/>
      <c r="D1385" s="64"/>
      <c r="E1385" s="65"/>
      <c r="F1385" s="66"/>
      <c r="G1385" s="63"/>
      <c r="H1385" s="67"/>
      <c r="I1385" s="68"/>
      <c r="J1385" s="68"/>
      <c r="K1385" s="32"/>
      <c r="L1385" s="75">
        <v>1385</v>
      </c>
      <c r="M1385" s="75"/>
      <c r="N1385" s="70"/>
      <c r="O1385" s="77" t="s">
        <v>179</v>
      </c>
      <c r="P1385" s="79">
        <v>45148.885636574072</v>
      </c>
      <c r="Q1385" s="77" t="s">
        <v>2183</v>
      </c>
      <c r="R1385" s="77">
        <v>0</v>
      </c>
      <c r="S1385" s="77">
        <v>0</v>
      </c>
      <c r="T1385" s="77">
        <v>0</v>
      </c>
      <c r="U1385" s="77">
        <v>0</v>
      </c>
      <c r="V1385" s="77">
        <v>8</v>
      </c>
      <c r="W1385" s="81" t="s">
        <v>3603</v>
      </c>
      <c r="X1385" s="83" t="str">
        <f>HYPERLINK("https://mtr.cool/vrrxmmszah")</f>
        <v>https://mtr.cool/vrrxmmszah</v>
      </c>
      <c r="Y1385" s="77" t="s">
        <v>4289</v>
      </c>
      <c r="Z1385" s="77"/>
      <c r="AA1385" s="77" t="s">
        <v>5343</v>
      </c>
      <c r="AB1385" s="77" t="s">
        <v>5799</v>
      </c>
      <c r="AC1385" s="81" t="s">
        <v>5812</v>
      </c>
      <c r="AD1385" s="77" t="s">
        <v>5850</v>
      </c>
      <c r="AE1385" s="83" t="str">
        <f>HYPERLINK("https://twitter.com/fotoganando/status/1689747278666317824")</f>
        <v>https://twitter.com/fotoganando/status/1689747278666317824</v>
      </c>
      <c r="AF1385" s="79">
        <v>45148.885636574072</v>
      </c>
      <c r="AG1385" s="85">
        <v>45148</v>
      </c>
      <c r="AH1385" s="81" t="s">
        <v>6899</v>
      </c>
      <c r="AI1385" s="77" t="b">
        <v>0</v>
      </c>
      <c r="AJ1385" s="77"/>
      <c r="AK1385" s="77"/>
      <c r="AL1385" s="77"/>
      <c r="AM1385" s="77"/>
      <c r="AN1385" s="77"/>
      <c r="AO1385" s="77"/>
      <c r="AP1385" s="77"/>
      <c r="AQ1385" s="77" t="s">
        <v>8846</v>
      </c>
      <c r="AR1385" s="77"/>
      <c r="AS1385" s="77"/>
      <c r="AT1385" s="77"/>
      <c r="AU1385" s="77"/>
      <c r="AV1385" s="83" t="str">
        <f>HYPERLINK("https://pbs.twimg.com/media/F3MwLi-WMAI1-cy.jpg")</f>
        <v>https://pbs.twimg.com/media/F3MwLi-WMAI1-cy.jpg</v>
      </c>
      <c r="AW1385" s="81" t="s">
        <v>10506</v>
      </c>
      <c r="AX1385" s="81" t="s">
        <v>10506</v>
      </c>
      <c r="AY1385" s="77"/>
      <c r="AZ1385" s="81" t="s">
        <v>11359</v>
      </c>
      <c r="BA1385" s="81" t="s">
        <v>11359</v>
      </c>
      <c r="BB1385" s="81" t="s">
        <v>11359</v>
      </c>
      <c r="BC1385" s="81" t="s">
        <v>10506</v>
      </c>
      <c r="BD1385" s="77">
        <v>408407234</v>
      </c>
      <c r="BE1385" s="77"/>
      <c r="BF1385" s="77"/>
      <c r="BG1385" s="77"/>
      <c r="BH1385" s="77"/>
      <c r="BI1385" s="77"/>
    </row>
    <row r="1386" spans="1:61" x14ac:dyDescent="0.25">
      <c r="A1386" s="62" t="s">
        <v>506</v>
      </c>
      <c r="B1386" s="62" t="s">
        <v>506</v>
      </c>
      <c r="C1386" s="63"/>
      <c r="D1386" s="64"/>
      <c r="E1386" s="65"/>
      <c r="F1386" s="66"/>
      <c r="G1386" s="63"/>
      <c r="H1386" s="67"/>
      <c r="I1386" s="68"/>
      <c r="J1386" s="68"/>
      <c r="K1386" s="32"/>
      <c r="L1386" s="75">
        <v>1386</v>
      </c>
      <c r="M1386" s="75"/>
      <c r="N1386" s="70"/>
      <c r="O1386" s="77" t="s">
        <v>179</v>
      </c>
      <c r="P1386" s="79">
        <v>45089.305891203701</v>
      </c>
      <c r="Q1386" s="77" t="s">
        <v>2184</v>
      </c>
      <c r="R1386" s="77">
        <v>0</v>
      </c>
      <c r="S1386" s="77">
        <v>0</v>
      </c>
      <c r="T1386" s="77">
        <v>0</v>
      </c>
      <c r="U1386" s="77">
        <v>0</v>
      </c>
      <c r="V1386" s="77">
        <v>11</v>
      </c>
      <c r="W1386" s="81" t="s">
        <v>3602</v>
      </c>
      <c r="X1386" s="83" t="str">
        <f>HYPERLINK("https://i.mtr.cool/yljypfcwai")</f>
        <v>https://i.mtr.cool/yljypfcwai</v>
      </c>
      <c r="Y1386" s="77" t="s">
        <v>4289</v>
      </c>
      <c r="Z1386" s="77"/>
      <c r="AA1386" s="77" t="s">
        <v>5344</v>
      </c>
      <c r="AB1386" s="77" t="s">
        <v>5796</v>
      </c>
      <c r="AC1386" s="81" t="s">
        <v>5812</v>
      </c>
      <c r="AD1386" s="77" t="s">
        <v>5850</v>
      </c>
      <c r="AE1386" s="83" t="str">
        <f>HYPERLINK("https://twitter.com/fotoganando/status/1668156300239183872")</f>
        <v>https://twitter.com/fotoganando/status/1668156300239183872</v>
      </c>
      <c r="AF1386" s="79">
        <v>45089.305891203701</v>
      </c>
      <c r="AG1386" s="85">
        <v>45089</v>
      </c>
      <c r="AH1386" s="81" t="s">
        <v>7040</v>
      </c>
      <c r="AI1386" s="77" t="b">
        <v>0</v>
      </c>
      <c r="AJ1386" s="77"/>
      <c r="AK1386" s="77"/>
      <c r="AL1386" s="77"/>
      <c r="AM1386" s="77"/>
      <c r="AN1386" s="77"/>
      <c r="AO1386" s="77"/>
      <c r="AP1386" s="77"/>
      <c r="AQ1386" s="77" t="s">
        <v>8847</v>
      </c>
      <c r="AR1386" s="77"/>
      <c r="AS1386" s="77"/>
      <c r="AT1386" s="77"/>
      <c r="AU1386" s="77"/>
      <c r="AV1386" s="83" t="str">
        <f>HYPERLINK("https://pbs.twimg.com/tweet_video_thumb/FyZ7T_wWcAY_187.jpg")</f>
        <v>https://pbs.twimg.com/tweet_video_thumb/FyZ7T_wWcAY_187.jpg</v>
      </c>
      <c r="AW1386" s="81" t="s">
        <v>10507</v>
      </c>
      <c r="AX1386" s="81" t="s">
        <v>10507</v>
      </c>
      <c r="AY1386" s="77"/>
      <c r="AZ1386" s="81" t="s">
        <v>11359</v>
      </c>
      <c r="BA1386" s="81" t="s">
        <v>11359</v>
      </c>
      <c r="BB1386" s="81" t="s">
        <v>11359</v>
      </c>
      <c r="BC1386" s="81" t="s">
        <v>10507</v>
      </c>
      <c r="BD1386" s="77">
        <v>408407234</v>
      </c>
      <c r="BE1386" s="77"/>
      <c r="BF1386" s="77"/>
      <c r="BG1386" s="77"/>
      <c r="BH1386" s="77"/>
      <c r="BI1386" s="77"/>
    </row>
    <row r="1387" spans="1:61" x14ac:dyDescent="0.25">
      <c r="A1387" s="62" t="s">
        <v>507</v>
      </c>
      <c r="B1387" s="62" t="s">
        <v>507</v>
      </c>
      <c r="C1387" s="63"/>
      <c r="D1387" s="64"/>
      <c r="E1387" s="65"/>
      <c r="F1387" s="66"/>
      <c r="G1387" s="63"/>
      <c r="H1387" s="67"/>
      <c r="I1387" s="68"/>
      <c r="J1387" s="68"/>
      <c r="K1387" s="32"/>
      <c r="L1387" s="75">
        <v>1387</v>
      </c>
      <c r="M1387" s="75"/>
      <c r="N1387" s="70"/>
      <c r="O1387" s="77" t="s">
        <v>179</v>
      </c>
      <c r="P1387" s="79">
        <v>44957.785821759258</v>
      </c>
      <c r="Q1387" s="77" t="s">
        <v>2185</v>
      </c>
      <c r="R1387" s="77">
        <v>0</v>
      </c>
      <c r="S1387" s="77">
        <v>0</v>
      </c>
      <c r="T1387" s="77">
        <v>0</v>
      </c>
      <c r="U1387" s="77">
        <v>0</v>
      </c>
      <c r="V1387" s="77">
        <v>8</v>
      </c>
      <c r="W1387" s="81" t="s">
        <v>3604</v>
      </c>
      <c r="X1387" s="83" t="str">
        <f>HYPERLINK("https://www.instagram.com/p/CoFxrQkulYw/?igshid=YTgzYjQ4ZTY=")</f>
        <v>https://www.instagram.com/p/CoFxrQkulYw/?igshid=YTgzYjQ4ZTY=</v>
      </c>
      <c r="Y1387" s="77" t="s">
        <v>4215</v>
      </c>
      <c r="Z1387" s="77"/>
      <c r="AA1387" s="77"/>
      <c r="AB1387" s="77"/>
      <c r="AC1387" s="81" t="s">
        <v>5804</v>
      </c>
      <c r="AD1387" s="77" t="s">
        <v>5850</v>
      </c>
      <c r="AE1387" s="83" t="str">
        <f>HYPERLINK("https://twitter.com/rafaelcineasta7/status/1620495024386445312")</f>
        <v>https://twitter.com/rafaelcineasta7/status/1620495024386445312</v>
      </c>
      <c r="AF1387" s="79">
        <v>44957.785821759258</v>
      </c>
      <c r="AG1387" s="85">
        <v>44957</v>
      </c>
      <c r="AH1387" s="81" t="s">
        <v>7041</v>
      </c>
      <c r="AI1387" s="77" t="b">
        <v>0</v>
      </c>
      <c r="AJ1387" s="77"/>
      <c r="AK1387" s="77"/>
      <c r="AL1387" s="77"/>
      <c r="AM1387" s="77"/>
      <c r="AN1387" s="77"/>
      <c r="AO1387" s="77"/>
      <c r="AP1387" s="77"/>
      <c r="AQ1387" s="77"/>
      <c r="AR1387" s="77"/>
      <c r="AS1387" s="77"/>
      <c r="AT1387" s="77"/>
      <c r="AU1387" s="77"/>
      <c r="AV1387" s="83" t="str">
        <f>HYPERLINK("https://pbs.twimg.com/profile_images/1251632128166629378/qmXQ_3Ip_normal.jpg")</f>
        <v>https://pbs.twimg.com/profile_images/1251632128166629378/qmXQ_3Ip_normal.jpg</v>
      </c>
      <c r="AW1387" s="81" t="s">
        <v>10508</v>
      </c>
      <c r="AX1387" s="81" t="s">
        <v>10508</v>
      </c>
      <c r="AY1387" s="77"/>
      <c r="AZ1387" s="81" t="s">
        <v>11359</v>
      </c>
      <c r="BA1387" s="81" t="s">
        <v>11359</v>
      </c>
      <c r="BB1387" s="81" t="s">
        <v>11359</v>
      </c>
      <c r="BC1387" s="81" t="s">
        <v>10508</v>
      </c>
      <c r="BD1387" s="81" t="s">
        <v>11545</v>
      </c>
      <c r="BE1387" s="77"/>
      <c r="BF1387" s="77"/>
      <c r="BG1387" s="77"/>
      <c r="BH1387" s="77"/>
      <c r="BI1387" s="77"/>
    </row>
    <row r="1388" spans="1:61" x14ac:dyDescent="0.25">
      <c r="A1388" s="62" t="s">
        <v>508</v>
      </c>
      <c r="B1388" s="62" t="s">
        <v>508</v>
      </c>
      <c r="C1388" s="63"/>
      <c r="D1388" s="64"/>
      <c r="E1388" s="65"/>
      <c r="F1388" s="66"/>
      <c r="G1388" s="63"/>
      <c r="H1388" s="67"/>
      <c r="I1388" s="68"/>
      <c r="J1388" s="68"/>
      <c r="K1388" s="32"/>
      <c r="L1388" s="75">
        <v>1388</v>
      </c>
      <c r="M1388" s="75"/>
      <c r="N1388" s="70"/>
      <c r="O1388" s="77" t="s">
        <v>179</v>
      </c>
      <c r="P1388" s="79">
        <v>44935.598240740743</v>
      </c>
      <c r="Q1388" s="77" t="s">
        <v>2186</v>
      </c>
      <c r="R1388" s="77">
        <v>0</v>
      </c>
      <c r="S1388" s="77">
        <v>0</v>
      </c>
      <c r="T1388" s="77">
        <v>0</v>
      </c>
      <c r="U1388" s="77">
        <v>0</v>
      </c>
      <c r="V1388" s="77">
        <v>20</v>
      </c>
      <c r="W1388" s="81" t="s">
        <v>3605</v>
      </c>
      <c r="X1388" s="83" t="str">
        <f>HYPERLINK("https://www.ip.gov.py/ip/vidriera-de-empleo-cuenta-con-382-vacancias-laborales-esta-semana/")</f>
        <v>https://www.ip.gov.py/ip/vidriera-de-empleo-cuenta-con-382-vacancias-laborales-esta-semana/</v>
      </c>
      <c r="Y1388" s="77" t="s">
        <v>4290</v>
      </c>
      <c r="Z1388" s="77"/>
      <c r="AA1388" s="77"/>
      <c r="AB1388" s="77"/>
      <c r="AC1388" s="81" t="s">
        <v>5805</v>
      </c>
      <c r="AD1388" s="77" t="s">
        <v>5850</v>
      </c>
      <c r="AE1388" s="83" t="str">
        <f>HYPERLINK("https://twitter.com/noejaz77/status/1612454512156938244")</f>
        <v>https://twitter.com/noejaz77/status/1612454512156938244</v>
      </c>
      <c r="AF1388" s="79">
        <v>44935.598240740743</v>
      </c>
      <c r="AG1388" s="85">
        <v>44935</v>
      </c>
      <c r="AH1388" s="81" t="s">
        <v>7042</v>
      </c>
      <c r="AI1388" s="77" t="b">
        <v>0</v>
      </c>
      <c r="AJ1388" s="77"/>
      <c r="AK1388" s="77"/>
      <c r="AL1388" s="77"/>
      <c r="AM1388" s="77"/>
      <c r="AN1388" s="77"/>
      <c r="AO1388" s="77"/>
      <c r="AP1388" s="77"/>
      <c r="AQ1388" s="77"/>
      <c r="AR1388" s="77"/>
      <c r="AS1388" s="77"/>
      <c r="AT1388" s="77"/>
      <c r="AU1388" s="77"/>
      <c r="AV1388" s="83" t="str">
        <f>HYPERLINK("https://pbs.twimg.com/profile_images/1595420833031258113/LYxCj5Mz_normal.jpg")</f>
        <v>https://pbs.twimg.com/profile_images/1595420833031258113/LYxCj5Mz_normal.jpg</v>
      </c>
      <c r="AW1388" s="81" t="s">
        <v>10509</v>
      </c>
      <c r="AX1388" s="81" t="s">
        <v>10509</v>
      </c>
      <c r="AY1388" s="77"/>
      <c r="AZ1388" s="81" t="s">
        <v>11359</v>
      </c>
      <c r="BA1388" s="81" t="s">
        <v>11359</v>
      </c>
      <c r="BB1388" s="81" t="s">
        <v>11359</v>
      </c>
      <c r="BC1388" s="81" t="s">
        <v>10509</v>
      </c>
      <c r="BD1388" s="77">
        <v>4526577023</v>
      </c>
      <c r="BE1388" s="77"/>
      <c r="BF1388" s="77"/>
      <c r="BG1388" s="77"/>
      <c r="BH1388" s="77"/>
      <c r="BI1388" s="77"/>
    </row>
    <row r="1389" spans="1:61" x14ac:dyDescent="0.25">
      <c r="A1389" s="62" t="s">
        <v>509</v>
      </c>
      <c r="B1389" s="62" t="s">
        <v>509</v>
      </c>
      <c r="C1389" s="63"/>
      <c r="D1389" s="64"/>
      <c r="E1389" s="65"/>
      <c r="F1389" s="66"/>
      <c r="G1389" s="63"/>
      <c r="H1389" s="67"/>
      <c r="I1389" s="68"/>
      <c r="J1389" s="68"/>
      <c r="K1389" s="32"/>
      <c r="L1389" s="75">
        <v>1389</v>
      </c>
      <c r="M1389" s="75"/>
      <c r="N1389" s="70"/>
      <c r="O1389" s="77" t="s">
        <v>179</v>
      </c>
      <c r="P1389" s="79">
        <v>45180.634884259256</v>
      </c>
      <c r="Q1389" s="77" t="s">
        <v>2187</v>
      </c>
      <c r="R1389" s="77">
        <v>1</v>
      </c>
      <c r="S1389" s="77">
        <v>2</v>
      </c>
      <c r="T1389" s="77">
        <v>0</v>
      </c>
      <c r="U1389" s="77">
        <v>0</v>
      </c>
      <c r="V1389" s="77">
        <v>562</v>
      </c>
      <c r="W1389" s="81" t="s">
        <v>3606</v>
      </c>
      <c r="X1389" s="77"/>
      <c r="Y1389" s="77"/>
      <c r="Z1389" s="77"/>
      <c r="AA1389" s="77" t="s">
        <v>5345</v>
      </c>
      <c r="AB1389" s="77" t="s">
        <v>5795</v>
      </c>
      <c r="AC1389" s="81" t="s">
        <v>5803</v>
      </c>
      <c r="AD1389" s="77" t="s">
        <v>5853</v>
      </c>
      <c r="AE1389" s="83" t="str">
        <f>HYPERLINK("https://twitter.com/advtalinykrein/status/1701252817095184542")</f>
        <v>https://twitter.com/advtalinykrein/status/1701252817095184542</v>
      </c>
      <c r="AF1389" s="79">
        <v>45180.634884259256</v>
      </c>
      <c r="AG1389" s="85">
        <v>45180</v>
      </c>
      <c r="AH1389" s="81" t="s">
        <v>7043</v>
      </c>
      <c r="AI1389" s="77" t="b">
        <v>0</v>
      </c>
      <c r="AJ1389" s="77"/>
      <c r="AK1389" s="77"/>
      <c r="AL1389" s="77"/>
      <c r="AM1389" s="77"/>
      <c r="AN1389" s="77"/>
      <c r="AO1389" s="77"/>
      <c r="AP1389" s="77"/>
      <c r="AQ1389" s="77" t="s">
        <v>8848</v>
      </c>
      <c r="AR1389" s="77">
        <v>29666</v>
      </c>
      <c r="AS1389" s="77"/>
      <c r="AT1389" s="77"/>
      <c r="AU1389" s="77"/>
      <c r="AV1389" s="83" t="str">
        <f>HYPERLINK("https://pbs.twimg.com/ext_tw_video_thumb/1701252757917749248/pu/img/q30cABcHHXmoqK-2.jpg")</f>
        <v>https://pbs.twimg.com/ext_tw_video_thumb/1701252757917749248/pu/img/q30cABcHHXmoqK-2.jpg</v>
      </c>
      <c r="AW1389" s="81" t="s">
        <v>10510</v>
      </c>
      <c r="AX1389" s="81" t="s">
        <v>10510</v>
      </c>
      <c r="AY1389" s="77"/>
      <c r="AZ1389" s="81" t="s">
        <v>11359</v>
      </c>
      <c r="BA1389" s="81" t="s">
        <v>11359</v>
      </c>
      <c r="BB1389" s="81" t="s">
        <v>11359</v>
      </c>
      <c r="BC1389" s="81" t="s">
        <v>10510</v>
      </c>
      <c r="BD1389" s="81" t="s">
        <v>11546</v>
      </c>
      <c r="BE1389" s="77"/>
      <c r="BF1389" s="77"/>
      <c r="BG1389" s="77"/>
      <c r="BH1389" s="77"/>
      <c r="BI1389" s="77"/>
    </row>
    <row r="1390" spans="1:61" x14ac:dyDescent="0.25">
      <c r="A1390" s="62" t="s">
        <v>510</v>
      </c>
      <c r="B1390" s="62" t="s">
        <v>510</v>
      </c>
      <c r="C1390" s="63"/>
      <c r="D1390" s="64"/>
      <c r="E1390" s="65"/>
      <c r="F1390" s="66"/>
      <c r="G1390" s="63"/>
      <c r="H1390" s="67"/>
      <c r="I1390" s="68"/>
      <c r="J1390" s="68"/>
      <c r="K1390" s="32"/>
      <c r="L1390" s="75">
        <v>1390</v>
      </c>
      <c r="M1390" s="75"/>
      <c r="N1390" s="70"/>
      <c r="O1390" s="77" t="s">
        <v>179</v>
      </c>
      <c r="P1390" s="79">
        <v>44945.0000462963</v>
      </c>
      <c r="Q1390" s="77" t="s">
        <v>2188</v>
      </c>
      <c r="R1390" s="77">
        <v>0</v>
      </c>
      <c r="S1390" s="77">
        <v>0</v>
      </c>
      <c r="T1390" s="77">
        <v>0</v>
      </c>
      <c r="U1390" s="77">
        <v>0</v>
      </c>
      <c r="V1390" s="77">
        <v>32</v>
      </c>
      <c r="W1390" s="81" t="s">
        <v>2947</v>
      </c>
      <c r="X1390" s="77"/>
      <c r="Y1390" s="77"/>
      <c r="Z1390" s="77"/>
      <c r="AA1390" s="77"/>
      <c r="AB1390" s="77"/>
      <c r="AC1390" s="81" t="s">
        <v>5801</v>
      </c>
      <c r="AD1390" s="77" t="s">
        <v>5851</v>
      </c>
      <c r="AE1390" s="83" t="str">
        <f>HYPERLINK("https://twitter.com/crisperezmkt/status/1615861611796865026")</f>
        <v>https://twitter.com/crisperezmkt/status/1615861611796865026</v>
      </c>
      <c r="AF1390" s="79">
        <v>44945.0000462963</v>
      </c>
      <c r="AG1390" s="85">
        <v>44945</v>
      </c>
      <c r="AH1390" s="81" t="s">
        <v>7044</v>
      </c>
      <c r="AI1390" s="77"/>
      <c r="AJ1390" s="77"/>
      <c r="AK1390" s="77"/>
      <c r="AL1390" s="77"/>
      <c r="AM1390" s="77"/>
      <c r="AN1390" s="77"/>
      <c r="AO1390" s="77"/>
      <c r="AP1390" s="77"/>
      <c r="AQ1390" s="77"/>
      <c r="AR1390" s="77"/>
      <c r="AS1390" s="77"/>
      <c r="AT1390" s="77"/>
      <c r="AU1390" s="77"/>
      <c r="AV1390" s="83" t="str">
        <f>HYPERLINK("https://pbs.twimg.com/profile_images/1595577433578676224/IPzPWw_q_normal.jpg")</f>
        <v>https://pbs.twimg.com/profile_images/1595577433578676224/IPzPWw_q_normal.jpg</v>
      </c>
      <c r="AW1390" s="81" t="s">
        <v>10511</v>
      </c>
      <c r="AX1390" s="81" t="s">
        <v>10511</v>
      </c>
      <c r="AY1390" s="77"/>
      <c r="AZ1390" s="81" t="s">
        <v>11359</v>
      </c>
      <c r="BA1390" s="81" t="s">
        <v>11359</v>
      </c>
      <c r="BB1390" s="81" t="s">
        <v>11359</v>
      </c>
      <c r="BC1390" s="81" t="s">
        <v>10511</v>
      </c>
      <c r="BD1390" s="81" t="s">
        <v>11547</v>
      </c>
      <c r="BE1390" s="77"/>
      <c r="BF1390" s="77"/>
      <c r="BG1390" s="77"/>
      <c r="BH1390" s="77"/>
      <c r="BI1390" s="77"/>
    </row>
    <row r="1391" spans="1:61" x14ac:dyDescent="0.25">
      <c r="A1391" s="62" t="s">
        <v>511</v>
      </c>
      <c r="B1391" s="62" t="s">
        <v>511</v>
      </c>
      <c r="C1391" s="63"/>
      <c r="D1391" s="64"/>
      <c r="E1391" s="65"/>
      <c r="F1391" s="66"/>
      <c r="G1391" s="63"/>
      <c r="H1391" s="67"/>
      <c r="I1391" s="68"/>
      <c r="J1391" s="68"/>
      <c r="K1391" s="32"/>
      <c r="L1391" s="75">
        <v>1391</v>
      </c>
      <c r="M1391" s="75"/>
      <c r="N1391" s="70"/>
      <c r="O1391" s="77" t="s">
        <v>179</v>
      </c>
      <c r="P1391" s="79">
        <v>45157.545138888891</v>
      </c>
      <c r="Q1391" s="77" t="s">
        <v>2189</v>
      </c>
      <c r="R1391" s="77">
        <v>0</v>
      </c>
      <c r="S1391" s="77">
        <v>1</v>
      </c>
      <c r="T1391" s="77">
        <v>0</v>
      </c>
      <c r="U1391" s="77">
        <v>0</v>
      </c>
      <c r="V1391" s="77">
        <v>59</v>
      </c>
      <c r="W1391" s="81" t="s">
        <v>3607</v>
      </c>
      <c r="X1391" s="77"/>
      <c r="Y1391" s="77"/>
      <c r="Z1391" s="77"/>
      <c r="AA1391" s="77" t="s">
        <v>5346</v>
      </c>
      <c r="AB1391" s="77" t="s">
        <v>5794</v>
      </c>
      <c r="AC1391" s="81" t="s">
        <v>5805</v>
      </c>
      <c r="AD1391" s="77" t="s">
        <v>5850</v>
      </c>
      <c r="AE1391" s="83" t="str">
        <f>HYPERLINK("https://twitter.com/carlossolisd/status/1692885374907879660")</f>
        <v>https://twitter.com/carlossolisd/status/1692885374907879660</v>
      </c>
      <c r="AF1391" s="79">
        <v>45157.545138888891</v>
      </c>
      <c r="AG1391" s="85">
        <v>45157</v>
      </c>
      <c r="AH1391" s="81" t="s">
        <v>7045</v>
      </c>
      <c r="AI1391" s="77" t="b">
        <v>0</v>
      </c>
      <c r="AJ1391" s="77"/>
      <c r="AK1391" s="77"/>
      <c r="AL1391" s="77"/>
      <c r="AM1391" s="77"/>
      <c r="AN1391" s="77"/>
      <c r="AO1391" s="77"/>
      <c r="AP1391" s="77"/>
      <c r="AQ1391" s="77" t="s">
        <v>8849</v>
      </c>
      <c r="AR1391" s="77"/>
      <c r="AS1391" s="77"/>
      <c r="AT1391" s="77"/>
      <c r="AU1391" s="77"/>
      <c r="AV1391" s="83" t="str">
        <f>HYPERLINK("https://pbs.twimg.com/media/F34gj4GWoAE5L_I.jpg")</f>
        <v>https://pbs.twimg.com/media/F34gj4GWoAE5L_I.jpg</v>
      </c>
      <c r="AW1391" s="81" t="s">
        <v>10512</v>
      </c>
      <c r="AX1391" s="81" t="s">
        <v>10512</v>
      </c>
      <c r="AY1391" s="77"/>
      <c r="AZ1391" s="81" t="s">
        <v>11359</v>
      </c>
      <c r="BA1391" s="81" t="s">
        <v>11359</v>
      </c>
      <c r="BB1391" s="81" t="s">
        <v>11359</v>
      </c>
      <c r="BC1391" s="81" t="s">
        <v>10512</v>
      </c>
      <c r="BD1391" s="77">
        <v>48117689</v>
      </c>
      <c r="BE1391" s="77"/>
      <c r="BF1391" s="77"/>
      <c r="BG1391" s="77"/>
      <c r="BH1391" s="77"/>
      <c r="BI1391" s="77"/>
    </row>
    <row r="1392" spans="1:61" x14ac:dyDescent="0.25">
      <c r="A1392" s="62" t="s">
        <v>512</v>
      </c>
      <c r="B1392" s="62" t="s">
        <v>512</v>
      </c>
      <c r="C1392" s="63"/>
      <c r="D1392" s="64"/>
      <c r="E1392" s="65"/>
      <c r="F1392" s="66"/>
      <c r="G1392" s="63"/>
      <c r="H1392" s="67"/>
      <c r="I1392" s="68"/>
      <c r="J1392" s="68"/>
      <c r="K1392" s="32"/>
      <c r="L1392" s="75">
        <v>1392</v>
      </c>
      <c r="M1392" s="75"/>
      <c r="N1392" s="70"/>
      <c r="O1392" s="77" t="s">
        <v>179</v>
      </c>
      <c r="P1392" s="79">
        <v>44956.692974537036</v>
      </c>
      <c r="Q1392" s="77" t="s">
        <v>2190</v>
      </c>
      <c r="R1392" s="77">
        <v>0</v>
      </c>
      <c r="S1392" s="77">
        <v>0</v>
      </c>
      <c r="T1392" s="77">
        <v>0</v>
      </c>
      <c r="U1392" s="77">
        <v>0</v>
      </c>
      <c r="V1392" s="77">
        <v>2</v>
      </c>
      <c r="W1392" s="81" t="s">
        <v>2947</v>
      </c>
      <c r="X1392" s="83" t="str">
        <f>HYPERLINK("https://lnkd.in/ed7XH7qx")</f>
        <v>https://lnkd.in/ed7XH7qx</v>
      </c>
      <c r="Y1392" s="77" t="s">
        <v>4221</v>
      </c>
      <c r="Z1392" s="77"/>
      <c r="AA1392" s="77"/>
      <c r="AB1392" s="77"/>
      <c r="AC1392" s="81" t="s">
        <v>5810</v>
      </c>
      <c r="AD1392" s="77" t="s">
        <v>5850</v>
      </c>
      <c r="AE1392" s="83" t="str">
        <f>HYPERLINK("https://twitter.com/nortemediacion/status/1620098990355189762")</f>
        <v>https://twitter.com/nortemediacion/status/1620098990355189762</v>
      </c>
      <c r="AF1392" s="79">
        <v>44956.692974537036</v>
      </c>
      <c r="AG1392" s="85">
        <v>44956</v>
      </c>
      <c r="AH1392" s="81" t="s">
        <v>7046</v>
      </c>
      <c r="AI1392" s="77" t="b">
        <v>0</v>
      </c>
      <c r="AJ1392" s="77"/>
      <c r="AK1392" s="77"/>
      <c r="AL1392" s="77"/>
      <c r="AM1392" s="77"/>
      <c r="AN1392" s="77"/>
      <c r="AO1392" s="77"/>
      <c r="AP1392" s="77"/>
      <c r="AQ1392" s="77"/>
      <c r="AR1392" s="77"/>
      <c r="AS1392" s="77"/>
      <c r="AT1392" s="77"/>
      <c r="AU1392" s="77"/>
      <c r="AV1392" s="83" t="str">
        <f>HYPERLINK("https://pbs.twimg.com/profile_images/1562903978500923392/aTpZg30G_normal.jpg")</f>
        <v>https://pbs.twimg.com/profile_images/1562903978500923392/aTpZg30G_normal.jpg</v>
      </c>
      <c r="AW1392" s="81" t="s">
        <v>10513</v>
      </c>
      <c r="AX1392" s="81" t="s">
        <v>10513</v>
      </c>
      <c r="AY1392" s="77"/>
      <c r="AZ1392" s="81" t="s">
        <v>11359</v>
      </c>
      <c r="BA1392" s="81" t="s">
        <v>11359</v>
      </c>
      <c r="BB1392" s="81" t="s">
        <v>11359</v>
      </c>
      <c r="BC1392" s="81" t="s">
        <v>10513</v>
      </c>
      <c r="BD1392" s="77">
        <v>554088474</v>
      </c>
      <c r="BE1392" s="77"/>
      <c r="BF1392" s="77"/>
      <c r="BG1392" s="77"/>
      <c r="BH1392" s="77"/>
      <c r="BI1392" s="77"/>
    </row>
    <row r="1393" spans="1:61" x14ac:dyDescent="0.25">
      <c r="A1393" s="62" t="s">
        <v>513</v>
      </c>
      <c r="B1393" s="62" t="s">
        <v>513</v>
      </c>
      <c r="C1393" s="63"/>
      <c r="D1393" s="64"/>
      <c r="E1393" s="65"/>
      <c r="F1393" s="66"/>
      <c r="G1393" s="63"/>
      <c r="H1393" s="67"/>
      <c r="I1393" s="68"/>
      <c r="J1393" s="68"/>
      <c r="K1393" s="32"/>
      <c r="L1393" s="75">
        <v>1393</v>
      </c>
      <c r="M1393" s="75"/>
      <c r="N1393" s="70"/>
      <c r="O1393" s="77" t="s">
        <v>179</v>
      </c>
      <c r="P1393" s="79">
        <v>44977.856979166667</v>
      </c>
      <c r="Q1393" s="77" t="s">
        <v>2191</v>
      </c>
      <c r="R1393" s="77">
        <v>0</v>
      </c>
      <c r="S1393" s="77">
        <v>0</v>
      </c>
      <c r="T1393" s="77">
        <v>0</v>
      </c>
      <c r="U1393" s="77">
        <v>0</v>
      </c>
      <c r="V1393" s="77">
        <v>31</v>
      </c>
      <c r="W1393" s="81" t="s">
        <v>3608</v>
      </c>
      <c r="X1393" s="83" t="str">
        <f>HYPERLINK("http://linktr.ee/mova.seempreendedor")</f>
        <v>http://linktr.ee/mova.seempreendedor</v>
      </c>
      <c r="Y1393" s="77" t="s">
        <v>4291</v>
      </c>
      <c r="Z1393" s="77"/>
      <c r="AA1393" s="77" t="s">
        <v>5347</v>
      </c>
      <c r="AB1393" s="77" t="s">
        <v>5795</v>
      </c>
      <c r="AC1393" s="81" t="s">
        <v>5806</v>
      </c>
      <c r="AD1393" s="77" t="s">
        <v>5851</v>
      </c>
      <c r="AE1393" s="83" t="str">
        <f>HYPERLINK("https://twitter.com/se_empreendedor/status/1627768565238583297")</f>
        <v>https://twitter.com/se_empreendedor/status/1627768565238583297</v>
      </c>
      <c r="AF1393" s="79">
        <v>44977.856979166667</v>
      </c>
      <c r="AG1393" s="85">
        <v>44977</v>
      </c>
      <c r="AH1393" s="81" t="s">
        <v>7047</v>
      </c>
      <c r="AI1393" s="77" t="b">
        <v>0</v>
      </c>
      <c r="AJ1393" s="77"/>
      <c r="AK1393" s="77"/>
      <c r="AL1393" s="77"/>
      <c r="AM1393" s="77"/>
      <c r="AN1393" s="77"/>
      <c r="AO1393" s="77"/>
      <c r="AP1393" s="77"/>
      <c r="AQ1393" s="77" t="s">
        <v>8850</v>
      </c>
      <c r="AR1393" s="77">
        <v>47666</v>
      </c>
      <c r="AS1393" s="77"/>
      <c r="AT1393" s="77"/>
      <c r="AU1393" s="77"/>
      <c r="AV1393" s="83" t="str">
        <f>HYPERLINK("https://pbs.twimg.com/ext_tw_video_thumb/1627768506723848192/pu/img/ptVVwdq4iPicsj1n.jpg")</f>
        <v>https://pbs.twimg.com/ext_tw_video_thumb/1627768506723848192/pu/img/ptVVwdq4iPicsj1n.jpg</v>
      </c>
      <c r="AW1393" s="81" t="s">
        <v>10514</v>
      </c>
      <c r="AX1393" s="81" t="s">
        <v>10514</v>
      </c>
      <c r="AY1393" s="77"/>
      <c r="AZ1393" s="81" t="s">
        <v>11359</v>
      </c>
      <c r="BA1393" s="81" t="s">
        <v>11359</v>
      </c>
      <c r="BB1393" s="81" t="s">
        <v>11359</v>
      </c>
      <c r="BC1393" s="81" t="s">
        <v>10514</v>
      </c>
      <c r="BD1393" s="81" t="s">
        <v>11548</v>
      </c>
      <c r="BE1393" s="77"/>
      <c r="BF1393" s="77"/>
      <c r="BG1393" s="77"/>
      <c r="BH1393" s="77"/>
      <c r="BI1393" s="77"/>
    </row>
    <row r="1394" spans="1:61" x14ac:dyDescent="0.25">
      <c r="A1394" s="62" t="s">
        <v>513</v>
      </c>
      <c r="B1394" s="62" t="s">
        <v>513</v>
      </c>
      <c r="C1394" s="63"/>
      <c r="D1394" s="64"/>
      <c r="E1394" s="65"/>
      <c r="F1394" s="66"/>
      <c r="G1394" s="63"/>
      <c r="H1394" s="67"/>
      <c r="I1394" s="68"/>
      <c r="J1394" s="68"/>
      <c r="K1394" s="32"/>
      <c r="L1394" s="75">
        <v>1394</v>
      </c>
      <c r="M1394" s="75"/>
      <c r="N1394" s="70"/>
      <c r="O1394" s="77" t="s">
        <v>179</v>
      </c>
      <c r="P1394" s="79">
        <v>44977.547268518516</v>
      </c>
      <c r="Q1394" s="77" t="s">
        <v>2192</v>
      </c>
      <c r="R1394" s="77">
        <v>0</v>
      </c>
      <c r="S1394" s="77">
        <v>0</v>
      </c>
      <c r="T1394" s="77">
        <v>0</v>
      </c>
      <c r="U1394" s="77">
        <v>0</v>
      </c>
      <c r="V1394" s="77">
        <v>32</v>
      </c>
      <c r="W1394" s="81" t="s">
        <v>3608</v>
      </c>
      <c r="X1394" s="83" t="str">
        <f>HYPERLINK("http://linktr.ee/mova.seempreendedor")</f>
        <v>http://linktr.ee/mova.seempreendedor</v>
      </c>
      <c r="Y1394" s="77" t="s">
        <v>4291</v>
      </c>
      <c r="Z1394" s="77"/>
      <c r="AA1394" s="77" t="s">
        <v>5348</v>
      </c>
      <c r="AB1394" s="77" t="s">
        <v>5795</v>
      </c>
      <c r="AC1394" s="81" t="s">
        <v>5806</v>
      </c>
      <c r="AD1394" s="77" t="s">
        <v>5851</v>
      </c>
      <c r="AE1394" s="83" t="str">
        <f>HYPERLINK("https://twitter.com/se_empreendedor/status/1627656330923180033")</f>
        <v>https://twitter.com/se_empreendedor/status/1627656330923180033</v>
      </c>
      <c r="AF1394" s="79">
        <v>44977.547268518516</v>
      </c>
      <c r="AG1394" s="85">
        <v>44977</v>
      </c>
      <c r="AH1394" s="81" t="s">
        <v>7048</v>
      </c>
      <c r="AI1394" s="77" t="b">
        <v>0</v>
      </c>
      <c r="AJ1394" s="77"/>
      <c r="AK1394" s="77"/>
      <c r="AL1394" s="77"/>
      <c r="AM1394" s="77"/>
      <c r="AN1394" s="77"/>
      <c r="AO1394" s="77"/>
      <c r="AP1394" s="77"/>
      <c r="AQ1394" s="77" t="s">
        <v>8851</v>
      </c>
      <c r="AR1394" s="77">
        <v>58500</v>
      </c>
      <c r="AS1394" s="77"/>
      <c r="AT1394" s="77"/>
      <c r="AU1394" s="77"/>
      <c r="AV1394" s="83" t="str">
        <f>HYPERLINK("https://pbs.twimg.com/ext_tw_video_thumb/1627656275516432385/pu/img/D4DweBbufTcbAQqr.jpg")</f>
        <v>https://pbs.twimg.com/ext_tw_video_thumb/1627656275516432385/pu/img/D4DweBbufTcbAQqr.jpg</v>
      </c>
      <c r="AW1394" s="81" t="s">
        <v>10515</v>
      </c>
      <c r="AX1394" s="81" t="s">
        <v>10515</v>
      </c>
      <c r="AY1394" s="77"/>
      <c r="AZ1394" s="81" t="s">
        <v>11359</v>
      </c>
      <c r="BA1394" s="81" t="s">
        <v>11359</v>
      </c>
      <c r="BB1394" s="81" t="s">
        <v>11359</v>
      </c>
      <c r="BC1394" s="81" t="s">
        <v>10515</v>
      </c>
      <c r="BD1394" s="81" t="s">
        <v>11548</v>
      </c>
      <c r="BE1394" s="77"/>
      <c r="BF1394" s="77"/>
      <c r="BG1394" s="77"/>
      <c r="BH1394" s="77"/>
      <c r="BI1394" s="77"/>
    </row>
    <row r="1395" spans="1:61" x14ac:dyDescent="0.25">
      <c r="A1395" s="62" t="s">
        <v>513</v>
      </c>
      <c r="B1395" s="62" t="s">
        <v>513</v>
      </c>
      <c r="C1395" s="63"/>
      <c r="D1395" s="64"/>
      <c r="E1395" s="65"/>
      <c r="F1395" s="66"/>
      <c r="G1395" s="63"/>
      <c r="H1395" s="67"/>
      <c r="I1395" s="68"/>
      <c r="J1395" s="68"/>
      <c r="K1395" s="32"/>
      <c r="L1395" s="75">
        <v>1395</v>
      </c>
      <c r="M1395" s="75"/>
      <c r="N1395" s="70"/>
      <c r="O1395" s="77" t="s">
        <v>179</v>
      </c>
      <c r="P1395" s="79">
        <v>44976.857118055559</v>
      </c>
      <c r="Q1395" s="77" t="s">
        <v>2193</v>
      </c>
      <c r="R1395" s="77">
        <v>0</v>
      </c>
      <c r="S1395" s="77">
        <v>0</v>
      </c>
      <c r="T1395" s="77">
        <v>0</v>
      </c>
      <c r="U1395" s="77">
        <v>0</v>
      </c>
      <c r="V1395" s="77">
        <v>29</v>
      </c>
      <c r="W1395" s="81" t="s">
        <v>3608</v>
      </c>
      <c r="X1395" s="83" t="str">
        <f>HYPERLINK("http://linktr.ee/mova.seempreendedor")</f>
        <v>http://linktr.ee/mova.seempreendedor</v>
      </c>
      <c r="Y1395" s="77" t="s">
        <v>4291</v>
      </c>
      <c r="Z1395" s="77"/>
      <c r="AA1395" s="77" t="s">
        <v>5349</v>
      </c>
      <c r="AB1395" s="77" t="s">
        <v>5795</v>
      </c>
      <c r="AC1395" s="81" t="s">
        <v>5806</v>
      </c>
      <c r="AD1395" s="77" t="s">
        <v>5851</v>
      </c>
      <c r="AE1395" s="83" t="str">
        <f>HYPERLINK("https://twitter.com/se_empreendedor/status/1627406228224720897")</f>
        <v>https://twitter.com/se_empreendedor/status/1627406228224720897</v>
      </c>
      <c r="AF1395" s="79">
        <v>44976.857118055559</v>
      </c>
      <c r="AG1395" s="85">
        <v>44976</v>
      </c>
      <c r="AH1395" s="81" t="s">
        <v>7049</v>
      </c>
      <c r="AI1395" s="77" t="b">
        <v>0</v>
      </c>
      <c r="AJ1395" s="77"/>
      <c r="AK1395" s="77"/>
      <c r="AL1395" s="77"/>
      <c r="AM1395" s="77"/>
      <c r="AN1395" s="77"/>
      <c r="AO1395" s="77"/>
      <c r="AP1395" s="77"/>
      <c r="AQ1395" s="77" t="s">
        <v>8852</v>
      </c>
      <c r="AR1395" s="77">
        <v>58133</v>
      </c>
      <c r="AS1395" s="77"/>
      <c r="AT1395" s="77"/>
      <c r="AU1395" s="77"/>
      <c r="AV1395" s="83" t="str">
        <f>HYPERLINK("https://pbs.twimg.com/ext_tw_video_thumb/1627406123048247297/pu/img/YyCyHqukoNMTXjlm.jpg")</f>
        <v>https://pbs.twimg.com/ext_tw_video_thumb/1627406123048247297/pu/img/YyCyHqukoNMTXjlm.jpg</v>
      </c>
      <c r="AW1395" s="81" t="s">
        <v>10516</v>
      </c>
      <c r="AX1395" s="81" t="s">
        <v>10516</v>
      </c>
      <c r="AY1395" s="77"/>
      <c r="AZ1395" s="81" t="s">
        <v>11359</v>
      </c>
      <c r="BA1395" s="81" t="s">
        <v>11359</v>
      </c>
      <c r="BB1395" s="81" t="s">
        <v>11359</v>
      </c>
      <c r="BC1395" s="81" t="s">
        <v>10516</v>
      </c>
      <c r="BD1395" s="81" t="s">
        <v>11548</v>
      </c>
      <c r="BE1395" s="77"/>
      <c r="BF1395" s="77"/>
      <c r="BG1395" s="77"/>
      <c r="BH1395" s="77"/>
      <c r="BI1395" s="77"/>
    </row>
    <row r="1396" spans="1:61" x14ac:dyDescent="0.25">
      <c r="A1396" s="62" t="s">
        <v>513</v>
      </c>
      <c r="B1396" s="62" t="s">
        <v>513</v>
      </c>
      <c r="C1396" s="63"/>
      <c r="D1396" s="64"/>
      <c r="E1396" s="65"/>
      <c r="F1396" s="66"/>
      <c r="G1396" s="63"/>
      <c r="H1396" s="67"/>
      <c r="I1396" s="68"/>
      <c r="J1396" s="68"/>
      <c r="K1396" s="32"/>
      <c r="L1396" s="75">
        <v>1396</v>
      </c>
      <c r="M1396" s="75"/>
      <c r="N1396" s="70"/>
      <c r="O1396" s="77" t="s">
        <v>179</v>
      </c>
      <c r="P1396" s="79">
        <v>44976.547291666669</v>
      </c>
      <c r="Q1396" s="77" t="s">
        <v>2194</v>
      </c>
      <c r="R1396" s="77">
        <v>0</v>
      </c>
      <c r="S1396" s="77">
        <v>0</v>
      </c>
      <c r="T1396" s="77">
        <v>0</v>
      </c>
      <c r="U1396" s="77">
        <v>0</v>
      </c>
      <c r="V1396" s="77">
        <v>34</v>
      </c>
      <c r="W1396" s="81" t="s">
        <v>3608</v>
      </c>
      <c r="X1396" s="83" t="str">
        <f>HYPERLINK("http://linktr.ee/mova.seempreendedor")</f>
        <v>http://linktr.ee/mova.seempreendedor</v>
      </c>
      <c r="Y1396" s="77" t="s">
        <v>4291</v>
      </c>
      <c r="Z1396" s="77"/>
      <c r="AA1396" s="77" t="s">
        <v>5350</v>
      </c>
      <c r="AB1396" s="77" t="s">
        <v>5795</v>
      </c>
      <c r="AC1396" s="81" t="s">
        <v>5806</v>
      </c>
      <c r="AD1396" s="77" t="s">
        <v>5851</v>
      </c>
      <c r="AE1396" s="83" t="str">
        <f>HYPERLINK("https://twitter.com/se_empreendedor/status/1627293951051849728")</f>
        <v>https://twitter.com/se_empreendedor/status/1627293951051849728</v>
      </c>
      <c r="AF1396" s="79">
        <v>44976.547291666669</v>
      </c>
      <c r="AG1396" s="85">
        <v>44976</v>
      </c>
      <c r="AH1396" s="81" t="s">
        <v>7050</v>
      </c>
      <c r="AI1396" s="77" t="b">
        <v>0</v>
      </c>
      <c r="AJ1396" s="77"/>
      <c r="AK1396" s="77"/>
      <c r="AL1396" s="77"/>
      <c r="AM1396" s="77"/>
      <c r="AN1396" s="77"/>
      <c r="AO1396" s="77"/>
      <c r="AP1396" s="77"/>
      <c r="AQ1396" s="77" t="s">
        <v>8853</v>
      </c>
      <c r="AR1396" s="77">
        <v>57300</v>
      </c>
      <c r="AS1396" s="77"/>
      <c r="AT1396" s="77"/>
      <c r="AU1396" s="77"/>
      <c r="AV1396" s="83" t="str">
        <f>HYPERLINK("https://pbs.twimg.com/ext_tw_video_thumb/1627293889529802754/pu/img/ZtkNdNGi6-znd7YX.jpg")</f>
        <v>https://pbs.twimg.com/ext_tw_video_thumb/1627293889529802754/pu/img/ZtkNdNGi6-znd7YX.jpg</v>
      </c>
      <c r="AW1396" s="81" t="s">
        <v>10517</v>
      </c>
      <c r="AX1396" s="81" t="s">
        <v>10517</v>
      </c>
      <c r="AY1396" s="77"/>
      <c r="AZ1396" s="81" t="s">
        <v>11359</v>
      </c>
      <c r="BA1396" s="81" t="s">
        <v>11359</v>
      </c>
      <c r="BB1396" s="81" t="s">
        <v>11359</v>
      </c>
      <c r="BC1396" s="81" t="s">
        <v>10517</v>
      </c>
      <c r="BD1396" s="81" t="s">
        <v>11548</v>
      </c>
      <c r="BE1396" s="77"/>
      <c r="BF1396" s="77"/>
      <c r="BG1396" s="77"/>
      <c r="BH1396" s="77"/>
      <c r="BI1396" s="77"/>
    </row>
    <row r="1397" spans="1:61" x14ac:dyDescent="0.25">
      <c r="A1397" s="62" t="s">
        <v>513</v>
      </c>
      <c r="B1397" s="62" t="s">
        <v>513</v>
      </c>
      <c r="C1397" s="63"/>
      <c r="D1397" s="64"/>
      <c r="E1397" s="65"/>
      <c r="F1397" s="66"/>
      <c r="G1397" s="63"/>
      <c r="H1397" s="67"/>
      <c r="I1397" s="68"/>
      <c r="J1397" s="68"/>
      <c r="K1397" s="32"/>
      <c r="L1397" s="75">
        <v>1397</v>
      </c>
      <c r="M1397" s="75"/>
      <c r="N1397" s="70"/>
      <c r="O1397" s="77" t="s">
        <v>179</v>
      </c>
      <c r="P1397" s="79">
        <v>44975.85732638889</v>
      </c>
      <c r="Q1397" s="77" t="s">
        <v>2195</v>
      </c>
      <c r="R1397" s="77">
        <v>0</v>
      </c>
      <c r="S1397" s="77">
        <v>0</v>
      </c>
      <c r="T1397" s="77">
        <v>0</v>
      </c>
      <c r="U1397" s="77">
        <v>0</v>
      </c>
      <c r="V1397" s="77">
        <v>47</v>
      </c>
      <c r="W1397" s="81" t="s">
        <v>3608</v>
      </c>
      <c r="X1397" s="83" t="str">
        <f>HYPERLINK("http://linktr.ee/mova.seempreendedor")</f>
        <v>http://linktr.ee/mova.seempreendedor</v>
      </c>
      <c r="Y1397" s="77" t="s">
        <v>4291</v>
      </c>
      <c r="Z1397" s="77"/>
      <c r="AA1397" s="77" t="s">
        <v>5351</v>
      </c>
      <c r="AB1397" s="77" t="s">
        <v>5795</v>
      </c>
      <c r="AC1397" s="81" t="s">
        <v>5806</v>
      </c>
      <c r="AD1397" s="77" t="s">
        <v>5851</v>
      </c>
      <c r="AE1397" s="83" t="str">
        <f>HYPERLINK("https://twitter.com/se_empreendedor/status/1627043917823868928")</f>
        <v>https://twitter.com/se_empreendedor/status/1627043917823868928</v>
      </c>
      <c r="AF1397" s="79">
        <v>44975.85732638889</v>
      </c>
      <c r="AG1397" s="85">
        <v>44975</v>
      </c>
      <c r="AH1397" s="81" t="s">
        <v>7051</v>
      </c>
      <c r="AI1397" s="77" t="b">
        <v>0</v>
      </c>
      <c r="AJ1397" s="77"/>
      <c r="AK1397" s="77"/>
      <c r="AL1397" s="77"/>
      <c r="AM1397" s="77"/>
      <c r="AN1397" s="77"/>
      <c r="AO1397" s="77"/>
      <c r="AP1397" s="77"/>
      <c r="AQ1397" s="77" t="s">
        <v>8854</v>
      </c>
      <c r="AR1397" s="77">
        <v>54733</v>
      </c>
      <c r="AS1397" s="77"/>
      <c r="AT1397" s="77"/>
      <c r="AU1397" s="77"/>
      <c r="AV1397" s="83" t="str">
        <f>HYPERLINK("https://pbs.twimg.com/ext_tw_video_thumb/1627043733500993536/pu/img/v2dEk9BFJfRWTudy.jpg")</f>
        <v>https://pbs.twimg.com/ext_tw_video_thumb/1627043733500993536/pu/img/v2dEk9BFJfRWTudy.jpg</v>
      </c>
      <c r="AW1397" s="81" t="s">
        <v>10518</v>
      </c>
      <c r="AX1397" s="81" t="s">
        <v>10518</v>
      </c>
      <c r="AY1397" s="77"/>
      <c r="AZ1397" s="81" t="s">
        <v>11359</v>
      </c>
      <c r="BA1397" s="81" t="s">
        <v>11359</v>
      </c>
      <c r="BB1397" s="81" t="s">
        <v>11359</v>
      </c>
      <c r="BC1397" s="81" t="s">
        <v>10518</v>
      </c>
      <c r="BD1397" s="81" t="s">
        <v>11548</v>
      </c>
      <c r="BE1397" s="77"/>
      <c r="BF1397" s="77"/>
      <c r="BG1397" s="77"/>
      <c r="BH1397" s="77"/>
      <c r="BI1397" s="77"/>
    </row>
    <row r="1398" spans="1:61" x14ac:dyDescent="0.25">
      <c r="A1398" s="62" t="s">
        <v>513</v>
      </c>
      <c r="B1398" s="62" t="s">
        <v>513</v>
      </c>
      <c r="C1398" s="63"/>
      <c r="D1398" s="64"/>
      <c r="E1398" s="65"/>
      <c r="F1398" s="66"/>
      <c r="G1398" s="63"/>
      <c r="H1398" s="67"/>
      <c r="I1398" s="68"/>
      <c r="J1398" s="68"/>
      <c r="K1398" s="32"/>
      <c r="L1398" s="75">
        <v>1398</v>
      </c>
      <c r="M1398" s="75"/>
      <c r="N1398" s="70"/>
      <c r="O1398" s="77" t="s">
        <v>179</v>
      </c>
      <c r="P1398" s="79">
        <v>44975.547222222223</v>
      </c>
      <c r="Q1398" s="77" t="s">
        <v>2196</v>
      </c>
      <c r="R1398" s="77">
        <v>0</v>
      </c>
      <c r="S1398" s="77">
        <v>0</v>
      </c>
      <c r="T1398" s="77">
        <v>0</v>
      </c>
      <c r="U1398" s="77">
        <v>0</v>
      </c>
      <c r="V1398" s="77">
        <v>40</v>
      </c>
      <c r="W1398" s="81" t="s">
        <v>3608</v>
      </c>
      <c r="X1398" s="83" t="str">
        <f>HYPERLINK("http://linktr.ee/mova.seempreendedor")</f>
        <v>http://linktr.ee/mova.seempreendedor</v>
      </c>
      <c r="Y1398" s="77" t="s">
        <v>4291</v>
      </c>
      <c r="Z1398" s="77"/>
      <c r="AA1398" s="77" t="s">
        <v>5352</v>
      </c>
      <c r="AB1398" s="77" t="s">
        <v>5795</v>
      </c>
      <c r="AC1398" s="81" t="s">
        <v>5806</v>
      </c>
      <c r="AD1398" s="77" t="s">
        <v>5851</v>
      </c>
      <c r="AE1398" s="83" t="str">
        <f>HYPERLINK("https://twitter.com/se_empreendedor/status/1626931539849125897")</f>
        <v>https://twitter.com/se_empreendedor/status/1626931539849125897</v>
      </c>
      <c r="AF1398" s="79">
        <v>44975.547222222223</v>
      </c>
      <c r="AG1398" s="85">
        <v>44975</v>
      </c>
      <c r="AH1398" s="81" t="s">
        <v>7052</v>
      </c>
      <c r="AI1398" s="77" t="b">
        <v>0</v>
      </c>
      <c r="AJ1398" s="77"/>
      <c r="AK1398" s="77"/>
      <c r="AL1398" s="77"/>
      <c r="AM1398" s="77"/>
      <c r="AN1398" s="77"/>
      <c r="AO1398" s="77"/>
      <c r="AP1398" s="77"/>
      <c r="AQ1398" s="77" t="s">
        <v>8855</v>
      </c>
      <c r="AR1398" s="77">
        <v>34400</v>
      </c>
      <c r="AS1398" s="77"/>
      <c r="AT1398" s="77"/>
      <c r="AU1398" s="77"/>
      <c r="AV1398" s="83" t="str">
        <f>HYPERLINK("https://pbs.twimg.com/ext_tw_video_thumb/1626931486527037441/pu/img/HctQSur_pX4LTLoV.jpg")</f>
        <v>https://pbs.twimg.com/ext_tw_video_thumb/1626931486527037441/pu/img/HctQSur_pX4LTLoV.jpg</v>
      </c>
      <c r="AW1398" s="81" t="s">
        <v>10519</v>
      </c>
      <c r="AX1398" s="81" t="s">
        <v>10519</v>
      </c>
      <c r="AY1398" s="77"/>
      <c r="AZ1398" s="81" t="s">
        <v>11359</v>
      </c>
      <c r="BA1398" s="81" t="s">
        <v>11359</v>
      </c>
      <c r="BB1398" s="81" t="s">
        <v>11359</v>
      </c>
      <c r="BC1398" s="81" t="s">
        <v>10519</v>
      </c>
      <c r="BD1398" s="81" t="s">
        <v>11548</v>
      </c>
      <c r="BE1398" s="77"/>
      <c r="BF1398" s="77"/>
      <c r="BG1398" s="77"/>
      <c r="BH1398" s="77"/>
      <c r="BI1398" s="77"/>
    </row>
    <row r="1399" spans="1:61" x14ac:dyDescent="0.25">
      <c r="A1399" s="62" t="s">
        <v>514</v>
      </c>
      <c r="B1399" s="62" t="s">
        <v>514</v>
      </c>
      <c r="C1399" s="63"/>
      <c r="D1399" s="64"/>
      <c r="E1399" s="65"/>
      <c r="F1399" s="66"/>
      <c r="G1399" s="63"/>
      <c r="H1399" s="67"/>
      <c r="I1399" s="68"/>
      <c r="J1399" s="68"/>
      <c r="K1399" s="32"/>
      <c r="L1399" s="75">
        <v>1399</v>
      </c>
      <c r="M1399" s="75"/>
      <c r="N1399" s="70"/>
      <c r="O1399" s="77" t="s">
        <v>179</v>
      </c>
      <c r="P1399" s="79">
        <v>44998.097592592596</v>
      </c>
      <c r="Q1399" s="77" t="s">
        <v>2197</v>
      </c>
      <c r="R1399" s="77">
        <v>0</v>
      </c>
      <c r="S1399" s="77">
        <v>1</v>
      </c>
      <c r="T1399" s="77">
        <v>1</v>
      </c>
      <c r="U1399" s="77">
        <v>0</v>
      </c>
      <c r="V1399" s="77">
        <v>53</v>
      </c>
      <c r="W1399" s="81" t="s">
        <v>3609</v>
      </c>
      <c r="X1399" s="77"/>
      <c r="Y1399" s="77"/>
      <c r="Z1399" s="77"/>
      <c r="AA1399" s="77" t="s">
        <v>5353</v>
      </c>
      <c r="AB1399" s="77" t="s">
        <v>5797</v>
      </c>
      <c r="AC1399" s="81" t="s">
        <v>5805</v>
      </c>
      <c r="AD1399" s="77" t="s">
        <v>5853</v>
      </c>
      <c r="AE1399" s="83" t="str">
        <f>HYPERLINK("https://twitter.com/exordia_ma/status/1635103518578327554")</f>
        <v>https://twitter.com/exordia_ma/status/1635103518578327554</v>
      </c>
      <c r="AF1399" s="79">
        <v>44998.097592592596</v>
      </c>
      <c r="AG1399" s="85">
        <v>44998</v>
      </c>
      <c r="AH1399" s="81" t="s">
        <v>7053</v>
      </c>
      <c r="AI1399" s="77" t="b">
        <v>0</v>
      </c>
      <c r="AJ1399" s="77"/>
      <c r="AK1399" s="77"/>
      <c r="AL1399" s="77"/>
      <c r="AM1399" s="77"/>
      <c r="AN1399" s="77"/>
      <c r="AO1399" s="77"/>
      <c r="AP1399" s="77"/>
      <c r="AQ1399" s="77" t="s">
        <v>8856</v>
      </c>
      <c r="AR1399" s="77"/>
      <c r="AS1399" s="77"/>
      <c r="AT1399" s="77"/>
      <c r="AU1399" s="77"/>
      <c r="AV1399" s="83" t="str">
        <f>HYPERLINK("https://pbs.twimg.com/media/FrENrfiXoAEww5D.jpg")</f>
        <v>https://pbs.twimg.com/media/FrENrfiXoAEww5D.jpg</v>
      </c>
      <c r="AW1399" s="81" t="s">
        <v>10520</v>
      </c>
      <c r="AX1399" s="81" t="s">
        <v>10520</v>
      </c>
      <c r="AY1399" s="77"/>
      <c r="AZ1399" s="81" t="s">
        <v>11359</v>
      </c>
      <c r="BA1399" s="81" t="s">
        <v>11359</v>
      </c>
      <c r="BB1399" s="81" t="s">
        <v>11359</v>
      </c>
      <c r="BC1399" s="81" t="s">
        <v>10520</v>
      </c>
      <c r="BD1399" s="81" t="s">
        <v>11549</v>
      </c>
      <c r="BE1399" s="77"/>
      <c r="BF1399" s="77"/>
      <c r="BG1399" s="77"/>
      <c r="BH1399" s="77"/>
      <c r="BI1399" s="77"/>
    </row>
    <row r="1400" spans="1:61" x14ac:dyDescent="0.25">
      <c r="A1400" s="62" t="s">
        <v>515</v>
      </c>
      <c r="B1400" s="62" t="s">
        <v>515</v>
      </c>
      <c r="C1400" s="63"/>
      <c r="D1400" s="64"/>
      <c r="E1400" s="65"/>
      <c r="F1400" s="66"/>
      <c r="G1400" s="63"/>
      <c r="H1400" s="67"/>
      <c r="I1400" s="68"/>
      <c r="J1400" s="68"/>
      <c r="K1400" s="32"/>
      <c r="L1400" s="75">
        <v>1400</v>
      </c>
      <c r="M1400" s="75"/>
      <c r="N1400" s="70"/>
      <c r="O1400" s="77" t="s">
        <v>179</v>
      </c>
      <c r="P1400" s="79">
        <v>44972.958344907405</v>
      </c>
      <c r="Q1400" s="77" t="s">
        <v>2198</v>
      </c>
      <c r="R1400" s="77">
        <v>0</v>
      </c>
      <c r="S1400" s="77">
        <v>0</v>
      </c>
      <c r="T1400" s="77">
        <v>0</v>
      </c>
      <c r="U1400" s="77">
        <v>0</v>
      </c>
      <c r="V1400" s="77">
        <v>88</v>
      </c>
      <c r="W1400" s="81" t="s">
        <v>3610</v>
      </c>
      <c r="X1400" s="83" t="str">
        <f>HYPERLINK("https://bit.ly/4106P8i")</f>
        <v>https://bit.ly/4106P8i</v>
      </c>
      <c r="Y1400" s="77" t="s">
        <v>4213</v>
      </c>
      <c r="Z1400" s="77"/>
      <c r="AA1400" s="77" t="s">
        <v>5354</v>
      </c>
      <c r="AB1400" s="77" t="s">
        <v>5797</v>
      </c>
      <c r="AC1400" s="81" t="s">
        <v>5805</v>
      </c>
      <c r="AD1400" s="77" t="s">
        <v>5850</v>
      </c>
      <c r="AE1400" s="83" t="str">
        <f>HYPERLINK("https://twitter.com/avisooportunomx/status/1625993359801065472")</f>
        <v>https://twitter.com/avisooportunomx/status/1625993359801065472</v>
      </c>
      <c r="AF1400" s="79">
        <v>44972.958344907405</v>
      </c>
      <c r="AG1400" s="85">
        <v>44972</v>
      </c>
      <c r="AH1400" s="81" t="s">
        <v>7054</v>
      </c>
      <c r="AI1400" s="77" t="b">
        <v>0</v>
      </c>
      <c r="AJ1400" s="77"/>
      <c r="AK1400" s="77"/>
      <c r="AL1400" s="77"/>
      <c r="AM1400" s="77"/>
      <c r="AN1400" s="77"/>
      <c r="AO1400" s="77"/>
      <c r="AP1400" s="77"/>
      <c r="AQ1400" s="77" t="s">
        <v>8857</v>
      </c>
      <c r="AR1400" s="77"/>
      <c r="AS1400" s="77"/>
      <c r="AT1400" s="77"/>
      <c r="AU1400" s="77"/>
      <c r="AV1400" s="83" t="str">
        <f>HYPERLINK("https://pbs.twimg.com/media/FpB45GRWAAojMja.jpg")</f>
        <v>https://pbs.twimg.com/media/FpB45GRWAAojMja.jpg</v>
      </c>
      <c r="AW1400" s="81" t="s">
        <v>10521</v>
      </c>
      <c r="AX1400" s="81" t="s">
        <v>10521</v>
      </c>
      <c r="AY1400" s="77"/>
      <c r="AZ1400" s="81" t="s">
        <v>11359</v>
      </c>
      <c r="BA1400" s="81" t="s">
        <v>11359</v>
      </c>
      <c r="BB1400" s="81" t="s">
        <v>11359</v>
      </c>
      <c r="BC1400" s="81" t="s">
        <v>10521</v>
      </c>
      <c r="BD1400" s="77">
        <v>510470074</v>
      </c>
      <c r="BE1400" s="77"/>
      <c r="BF1400" s="77"/>
      <c r="BG1400" s="77"/>
      <c r="BH1400" s="77"/>
      <c r="BI1400" s="77"/>
    </row>
    <row r="1401" spans="1:61" x14ac:dyDescent="0.25">
      <c r="A1401" s="62" t="s">
        <v>515</v>
      </c>
      <c r="B1401" s="62" t="s">
        <v>515</v>
      </c>
      <c r="C1401" s="63"/>
      <c r="D1401" s="64"/>
      <c r="E1401" s="65"/>
      <c r="F1401" s="66"/>
      <c r="G1401" s="63"/>
      <c r="H1401" s="67"/>
      <c r="I1401" s="68"/>
      <c r="J1401" s="68"/>
      <c r="K1401" s="32"/>
      <c r="L1401" s="75">
        <v>1401</v>
      </c>
      <c r="M1401" s="75"/>
      <c r="N1401" s="70"/>
      <c r="O1401" s="77" t="s">
        <v>179</v>
      </c>
      <c r="P1401" s="79">
        <v>45029.729166666664</v>
      </c>
      <c r="Q1401" s="77" t="s">
        <v>2199</v>
      </c>
      <c r="R1401" s="77">
        <v>0</v>
      </c>
      <c r="S1401" s="77">
        <v>0</v>
      </c>
      <c r="T1401" s="77">
        <v>0</v>
      </c>
      <c r="U1401" s="77">
        <v>0</v>
      </c>
      <c r="V1401" s="77">
        <v>55</v>
      </c>
      <c r="W1401" s="81" t="s">
        <v>3611</v>
      </c>
      <c r="X1401" s="83" t="str">
        <f>HYPERLINK("https://bit.ly/3MDNaqm")</f>
        <v>https://bit.ly/3MDNaqm</v>
      </c>
      <c r="Y1401" s="77" t="s">
        <v>4213</v>
      </c>
      <c r="Z1401" s="77"/>
      <c r="AA1401" s="77" t="s">
        <v>5355</v>
      </c>
      <c r="AB1401" s="77" t="s">
        <v>5797</v>
      </c>
      <c r="AC1401" s="81" t="s">
        <v>5805</v>
      </c>
      <c r="AD1401" s="77" t="s">
        <v>5850</v>
      </c>
      <c r="AE1401" s="83" t="str">
        <f>HYPERLINK("https://twitter.com/avisooportunomx/status/1646566418484166666")</f>
        <v>https://twitter.com/avisooportunomx/status/1646566418484166666</v>
      </c>
      <c r="AF1401" s="79">
        <v>45029.729166666664</v>
      </c>
      <c r="AG1401" s="85">
        <v>45029</v>
      </c>
      <c r="AH1401" s="81" t="s">
        <v>7055</v>
      </c>
      <c r="AI1401" s="77" t="b">
        <v>0</v>
      </c>
      <c r="AJ1401" s="77"/>
      <c r="AK1401" s="77"/>
      <c r="AL1401" s="77"/>
      <c r="AM1401" s="77"/>
      <c r="AN1401" s="77"/>
      <c r="AO1401" s="77"/>
      <c r="AP1401" s="77"/>
      <c r="AQ1401" s="77" t="s">
        <v>8858</v>
      </c>
      <c r="AR1401" s="77"/>
      <c r="AS1401" s="77"/>
      <c r="AT1401" s="77"/>
      <c r="AU1401" s="77"/>
      <c r="AV1401" s="83" t="str">
        <f>HYPERLINK("https://pbs.twimg.com/media/Ftm11FRXgAI234W.jpg")</f>
        <v>https://pbs.twimg.com/media/Ftm11FRXgAI234W.jpg</v>
      </c>
      <c r="AW1401" s="81" t="s">
        <v>10522</v>
      </c>
      <c r="AX1401" s="81" t="s">
        <v>10522</v>
      </c>
      <c r="AY1401" s="77"/>
      <c r="AZ1401" s="81" t="s">
        <v>11359</v>
      </c>
      <c r="BA1401" s="81" t="s">
        <v>11359</v>
      </c>
      <c r="BB1401" s="81" t="s">
        <v>11359</v>
      </c>
      <c r="BC1401" s="81" t="s">
        <v>10522</v>
      </c>
      <c r="BD1401" s="77">
        <v>510470074</v>
      </c>
      <c r="BE1401" s="77"/>
      <c r="BF1401" s="77"/>
      <c r="BG1401" s="77"/>
      <c r="BH1401" s="77"/>
      <c r="BI1401" s="77"/>
    </row>
    <row r="1402" spans="1:61" x14ac:dyDescent="0.25">
      <c r="A1402" s="62" t="s">
        <v>515</v>
      </c>
      <c r="B1402" s="62" t="s">
        <v>515</v>
      </c>
      <c r="C1402" s="63"/>
      <c r="D1402" s="64"/>
      <c r="E1402" s="65"/>
      <c r="F1402" s="66"/>
      <c r="G1402" s="63"/>
      <c r="H1402" s="67"/>
      <c r="I1402" s="68"/>
      <c r="J1402" s="68"/>
      <c r="K1402" s="32"/>
      <c r="L1402" s="75">
        <v>1402</v>
      </c>
      <c r="M1402" s="75"/>
      <c r="N1402" s="70"/>
      <c r="O1402" s="77" t="s">
        <v>179</v>
      </c>
      <c r="P1402" s="79">
        <v>45063.739583333336</v>
      </c>
      <c r="Q1402" s="77" t="s">
        <v>2200</v>
      </c>
      <c r="R1402" s="77">
        <v>0</v>
      </c>
      <c r="S1402" s="77">
        <v>2</v>
      </c>
      <c r="T1402" s="77">
        <v>0</v>
      </c>
      <c r="U1402" s="77">
        <v>0</v>
      </c>
      <c r="V1402" s="77">
        <v>63</v>
      </c>
      <c r="W1402" s="81" t="s">
        <v>3612</v>
      </c>
      <c r="X1402" s="77"/>
      <c r="Y1402" s="77"/>
      <c r="Z1402" s="77"/>
      <c r="AA1402" s="77" t="s">
        <v>5356</v>
      </c>
      <c r="AB1402" s="77" t="s">
        <v>5797</v>
      </c>
      <c r="AC1402" s="81" t="s">
        <v>5805</v>
      </c>
      <c r="AD1402" s="77" t="s">
        <v>5851</v>
      </c>
      <c r="AE1402" s="83" t="str">
        <f>HYPERLINK("https://twitter.com/avisooportunomx/status/1658891379966189579")</f>
        <v>https://twitter.com/avisooportunomx/status/1658891379966189579</v>
      </c>
      <c r="AF1402" s="79">
        <v>45063.739583333336</v>
      </c>
      <c r="AG1402" s="85">
        <v>45063</v>
      </c>
      <c r="AH1402" s="81" t="s">
        <v>7056</v>
      </c>
      <c r="AI1402" s="77" t="b">
        <v>0</v>
      </c>
      <c r="AJ1402" s="77"/>
      <c r="AK1402" s="77"/>
      <c r="AL1402" s="77"/>
      <c r="AM1402" s="77"/>
      <c r="AN1402" s="77"/>
      <c r="AO1402" s="77"/>
      <c r="AP1402" s="77"/>
      <c r="AQ1402" s="77" t="s">
        <v>8859</v>
      </c>
      <c r="AR1402" s="77"/>
      <c r="AS1402" s="77"/>
      <c r="AT1402" s="77"/>
      <c r="AU1402" s="77"/>
      <c r="AV1402" s="83" t="str">
        <f>HYPERLINK("https://pbs.twimg.com/media/FwWLFrAWAB87PhD.jpg")</f>
        <v>https://pbs.twimg.com/media/FwWLFrAWAB87PhD.jpg</v>
      </c>
      <c r="AW1402" s="81" t="s">
        <v>10523</v>
      </c>
      <c r="AX1402" s="81" t="s">
        <v>10523</v>
      </c>
      <c r="AY1402" s="77"/>
      <c r="AZ1402" s="81" t="s">
        <v>11359</v>
      </c>
      <c r="BA1402" s="81" t="s">
        <v>11359</v>
      </c>
      <c r="BB1402" s="81" t="s">
        <v>11359</v>
      </c>
      <c r="BC1402" s="81" t="s">
        <v>10523</v>
      </c>
      <c r="BD1402" s="77">
        <v>510470074</v>
      </c>
      <c r="BE1402" s="77"/>
      <c r="BF1402" s="77"/>
      <c r="BG1402" s="77"/>
      <c r="BH1402" s="77"/>
      <c r="BI1402" s="77"/>
    </row>
    <row r="1403" spans="1:61" x14ac:dyDescent="0.25">
      <c r="A1403" s="62" t="s">
        <v>515</v>
      </c>
      <c r="B1403" s="62" t="s">
        <v>515</v>
      </c>
      <c r="C1403" s="63"/>
      <c r="D1403" s="64"/>
      <c r="E1403" s="65"/>
      <c r="F1403" s="66"/>
      <c r="G1403" s="63"/>
      <c r="H1403" s="67"/>
      <c r="I1403" s="68"/>
      <c r="J1403" s="68"/>
      <c r="K1403" s="32"/>
      <c r="L1403" s="75">
        <v>1403</v>
      </c>
      <c r="M1403" s="75"/>
      <c r="N1403" s="70"/>
      <c r="O1403" s="77" t="s">
        <v>179</v>
      </c>
      <c r="P1403" s="79">
        <v>45100.833333333336</v>
      </c>
      <c r="Q1403" s="77" t="s">
        <v>2201</v>
      </c>
      <c r="R1403" s="77">
        <v>0</v>
      </c>
      <c r="S1403" s="77">
        <v>2</v>
      </c>
      <c r="T1403" s="77">
        <v>0</v>
      </c>
      <c r="U1403" s="77">
        <v>0</v>
      </c>
      <c r="V1403" s="77">
        <v>65</v>
      </c>
      <c r="W1403" s="81" t="s">
        <v>3613</v>
      </c>
      <c r="X1403" s="77"/>
      <c r="Y1403" s="77"/>
      <c r="Z1403" s="77"/>
      <c r="AA1403" s="77" t="s">
        <v>5357</v>
      </c>
      <c r="AB1403" s="77" t="s">
        <v>5799</v>
      </c>
      <c r="AC1403" s="81" t="s">
        <v>5805</v>
      </c>
      <c r="AD1403" s="77" t="s">
        <v>5850</v>
      </c>
      <c r="AE1403" s="83" t="str">
        <f>HYPERLINK("https://twitter.com/avisooportunomx/status/1672333704239407104")</f>
        <v>https://twitter.com/avisooportunomx/status/1672333704239407104</v>
      </c>
      <c r="AF1403" s="79">
        <v>45100.833333333336</v>
      </c>
      <c r="AG1403" s="85">
        <v>45100</v>
      </c>
      <c r="AH1403" s="81" t="s">
        <v>7057</v>
      </c>
      <c r="AI1403" s="77" t="b">
        <v>0</v>
      </c>
      <c r="AJ1403" s="77"/>
      <c r="AK1403" s="77"/>
      <c r="AL1403" s="77"/>
      <c r="AM1403" s="77"/>
      <c r="AN1403" s="77"/>
      <c r="AO1403" s="77"/>
      <c r="AP1403" s="77"/>
      <c r="AQ1403" s="77" t="s">
        <v>8860</v>
      </c>
      <c r="AR1403" s="77"/>
      <c r="AS1403" s="77"/>
      <c r="AT1403" s="77"/>
      <c r="AU1403" s="77"/>
      <c r="AV1403" s="83" t="str">
        <f>HYPERLINK("https://pbs.twimg.com/media/FzUp4YlXoAAqQ8O.jpg")</f>
        <v>https://pbs.twimg.com/media/FzUp4YlXoAAqQ8O.jpg</v>
      </c>
      <c r="AW1403" s="81" t="s">
        <v>10524</v>
      </c>
      <c r="AX1403" s="81" t="s">
        <v>10524</v>
      </c>
      <c r="AY1403" s="77"/>
      <c r="AZ1403" s="81" t="s">
        <v>11359</v>
      </c>
      <c r="BA1403" s="81" t="s">
        <v>11359</v>
      </c>
      <c r="BB1403" s="81" t="s">
        <v>11359</v>
      </c>
      <c r="BC1403" s="81" t="s">
        <v>10524</v>
      </c>
      <c r="BD1403" s="77">
        <v>510470074</v>
      </c>
      <c r="BE1403" s="77"/>
      <c r="BF1403" s="77"/>
      <c r="BG1403" s="77"/>
      <c r="BH1403" s="77"/>
      <c r="BI1403" s="77"/>
    </row>
    <row r="1404" spans="1:61" x14ac:dyDescent="0.25">
      <c r="A1404" s="62" t="s">
        <v>516</v>
      </c>
      <c r="B1404" s="62" t="s">
        <v>516</v>
      </c>
      <c r="C1404" s="63"/>
      <c r="D1404" s="64"/>
      <c r="E1404" s="65"/>
      <c r="F1404" s="66"/>
      <c r="G1404" s="63"/>
      <c r="H1404" s="67"/>
      <c r="I1404" s="68"/>
      <c r="J1404" s="68"/>
      <c r="K1404" s="32"/>
      <c r="L1404" s="75">
        <v>1404</v>
      </c>
      <c r="M1404" s="75"/>
      <c r="N1404" s="70"/>
      <c r="O1404" s="77" t="s">
        <v>179</v>
      </c>
      <c r="P1404" s="79">
        <v>45142.555543981478</v>
      </c>
      <c r="Q1404" s="77" t="s">
        <v>2202</v>
      </c>
      <c r="R1404" s="77">
        <v>1</v>
      </c>
      <c r="S1404" s="77">
        <v>1</v>
      </c>
      <c r="T1404" s="77">
        <v>0</v>
      </c>
      <c r="U1404" s="77">
        <v>0</v>
      </c>
      <c r="V1404" s="77">
        <v>26</v>
      </c>
      <c r="W1404" s="81" t="s">
        <v>3614</v>
      </c>
      <c r="X1404" s="83" t="str">
        <f>HYPERLINK("https://bit.ly/3rZ3OZb")</f>
        <v>https://bit.ly/3rZ3OZb</v>
      </c>
      <c r="Y1404" s="77" t="s">
        <v>4213</v>
      </c>
      <c r="Z1404" s="77"/>
      <c r="AA1404" s="77" t="s">
        <v>5358</v>
      </c>
      <c r="AB1404" s="77" t="s">
        <v>5794</v>
      </c>
      <c r="AC1404" s="81" t="s">
        <v>5835</v>
      </c>
      <c r="AD1404" s="77" t="s">
        <v>5851</v>
      </c>
      <c r="AE1404" s="83" t="str">
        <f>HYPERLINK("https://twitter.com/douglaswebp/status/1687453330342109184")</f>
        <v>https://twitter.com/douglaswebp/status/1687453330342109184</v>
      </c>
      <c r="AF1404" s="79">
        <v>45142.555543981478</v>
      </c>
      <c r="AG1404" s="85">
        <v>45142</v>
      </c>
      <c r="AH1404" s="81" t="s">
        <v>7058</v>
      </c>
      <c r="AI1404" s="77" t="b">
        <v>0</v>
      </c>
      <c r="AJ1404" s="77"/>
      <c r="AK1404" s="77"/>
      <c r="AL1404" s="77"/>
      <c r="AM1404" s="77"/>
      <c r="AN1404" s="77"/>
      <c r="AO1404" s="77"/>
      <c r="AP1404" s="77"/>
      <c r="AQ1404" s="77" t="s">
        <v>8861</v>
      </c>
      <c r="AR1404" s="77"/>
      <c r="AS1404" s="77"/>
      <c r="AT1404" s="77"/>
      <c r="AU1404" s="77"/>
      <c r="AV1404" s="83" t="str">
        <f>HYPERLINK("https://pbs.twimg.com/media/F2sJ3JCXwAAFps-.jpg")</f>
        <v>https://pbs.twimg.com/media/F2sJ3JCXwAAFps-.jpg</v>
      </c>
      <c r="AW1404" s="81" t="s">
        <v>10525</v>
      </c>
      <c r="AX1404" s="81" t="s">
        <v>10525</v>
      </c>
      <c r="AY1404" s="77"/>
      <c r="AZ1404" s="81" t="s">
        <v>11359</v>
      </c>
      <c r="BA1404" s="81" t="s">
        <v>11359</v>
      </c>
      <c r="BB1404" s="81" t="s">
        <v>11359</v>
      </c>
      <c r="BC1404" s="81" t="s">
        <v>10525</v>
      </c>
      <c r="BD1404" s="81" t="s">
        <v>11550</v>
      </c>
      <c r="BE1404" s="77"/>
      <c r="BF1404" s="77"/>
      <c r="BG1404" s="77"/>
      <c r="BH1404" s="77"/>
      <c r="BI1404" s="77"/>
    </row>
    <row r="1405" spans="1:61" x14ac:dyDescent="0.25">
      <c r="A1405" s="62" t="s">
        <v>517</v>
      </c>
      <c r="B1405" s="62" t="s">
        <v>517</v>
      </c>
      <c r="C1405" s="63"/>
      <c r="D1405" s="64"/>
      <c r="E1405" s="65"/>
      <c r="F1405" s="66"/>
      <c r="G1405" s="63"/>
      <c r="H1405" s="67"/>
      <c r="I1405" s="68"/>
      <c r="J1405" s="68"/>
      <c r="K1405" s="32"/>
      <c r="L1405" s="75">
        <v>1405</v>
      </c>
      <c r="M1405" s="75"/>
      <c r="N1405" s="70"/>
      <c r="O1405" s="77" t="s">
        <v>179</v>
      </c>
      <c r="P1405" s="79">
        <v>45151.903194444443</v>
      </c>
      <c r="Q1405" s="77" t="s">
        <v>2203</v>
      </c>
      <c r="R1405" s="77">
        <v>0</v>
      </c>
      <c r="S1405" s="77">
        <v>0</v>
      </c>
      <c r="T1405" s="77">
        <v>0</v>
      </c>
      <c r="U1405" s="77">
        <v>0</v>
      </c>
      <c r="V1405" s="77">
        <v>54</v>
      </c>
      <c r="W1405" s="81" t="s">
        <v>3615</v>
      </c>
      <c r="X1405" s="83" t="str">
        <f>HYPERLINK("https://m.facebook.com/story.php?story_fbid=pfbid0iVD9VVMqPo6j4haLiJZmGt7SvjycRj1Kf25fwi8cpV4cLVhL3p19oLSY8tXQNsZRl&amp;id=100069147042207&amp;mibextid=2JQ9oc")</f>
        <v>https://m.facebook.com/story.php?story_fbid=pfbid0iVD9VVMqPo6j4haLiJZmGt7SvjycRj1Kf25fwi8cpV4cLVhL3p19oLSY8tXQNsZRl&amp;id=100069147042207&amp;mibextid=2JQ9oc</v>
      </c>
      <c r="Y1405" s="77" t="s">
        <v>4251</v>
      </c>
      <c r="Z1405" s="77"/>
      <c r="AA1405" s="77" t="s">
        <v>5359</v>
      </c>
      <c r="AB1405" s="77" t="s">
        <v>5794</v>
      </c>
      <c r="AC1405" s="81" t="s">
        <v>5801</v>
      </c>
      <c r="AD1405" s="77" t="s">
        <v>5850</v>
      </c>
      <c r="AE1405" s="83" t="str">
        <f>HYPERLINK("https://twitter.com/salazarbalbuena/status/1690840804699361280")</f>
        <v>https://twitter.com/salazarbalbuena/status/1690840804699361280</v>
      </c>
      <c r="AF1405" s="79">
        <v>45151.903194444443</v>
      </c>
      <c r="AG1405" s="85">
        <v>45151</v>
      </c>
      <c r="AH1405" s="81" t="s">
        <v>7059</v>
      </c>
      <c r="AI1405" s="77" t="b">
        <v>0</v>
      </c>
      <c r="AJ1405" s="77"/>
      <c r="AK1405" s="77"/>
      <c r="AL1405" s="77"/>
      <c r="AM1405" s="77"/>
      <c r="AN1405" s="77"/>
      <c r="AO1405" s="77"/>
      <c r="AP1405" s="77"/>
      <c r="AQ1405" s="77" t="s">
        <v>8862</v>
      </c>
      <c r="AR1405" s="77"/>
      <c r="AS1405" s="77"/>
      <c r="AT1405" s="77"/>
      <c r="AU1405" s="77"/>
      <c r="AV1405" s="83" t="str">
        <f>HYPERLINK("https://pbs.twimg.com/media/F3cSwEcWIAAURc3.jpg")</f>
        <v>https://pbs.twimg.com/media/F3cSwEcWIAAURc3.jpg</v>
      </c>
      <c r="AW1405" s="81" t="s">
        <v>10526</v>
      </c>
      <c r="AX1405" s="81" t="s">
        <v>10526</v>
      </c>
      <c r="AY1405" s="77"/>
      <c r="AZ1405" s="81" t="s">
        <v>11359</v>
      </c>
      <c r="BA1405" s="81" t="s">
        <v>11359</v>
      </c>
      <c r="BB1405" s="81" t="s">
        <v>11359</v>
      </c>
      <c r="BC1405" s="81" t="s">
        <v>10526</v>
      </c>
      <c r="BD1405" s="77">
        <v>175514011</v>
      </c>
      <c r="BE1405" s="77"/>
      <c r="BF1405" s="77"/>
      <c r="BG1405" s="77"/>
      <c r="BH1405" s="77"/>
      <c r="BI1405" s="77"/>
    </row>
    <row r="1406" spans="1:61" x14ac:dyDescent="0.25">
      <c r="A1406" s="62" t="s">
        <v>518</v>
      </c>
      <c r="B1406" s="62" t="s">
        <v>518</v>
      </c>
      <c r="C1406" s="63"/>
      <c r="D1406" s="64"/>
      <c r="E1406" s="65"/>
      <c r="F1406" s="66"/>
      <c r="G1406" s="63"/>
      <c r="H1406" s="67"/>
      <c r="I1406" s="68"/>
      <c r="J1406" s="68"/>
      <c r="K1406" s="32"/>
      <c r="L1406" s="75">
        <v>1406</v>
      </c>
      <c r="M1406" s="75"/>
      <c r="N1406" s="70"/>
      <c r="O1406" s="77" t="s">
        <v>179</v>
      </c>
      <c r="P1406" s="79">
        <v>45080.70511574074</v>
      </c>
      <c r="Q1406" s="77" t="s">
        <v>2204</v>
      </c>
      <c r="R1406" s="77">
        <v>0</v>
      </c>
      <c r="S1406" s="77">
        <v>1</v>
      </c>
      <c r="T1406" s="77">
        <v>0</v>
      </c>
      <c r="U1406" s="77">
        <v>0</v>
      </c>
      <c r="V1406" s="77">
        <v>22</v>
      </c>
      <c r="W1406" s="81" t="s">
        <v>3616</v>
      </c>
      <c r="X1406" s="77"/>
      <c r="Y1406" s="77"/>
      <c r="Z1406" s="77"/>
      <c r="AA1406" s="77" t="s">
        <v>5360</v>
      </c>
      <c r="AB1406" s="77" t="s">
        <v>5794</v>
      </c>
      <c r="AC1406" s="81" t="s">
        <v>5805</v>
      </c>
      <c r="AD1406" s="77" t="s">
        <v>5850</v>
      </c>
      <c r="AE1406" s="83" t="str">
        <f>HYPERLINK("https://twitter.com/teneriadiaz/status/1665039484717604867")</f>
        <v>https://twitter.com/teneriadiaz/status/1665039484717604867</v>
      </c>
      <c r="AF1406" s="79">
        <v>45080.70511574074</v>
      </c>
      <c r="AG1406" s="85">
        <v>45080</v>
      </c>
      <c r="AH1406" s="81" t="s">
        <v>7060</v>
      </c>
      <c r="AI1406" s="77" t="b">
        <v>0</v>
      </c>
      <c r="AJ1406" s="77"/>
      <c r="AK1406" s="77"/>
      <c r="AL1406" s="77"/>
      <c r="AM1406" s="77"/>
      <c r="AN1406" s="77"/>
      <c r="AO1406" s="77"/>
      <c r="AP1406" s="77"/>
      <c r="AQ1406" s="77" t="s">
        <v>8863</v>
      </c>
      <c r="AR1406" s="77"/>
      <c r="AS1406" s="77"/>
      <c r="AT1406" s="77"/>
      <c r="AU1406" s="77"/>
      <c r="AV1406" s="83" t="str">
        <f>HYPERLINK("https://pbs.twimg.com/media/Fxtn-WPWYAIq6cq.jpg")</f>
        <v>https://pbs.twimg.com/media/Fxtn-WPWYAIq6cq.jpg</v>
      </c>
      <c r="AW1406" s="81" t="s">
        <v>10527</v>
      </c>
      <c r="AX1406" s="81" t="s">
        <v>10527</v>
      </c>
      <c r="AY1406" s="77"/>
      <c r="AZ1406" s="81" t="s">
        <v>11359</v>
      </c>
      <c r="BA1406" s="81" t="s">
        <v>11359</v>
      </c>
      <c r="BB1406" s="81" t="s">
        <v>11359</v>
      </c>
      <c r="BC1406" s="81" t="s">
        <v>10527</v>
      </c>
      <c r="BD1406" s="81" t="s">
        <v>11551</v>
      </c>
      <c r="BE1406" s="77"/>
      <c r="BF1406" s="77"/>
      <c r="BG1406" s="77"/>
      <c r="BH1406" s="77"/>
      <c r="BI1406" s="77"/>
    </row>
    <row r="1407" spans="1:61" x14ac:dyDescent="0.25">
      <c r="A1407" s="62" t="s">
        <v>519</v>
      </c>
      <c r="B1407" s="62" t="s">
        <v>519</v>
      </c>
      <c r="C1407" s="63"/>
      <c r="D1407" s="64"/>
      <c r="E1407" s="65"/>
      <c r="F1407" s="66"/>
      <c r="G1407" s="63"/>
      <c r="H1407" s="67"/>
      <c r="I1407" s="68"/>
      <c r="J1407" s="68"/>
      <c r="K1407" s="32"/>
      <c r="L1407" s="75">
        <v>1407</v>
      </c>
      <c r="M1407" s="75"/>
      <c r="N1407" s="70"/>
      <c r="O1407" s="77" t="s">
        <v>179</v>
      </c>
      <c r="P1407" s="79">
        <v>45007.603773148148</v>
      </c>
      <c r="Q1407" s="77" t="s">
        <v>2205</v>
      </c>
      <c r="R1407" s="77">
        <v>0</v>
      </c>
      <c r="S1407" s="77">
        <v>0</v>
      </c>
      <c r="T1407" s="77">
        <v>0</v>
      </c>
      <c r="U1407" s="77">
        <v>0</v>
      </c>
      <c r="V1407" s="77">
        <v>53</v>
      </c>
      <c r="W1407" s="81" t="s">
        <v>3617</v>
      </c>
      <c r="X1407" s="77"/>
      <c r="Y1407" s="77"/>
      <c r="Z1407" s="77"/>
      <c r="AA1407" s="77" t="s">
        <v>5361</v>
      </c>
      <c r="AB1407" s="77" t="s">
        <v>5794</v>
      </c>
      <c r="AC1407" s="81" t="s">
        <v>5803</v>
      </c>
      <c r="AD1407" s="77" t="s">
        <v>5851</v>
      </c>
      <c r="AE1407" s="83" t="str">
        <f>HYPERLINK("https://twitter.com/josueseibel/status/1638548442564775936")</f>
        <v>https://twitter.com/josueseibel/status/1638548442564775936</v>
      </c>
      <c r="AF1407" s="79">
        <v>45007.603773148148</v>
      </c>
      <c r="AG1407" s="85">
        <v>45007</v>
      </c>
      <c r="AH1407" s="81" t="s">
        <v>7061</v>
      </c>
      <c r="AI1407" s="77" t="b">
        <v>0</v>
      </c>
      <c r="AJ1407" s="77"/>
      <c r="AK1407" s="77"/>
      <c r="AL1407" s="77"/>
      <c r="AM1407" s="77"/>
      <c r="AN1407" s="77"/>
      <c r="AO1407" s="77"/>
      <c r="AP1407" s="77"/>
      <c r="AQ1407" s="77" t="s">
        <v>8864</v>
      </c>
      <c r="AR1407" s="77"/>
      <c r="AS1407" s="77"/>
      <c r="AT1407" s="77"/>
      <c r="AU1407" s="77"/>
      <c r="AV1407" s="83" t="str">
        <f>HYPERLINK("https://pbs.twimg.com/media/Fr1LHugX0AEeKsZ.jpg")</f>
        <v>https://pbs.twimg.com/media/Fr1LHugX0AEeKsZ.jpg</v>
      </c>
      <c r="AW1407" s="81" t="s">
        <v>10528</v>
      </c>
      <c r="AX1407" s="81" t="s">
        <v>10528</v>
      </c>
      <c r="AY1407" s="77"/>
      <c r="AZ1407" s="81" t="s">
        <v>11359</v>
      </c>
      <c r="BA1407" s="81" t="s">
        <v>11359</v>
      </c>
      <c r="BB1407" s="81" t="s">
        <v>11359</v>
      </c>
      <c r="BC1407" s="81" t="s">
        <v>10528</v>
      </c>
      <c r="BD1407" s="77">
        <v>137503362</v>
      </c>
      <c r="BE1407" s="77"/>
      <c r="BF1407" s="77"/>
      <c r="BG1407" s="77"/>
      <c r="BH1407" s="77"/>
      <c r="BI1407" s="77"/>
    </row>
    <row r="1408" spans="1:61" x14ac:dyDescent="0.25">
      <c r="A1408" s="62" t="s">
        <v>520</v>
      </c>
      <c r="B1408" s="62" t="s">
        <v>520</v>
      </c>
      <c r="C1408" s="63"/>
      <c r="D1408" s="64"/>
      <c r="E1408" s="65"/>
      <c r="F1408" s="66"/>
      <c r="G1408" s="63"/>
      <c r="H1408" s="67"/>
      <c r="I1408" s="68"/>
      <c r="J1408" s="68"/>
      <c r="K1408" s="32"/>
      <c r="L1408" s="75">
        <v>1408</v>
      </c>
      <c r="M1408" s="75"/>
      <c r="N1408" s="70"/>
      <c r="O1408" s="77" t="s">
        <v>179</v>
      </c>
      <c r="P1408" s="79">
        <v>45033.40152777778</v>
      </c>
      <c r="Q1408" s="77" t="s">
        <v>2206</v>
      </c>
      <c r="R1408" s="77">
        <v>0</v>
      </c>
      <c r="S1408" s="77">
        <v>0</v>
      </c>
      <c r="T1408" s="77">
        <v>0</v>
      </c>
      <c r="U1408" s="77">
        <v>0</v>
      </c>
      <c r="V1408" s="77">
        <v>82</v>
      </c>
      <c r="W1408" s="81" t="s">
        <v>3618</v>
      </c>
      <c r="X1408" s="83" t="str">
        <f>HYPERLINK("https://www.infojobs.net/palma-de-mallorca/dependiente/of-i63f286e0084e7ca0a4710d5efaca49/nv-oAd-caTw?navOrigen=rs_so_Tw&amp;applicationOrigin=e_share_offer")</f>
        <v>https://www.infojobs.net/palma-de-mallorca/dependiente/of-i63f286e0084e7ca0a4710d5efaca49/nv-oAd-caTw?navOrigen=rs_so_Tw&amp;applicationOrigin=e_share_offer</v>
      </c>
      <c r="Y1408" s="77" t="s">
        <v>4260</v>
      </c>
      <c r="Z1408" s="77"/>
      <c r="AA1408" s="77" t="s">
        <v>5362</v>
      </c>
      <c r="AB1408" s="77" t="s">
        <v>5794</v>
      </c>
      <c r="AC1408" s="81" t="s">
        <v>5805</v>
      </c>
      <c r="AD1408" s="77" t="s">
        <v>5850</v>
      </c>
      <c r="AE1408" s="83" t="str">
        <f>HYPERLINK("https://twitter.com/joclarbh/status/1647897236620058627")</f>
        <v>https://twitter.com/joclarbh/status/1647897236620058627</v>
      </c>
      <c r="AF1408" s="79">
        <v>45033.40152777778</v>
      </c>
      <c r="AG1408" s="85">
        <v>45033</v>
      </c>
      <c r="AH1408" s="81" t="s">
        <v>7062</v>
      </c>
      <c r="AI1408" s="77" t="b">
        <v>0</v>
      </c>
      <c r="AJ1408" s="77"/>
      <c r="AK1408" s="77"/>
      <c r="AL1408" s="77"/>
      <c r="AM1408" s="77"/>
      <c r="AN1408" s="77"/>
      <c r="AO1408" s="77"/>
      <c r="AP1408" s="77"/>
      <c r="AQ1408" s="77" t="s">
        <v>8865</v>
      </c>
      <c r="AR1408" s="77"/>
      <c r="AS1408" s="77"/>
      <c r="AT1408" s="77"/>
      <c r="AU1408" s="77"/>
      <c r="AV1408" s="83" t="str">
        <f>HYPERLINK("https://pbs.twimg.com/media/Ft6Bx95X0AYAAku.jpg")</f>
        <v>https://pbs.twimg.com/media/Ft6Bx95X0AYAAku.jpg</v>
      </c>
      <c r="AW1408" s="81" t="s">
        <v>10529</v>
      </c>
      <c r="AX1408" s="81" t="s">
        <v>10529</v>
      </c>
      <c r="AY1408" s="77"/>
      <c r="AZ1408" s="81" t="s">
        <v>11359</v>
      </c>
      <c r="BA1408" s="81" t="s">
        <v>11359</v>
      </c>
      <c r="BB1408" s="81" t="s">
        <v>11359</v>
      </c>
      <c r="BC1408" s="81" t="s">
        <v>10529</v>
      </c>
      <c r="BD1408" s="77">
        <v>99685581</v>
      </c>
      <c r="BE1408" s="77"/>
      <c r="BF1408" s="77"/>
      <c r="BG1408" s="77"/>
      <c r="BH1408" s="77"/>
      <c r="BI1408" s="77"/>
    </row>
    <row r="1409" spans="1:61" x14ac:dyDescent="0.25">
      <c r="A1409" s="62" t="s">
        <v>521</v>
      </c>
      <c r="B1409" s="62" t="s">
        <v>521</v>
      </c>
      <c r="C1409" s="63"/>
      <c r="D1409" s="64"/>
      <c r="E1409" s="65"/>
      <c r="F1409" s="66"/>
      <c r="G1409" s="63"/>
      <c r="H1409" s="67"/>
      <c r="I1409" s="68"/>
      <c r="J1409" s="68"/>
      <c r="K1409" s="32"/>
      <c r="L1409" s="75">
        <v>1409</v>
      </c>
      <c r="M1409" s="75"/>
      <c r="N1409" s="70"/>
      <c r="O1409" s="77" t="s">
        <v>179</v>
      </c>
      <c r="P1409" s="79">
        <v>45106.892395833333</v>
      </c>
      <c r="Q1409" s="77" t="s">
        <v>2207</v>
      </c>
      <c r="R1409" s="77">
        <v>0</v>
      </c>
      <c r="S1409" s="77">
        <v>0</v>
      </c>
      <c r="T1409" s="77">
        <v>0</v>
      </c>
      <c r="U1409" s="77">
        <v>0</v>
      </c>
      <c r="V1409" s="77">
        <v>8</v>
      </c>
      <c r="W1409" s="81" t="s">
        <v>3619</v>
      </c>
      <c r="X1409" s="77"/>
      <c r="Y1409" s="77"/>
      <c r="Z1409" s="77"/>
      <c r="AA1409" s="77"/>
      <c r="AB1409" s="77"/>
      <c r="AC1409" s="81" t="s">
        <v>5805</v>
      </c>
      <c r="AD1409" s="77" t="s">
        <v>5850</v>
      </c>
      <c r="AE1409" s="83" t="str">
        <f>HYPERLINK("https://twitter.com/pablosu91535628/status/1674529437864321028")</f>
        <v>https://twitter.com/pablosu91535628/status/1674529437864321028</v>
      </c>
      <c r="AF1409" s="79">
        <v>45106.892395833333</v>
      </c>
      <c r="AG1409" s="85">
        <v>45106</v>
      </c>
      <c r="AH1409" s="81" t="s">
        <v>7063</v>
      </c>
      <c r="AI1409" s="77"/>
      <c r="AJ1409" s="77"/>
      <c r="AK1409" s="77"/>
      <c r="AL1409" s="77"/>
      <c r="AM1409" s="77"/>
      <c r="AN1409" s="77"/>
      <c r="AO1409" s="77"/>
      <c r="AP1409" s="77"/>
      <c r="AQ1409" s="77"/>
      <c r="AR1409" s="77"/>
      <c r="AS1409" s="77"/>
      <c r="AT1409" s="77"/>
      <c r="AU1409" s="77"/>
      <c r="AV1409" s="83" t="str">
        <f>HYPERLINK("https://pbs.twimg.com/profile_images/1429649891555430401/9WLcIZHX_normal.jpg")</f>
        <v>https://pbs.twimg.com/profile_images/1429649891555430401/9WLcIZHX_normal.jpg</v>
      </c>
      <c r="AW1409" s="81" t="s">
        <v>10530</v>
      </c>
      <c r="AX1409" s="81" t="s">
        <v>10530</v>
      </c>
      <c r="AY1409" s="77"/>
      <c r="AZ1409" s="81" t="s">
        <v>11359</v>
      </c>
      <c r="BA1409" s="81" t="s">
        <v>11359</v>
      </c>
      <c r="BB1409" s="81" t="s">
        <v>11359</v>
      </c>
      <c r="BC1409" s="81" t="s">
        <v>10530</v>
      </c>
      <c r="BD1409" s="81" t="s">
        <v>11552</v>
      </c>
      <c r="BE1409" s="77"/>
      <c r="BF1409" s="77"/>
      <c r="BG1409" s="77"/>
      <c r="BH1409" s="77"/>
      <c r="BI1409" s="77"/>
    </row>
    <row r="1410" spans="1:61" x14ac:dyDescent="0.25">
      <c r="A1410" s="62" t="s">
        <v>522</v>
      </c>
      <c r="B1410" s="62" t="s">
        <v>522</v>
      </c>
      <c r="C1410" s="63"/>
      <c r="D1410" s="64"/>
      <c r="E1410" s="65"/>
      <c r="F1410" s="66"/>
      <c r="G1410" s="63"/>
      <c r="H1410" s="67"/>
      <c r="I1410" s="68"/>
      <c r="J1410" s="68"/>
      <c r="K1410" s="32"/>
      <c r="L1410" s="75">
        <v>1410</v>
      </c>
      <c r="M1410" s="75"/>
      <c r="N1410" s="70"/>
      <c r="O1410" s="77" t="s">
        <v>179</v>
      </c>
      <c r="P1410" s="79">
        <v>45029.508460648147</v>
      </c>
      <c r="Q1410" s="77" t="s">
        <v>2208</v>
      </c>
      <c r="R1410" s="77">
        <v>0</v>
      </c>
      <c r="S1410" s="77">
        <v>0</v>
      </c>
      <c r="T1410" s="77">
        <v>0</v>
      </c>
      <c r="U1410" s="77">
        <v>0</v>
      </c>
      <c r="V1410" s="77">
        <v>7</v>
      </c>
      <c r="W1410" s="81" t="s">
        <v>3620</v>
      </c>
      <c r="X1410" s="83" t="str">
        <f>HYPERLINK("https://academiaformate.com/estas-5-competencias-son-basicas-para-trabajar-de-comercial/")</f>
        <v>https://academiaformate.com/estas-5-competencias-son-basicas-para-trabajar-de-comercial/</v>
      </c>
      <c r="Y1410" s="77" t="s">
        <v>4292</v>
      </c>
      <c r="Z1410" s="77"/>
      <c r="AA1410" s="77"/>
      <c r="AB1410" s="77"/>
      <c r="AC1410" s="81" t="s">
        <v>5805</v>
      </c>
      <c r="AD1410" s="77" t="s">
        <v>5850</v>
      </c>
      <c r="AE1410" s="83" t="str">
        <f>HYPERLINK("https://twitter.com/coformacion/status/1646486435833290752")</f>
        <v>https://twitter.com/coformacion/status/1646486435833290752</v>
      </c>
      <c r="AF1410" s="79">
        <v>45029.508460648147</v>
      </c>
      <c r="AG1410" s="85">
        <v>45029</v>
      </c>
      <c r="AH1410" s="81" t="s">
        <v>7064</v>
      </c>
      <c r="AI1410" s="77" t="b">
        <v>0</v>
      </c>
      <c r="AJ1410" s="77"/>
      <c r="AK1410" s="77"/>
      <c r="AL1410" s="77"/>
      <c r="AM1410" s="77"/>
      <c r="AN1410" s="77"/>
      <c r="AO1410" s="77"/>
      <c r="AP1410" s="77"/>
      <c r="AQ1410" s="77"/>
      <c r="AR1410" s="77"/>
      <c r="AS1410" s="77"/>
      <c r="AT1410" s="77"/>
      <c r="AU1410" s="77"/>
      <c r="AV1410" s="83" t="str">
        <f>HYPERLINK("https://pbs.twimg.com/profile_images/1489646525688991746/zTAdW97Q_normal.jpg")</f>
        <v>https://pbs.twimg.com/profile_images/1489646525688991746/zTAdW97Q_normal.jpg</v>
      </c>
      <c r="AW1410" s="81" t="s">
        <v>10531</v>
      </c>
      <c r="AX1410" s="81" t="s">
        <v>10531</v>
      </c>
      <c r="AY1410" s="77"/>
      <c r="AZ1410" s="81" t="s">
        <v>11359</v>
      </c>
      <c r="BA1410" s="81" t="s">
        <v>11359</v>
      </c>
      <c r="BB1410" s="81" t="s">
        <v>11359</v>
      </c>
      <c r="BC1410" s="81" t="s">
        <v>10531</v>
      </c>
      <c r="BD1410" s="81" t="s">
        <v>11553</v>
      </c>
      <c r="BE1410" s="77"/>
      <c r="BF1410" s="77"/>
      <c r="BG1410" s="77"/>
      <c r="BH1410" s="77"/>
      <c r="BI1410" s="77"/>
    </row>
    <row r="1411" spans="1:61" x14ac:dyDescent="0.25">
      <c r="A1411" s="62" t="s">
        <v>523</v>
      </c>
      <c r="B1411" s="62" t="s">
        <v>523</v>
      </c>
      <c r="C1411" s="63"/>
      <c r="D1411" s="64"/>
      <c r="E1411" s="65"/>
      <c r="F1411" s="66"/>
      <c r="G1411" s="63"/>
      <c r="H1411" s="67"/>
      <c r="I1411" s="68"/>
      <c r="J1411" s="68"/>
      <c r="K1411" s="32"/>
      <c r="L1411" s="75">
        <v>1411</v>
      </c>
      <c r="M1411" s="75"/>
      <c r="N1411" s="70"/>
      <c r="O1411" s="77" t="s">
        <v>179</v>
      </c>
      <c r="P1411" s="79">
        <v>44938.042233796295</v>
      </c>
      <c r="Q1411" s="77" t="s">
        <v>2209</v>
      </c>
      <c r="R1411" s="77">
        <v>0</v>
      </c>
      <c r="S1411" s="77">
        <v>0</v>
      </c>
      <c r="T1411" s="77">
        <v>0</v>
      </c>
      <c r="U1411" s="77">
        <v>0</v>
      </c>
      <c r="V1411" s="77">
        <v>7</v>
      </c>
      <c r="W1411" s="81" t="s">
        <v>2947</v>
      </c>
      <c r="X1411" s="83" t="str">
        <f>HYPERLINK("https://radio-mejor.com/vendedor-de-hot-dogs-se-queda-dormido-y-jovenes-lo-ayudan-a-despachar/")</f>
        <v>https://radio-mejor.com/vendedor-de-hot-dogs-se-queda-dormido-y-jovenes-lo-ayudan-a-despachar/</v>
      </c>
      <c r="Y1411" s="77" t="s">
        <v>4293</v>
      </c>
      <c r="Z1411" s="77"/>
      <c r="AA1411" s="77" t="s">
        <v>5363</v>
      </c>
      <c r="AB1411" s="77" t="s">
        <v>5794</v>
      </c>
      <c r="AC1411" s="81" t="s">
        <v>5802</v>
      </c>
      <c r="AD1411" s="77" t="s">
        <v>5850</v>
      </c>
      <c r="AE1411" s="83" t="str">
        <f>HYPERLINK("https://twitter.com/clasicsfm/status/1613340184984027136")</f>
        <v>https://twitter.com/clasicsfm/status/1613340184984027136</v>
      </c>
      <c r="AF1411" s="79">
        <v>44938.042233796295</v>
      </c>
      <c r="AG1411" s="85">
        <v>44938</v>
      </c>
      <c r="AH1411" s="81" t="s">
        <v>7065</v>
      </c>
      <c r="AI1411" s="77" t="b">
        <v>0</v>
      </c>
      <c r="AJ1411" s="77"/>
      <c r="AK1411" s="77"/>
      <c r="AL1411" s="77"/>
      <c r="AM1411" s="77"/>
      <c r="AN1411" s="77"/>
      <c r="AO1411" s="77"/>
      <c r="AP1411" s="77"/>
      <c r="AQ1411" s="77" t="s">
        <v>8866</v>
      </c>
      <c r="AR1411" s="77"/>
      <c r="AS1411" s="77"/>
      <c r="AT1411" s="77"/>
      <c r="AU1411" s="77"/>
      <c r="AV1411" s="83" t="str">
        <f>HYPERLINK("https://pbs.twimg.com/media/FmO8WWlWYAEnx6g.png")</f>
        <v>https://pbs.twimg.com/media/FmO8WWlWYAEnx6g.png</v>
      </c>
      <c r="AW1411" s="81" t="s">
        <v>10532</v>
      </c>
      <c r="AX1411" s="81" t="s">
        <v>10532</v>
      </c>
      <c r="AY1411" s="77"/>
      <c r="AZ1411" s="81" t="s">
        <v>11359</v>
      </c>
      <c r="BA1411" s="81" t="s">
        <v>11359</v>
      </c>
      <c r="BB1411" s="81" t="s">
        <v>11359</v>
      </c>
      <c r="BC1411" s="81" t="s">
        <v>10532</v>
      </c>
      <c r="BD1411" s="77">
        <v>2880211492</v>
      </c>
      <c r="BE1411" s="77"/>
      <c r="BF1411" s="77"/>
      <c r="BG1411" s="77"/>
      <c r="BH1411" s="77"/>
      <c r="BI1411" s="77"/>
    </row>
    <row r="1412" spans="1:61" x14ac:dyDescent="0.25">
      <c r="A1412" s="62" t="s">
        <v>524</v>
      </c>
      <c r="B1412" s="62" t="s">
        <v>524</v>
      </c>
      <c r="C1412" s="63"/>
      <c r="D1412" s="64"/>
      <c r="E1412" s="65"/>
      <c r="F1412" s="66"/>
      <c r="G1412" s="63"/>
      <c r="H1412" s="67"/>
      <c r="I1412" s="68"/>
      <c r="J1412" s="68"/>
      <c r="K1412" s="32"/>
      <c r="L1412" s="75">
        <v>1412</v>
      </c>
      <c r="M1412" s="75"/>
      <c r="N1412" s="70"/>
      <c r="O1412" s="77" t="s">
        <v>179</v>
      </c>
      <c r="P1412" s="79">
        <v>45181.457638888889</v>
      </c>
      <c r="Q1412" s="77" t="s">
        <v>2210</v>
      </c>
      <c r="R1412" s="77">
        <v>0</v>
      </c>
      <c r="S1412" s="77">
        <v>0</v>
      </c>
      <c r="T1412" s="77">
        <v>0</v>
      </c>
      <c r="U1412" s="77">
        <v>0</v>
      </c>
      <c r="V1412" s="77">
        <v>177</v>
      </c>
      <c r="W1412" s="81" t="s">
        <v>3621</v>
      </c>
      <c r="X1412" s="77"/>
      <c r="Y1412" s="77"/>
      <c r="Z1412" s="77"/>
      <c r="AA1412" s="77" t="s">
        <v>5364</v>
      </c>
      <c r="AB1412" s="77" t="s">
        <v>5794</v>
      </c>
      <c r="AC1412" s="81" t="s">
        <v>5805</v>
      </c>
      <c r="AD1412" s="77" t="s">
        <v>5851</v>
      </c>
      <c r="AE1412" s="83" t="str">
        <f>HYPERLINK("https://twitter.com/anaborgestoc/status/1701550974307844449")</f>
        <v>https://twitter.com/anaborgestoc/status/1701550974307844449</v>
      </c>
      <c r="AF1412" s="79">
        <v>45181.457638888889</v>
      </c>
      <c r="AG1412" s="85">
        <v>45181</v>
      </c>
      <c r="AH1412" s="81" t="s">
        <v>7066</v>
      </c>
      <c r="AI1412" s="77" t="b">
        <v>0</v>
      </c>
      <c r="AJ1412" s="77"/>
      <c r="AK1412" s="77"/>
      <c r="AL1412" s="77"/>
      <c r="AM1412" s="77"/>
      <c r="AN1412" s="77"/>
      <c r="AO1412" s="77"/>
      <c r="AP1412" s="77"/>
      <c r="AQ1412" s="77" t="s">
        <v>8867</v>
      </c>
      <c r="AR1412" s="77"/>
      <c r="AS1412" s="77"/>
      <c r="AT1412" s="77"/>
      <c r="AU1412" s="77"/>
      <c r="AV1412" s="83" t="str">
        <f>HYPERLINK("https://pbs.twimg.com/media/F5usCPGXoAACOgp.jpg")</f>
        <v>https://pbs.twimg.com/media/F5usCPGXoAACOgp.jpg</v>
      </c>
      <c r="AW1412" s="81" t="s">
        <v>10533</v>
      </c>
      <c r="AX1412" s="81" t="s">
        <v>10533</v>
      </c>
      <c r="AY1412" s="77"/>
      <c r="AZ1412" s="81" t="s">
        <v>11359</v>
      </c>
      <c r="BA1412" s="81" t="s">
        <v>11359</v>
      </c>
      <c r="BB1412" s="81" t="s">
        <v>11359</v>
      </c>
      <c r="BC1412" s="81" t="s">
        <v>10533</v>
      </c>
      <c r="BD1412" s="81" t="s">
        <v>11554</v>
      </c>
      <c r="BE1412" s="77"/>
      <c r="BF1412" s="77"/>
      <c r="BG1412" s="77"/>
      <c r="BH1412" s="77"/>
      <c r="BI1412" s="77"/>
    </row>
    <row r="1413" spans="1:61" x14ac:dyDescent="0.25">
      <c r="A1413" s="62" t="s">
        <v>525</v>
      </c>
      <c r="B1413" s="62" t="s">
        <v>525</v>
      </c>
      <c r="C1413" s="63"/>
      <c r="D1413" s="64"/>
      <c r="E1413" s="65"/>
      <c r="F1413" s="66"/>
      <c r="G1413" s="63"/>
      <c r="H1413" s="67"/>
      <c r="I1413" s="68"/>
      <c r="J1413" s="68"/>
      <c r="K1413" s="32"/>
      <c r="L1413" s="75">
        <v>1413</v>
      </c>
      <c r="M1413" s="75"/>
      <c r="N1413" s="70"/>
      <c r="O1413" s="77" t="s">
        <v>179</v>
      </c>
      <c r="P1413" s="79">
        <v>45191.811226851853</v>
      </c>
      <c r="Q1413" s="77" t="s">
        <v>2211</v>
      </c>
      <c r="R1413" s="77">
        <v>1</v>
      </c>
      <c r="S1413" s="77">
        <v>1</v>
      </c>
      <c r="T1413" s="77">
        <v>0</v>
      </c>
      <c r="U1413" s="77">
        <v>0</v>
      </c>
      <c r="V1413" s="77">
        <v>46</v>
      </c>
      <c r="W1413" s="81" t="s">
        <v>3622</v>
      </c>
      <c r="X1413" s="77"/>
      <c r="Y1413" s="77"/>
      <c r="Z1413" s="77"/>
      <c r="AA1413" s="77"/>
      <c r="AB1413" s="77"/>
      <c r="AC1413" s="81" t="s">
        <v>5803</v>
      </c>
      <c r="AD1413" s="77" t="s">
        <v>5850</v>
      </c>
      <c r="AE1413" s="83" t="str">
        <f>HYPERLINK("https://twitter.com/lajozzs/status/1705302990159020093")</f>
        <v>https://twitter.com/lajozzs/status/1705302990159020093</v>
      </c>
      <c r="AF1413" s="79">
        <v>45191.811226851853</v>
      </c>
      <c r="AG1413" s="85">
        <v>45191</v>
      </c>
      <c r="AH1413" s="81" t="s">
        <v>7067</v>
      </c>
      <c r="AI1413" s="77"/>
      <c r="AJ1413" s="77"/>
      <c r="AK1413" s="77"/>
      <c r="AL1413" s="77"/>
      <c r="AM1413" s="77"/>
      <c r="AN1413" s="77"/>
      <c r="AO1413" s="77"/>
      <c r="AP1413" s="77"/>
      <c r="AQ1413" s="77"/>
      <c r="AR1413" s="77"/>
      <c r="AS1413" s="77"/>
      <c r="AT1413" s="77"/>
      <c r="AU1413" s="77"/>
      <c r="AV1413" s="83" t="str">
        <f>HYPERLINK("https://pbs.twimg.com/profile_images/1552353115244044290/WusBgb5I_normal.jpg")</f>
        <v>https://pbs.twimg.com/profile_images/1552353115244044290/WusBgb5I_normal.jpg</v>
      </c>
      <c r="AW1413" s="81" t="s">
        <v>10534</v>
      </c>
      <c r="AX1413" s="81" t="s">
        <v>10534</v>
      </c>
      <c r="AY1413" s="77"/>
      <c r="AZ1413" s="81" t="s">
        <v>11359</v>
      </c>
      <c r="BA1413" s="81" t="s">
        <v>11359</v>
      </c>
      <c r="BB1413" s="81" t="s">
        <v>11359</v>
      </c>
      <c r="BC1413" s="81" t="s">
        <v>10534</v>
      </c>
      <c r="BD1413" s="77">
        <v>197290362</v>
      </c>
      <c r="BE1413" s="77"/>
      <c r="BF1413" s="77"/>
      <c r="BG1413" s="77"/>
      <c r="BH1413" s="77"/>
      <c r="BI1413" s="77"/>
    </row>
    <row r="1414" spans="1:61" x14ac:dyDescent="0.25">
      <c r="A1414" s="62" t="s">
        <v>526</v>
      </c>
      <c r="B1414" s="62" t="s">
        <v>525</v>
      </c>
      <c r="C1414" s="63"/>
      <c r="D1414" s="64"/>
      <c r="E1414" s="65"/>
      <c r="F1414" s="66"/>
      <c r="G1414" s="63"/>
      <c r="H1414" s="67"/>
      <c r="I1414" s="68"/>
      <c r="J1414" s="68"/>
      <c r="K1414" s="32"/>
      <c r="L1414" s="75">
        <v>1414</v>
      </c>
      <c r="M1414" s="75"/>
      <c r="N1414" s="70"/>
      <c r="O1414" s="77" t="s">
        <v>968</v>
      </c>
      <c r="P1414" s="79">
        <v>45191.843819444446</v>
      </c>
      <c r="Q1414" s="77" t="s">
        <v>2212</v>
      </c>
      <c r="R1414" s="77">
        <v>1</v>
      </c>
      <c r="S1414" s="77">
        <v>0</v>
      </c>
      <c r="T1414" s="77">
        <v>0</v>
      </c>
      <c r="U1414" s="77">
        <v>0</v>
      </c>
      <c r="V1414" s="77"/>
      <c r="W1414" s="77"/>
      <c r="X1414" s="77"/>
      <c r="Y1414" s="77"/>
      <c r="Z1414" s="77" t="s">
        <v>525</v>
      </c>
      <c r="AA1414" s="77"/>
      <c r="AB1414" s="77"/>
      <c r="AC1414" s="81" t="s">
        <v>5803</v>
      </c>
      <c r="AD1414" s="77" t="s">
        <v>5850</v>
      </c>
      <c r="AE1414" s="83" t="str">
        <f>HYPERLINK("https://twitter.com/naomiauve/status/1705314801235227008")</f>
        <v>https://twitter.com/naomiauve/status/1705314801235227008</v>
      </c>
      <c r="AF1414" s="79">
        <v>45191.843819444446</v>
      </c>
      <c r="AG1414" s="85">
        <v>45191</v>
      </c>
      <c r="AH1414" s="81" t="s">
        <v>7068</v>
      </c>
      <c r="AI1414" s="77"/>
      <c r="AJ1414" s="77"/>
      <c r="AK1414" s="77"/>
      <c r="AL1414" s="77"/>
      <c r="AM1414" s="77"/>
      <c r="AN1414" s="77"/>
      <c r="AO1414" s="77"/>
      <c r="AP1414" s="77"/>
      <c r="AQ1414" s="77"/>
      <c r="AR1414" s="77"/>
      <c r="AS1414" s="77"/>
      <c r="AT1414" s="77"/>
      <c r="AU1414" s="77"/>
      <c r="AV1414" s="83" t="str">
        <f>HYPERLINK("https://pbs.twimg.com/profile_images/1691491995141783552/QtJa42_2_normal.jpg")</f>
        <v>https://pbs.twimg.com/profile_images/1691491995141783552/QtJa42_2_normal.jpg</v>
      </c>
      <c r="AW1414" s="81" t="s">
        <v>10535</v>
      </c>
      <c r="AX1414" s="81" t="s">
        <v>10535</v>
      </c>
      <c r="AY1414" s="77"/>
      <c r="AZ1414" s="81" t="s">
        <v>11359</v>
      </c>
      <c r="BA1414" s="81" t="s">
        <v>11359</v>
      </c>
      <c r="BB1414" s="81" t="s">
        <v>10534</v>
      </c>
      <c r="BC1414" s="81" t="s">
        <v>10534</v>
      </c>
      <c r="BD1414" s="77">
        <v>23374235</v>
      </c>
      <c r="BE1414" s="77"/>
      <c r="BF1414" s="77"/>
      <c r="BG1414" s="77"/>
      <c r="BH1414" s="77"/>
      <c r="BI1414" s="77"/>
    </row>
    <row r="1415" spans="1:61" x14ac:dyDescent="0.25">
      <c r="A1415" s="62" t="s">
        <v>527</v>
      </c>
      <c r="B1415" s="62" t="s">
        <v>527</v>
      </c>
      <c r="C1415" s="63"/>
      <c r="D1415" s="64"/>
      <c r="E1415" s="65"/>
      <c r="F1415" s="66"/>
      <c r="G1415" s="63"/>
      <c r="H1415" s="67"/>
      <c r="I1415" s="68"/>
      <c r="J1415" s="68"/>
      <c r="K1415" s="32"/>
      <c r="L1415" s="75">
        <v>1415</v>
      </c>
      <c r="M1415" s="75"/>
      <c r="N1415" s="70"/>
      <c r="O1415" s="77" t="s">
        <v>179</v>
      </c>
      <c r="P1415" s="79">
        <v>45034.785578703704</v>
      </c>
      <c r="Q1415" s="77" t="s">
        <v>2213</v>
      </c>
      <c r="R1415" s="77">
        <v>1</v>
      </c>
      <c r="S1415" s="77">
        <v>0</v>
      </c>
      <c r="T1415" s="77">
        <v>4</v>
      </c>
      <c r="U1415" s="77">
        <v>0</v>
      </c>
      <c r="V1415" s="77">
        <v>65</v>
      </c>
      <c r="W1415" s="81" t="s">
        <v>3623</v>
      </c>
      <c r="X1415" s="83" t="str">
        <f>HYPERLINK("https://sacadaeohboy.gupy.io/job/eyJzb3VyY2UiOiJndXB5X3B1YmxpY19wYWdlIiwiam9iSWQiOjQ2NDc0Njl9?jobBoardSource=gupy_public_page")</f>
        <v>https://sacadaeohboy.gupy.io/job/eyJzb3VyY2UiOiJndXB5X3B1YmxpY19wYWdlIiwiam9iSWQiOjQ2NDc0Njl9?jobBoardSource=gupy_public_page</v>
      </c>
      <c r="Y1415" s="77" t="s">
        <v>4294</v>
      </c>
      <c r="Z1415" s="77"/>
      <c r="AA1415" s="77"/>
      <c r="AB1415" s="77"/>
      <c r="AC1415" s="81" t="s">
        <v>5805</v>
      </c>
      <c r="AD1415" s="77" t="s">
        <v>5855</v>
      </c>
      <c r="AE1415" s="83" t="str">
        <f>HYPERLINK("https://twitter.com/vagasdesalvador/status/1648398801999392769")</f>
        <v>https://twitter.com/vagasdesalvador/status/1648398801999392769</v>
      </c>
      <c r="AF1415" s="79">
        <v>45034.785578703704</v>
      </c>
      <c r="AG1415" s="85">
        <v>45034</v>
      </c>
      <c r="AH1415" s="81" t="s">
        <v>7069</v>
      </c>
      <c r="AI1415" s="77" t="b">
        <v>0</v>
      </c>
      <c r="AJ1415" s="77"/>
      <c r="AK1415" s="77"/>
      <c r="AL1415" s="77"/>
      <c r="AM1415" s="77"/>
      <c r="AN1415" s="77"/>
      <c r="AO1415" s="77"/>
      <c r="AP1415" s="77"/>
      <c r="AQ1415" s="77"/>
      <c r="AR1415" s="77"/>
      <c r="AS1415" s="77"/>
      <c r="AT1415" s="77"/>
      <c r="AU1415" s="77"/>
      <c r="AV1415" s="83" t="str">
        <f>HYPERLINK("https://pbs.twimg.com/profile_images/1570481566039539715/leEExsEx_normal.jpg")</f>
        <v>https://pbs.twimg.com/profile_images/1570481566039539715/leEExsEx_normal.jpg</v>
      </c>
      <c r="AW1415" s="81" t="s">
        <v>10536</v>
      </c>
      <c r="AX1415" s="81" t="s">
        <v>10536</v>
      </c>
      <c r="AY1415" s="77"/>
      <c r="AZ1415" s="81" t="s">
        <v>11359</v>
      </c>
      <c r="BA1415" s="81" t="s">
        <v>11359</v>
      </c>
      <c r="BB1415" s="81" t="s">
        <v>11359</v>
      </c>
      <c r="BC1415" s="81" t="s">
        <v>10536</v>
      </c>
      <c r="BD1415" s="81" t="s">
        <v>11336</v>
      </c>
      <c r="BE1415" s="77"/>
      <c r="BF1415" s="77"/>
      <c r="BG1415" s="77"/>
      <c r="BH1415" s="77"/>
      <c r="BI1415" s="77"/>
    </row>
    <row r="1416" spans="1:61" x14ac:dyDescent="0.25">
      <c r="A1416" s="62" t="s">
        <v>527</v>
      </c>
      <c r="B1416" s="62" t="s">
        <v>527</v>
      </c>
      <c r="C1416" s="63"/>
      <c r="D1416" s="64"/>
      <c r="E1416" s="65"/>
      <c r="F1416" s="66"/>
      <c r="G1416" s="63"/>
      <c r="H1416" s="67"/>
      <c r="I1416" s="68"/>
      <c r="J1416" s="68"/>
      <c r="K1416" s="32"/>
      <c r="L1416" s="75">
        <v>1416</v>
      </c>
      <c r="M1416" s="75"/>
      <c r="N1416" s="70"/>
      <c r="O1416" s="77" t="s">
        <v>969</v>
      </c>
      <c r="P1416" s="79">
        <v>45043.493530092594</v>
      </c>
      <c r="Q1416" s="77" t="s">
        <v>2214</v>
      </c>
      <c r="R1416" s="77">
        <v>1</v>
      </c>
      <c r="S1416" s="77">
        <v>1</v>
      </c>
      <c r="T1416" s="77">
        <v>1</v>
      </c>
      <c r="U1416" s="77">
        <v>0</v>
      </c>
      <c r="V1416" s="77">
        <v>30</v>
      </c>
      <c r="W1416" s="81" t="s">
        <v>3624</v>
      </c>
      <c r="X1416" s="83" t="str">
        <f>HYPERLINK("https://bynv.gupy.io/job/eyJqb2JJZCI6NDcyNzY0MSwic291cmNlIjoiZ3VweV9wb3J0YWwifQ==?jobBoardSource=gupy_portal")</f>
        <v>https://bynv.gupy.io/job/eyJqb2JJZCI6NDcyNzY0MSwic291cmNlIjoiZ3VweV9wb3J0YWwifQ==?jobBoardSource=gupy_portal</v>
      </c>
      <c r="Y1416" s="77" t="s">
        <v>4294</v>
      </c>
      <c r="Z1416" s="77"/>
      <c r="AA1416" s="77"/>
      <c r="AB1416" s="77"/>
      <c r="AC1416" s="81" t="s">
        <v>5805</v>
      </c>
      <c r="AD1416" s="77" t="s">
        <v>5851</v>
      </c>
      <c r="AE1416" s="83" t="str">
        <f>HYPERLINK("https://twitter.com/vagasdesalvador/status/1651554454510923783")</f>
        <v>https://twitter.com/vagasdesalvador/status/1651554454510923783</v>
      </c>
      <c r="AF1416" s="79">
        <v>45043.493530092594</v>
      </c>
      <c r="AG1416" s="85">
        <v>45043</v>
      </c>
      <c r="AH1416" s="81" t="s">
        <v>7070</v>
      </c>
      <c r="AI1416" s="77" t="b">
        <v>0</v>
      </c>
      <c r="AJ1416" s="77"/>
      <c r="AK1416" s="77"/>
      <c r="AL1416" s="77"/>
      <c r="AM1416" s="77"/>
      <c r="AN1416" s="77"/>
      <c r="AO1416" s="77"/>
      <c r="AP1416" s="77"/>
      <c r="AQ1416" s="77"/>
      <c r="AR1416" s="77"/>
      <c r="AS1416" s="77"/>
      <c r="AT1416" s="77"/>
      <c r="AU1416" s="77"/>
      <c r="AV1416" s="83" t="str">
        <f>HYPERLINK("https://pbs.twimg.com/profile_images/1570481566039539715/leEExsEx_normal.jpg")</f>
        <v>https://pbs.twimg.com/profile_images/1570481566039539715/leEExsEx_normal.jpg</v>
      </c>
      <c r="AW1416" s="81" t="s">
        <v>10537</v>
      </c>
      <c r="AX1416" s="81" t="s">
        <v>11287</v>
      </c>
      <c r="AY1416" s="81" t="s">
        <v>11336</v>
      </c>
      <c r="AZ1416" s="81" t="s">
        <v>11366</v>
      </c>
      <c r="BA1416" s="81" t="s">
        <v>11359</v>
      </c>
      <c r="BB1416" s="81" t="s">
        <v>11359</v>
      </c>
      <c r="BC1416" s="81" t="s">
        <v>11366</v>
      </c>
      <c r="BD1416" s="81" t="s">
        <v>11336</v>
      </c>
      <c r="BE1416" s="77"/>
      <c r="BF1416" s="77"/>
      <c r="BG1416" s="77"/>
      <c r="BH1416" s="77"/>
      <c r="BI1416" s="77"/>
    </row>
    <row r="1417" spans="1:61" x14ac:dyDescent="0.25">
      <c r="A1417" s="62" t="s">
        <v>527</v>
      </c>
      <c r="B1417" s="62" t="s">
        <v>527</v>
      </c>
      <c r="C1417" s="63"/>
      <c r="D1417" s="64"/>
      <c r="E1417" s="65"/>
      <c r="F1417" s="66"/>
      <c r="G1417" s="63"/>
      <c r="H1417" s="67"/>
      <c r="I1417" s="68"/>
      <c r="J1417" s="68"/>
      <c r="K1417" s="32"/>
      <c r="L1417" s="75">
        <v>1417</v>
      </c>
      <c r="M1417" s="75"/>
      <c r="N1417" s="70"/>
      <c r="O1417" s="77" t="s">
        <v>969</v>
      </c>
      <c r="P1417" s="79">
        <v>45000.575694444444</v>
      </c>
      <c r="Q1417" s="77" t="s">
        <v>2215</v>
      </c>
      <c r="R1417" s="77">
        <v>1</v>
      </c>
      <c r="S1417" s="77">
        <v>0</v>
      </c>
      <c r="T1417" s="77">
        <v>0</v>
      </c>
      <c r="U1417" s="77">
        <v>0</v>
      </c>
      <c r="V1417" s="77">
        <v>22</v>
      </c>
      <c r="W1417" s="81" t="s">
        <v>3623</v>
      </c>
      <c r="X1417" s="83" t="str">
        <f>HYPERLINK("https://lacoste.gupy.io/job/eyJzb3VyY2UiOiJndXB5X3B1YmxpY19wYWdlIiwiam9iSWQiOjQ0MzA2ODh9?jobBoardSource=gupy_public_page")</f>
        <v>https://lacoste.gupy.io/job/eyJzb3VyY2UiOiJndXB5X3B1YmxpY19wYWdlIiwiam9iSWQiOjQ0MzA2ODh9?jobBoardSource=gupy_public_page</v>
      </c>
      <c r="Y1417" s="77" t="s">
        <v>4294</v>
      </c>
      <c r="Z1417" s="77"/>
      <c r="AA1417" s="77"/>
      <c r="AB1417" s="77"/>
      <c r="AC1417" s="81" t="s">
        <v>5805</v>
      </c>
      <c r="AD1417" s="77" t="s">
        <v>5857</v>
      </c>
      <c r="AE1417" s="83" t="str">
        <f>HYPERLINK("https://twitter.com/vagasdesalvador/status/1636001554808336385")</f>
        <v>https://twitter.com/vagasdesalvador/status/1636001554808336385</v>
      </c>
      <c r="AF1417" s="79">
        <v>45000.575694444444</v>
      </c>
      <c r="AG1417" s="85">
        <v>45000</v>
      </c>
      <c r="AH1417" s="81" t="s">
        <v>7071</v>
      </c>
      <c r="AI1417" s="77" t="b">
        <v>0</v>
      </c>
      <c r="AJ1417" s="77"/>
      <c r="AK1417" s="77"/>
      <c r="AL1417" s="77"/>
      <c r="AM1417" s="77"/>
      <c r="AN1417" s="77"/>
      <c r="AO1417" s="77"/>
      <c r="AP1417" s="77"/>
      <c r="AQ1417" s="77"/>
      <c r="AR1417" s="77"/>
      <c r="AS1417" s="77"/>
      <c r="AT1417" s="77"/>
      <c r="AU1417" s="77"/>
      <c r="AV1417" s="83" t="str">
        <f>HYPERLINK("https://pbs.twimg.com/profile_images/1570481566039539715/leEExsEx_normal.jpg")</f>
        <v>https://pbs.twimg.com/profile_images/1570481566039539715/leEExsEx_normal.jpg</v>
      </c>
      <c r="AW1417" s="81" t="s">
        <v>10538</v>
      </c>
      <c r="AX1417" s="81" t="s">
        <v>11288</v>
      </c>
      <c r="AY1417" s="81" t="s">
        <v>11336</v>
      </c>
      <c r="AZ1417" s="81" t="s">
        <v>11288</v>
      </c>
      <c r="BA1417" s="81" t="s">
        <v>11359</v>
      </c>
      <c r="BB1417" s="81" t="s">
        <v>11359</v>
      </c>
      <c r="BC1417" s="81" t="s">
        <v>11288</v>
      </c>
      <c r="BD1417" s="81" t="s">
        <v>11336</v>
      </c>
      <c r="BE1417" s="77"/>
      <c r="BF1417" s="77"/>
      <c r="BG1417" s="77"/>
      <c r="BH1417" s="77"/>
      <c r="BI1417" s="77"/>
    </row>
    <row r="1418" spans="1:61" x14ac:dyDescent="0.25">
      <c r="A1418" s="62" t="s">
        <v>527</v>
      </c>
      <c r="B1418" s="62" t="s">
        <v>527</v>
      </c>
      <c r="C1418" s="63"/>
      <c r="D1418" s="64"/>
      <c r="E1418" s="65"/>
      <c r="F1418" s="66"/>
      <c r="G1418" s="63"/>
      <c r="H1418" s="67"/>
      <c r="I1418" s="68"/>
      <c r="J1418" s="68"/>
      <c r="K1418" s="32"/>
      <c r="L1418" s="75">
        <v>1418</v>
      </c>
      <c r="M1418" s="75"/>
      <c r="N1418" s="70"/>
      <c r="O1418" s="77" t="s">
        <v>969</v>
      </c>
      <c r="P1418" s="79">
        <v>45116.64565972222</v>
      </c>
      <c r="Q1418" s="77" t="s">
        <v>2216</v>
      </c>
      <c r="R1418" s="77">
        <v>1</v>
      </c>
      <c r="S1418" s="77">
        <v>1</v>
      </c>
      <c r="T1418" s="77">
        <v>1</v>
      </c>
      <c r="U1418" s="77">
        <v>0</v>
      </c>
      <c r="V1418" s="77">
        <v>63</v>
      </c>
      <c r="W1418" s="81" t="s">
        <v>3625</v>
      </c>
      <c r="X1418" s="83" t="s">
        <v>4150</v>
      </c>
      <c r="Y1418" s="77" t="s">
        <v>4295</v>
      </c>
      <c r="Z1418" s="77"/>
      <c r="AA1418" s="77"/>
      <c r="AB1418" s="77"/>
      <c r="AC1418" s="81" t="s">
        <v>5801</v>
      </c>
      <c r="AD1418" s="77" t="s">
        <v>5851</v>
      </c>
      <c r="AE1418" s="83" t="str">
        <f>HYPERLINK("https://twitter.com/vagasdesalvador/status/1678063902528077825")</f>
        <v>https://twitter.com/vagasdesalvador/status/1678063902528077825</v>
      </c>
      <c r="AF1418" s="79">
        <v>45116.64565972222</v>
      </c>
      <c r="AG1418" s="85">
        <v>45116</v>
      </c>
      <c r="AH1418" s="81" t="s">
        <v>7072</v>
      </c>
      <c r="AI1418" s="77" t="b">
        <v>0</v>
      </c>
      <c r="AJ1418" s="77"/>
      <c r="AK1418" s="77"/>
      <c r="AL1418" s="77"/>
      <c r="AM1418" s="77"/>
      <c r="AN1418" s="77"/>
      <c r="AO1418" s="77"/>
      <c r="AP1418" s="77"/>
      <c r="AQ1418" s="77"/>
      <c r="AR1418" s="77"/>
      <c r="AS1418" s="77"/>
      <c r="AT1418" s="77"/>
      <c r="AU1418" s="77"/>
      <c r="AV1418" s="83" t="str">
        <f>HYPERLINK("https://pbs.twimg.com/profile_images/1570481566039539715/leEExsEx_normal.jpg")</f>
        <v>https://pbs.twimg.com/profile_images/1570481566039539715/leEExsEx_normal.jpg</v>
      </c>
      <c r="AW1418" s="81" t="s">
        <v>10539</v>
      </c>
      <c r="AX1418" s="81" t="s">
        <v>11289</v>
      </c>
      <c r="AY1418" s="81" t="s">
        <v>11336</v>
      </c>
      <c r="AZ1418" s="81" t="s">
        <v>11367</v>
      </c>
      <c r="BA1418" s="81" t="s">
        <v>11359</v>
      </c>
      <c r="BB1418" s="81" t="s">
        <v>11359</v>
      </c>
      <c r="BC1418" s="81" t="s">
        <v>11367</v>
      </c>
      <c r="BD1418" s="81" t="s">
        <v>11336</v>
      </c>
      <c r="BE1418" s="77"/>
      <c r="BF1418" s="77"/>
      <c r="BG1418" s="77"/>
      <c r="BH1418" s="77"/>
      <c r="BI1418" s="77"/>
    </row>
    <row r="1419" spans="1:61" x14ac:dyDescent="0.25">
      <c r="A1419" s="62" t="s">
        <v>527</v>
      </c>
      <c r="B1419" s="62" t="s">
        <v>527</v>
      </c>
      <c r="C1419" s="63"/>
      <c r="D1419" s="64"/>
      <c r="E1419" s="65"/>
      <c r="F1419" s="66"/>
      <c r="G1419" s="63"/>
      <c r="H1419" s="67"/>
      <c r="I1419" s="68"/>
      <c r="J1419" s="68"/>
      <c r="K1419" s="32"/>
      <c r="L1419" s="75">
        <v>1419</v>
      </c>
      <c r="M1419" s="75"/>
      <c r="N1419" s="70"/>
      <c r="O1419" s="77" t="s">
        <v>969</v>
      </c>
      <c r="P1419" s="79">
        <v>44957.703912037039</v>
      </c>
      <c r="Q1419" s="77" t="s">
        <v>2217</v>
      </c>
      <c r="R1419" s="77">
        <v>1</v>
      </c>
      <c r="S1419" s="77">
        <v>0</v>
      </c>
      <c r="T1419" s="77">
        <v>0</v>
      </c>
      <c r="U1419" s="77">
        <v>0</v>
      </c>
      <c r="V1419" s="77">
        <v>28</v>
      </c>
      <c r="W1419" s="81" t="s">
        <v>3623</v>
      </c>
      <c r="X1419" s="83" t="str">
        <f>HYPERLINK("https://www.catho.com.br/vagas/vendedor-interno/21766962/?origem_apply=busca-de-vagas&amp;entrada_apply=direto")</f>
        <v>https://www.catho.com.br/vagas/vendedor-interno/21766962/?origem_apply=busca-de-vagas&amp;entrada_apply=direto</v>
      </c>
      <c r="Y1419" s="77" t="s">
        <v>4223</v>
      </c>
      <c r="Z1419" s="77"/>
      <c r="AA1419" s="77"/>
      <c r="AB1419" s="77"/>
      <c r="AC1419" s="81" t="s">
        <v>5805</v>
      </c>
      <c r="AD1419" s="77" t="s">
        <v>5850</v>
      </c>
      <c r="AE1419" s="83" t="str">
        <f>HYPERLINK("https://twitter.com/vagasdesalvador/status/1620465341406269440")</f>
        <v>https://twitter.com/vagasdesalvador/status/1620465341406269440</v>
      </c>
      <c r="AF1419" s="79">
        <v>44957.703912037039</v>
      </c>
      <c r="AG1419" s="85">
        <v>44957</v>
      </c>
      <c r="AH1419" s="81" t="s">
        <v>7073</v>
      </c>
      <c r="AI1419" s="77" t="b">
        <v>0</v>
      </c>
      <c r="AJ1419" s="77"/>
      <c r="AK1419" s="77"/>
      <c r="AL1419" s="77"/>
      <c r="AM1419" s="77"/>
      <c r="AN1419" s="77"/>
      <c r="AO1419" s="77"/>
      <c r="AP1419" s="77"/>
      <c r="AQ1419" s="77"/>
      <c r="AR1419" s="77"/>
      <c r="AS1419" s="77"/>
      <c r="AT1419" s="77"/>
      <c r="AU1419" s="77"/>
      <c r="AV1419" s="83" t="str">
        <f>HYPERLINK("https://pbs.twimg.com/profile_images/1570481566039539715/leEExsEx_normal.jpg")</f>
        <v>https://pbs.twimg.com/profile_images/1570481566039539715/leEExsEx_normal.jpg</v>
      </c>
      <c r="AW1419" s="81" t="s">
        <v>10540</v>
      </c>
      <c r="AX1419" s="81" t="s">
        <v>10541</v>
      </c>
      <c r="AY1419" s="81" t="s">
        <v>11336</v>
      </c>
      <c r="AZ1419" s="81" t="s">
        <v>10541</v>
      </c>
      <c r="BA1419" s="81" t="s">
        <v>11359</v>
      </c>
      <c r="BB1419" s="81" t="s">
        <v>11359</v>
      </c>
      <c r="BC1419" s="81" t="s">
        <v>10541</v>
      </c>
      <c r="BD1419" s="81" t="s">
        <v>11336</v>
      </c>
      <c r="BE1419" s="77"/>
      <c r="BF1419" s="77"/>
      <c r="BG1419" s="77"/>
      <c r="BH1419" s="77"/>
      <c r="BI1419" s="77"/>
    </row>
    <row r="1420" spans="1:61" x14ac:dyDescent="0.25">
      <c r="A1420" s="62" t="s">
        <v>527</v>
      </c>
      <c r="B1420" s="62" t="s">
        <v>527</v>
      </c>
      <c r="C1420" s="63"/>
      <c r="D1420" s="64"/>
      <c r="E1420" s="65"/>
      <c r="F1420" s="66"/>
      <c r="G1420" s="63"/>
      <c r="H1420" s="67"/>
      <c r="I1420" s="68"/>
      <c r="J1420" s="68"/>
      <c r="K1420" s="32"/>
      <c r="L1420" s="75">
        <v>1420</v>
      </c>
      <c r="M1420" s="75"/>
      <c r="N1420" s="70"/>
      <c r="O1420" s="77" t="s">
        <v>179</v>
      </c>
      <c r="P1420" s="79">
        <v>44957.703148148146</v>
      </c>
      <c r="Q1420" s="77" t="s">
        <v>2218</v>
      </c>
      <c r="R1420" s="77">
        <v>1</v>
      </c>
      <c r="S1420" s="77">
        <v>0</v>
      </c>
      <c r="T1420" s="77">
        <v>1</v>
      </c>
      <c r="U1420" s="77">
        <v>0</v>
      </c>
      <c r="V1420" s="77">
        <v>76</v>
      </c>
      <c r="W1420" s="81" t="s">
        <v>3623</v>
      </c>
      <c r="X1420" s="83" t="str">
        <f>HYPERLINK("https://www.catho.com.br/vagas/vendedor(a)-interno/21981495/?utm_campaign=google_jobs_apply&amp;utm_source=google_jobs_apply&amp;utm_medium=organic")</f>
        <v>https://www.catho.com.br/vagas/vendedor(a)-interno/21981495/?utm_campaign=google_jobs_apply&amp;utm_source=google_jobs_apply&amp;utm_medium=organic</v>
      </c>
      <c r="Y1420" s="77" t="s">
        <v>4223</v>
      </c>
      <c r="Z1420" s="77"/>
      <c r="AA1420" s="77"/>
      <c r="AB1420" s="77"/>
      <c r="AC1420" s="81" t="s">
        <v>5805</v>
      </c>
      <c r="AD1420" s="77" t="s">
        <v>5851</v>
      </c>
      <c r="AE1420" s="83" t="str">
        <f>HYPERLINK("https://twitter.com/vagasdesalvador/status/1620465064670265345")</f>
        <v>https://twitter.com/vagasdesalvador/status/1620465064670265345</v>
      </c>
      <c r="AF1420" s="79">
        <v>44957.703148148146</v>
      </c>
      <c r="AG1420" s="85">
        <v>44957</v>
      </c>
      <c r="AH1420" s="81" t="s">
        <v>7074</v>
      </c>
      <c r="AI1420" s="77" t="b">
        <v>0</v>
      </c>
      <c r="AJ1420" s="77"/>
      <c r="AK1420" s="77"/>
      <c r="AL1420" s="77"/>
      <c r="AM1420" s="77"/>
      <c r="AN1420" s="77"/>
      <c r="AO1420" s="77"/>
      <c r="AP1420" s="77"/>
      <c r="AQ1420" s="77"/>
      <c r="AR1420" s="77"/>
      <c r="AS1420" s="77"/>
      <c r="AT1420" s="77"/>
      <c r="AU1420" s="77"/>
      <c r="AV1420" s="83" t="str">
        <f>HYPERLINK("https://pbs.twimg.com/profile_images/1570481566039539715/leEExsEx_normal.jpg")</f>
        <v>https://pbs.twimg.com/profile_images/1570481566039539715/leEExsEx_normal.jpg</v>
      </c>
      <c r="AW1420" s="81" t="s">
        <v>10541</v>
      </c>
      <c r="AX1420" s="81" t="s">
        <v>10541</v>
      </c>
      <c r="AY1420" s="77"/>
      <c r="AZ1420" s="81" t="s">
        <v>11359</v>
      </c>
      <c r="BA1420" s="81" t="s">
        <v>11359</v>
      </c>
      <c r="BB1420" s="81" t="s">
        <v>11359</v>
      </c>
      <c r="BC1420" s="81" t="s">
        <v>10541</v>
      </c>
      <c r="BD1420" s="81" t="s">
        <v>11336</v>
      </c>
      <c r="BE1420" s="77"/>
      <c r="BF1420" s="77"/>
      <c r="BG1420" s="77"/>
      <c r="BH1420" s="77"/>
      <c r="BI1420" s="77"/>
    </row>
    <row r="1421" spans="1:61" x14ac:dyDescent="0.25">
      <c r="A1421" s="62" t="s">
        <v>527</v>
      </c>
      <c r="B1421" s="62" t="s">
        <v>527</v>
      </c>
      <c r="C1421" s="63"/>
      <c r="D1421" s="64"/>
      <c r="E1421" s="65"/>
      <c r="F1421" s="66"/>
      <c r="G1421" s="63"/>
      <c r="H1421" s="67"/>
      <c r="I1421" s="68"/>
      <c r="J1421" s="68"/>
      <c r="K1421" s="32"/>
      <c r="L1421" s="75">
        <v>1421</v>
      </c>
      <c r="M1421" s="75"/>
      <c r="N1421" s="70"/>
      <c r="O1421" s="77" t="s">
        <v>969</v>
      </c>
      <c r="P1421" s="79">
        <v>45161.779907407406</v>
      </c>
      <c r="Q1421" s="77" t="s">
        <v>2219</v>
      </c>
      <c r="R1421" s="77">
        <v>2</v>
      </c>
      <c r="S1421" s="77">
        <v>0</v>
      </c>
      <c r="T1421" s="77">
        <v>1</v>
      </c>
      <c r="U1421" s="77">
        <v>0</v>
      </c>
      <c r="V1421" s="77">
        <v>57</v>
      </c>
      <c r="W1421" s="81" t="s">
        <v>3625</v>
      </c>
      <c r="X1421" s="83" t="str">
        <f>HYPERLINK("https://tfcarreira.gupy.io/job/eyJqb2JJZCI6NTMxNTY1NSwic291cmNlIjoiZ3VweV9wb3J0YWwifQ==?jobBoardSource=gupy_portal")</f>
        <v>https://tfcarreira.gupy.io/job/eyJqb2JJZCI6NTMxNTY1NSwic291cmNlIjoiZ3VweV9wb3J0YWwifQ==?jobBoardSource=gupy_portal</v>
      </c>
      <c r="Y1421" s="77" t="s">
        <v>4294</v>
      </c>
      <c r="Z1421" s="77"/>
      <c r="AA1421" s="77"/>
      <c r="AB1421" s="77"/>
      <c r="AC1421" s="81" t="s">
        <v>5801</v>
      </c>
      <c r="AD1421" s="77" t="s">
        <v>5851</v>
      </c>
      <c r="AE1421" s="83" t="str">
        <f>HYPERLINK("https://twitter.com/vagasdesalvador/status/1694420006379942300")</f>
        <v>https://twitter.com/vagasdesalvador/status/1694420006379942300</v>
      </c>
      <c r="AF1421" s="79">
        <v>45161.779907407406</v>
      </c>
      <c r="AG1421" s="85">
        <v>45161</v>
      </c>
      <c r="AH1421" s="81" t="s">
        <v>6100</v>
      </c>
      <c r="AI1421" s="77" t="b">
        <v>0</v>
      </c>
      <c r="AJ1421" s="77"/>
      <c r="AK1421" s="77"/>
      <c r="AL1421" s="77"/>
      <c r="AM1421" s="77"/>
      <c r="AN1421" s="77"/>
      <c r="AO1421" s="77"/>
      <c r="AP1421" s="77"/>
      <c r="AQ1421" s="77"/>
      <c r="AR1421" s="77"/>
      <c r="AS1421" s="77"/>
      <c r="AT1421" s="77"/>
      <c r="AU1421" s="77"/>
      <c r="AV1421" s="83" t="str">
        <f>HYPERLINK("https://pbs.twimg.com/profile_images/1570481566039539715/leEExsEx_normal.jpg")</f>
        <v>https://pbs.twimg.com/profile_images/1570481566039539715/leEExsEx_normal.jpg</v>
      </c>
      <c r="AW1421" s="81" t="s">
        <v>10542</v>
      </c>
      <c r="AX1421" s="81" t="s">
        <v>11289</v>
      </c>
      <c r="AY1421" s="81" t="s">
        <v>11336</v>
      </c>
      <c r="AZ1421" s="81" t="s">
        <v>11368</v>
      </c>
      <c r="BA1421" s="81" t="s">
        <v>11359</v>
      </c>
      <c r="BB1421" s="81" t="s">
        <v>11359</v>
      </c>
      <c r="BC1421" s="81" t="s">
        <v>11368</v>
      </c>
      <c r="BD1421" s="81" t="s">
        <v>11336</v>
      </c>
      <c r="BE1421" s="77"/>
      <c r="BF1421" s="77"/>
      <c r="BG1421" s="77"/>
      <c r="BH1421" s="77"/>
      <c r="BI1421" s="77"/>
    </row>
    <row r="1422" spans="1:61" x14ac:dyDescent="0.25">
      <c r="A1422" s="62" t="s">
        <v>527</v>
      </c>
      <c r="B1422" s="62" t="s">
        <v>527</v>
      </c>
      <c r="C1422" s="63"/>
      <c r="D1422" s="64"/>
      <c r="E1422" s="65"/>
      <c r="F1422" s="66"/>
      <c r="G1422" s="63"/>
      <c r="H1422" s="67"/>
      <c r="I1422" s="68"/>
      <c r="J1422" s="68"/>
      <c r="K1422" s="32"/>
      <c r="L1422" s="75">
        <v>1422</v>
      </c>
      <c r="M1422" s="75"/>
      <c r="N1422" s="70"/>
      <c r="O1422" s="77" t="s">
        <v>969</v>
      </c>
      <c r="P1422" s="79">
        <v>45171.684594907405</v>
      </c>
      <c r="Q1422" s="77" t="s">
        <v>2220</v>
      </c>
      <c r="R1422" s="77">
        <v>2</v>
      </c>
      <c r="S1422" s="77">
        <v>1</v>
      </c>
      <c r="T1422" s="77">
        <v>1</v>
      </c>
      <c r="U1422" s="77">
        <v>0</v>
      </c>
      <c r="V1422" s="77">
        <v>49</v>
      </c>
      <c r="W1422" s="81" t="s">
        <v>3625</v>
      </c>
      <c r="X1422" s="83" t="str">
        <f>HYPERLINK("https://semparar.gupy.io/job/eyJqb2JJZCI6NTM0MjE3NSwic291cmNlIjoiZ3VweV9wb3J0YWwifQ==?jobBoardSource=gupy_portal")</f>
        <v>https://semparar.gupy.io/job/eyJqb2JJZCI6NTM0MjE3NSwic291cmNlIjoiZ3VweV9wb3J0YWwifQ==?jobBoardSource=gupy_portal</v>
      </c>
      <c r="Y1422" s="77" t="s">
        <v>4294</v>
      </c>
      <c r="Z1422" s="77"/>
      <c r="AA1422" s="77"/>
      <c r="AB1422" s="77"/>
      <c r="AC1422" s="81" t="s">
        <v>5801</v>
      </c>
      <c r="AD1422" s="77" t="s">
        <v>5851</v>
      </c>
      <c r="AE1422" s="83" t="str">
        <f>HYPERLINK("https://twitter.com/vagasdesalvador/status/1698009341939302834")</f>
        <v>https://twitter.com/vagasdesalvador/status/1698009341939302834</v>
      </c>
      <c r="AF1422" s="79">
        <v>45171.684594907405</v>
      </c>
      <c r="AG1422" s="85">
        <v>45171</v>
      </c>
      <c r="AH1422" s="81" t="s">
        <v>7075</v>
      </c>
      <c r="AI1422" s="77" t="b">
        <v>0</v>
      </c>
      <c r="AJ1422" s="77"/>
      <c r="AK1422" s="77"/>
      <c r="AL1422" s="77"/>
      <c r="AM1422" s="77"/>
      <c r="AN1422" s="77"/>
      <c r="AO1422" s="77"/>
      <c r="AP1422" s="77"/>
      <c r="AQ1422" s="77"/>
      <c r="AR1422" s="77"/>
      <c r="AS1422" s="77"/>
      <c r="AT1422" s="77"/>
      <c r="AU1422" s="77"/>
      <c r="AV1422" s="83" t="str">
        <f>HYPERLINK("https://pbs.twimg.com/profile_images/1570481566039539715/leEExsEx_normal.jpg")</f>
        <v>https://pbs.twimg.com/profile_images/1570481566039539715/leEExsEx_normal.jpg</v>
      </c>
      <c r="AW1422" s="81" t="s">
        <v>10543</v>
      </c>
      <c r="AX1422" s="81" t="s">
        <v>11289</v>
      </c>
      <c r="AY1422" s="81" t="s">
        <v>11336</v>
      </c>
      <c r="AZ1422" s="81" t="s">
        <v>10544</v>
      </c>
      <c r="BA1422" s="81" t="s">
        <v>11359</v>
      </c>
      <c r="BB1422" s="81" t="s">
        <v>11359</v>
      </c>
      <c r="BC1422" s="81" t="s">
        <v>10544</v>
      </c>
      <c r="BD1422" s="81" t="s">
        <v>11336</v>
      </c>
      <c r="BE1422" s="77"/>
      <c r="BF1422" s="77"/>
      <c r="BG1422" s="77"/>
      <c r="BH1422" s="77"/>
      <c r="BI1422" s="77"/>
    </row>
    <row r="1423" spans="1:61" x14ac:dyDescent="0.25">
      <c r="A1423" s="62" t="s">
        <v>527</v>
      </c>
      <c r="B1423" s="62" t="s">
        <v>527</v>
      </c>
      <c r="C1423" s="63"/>
      <c r="D1423" s="64"/>
      <c r="E1423" s="65"/>
      <c r="F1423" s="66"/>
      <c r="G1423" s="63"/>
      <c r="H1423" s="67"/>
      <c r="I1423" s="68"/>
      <c r="J1423" s="68"/>
      <c r="K1423" s="32"/>
      <c r="L1423" s="75">
        <v>1423</v>
      </c>
      <c r="M1423" s="75"/>
      <c r="N1423" s="70"/>
      <c r="O1423" s="77" t="s">
        <v>969</v>
      </c>
      <c r="P1423" s="79">
        <v>45171.684293981481</v>
      </c>
      <c r="Q1423" s="77" t="s">
        <v>2221</v>
      </c>
      <c r="R1423" s="77">
        <v>2</v>
      </c>
      <c r="S1423" s="77">
        <v>1</v>
      </c>
      <c r="T1423" s="77">
        <v>1</v>
      </c>
      <c r="U1423" s="77">
        <v>0</v>
      </c>
      <c r="V1423" s="77">
        <v>76</v>
      </c>
      <c r="W1423" s="81" t="s">
        <v>3626</v>
      </c>
      <c r="X1423" s="83" t="str">
        <f>HYPERLINK("https://semparar.gupy.io/job/eyJqb2JJZCI6NTM2MjEyMSwic291cmNlIjoiZ3VweV9wb3J0YWwifQ==?jobBoardSource=gupy_portal")</f>
        <v>https://semparar.gupy.io/job/eyJqb2JJZCI6NTM2MjEyMSwic291cmNlIjoiZ3VweV9wb3J0YWwifQ==?jobBoardSource=gupy_portal</v>
      </c>
      <c r="Y1423" s="77" t="s">
        <v>4294</v>
      </c>
      <c r="Z1423" s="77"/>
      <c r="AA1423" s="77"/>
      <c r="AB1423" s="77"/>
      <c r="AC1423" s="81" t="s">
        <v>5801</v>
      </c>
      <c r="AD1423" s="77" t="s">
        <v>5851</v>
      </c>
      <c r="AE1423" s="83" t="str">
        <f>HYPERLINK("https://twitter.com/vagasdesalvador/status/1698009233894052154")</f>
        <v>https://twitter.com/vagasdesalvador/status/1698009233894052154</v>
      </c>
      <c r="AF1423" s="79">
        <v>45171.684293981481</v>
      </c>
      <c r="AG1423" s="85">
        <v>45171</v>
      </c>
      <c r="AH1423" s="81" t="s">
        <v>7076</v>
      </c>
      <c r="AI1423" s="77" t="b">
        <v>0</v>
      </c>
      <c r="AJ1423" s="77"/>
      <c r="AK1423" s="77"/>
      <c r="AL1423" s="77"/>
      <c r="AM1423" s="77"/>
      <c r="AN1423" s="77"/>
      <c r="AO1423" s="77"/>
      <c r="AP1423" s="77"/>
      <c r="AQ1423" s="77"/>
      <c r="AR1423" s="77"/>
      <c r="AS1423" s="77"/>
      <c r="AT1423" s="77"/>
      <c r="AU1423" s="77"/>
      <c r="AV1423" s="83" t="str">
        <f>HYPERLINK("https://pbs.twimg.com/profile_images/1570481566039539715/leEExsEx_normal.jpg")</f>
        <v>https://pbs.twimg.com/profile_images/1570481566039539715/leEExsEx_normal.jpg</v>
      </c>
      <c r="AW1423" s="81" t="s">
        <v>10544</v>
      </c>
      <c r="AX1423" s="81" t="s">
        <v>11289</v>
      </c>
      <c r="AY1423" s="81" t="s">
        <v>11336</v>
      </c>
      <c r="AZ1423" s="81" t="s">
        <v>11369</v>
      </c>
      <c r="BA1423" s="81" t="s">
        <v>11359</v>
      </c>
      <c r="BB1423" s="81" t="s">
        <v>11359</v>
      </c>
      <c r="BC1423" s="81" t="s">
        <v>11369</v>
      </c>
      <c r="BD1423" s="81" t="s">
        <v>11336</v>
      </c>
      <c r="BE1423" s="77"/>
      <c r="BF1423" s="77"/>
      <c r="BG1423" s="77"/>
      <c r="BH1423" s="77"/>
      <c r="BI1423" s="77"/>
    </row>
    <row r="1424" spans="1:61" x14ac:dyDescent="0.25">
      <c r="A1424" s="62" t="s">
        <v>527</v>
      </c>
      <c r="B1424" s="62" t="s">
        <v>527</v>
      </c>
      <c r="C1424" s="63"/>
      <c r="D1424" s="64"/>
      <c r="E1424" s="65"/>
      <c r="F1424" s="66"/>
      <c r="G1424" s="63"/>
      <c r="H1424" s="67"/>
      <c r="I1424" s="68"/>
      <c r="J1424" s="68"/>
      <c r="K1424" s="32"/>
      <c r="L1424" s="75">
        <v>1424</v>
      </c>
      <c r="M1424" s="75"/>
      <c r="N1424" s="70"/>
      <c r="O1424" s="77" t="s">
        <v>969</v>
      </c>
      <c r="P1424" s="79">
        <v>45160.09170138889</v>
      </c>
      <c r="Q1424" s="77" t="s">
        <v>2222</v>
      </c>
      <c r="R1424" s="77">
        <v>1</v>
      </c>
      <c r="S1424" s="77">
        <v>1</v>
      </c>
      <c r="T1424" s="77">
        <v>1</v>
      </c>
      <c r="U1424" s="77">
        <v>0</v>
      </c>
      <c r="V1424" s="77">
        <v>64</v>
      </c>
      <c r="W1424" s="81" t="s">
        <v>3625</v>
      </c>
      <c r="X1424" s="83" t="str">
        <f>HYPERLINK("https://fastshop.gupy.io/job/eyJqb2JJZCI6NTMwMzk0MSwic291cmNlIjoiZ3VweV9wb3J0YWwifQ==?jobBoardSource=gupy_portal")</f>
        <v>https://fastshop.gupy.io/job/eyJqb2JJZCI6NTMwMzk0MSwic291cmNlIjoiZ3VweV9wb3J0YWwifQ==?jobBoardSource=gupy_portal</v>
      </c>
      <c r="Y1424" s="77" t="s">
        <v>4294</v>
      </c>
      <c r="Z1424" s="77"/>
      <c r="AA1424" s="77"/>
      <c r="AB1424" s="77"/>
      <c r="AC1424" s="81" t="s">
        <v>5801</v>
      </c>
      <c r="AD1424" s="77" t="s">
        <v>5851</v>
      </c>
      <c r="AE1424" s="83" t="str">
        <f>HYPERLINK("https://twitter.com/vagasdesalvador/status/1693808218785382784")</f>
        <v>https://twitter.com/vagasdesalvador/status/1693808218785382784</v>
      </c>
      <c r="AF1424" s="79">
        <v>45160.09170138889</v>
      </c>
      <c r="AG1424" s="85">
        <v>45160</v>
      </c>
      <c r="AH1424" s="81" t="s">
        <v>7077</v>
      </c>
      <c r="AI1424" s="77" t="b">
        <v>0</v>
      </c>
      <c r="AJ1424" s="77"/>
      <c r="AK1424" s="77"/>
      <c r="AL1424" s="77"/>
      <c r="AM1424" s="77"/>
      <c r="AN1424" s="77"/>
      <c r="AO1424" s="77"/>
      <c r="AP1424" s="77"/>
      <c r="AQ1424" s="77"/>
      <c r="AR1424" s="77"/>
      <c r="AS1424" s="77"/>
      <c r="AT1424" s="77"/>
      <c r="AU1424" s="77"/>
      <c r="AV1424" s="83" t="str">
        <f>HYPERLINK("https://pbs.twimg.com/profile_images/1570481566039539715/leEExsEx_normal.jpg")</f>
        <v>https://pbs.twimg.com/profile_images/1570481566039539715/leEExsEx_normal.jpg</v>
      </c>
      <c r="AW1424" s="81" t="s">
        <v>10545</v>
      </c>
      <c r="AX1424" s="81" t="s">
        <v>11289</v>
      </c>
      <c r="AY1424" s="81" t="s">
        <v>11336</v>
      </c>
      <c r="AZ1424" s="81" t="s">
        <v>11370</v>
      </c>
      <c r="BA1424" s="81" t="s">
        <v>11359</v>
      </c>
      <c r="BB1424" s="81" t="s">
        <v>11359</v>
      </c>
      <c r="BC1424" s="81" t="s">
        <v>11370</v>
      </c>
      <c r="BD1424" s="81" t="s">
        <v>11336</v>
      </c>
      <c r="BE1424" s="77"/>
      <c r="BF1424" s="77"/>
      <c r="BG1424" s="77"/>
      <c r="BH1424" s="77"/>
      <c r="BI1424" s="77"/>
    </row>
    <row r="1425" spans="1:61" x14ac:dyDescent="0.25">
      <c r="A1425" s="62" t="s">
        <v>527</v>
      </c>
      <c r="B1425" s="62" t="s">
        <v>527</v>
      </c>
      <c r="C1425" s="63"/>
      <c r="D1425" s="64"/>
      <c r="E1425" s="65"/>
      <c r="F1425" s="66"/>
      <c r="G1425" s="63"/>
      <c r="H1425" s="67"/>
      <c r="I1425" s="68"/>
      <c r="J1425" s="68"/>
      <c r="K1425" s="32"/>
      <c r="L1425" s="75">
        <v>1425</v>
      </c>
      <c r="M1425" s="75"/>
      <c r="N1425" s="70"/>
      <c r="O1425" s="77" t="s">
        <v>969</v>
      </c>
      <c r="P1425" s="79">
        <v>44952.601504629631</v>
      </c>
      <c r="Q1425" s="77" t="s">
        <v>2223</v>
      </c>
      <c r="R1425" s="77">
        <v>1</v>
      </c>
      <c r="S1425" s="77">
        <v>0</v>
      </c>
      <c r="T1425" s="77">
        <v>0</v>
      </c>
      <c r="U1425" s="77">
        <v>0</v>
      </c>
      <c r="V1425" s="77">
        <v>34</v>
      </c>
      <c r="W1425" s="81" t="s">
        <v>3627</v>
      </c>
      <c r="X1425" s="83" t="str">
        <f>HYPERLINK("https://animale.gupy.io/job/eyJzb3VyY2UiOiJndXB5X3B1YmxpY19wYWdlIiwiam9iSWQiOjM5NTY1NDN9?jobBoardSource=gupy_public_page")</f>
        <v>https://animale.gupy.io/job/eyJzb3VyY2UiOiJndXB5X3B1YmxpY19wYWdlIiwiam9iSWQiOjM5NTY1NDN9?jobBoardSource=gupy_public_page</v>
      </c>
      <c r="Y1425" s="77" t="s">
        <v>4294</v>
      </c>
      <c r="Z1425" s="77"/>
      <c r="AA1425" s="77"/>
      <c r="AB1425" s="77"/>
      <c r="AC1425" s="81" t="s">
        <v>5805</v>
      </c>
      <c r="AD1425" s="77" t="s">
        <v>5851</v>
      </c>
      <c r="AE1425" s="83" t="str">
        <f>HYPERLINK("https://twitter.com/vagasdesalvador/status/1618616290033430528")</f>
        <v>https://twitter.com/vagasdesalvador/status/1618616290033430528</v>
      </c>
      <c r="AF1425" s="79">
        <v>44952.601504629631</v>
      </c>
      <c r="AG1425" s="85">
        <v>44952</v>
      </c>
      <c r="AH1425" s="81" t="s">
        <v>7078</v>
      </c>
      <c r="AI1425" s="77" t="b">
        <v>0</v>
      </c>
      <c r="AJ1425" s="77"/>
      <c r="AK1425" s="77"/>
      <c r="AL1425" s="77"/>
      <c r="AM1425" s="77"/>
      <c r="AN1425" s="77"/>
      <c r="AO1425" s="77"/>
      <c r="AP1425" s="77"/>
      <c r="AQ1425" s="77"/>
      <c r="AR1425" s="77"/>
      <c r="AS1425" s="77"/>
      <c r="AT1425" s="77"/>
      <c r="AU1425" s="77"/>
      <c r="AV1425" s="83" t="str">
        <f>HYPERLINK("https://pbs.twimg.com/profile_images/1570481566039539715/leEExsEx_normal.jpg")</f>
        <v>https://pbs.twimg.com/profile_images/1570481566039539715/leEExsEx_normal.jpg</v>
      </c>
      <c r="AW1425" s="81" t="s">
        <v>10546</v>
      </c>
      <c r="AX1425" s="81" t="s">
        <v>11290</v>
      </c>
      <c r="AY1425" s="81" t="s">
        <v>11336</v>
      </c>
      <c r="AZ1425" s="81" t="s">
        <v>10547</v>
      </c>
      <c r="BA1425" s="81" t="s">
        <v>11359</v>
      </c>
      <c r="BB1425" s="81" t="s">
        <v>11359</v>
      </c>
      <c r="BC1425" s="81" t="s">
        <v>10547</v>
      </c>
      <c r="BD1425" s="81" t="s">
        <v>11336</v>
      </c>
      <c r="BE1425" s="77"/>
      <c r="BF1425" s="77"/>
      <c r="BG1425" s="77"/>
      <c r="BH1425" s="77"/>
      <c r="BI1425" s="77"/>
    </row>
    <row r="1426" spans="1:61" x14ac:dyDescent="0.25">
      <c r="A1426" s="62" t="s">
        <v>527</v>
      </c>
      <c r="B1426" s="62" t="s">
        <v>527</v>
      </c>
      <c r="C1426" s="63"/>
      <c r="D1426" s="64"/>
      <c r="E1426" s="65"/>
      <c r="F1426" s="66"/>
      <c r="G1426" s="63"/>
      <c r="H1426" s="67"/>
      <c r="I1426" s="68"/>
      <c r="J1426" s="68"/>
      <c r="K1426" s="32"/>
      <c r="L1426" s="75">
        <v>1426</v>
      </c>
      <c r="M1426" s="75"/>
      <c r="N1426" s="70"/>
      <c r="O1426" s="77" t="s">
        <v>969</v>
      </c>
      <c r="P1426" s="79">
        <v>44952.600960648146</v>
      </c>
      <c r="Q1426" s="77" t="s">
        <v>2224</v>
      </c>
      <c r="R1426" s="77">
        <v>1</v>
      </c>
      <c r="S1426" s="77">
        <v>0</v>
      </c>
      <c r="T1426" s="77">
        <v>1</v>
      </c>
      <c r="U1426" s="77">
        <v>0</v>
      </c>
      <c r="V1426" s="77">
        <v>22</v>
      </c>
      <c r="W1426" s="81" t="s">
        <v>3623</v>
      </c>
      <c r="X1426" s="83" t="str">
        <f>HYPERLINK("https://animale.gupy.io/job/eyJzb3VyY2UiOiJndXB5X3B1YmxpY19wYWdlIiwiam9iSWQiOjM5Nzg2MzN9?jobBoardSource=gupy_public_page")</f>
        <v>https://animale.gupy.io/job/eyJzb3VyY2UiOiJndXB5X3B1YmxpY19wYWdlIiwiam9iSWQiOjM5Nzg2MzN9?jobBoardSource=gupy_public_page</v>
      </c>
      <c r="Y1426" s="77" t="s">
        <v>4294</v>
      </c>
      <c r="Z1426" s="77"/>
      <c r="AA1426" s="77"/>
      <c r="AB1426" s="77"/>
      <c r="AC1426" s="81" t="s">
        <v>5805</v>
      </c>
      <c r="AD1426" s="77" t="s">
        <v>5858</v>
      </c>
      <c r="AE1426" s="83" t="str">
        <f>HYPERLINK("https://twitter.com/vagasdesalvador/status/1618616091999363075")</f>
        <v>https://twitter.com/vagasdesalvador/status/1618616091999363075</v>
      </c>
      <c r="AF1426" s="79">
        <v>44952.600960648146</v>
      </c>
      <c r="AG1426" s="85">
        <v>44952</v>
      </c>
      <c r="AH1426" s="81" t="s">
        <v>7079</v>
      </c>
      <c r="AI1426" s="77" t="b">
        <v>0</v>
      </c>
      <c r="AJ1426" s="77"/>
      <c r="AK1426" s="77"/>
      <c r="AL1426" s="77"/>
      <c r="AM1426" s="77"/>
      <c r="AN1426" s="77"/>
      <c r="AO1426" s="77"/>
      <c r="AP1426" s="77"/>
      <c r="AQ1426" s="77"/>
      <c r="AR1426" s="77"/>
      <c r="AS1426" s="77"/>
      <c r="AT1426" s="77"/>
      <c r="AU1426" s="77"/>
      <c r="AV1426" s="83" t="str">
        <f>HYPERLINK("https://pbs.twimg.com/profile_images/1570481566039539715/leEExsEx_normal.jpg")</f>
        <v>https://pbs.twimg.com/profile_images/1570481566039539715/leEExsEx_normal.jpg</v>
      </c>
      <c r="AW1426" s="81" t="s">
        <v>10547</v>
      </c>
      <c r="AX1426" s="81" t="s">
        <v>11290</v>
      </c>
      <c r="AY1426" s="81" t="s">
        <v>11336</v>
      </c>
      <c r="AZ1426" s="81" t="s">
        <v>10548</v>
      </c>
      <c r="BA1426" s="81" t="s">
        <v>11359</v>
      </c>
      <c r="BB1426" s="81" t="s">
        <v>11359</v>
      </c>
      <c r="BC1426" s="81" t="s">
        <v>10548</v>
      </c>
      <c r="BD1426" s="81" t="s">
        <v>11336</v>
      </c>
      <c r="BE1426" s="77"/>
      <c r="BF1426" s="77"/>
      <c r="BG1426" s="77"/>
      <c r="BH1426" s="77"/>
      <c r="BI1426" s="77"/>
    </row>
    <row r="1427" spans="1:61" x14ac:dyDescent="0.25">
      <c r="A1427" s="62" t="s">
        <v>527</v>
      </c>
      <c r="B1427" s="62" t="s">
        <v>527</v>
      </c>
      <c r="C1427" s="63"/>
      <c r="D1427" s="64"/>
      <c r="E1427" s="65"/>
      <c r="F1427" s="66"/>
      <c r="G1427" s="63"/>
      <c r="H1427" s="67"/>
      <c r="I1427" s="68"/>
      <c r="J1427" s="68"/>
      <c r="K1427" s="32"/>
      <c r="L1427" s="75">
        <v>1427</v>
      </c>
      <c r="M1427" s="75"/>
      <c r="N1427" s="70"/>
      <c r="O1427" s="77" t="s">
        <v>969</v>
      </c>
      <c r="P1427" s="79">
        <v>44952.584120370368</v>
      </c>
      <c r="Q1427" s="77" t="s">
        <v>2225</v>
      </c>
      <c r="R1427" s="77">
        <v>1</v>
      </c>
      <c r="S1427" s="77">
        <v>0</v>
      </c>
      <c r="T1427" s="77">
        <v>2</v>
      </c>
      <c r="U1427" s="77">
        <v>0</v>
      </c>
      <c r="V1427" s="77">
        <v>17</v>
      </c>
      <c r="W1427" s="81" t="s">
        <v>3623</v>
      </c>
      <c r="X1427" s="83" t="str">
        <f>HYPERLINK("https://cencosudbrasil.gupy.io/job/eyJzb3VyY2UiOiJndXB5X3B1YmxpY19wYWdlIiwiam9iSWQiOjM3MDgyNzB9?jobBoardSource=gupy_public_page")</f>
        <v>https://cencosudbrasil.gupy.io/job/eyJzb3VyY2UiOiJndXB5X3B1YmxpY19wYWdlIiwiam9iSWQiOjM3MDgyNzB9?jobBoardSource=gupy_public_page</v>
      </c>
      <c r="Y1427" s="77" t="s">
        <v>4294</v>
      </c>
      <c r="Z1427" s="77"/>
      <c r="AA1427" s="77"/>
      <c r="AB1427" s="77"/>
      <c r="AC1427" s="81" t="s">
        <v>5805</v>
      </c>
      <c r="AD1427" s="77" t="s">
        <v>5851</v>
      </c>
      <c r="AE1427" s="83" t="str">
        <f>HYPERLINK("https://twitter.com/vagasdesalvador/status/1618609989018607616")</f>
        <v>https://twitter.com/vagasdesalvador/status/1618609989018607616</v>
      </c>
      <c r="AF1427" s="79">
        <v>44952.584120370368</v>
      </c>
      <c r="AG1427" s="85">
        <v>44952</v>
      </c>
      <c r="AH1427" s="81" t="s">
        <v>7080</v>
      </c>
      <c r="AI1427" s="77" t="b">
        <v>0</v>
      </c>
      <c r="AJ1427" s="77"/>
      <c r="AK1427" s="77"/>
      <c r="AL1427" s="77"/>
      <c r="AM1427" s="77"/>
      <c r="AN1427" s="77"/>
      <c r="AO1427" s="77"/>
      <c r="AP1427" s="77"/>
      <c r="AQ1427" s="77"/>
      <c r="AR1427" s="77"/>
      <c r="AS1427" s="77"/>
      <c r="AT1427" s="77"/>
      <c r="AU1427" s="77"/>
      <c r="AV1427" s="83" t="str">
        <f>HYPERLINK("https://pbs.twimg.com/profile_images/1570481566039539715/leEExsEx_normal.jpg")</f>
        <v>https://pbs.twimg.com/profile_images/1570481566039539715/leEExsEx_normal.jpg</v>
      </c>
      <c r="AW1427" s="81" t="s">
        <v>10548</v>
      </c>
      <c r="AX1427" s="81" t="s">
        <v>11290</v>
      </c>
      <c r="AY1427" s="81" t="s">
        <v>11336</v>
      </c>
      <c r="AZ1427" s="81" t="s">
        <v>11371</v>
      </c>
      <c r="BA1427" s="81" t="s">
        <v>11359</v>
      </c>
      <c r="BB1427" s="81" t="s">
        <v>11359</v>
      </c>
      <c r="BC1427" s="81" t="s">
        <v>11371</v>
      </c>
      <c r="BD1427" s="81" t="s">
        <v>11336</v>
      </c>
      <c r="BE1427" s="77"/>
      <c r="BF1427" s="77"/>
      <c r="BG1427" s="77"/>
      <c r="BH1427" s="77"/>
      <c r="BI1427" s="77"/>
    </row>
    <row r="1428" spans="1:61" x14ac:dyDescent="0.25">
      <c r="A1428" s="62" t="s">
        <v>527</v>
      </c>
      <c r="B1428" s="62" t="s">
        <v>527</v>
      </c>
      <c r="C1428" s="63"/>
      <c r="D1428" s="64"/>
      <c r="E1428" s="65"/>
      <c r="F1428" s="66"/>
      <c r="G1428" s="63"/>
      <c r="H1428" s="67"/>
      <c r="I1428" s="68"/>
      <c r="J1428" s="68"/>
      <c r="K1428" s="32"/>
      <c r="L1428" s="75">
        <v>1428</v>
      </c>
      <c r="M1428" s="75"/>
      <c r="N1428" s="70"/>
      <c r="O1428" s="77" t="s">
        <v>969</v>
      </c>
      <c r="P1428" s="79">
        <v>45183.78193287037</v>
      </c>
      <c r="Q1428" s="77" t="s">
        <v>2226</v>
      </c>
      <c r="R1428" s="77">
        <v>1</v>
      </c>
      <c r="S1428" s="77">
        <v>1</v>
      </c>
      <c r="T1428" s="77">
        <v>1</v>
      </c>
      <c r="U1428" s="77">
        <v>0</v>
      </c>
      <c r="V1428" s="77">
        <v>31</v>
      </c>
      <c r="W1428" s="81" t="s">
        <v>3625</v>
      </c>
      <c r="X1428" s="83" t="str">
        <f>HYPERLINK("https://www.vagas.com.br/vagas/v2561902/vendedor-a-extra-salvador?ci=2074740&amp;fnt=18&amp;ne=0&amp;utm_campaign=algoritimo-a&amp;utm_content=20230914&amp;utm_medium=email&amp;utm_posicao=2&amp;utm_quantidade_vagas=3&amp;utm_source=recomendacao&amp;utm_term=2561902")</f>
        <v>https://www.vagas.com.br/vagas/v2561902/vendedor-a-extra-salvador?ci=2074740&amp;fnt=18&amp;ne=0&amp;utm_campaign=algoritimo-a&amp;utm_content=20230914&amp;utm_medium=email&amp;utm_posicao=2&amp;utm_quantidade_vagas=3&amp;utm_source=recomendacao&amp;utm_term=2561902</v>
      </c>
      <c r="Y1428" s="77" t="s">
        <v>4223</v>
      </c>
      <c r="Z1428" s="77"/>
      <c r="AA1428" s="77"/>
      <c r="AB1428" s="77"/>
      <c r="AC1428" s="81" t="s">
        <v>5801</v>
      </c>
      <c r="AD1428" s="77" t="s">
        <v>5851</v>
      </c>
      <c r="AE1428" s="83" t="str">
        <f>HYPERLINK("https://twitter.com/vagasdesalvador/status/1702393272763662547")</f>
        <v>https://twitter.com/vagasdesalvador/status/1702393272763662547</v>
      </c>
      <c r="AF1428" s="79">
        <v>45183.78193287037</v>
      </c>
      <c r="AG1428" s="85">
        <v>45183</v>
      </c>
      <c r="AH1428" s="81" t="s">
        <v>7081</v>
      </c>
      <c r="AI1428" s="77" t="b">
        <v>0</v>
      </c>
      <c r="AJ1428" s="77"/>
      <c r="AK1428" s="77"/>
      <c r="AL1428" s="77"/>
      <c r="AM1428" s="77"/>
      <c r="AN1428" s="77"/>
      <c r="AO1428" s="77"/>
      <c r="AP1428" s="77"/>
      <c r="AQ1428" s="77"/>
      <c r="AR1428" s="77"/>
      <c r="AS1428" s="77"/>
      <c r="AT1428" s="77"/>
      <c r="AU1428" s="77"/>
      <c r="AV1428" s="83" t="str">
        <f>HYPERLINK("https://pbs.twimg.com/profile_images/1570481566039539715/leEExsEx_normal.jpg")</f>
        <v>https://pbs.twimg.com/profile_images/1570481566039539715/leEExsEx_normal.jpg</v>
      </c>
      <c r="AW1428" s="81" t="s">
        <v>10549</v>
      </c>
      <c r="AX1428" s="81" t="s">
        <v>11289</v>
      </c>
      <c r="AY1428" s="81" t="s">
        <v>11336</v>
      </c>
      <c r="AZ1428" s="81" t="s">
        <v>11372</v>
      </c>
      <c r="BA1428" s="81" t="s">
        <v>11359</v>
      </c>
      <c r="BB1428" s="81" t="s">
        <v>11359</v>
      </c>
      <c r="BC1428" s="81" t="s">
        <v>11372</v>
      </c>
      <c r="BD1428" s="81" t="s">
        <v>11336</v>
      </c>
      <c r="BE1428" s="77"/>
      <c r="BF1428" s="77"/>
      <c r="BG1428" s="77"/>
      <c r="BH1428" s="77"/>
      <c r="BI1428" s="77"/>
    </row>
    <row r="1429" spans="1:61" x14ac:dyDescent="0.25">
      <c r="A1429" s="62" t="s">
        <v>527</v>
      </c>
      <c r="B1429" s="62" t="s">
        <v>527</v>
      </c>
      <c r="C1429" s="63"/>
      <c r="D1429" s="64"/>
      <c r="E1429" s="65"/>
      <c r="F1429" s="66"/>
      <c r="G1429" s="63"/>
      <c r="H1429" s="67"/>
      <c r="I1429" s="68"/>
      <c r="J1429" s="68"/>
      <c r="K1429" s="32"/>
      <c r="L1429" s="75">
        <v>1429</v>
      </c>
      <c r="M1429" s="75"/>
      <c r="N1429" s="70"/>
      <c r="O1429" s="77" t="s">
        <v>969</v>
      </c>
      <c r="P1429" s="79">
        <v>45180.68922453704</v>
      </c>
      <c r="Q1429" s="77" t="s">
        <v>2227</v>
      </c>
      <c r="R1429" s="77">
        <v>1</v>
      </c>
      <c r="S1429" s="77">
        <v>0</v>
      </c>
      <c r="T1429" s="77">
        <v>1</v>
      </c>
      <c r="U1429" s="77">
        <v>0</v>
      </c>
      <c r="V1429" s="77">
        <v>55</v>
      </c>
      <c r="W1429" s="81" t="s">
        <v>3628</v>
      </c>
      <c r="X1429" s="83" t="str">
        <f>HYPERLINK("https://br.indeed.com/m/viewjob?jk=4e20a9497de23d06&amp;from=ja&amp;alid=569ffab5e4b0562b3b0f11e7&amp;tk=1h9muplcbp7nv802&amp;utm_campaign=job_alerts&amp;utm_medium=email&amp;utm_source=jobseeker_emails&amp;rgtk=1h9muplcbp7nv802")</f>
        <v>https://br.indeed.com/m/viewjob?jk=4e20a9497de23d06&amp;from=ja&amp;alid=569ffab5e4b0562b3b0f11e7&amp;tk=1h9muplcbp7nv802&amp;utm_campaign=job_alerts&amp;utm_medium=email&amp;utm_source=jobseeker_emails&amp;rgtk=1h9muplcbp7nv802</v>
      </c>
      <c r="Y1429" s="77" t="s">
        <v>4295</v>
      </c>
      <c r="Z1429" s="77"/>
      <c r="AA1429" s="77"/>
      <c r="AB1429" s="77"/>
      <c r="AC1429" s="81" t="s">
        <v>5801</v>
      </c>
      <c r="AD1429" s="77" t="s">
        <v>5851</v>
      </c>
      <c r="AE1429" s="83" t="str">
        <f>HYPERLINK("https://twitter.com/vagasdesalvador/status/1701272512166851041")</f>
        <v>https://twitter.com/vagasdesalvador/status/1701272512166851041</v>
      </c>
      <c r="AF1429" s="79">
        <v>45180.68922453704</v>
      </c>
      <c r="AG1429" s="85">
        <v>45180</v>
      </c>
      <c r="AH1429" s="81" t="s">
        <v>7082</v>
      </c>
      <c r="AI1429" s="77" t="b">
        <v>0</v>
      </c>
      <c r="AJ1429" s="77"/>
      <c r="AK1429" s="77"/>
      <c r="AL1429" s="77"/>
      <c r="AM1429" s="77"/>
      <c r="AN1429" s="77"/>
      <c r="AO1429" s="77"/>
      <c r="AP1429" s="77"/>
      <c r="AQ1429" s="77"/>
      <c r="AR1429" s="77"/>
      <c r="AS1429" s="77"/>
      <c r="AT1429" s="77"/>
      <c r="AU1429" s="77"/>
      <c r="AV1429" s="83" t="str">
        <f>HYPERLINK("https://pbs.twimg.com/profile_images/1570481566039539715/leEExsEx_normal.jpg")</f>
        <v>https://pbs.twimg.com/profile_images/1570481566039539715/leEExsEx_normal.jpg</v>
      </c>
      <c r="AW1429" s="81" t="s">
        <v>10550</v>
      </c>
      <c r="AX1429" s="81" t="s">
        <v>11289</v>
      </c>
      <c r="AY1429" s="81" t="s">
        <v>11336</v>
      </c>
      <c r="AZ1429" s="81" t="s">
        <v>11373</v>
      </c>
      <c r="BA1429" s="81" t="s">
        <v>11359</v>
      </c>
      <c r="BB1429" s="81" t="s">
        <v>11359</v>
      </c>
      <c r="BC1429" s="81" t="s">
        <v>11373</v>
      </c>
      <c r="BD1429" s="81" t="s">
        <v>11336</v>
      </c>
      <c r="BE1429" s="77"/>
      <c r="BF1429" s="77"/>
      <c r="BG1429" s="77"/>
      <c r="BH1429" s="77"/>
      <c r="BI1429" s="77"/>
    </row>
    <row r="1430" spans="1:61" x14ac:dyDescent="0.25">
      <c r="A1430" s="62" t="s">
        <v>527</v>
      </c>
      <c r="B1430" s="62" t="s">
        <v>527</v>
      </c>
      <c r="C1430" s="63"/>
      <c r="D1430" s="64"/>
      <c r="E1430" s="65"/>
      <c r="F1430" s="66"/>
      <c r="G1430" s="63"/>
      <c r="H1430" s="67"/>
      <c r="I1430" s="68"/>
      <c r="J1430" s="68"/>
      <c r="K1430" s="32"/>
      <c r="L1430" s="75">
        <v>1430</v>
      </c>
      <c r="M1430" s="75"/>
      <c r="N1430" s="70"/>
      <c r="O1430" s="77" t="s">
        <v>969</v>
      </c>
      <c r="P1430" s="79">
        <v>45156.84815972222</v>
      </c>
      <c r="Q1430" s="77" t="s">
        <v>2228</v>
      </c>
      <c r="R1430" s="77">
        <v>2</v>
      </c>
      <c r="S1430" s="77">
        <v>3</v>
      </c>
      <c r="T1430" s="77">
        <v>1</v>
      </c>
      <c r="U1430" s="77">
        <v>0</v>
      </c>
      <c r="V1430" s="77">
        <v>112</v>
      </c>
      <c r="W1430" s="81" t="s">
        <v>3629</v>
      </c>
      <c r="X1430" s="83" t="str">
        <f>HYPERLINK("https://redemoura.gupy.io/job/eyJqb2JJZCI6NTI2NTg4NCwic291cmNlIjoiZ3VweV9wb3J0YWwifQ==?jobBoardSource=gupy_portal")</f>
        <v>https://redemoura.gupy.io/job/eyJqb2JJZCI6NTI2NTg4NCwic291cmNlIjoiZ3VweV9wb3J0YWwifQ==?jobBoardSource=gupy_portal</v>
      </c>
      <c r="Y1430" s="77" t="s">
        <v>4294</v>
      </c>
      <c r="Z1430" s="77"/>
      <c r="AA1430" s="77"/>
      <c r="AB1430" s="77"/>
      <c r="AC1430" s="81" t="s">
        <v>5801</v>
      </c>
      <c r="AD1430" s="77" t="s">
        <v>5851</v>
      </c>
      <c r="AE1430" s="83" t="str">
        <f>HYPERLINK("https://twitter.com/vagasdesalvador/status/1692632799986278531")</f>
        <v>https://twitter.com/vagasdesalvador/status/1692632799986278531</v>
      </c>
      <c r="AF1430" s="79">
        <v>45156.84815972222</v>
      </c>
      <c r="AG1430" s="85">
        <v>45156</v>
      </c>
      <c r="AH1430" s="81" t="s">
        <v>7083</v>
      </c>
      <c r="AI1430" s="77" t="b">
        <v>0</v>
      </c>
      <c r="AJ1430" s="77"/>
      <c r="AK1430" s="77"/>
      <c r="AL1430" s="77"/>
      <c r="AM1430" s="77"/>
      <c r="AN1430" s="77"/>
      <c r="AO1430" s="77"/>
      <c r="AP1430" s="77"/>
      <c r="AQ1430" s="77"/>
      <c r="AR1430" s="77"/>
      <c r="AS1430" s="77"/>
      <c r="AT1430" s="77"/>
      <c r="AU1430" s="77"/>
      <c r="AV1430" s="83" t="str">
        <f>HYPERLINK("https://pbs.twimg.com/profile_images/1570481566039539715/leEExsEx_normal.jpg")</f>
        <v>https://pbs.twimg.com/profile_images/1570481566039539715/leEExsEx_normal.jpg</v>
      </c>
      <c r="AW1430" s="81" t="s">
        <v>10551</v>
      </c>
      <c r="AX1430" s="81" t="s">
        <v>11289</v>
      </c>
      <c r="AY1430" s="81" t="s">
        <v>11336</v>
      </c>
      <c r="AZ1430" s="81" t="s">
        <v>11374</v>
      </c>
      <c r="BA1430" s="81" t="s">
        <v>11359</v>
      </c>
      <c r="BB1430" s="81" t="s">
        <v>11359</v>
      </c>
      <c r="BC1430" s="81" t="s">
        <v>11374</v>
      </c>
      <c r="BD1430" s="81" t="s">
        <v>11336</v>
      </c>
      <c r="BE1430" s="77"/>
      <c r="BF1430" s="77"/>
      <c r="BG1430" s="77"/>
      <c r="BH1430" s="77"/>
      <c r="BI1430" s="77"/>
    </row>
    <row r="1431" spans="1:61" x14ac:dyDescent="0.25">
      <c r="A1431" s="62" t="s">
        <v>527</v>
      </c>
      <c r="B1431" s="62" t="s">
        <v>527</v>
      </c>
      <c r="C1431" s="63"/>
      <c r="D1431" s="64"/>
      <c r="E1431" s="65"/>
      <c r="F1431" s="66"/>
      <c r="G1431" s="63"/>
      <c r="H1431" s="67"/>
      <c r="I1431" s="68"/>
      <c r="J1431" s="68"/>
      <c r="K1431" s="32"/>
      <c r="L1431" s="75">
        <v>1431</v>
      </c>
      <c r="M1431" s="75"/>
      <c r="N1431" s="70"/>
      <c r="O1431" s="77" t="s">
        <v>969</v>
      </c>
      <c r="P1431" s="79">
        <v>45154.500034722223</v>
      </c>
      <c r="Q1431" s="77" t="s">
        <v>2229</v>
      </c>
      <c r="R1431" s="77">
        <v>2</v>
      </c>
      <c r="S1431" s="77">
        <v>2</v>
      </c>
      <c r="T1431" s="77">
        <v>1</v>
      </c>
      <c r="U1431" s="77">
        <v>0</v>
      </c>
      <c r="V1431" s="77">
        <v>86</v>
      </c>
      <c r="W1431" s="81" t="s">
        <v>3625</v>
      </c>
      <c r="X1431" s="83" t="str">
        <f>HYPERLINK("https://farm.gupy.io/job/eyJqb2JJZCI6NTI2NTY4Mywic291cmNlIjoiZ3VweV9wb3J0YWwifQ==?jobBoardSource=gupy_portal")</f>
        <v>https://farm.gupy.io/job/eyJqb2JJZCI6NTI2NTY4Mywic291cmNlIjoiZ3VweV9wb3J0YWwifQ==?jobBoardSource=gupy_portal</v>
      </c>
      <c r="Y1431" s="77" t="s">
        <v>4294</v>
      </c>
      <c r="Z1431" s="77"/>
      <c r="AA1431" s="77"/>
      <c r="AB1431" s="77"/>
      <c r="AC1431" s="81" t="s">
        <v>5801</v>
      </c>
      <c r="AD1431" s="77" t="s">
        <v>5851</v>
      </c>
      <c r="AE1431" s="83" t="str">
        <f>HYPERLINK("https://twitter.com/vagasdesalvador/status/1691781864988557668")</f>
        <v>https://twitter.com/vagasdesalvador/status/1691781864988557668</v>
      </c>
      <c r="AF1431" s="79">
        <v>45154.500034722223</v>
      </c>
      <c r="AG1431" s="85">
        <v>45154</v>
      </c>
      <c r="AH1431" s="81" t="s">
        <v>7084</v>
      </c>
      <c r="AI1431" s="77" t="b">
        <v>0</v>
      </c>
      <c r="AJ1431" s="77"/>
      <c r="AK1431" s="77"/>
      <c r="AL1431" s="77"/>
      <c r="AM1431" s="77"/>
      <c r="AN1431" s="77"/>
      <c r="AO1431" s="77"/>
      <c r="AP1431" s="77"/>
      <c r="AQ1431" s="77"/>
      <c r="AR1431" s="77"/>
      <c r="AS1431" s="77"/>
      <c r="AT1431" s="77"/>
      <c r="AU1431" s="77"/>
      <c r="AV1431" s="83" t="str">
        <f>HYPERLINK("https://pbs.twimg.com/profile_images/1570481566039539715/leEExsEx_normal.jpg")</f>
        <v>https://pbs.twimg.com/profile_images/1570481566039539715/leEExsEx_normal.jpg</v>
      </c>
      <c r="AW1431" s="81" t="s">
        <v>10552</v>
      </c>
      <c r="AX1431" s="81" t="s">
        <v>11289</v>
      </c>
      <c r="AY1431" s="81" t="s">
        <v>11336</v>
      </c>
      <c r="AZ1431" s="81" t="s">
        <v>11375</v>
      </c>
      <c r="BA1431" s="81" t="s">
        <v>11359</v>
      </c>
      <c r="BB1431" s="81" t="s">
        <v>11359</v>
      </c>
      <c r="BC1431" s="81" t="s">
        <v>11375</v>
      </c>
      <c r="BD1431" s="81" t="s">
        <v>11336</v>
      </c>
      <c r="BE1431" s="77"/>
      <c r="BF1431" s="77"/>
      <c r="BG1431" s="77"/>
      <c r="BH1431" s="77"/>
      <c r="BI1431" s="77"/>
    </row>
    <row r="1432" spans="1:61" x14ac:dyDescent="0.25">
      <c r="A1432" s="62" t="s">
        <v>527</v>
      </c>
      <c r="B1432" s="62" t="s">
        <v>527</v>
      </c>
      <c r="C1432" s="63"/>
      <c r="D1432" s="64"/>
      <c r="E1432" s="65"/>
      <c r="F1432" s="66"/>
      <c r="G1432" s="63"/>
      <c r="H1432" s="67"/>
      <c r="I1432" s="68"/>
      <c r="J1432" s="68"/>
      <c r="K1432" s="32"/>
      <c r="L1432" s="75">
        <v>1432</v>
      </c>
      <c r="M1432" s="75"/>
      <c r="N1432" s="70"/>
      <c r="O1432" s="77" t="s">
        <v>969</v>
      </c>
      <c r="P1432" s="79">
        <v>45073.76630787037</v>
      </c>
      <c r="Q1432" s="77" t="s">
        <v>2230</v>
      </c>
      <c r="R1432" s="77">
        <v>1</v>
      </c>
      <c r="S1432" s="77">
        <v>1</v>
      </c>
      <c r="T1432" s="77">
        <v>1</v>
      </c>
      <c r="U1432" s="77">
        <v>0</v>
      </c>
      <c r="V1432" s="77">
        <v>58</v>
      </c>
      <c r="W1432" s="81" t="s">
        <v>3625</v>
      </c>
      <c r="X1432" s="83" t="str">
        <f>HYPERLINK("https://aramis.gupy.io/job/eyJqb2JJZCI6NDc3MzM0Mywic291cmNlIjoiZ3VweV9wb3J0YWwifQ==?jobBoardSource=gupy_portal")</f>
        <v>https://aramis.gupy.io/job/eyJqb2JJZCI6NDc3MzM0Mywic291cmNlIjoiZ3VweV9wb3J0YWwifQ==?jobBoardSource=gupy_portal</v>
      </c>
      <c r="Y1432" s="77" t="s">
        <v>4294</v>
      </c>
      <c r="Z1432" s="77"/>
      <c r="AA1432" s="77"/>
      <c r="AB1432" s="77"/>
      <c r="AC1432" s="81" t="s">
        <v>5801</v>
      </c>
      <c r="AD1432" s="77" t="s">
        <v>5851</v>
      </c>
      <c r="AE1432" s="83" t="str">
        <f>HYPERLINK("https://twitter.com/vagasdesalvador/status/1662524942246719488")</f>
        <v>https://twitter.com/vagasdesalvador/status/1662524942246719488</v>
      </c>
      <c r="AF1432" s="79">
        <v>45073.76630787037</v>
      </c>
      <c r="AG1432" s="85">
        <v>45073</v>
      </c>
      <c r="AH1432" s="81" t="s">
        <v>7085</v>
      </c>
      <c r="AI1432" s="77" t="b">
        <v>0</v>
      </c>
      <c r="AJ1432" s="77"/>
      <c r="AK1432" s="77"/>
      <c r="AL1432" s="77"/>
      <c r="AM1432" s="77"/>
      <c r="AN1432" s="77"/>
      <c r="AO1432" s="77"/>
      <c r="AP1432" s="77"/>
      <c r="AQ1432" s="77"/>
      <c r="AR1432" s="77"/>
      <c r="AS1432" s="77"/>
      <c r="AT1432" s="77"/>
      <c r="AU1432" s="77"/>
      <c r="AV1432" s="83" t="str">
        <f>HYPERLINK("https://pbs.twimg.com/profile_images/1570481566039539715/leEExsEx_normal.jpg")</f>
        <v>https://pbs.twimg.com/profile_images/1570481566039539715/leEExsEx_normal.jpg</v>
      </c>
      <c r="AW1432" s="81" t="s">
        <v>10553</v>
      </c>
      <c r="AX1432" s="81" t="s">
        <v>11287</v>
      </c>
      <c r="AY1432" s="81" t="s">
        <v>11336</v>
      </c>
      <c r="AZ1432" s="81" t="s">
        <v>11376</v>
      </c>
      <c r="BA1432" s="81" t="s">
        <v>11359</v>
      </c>
      <c r="BB1432" s="81" t="s">
        <v>11359</v>
      </c>
      <c r="BC1432" s="81" t="s">
        <v>11376</v>
      </c>
      <c r="BD1432" s="81" t="s">
        <v>11336</v>
      </c>
      <c r="BE1432" s="77"/>
      <c r="BF1432" s="77"/>
      <c r="BG1432" s="77"/>
      <c r="BH1432" s="77"/>
      <c r="BI1432" s="77"/>
    </row>
    <row r="1433" spans="1:61" x14ac:dyDescent="0.25">
      <c r="A1433" s="62" t="s">
        <v>527</v>
      </c>
      <c r="B1433" s="62" t="s">
        <v>527</v>
      </c>
      <c r="C1433" s="63"/>
      <c r="D1433" s="64"/>
      <c r="E1433" s="65"/>
      <c r="F1433" s="66"/>
      <c r="G1433" s="63"/>
      <c r="H1433" s="67"/>
      <c r="I1433" s="68"/>
      <c r="J1433" s="68"/>
      <c r="K1433" s="32"/>
      <c r="L1433" s="75">
        <v>1433</v>
      </c>
      <c r="M1433" s="75"/>
      <c r="N1433" s="70"/>
      <c r="O1433" s="77" t="s">
        <v>969</v>
      </c>
      <c r="P1433" s="79">
        <v>45073.712002314816</v>
      </c>
      <c r="Q1433" s="77" t="s">
        <v>2231</v>
      </c>
      <c r="R1433" s="77">
        <v>1</v>
      </c>
      <c r="S1433" s="77">
        <v>1</v>
      </c>
      <c r="T1433" s="77">
        <v>1</v>
      </c>
      <c r="U1433" s="77">
        <v>0</v>
      </c>
      <c r="V1433" s="77">
        <v>74</v>
      </c>
      <c r="W1433" s="81" t="s">
        <v>3625</v>
      </c>
      <c r="X1433" s="83" t="str">
        <f>HYPERLINK("https://randstad-matriz.pandape.infojobs.com.br/Detail/454623")</f>
        <v>https://randstad-matriz.pandape.infojobs.com.br/Detail/454623</v>
      </c>
      <c r="Y1433" s="77" t="s">
        <v>4223</v>
      </c>
      <c r="Z1433" s="77"/>
      <c r="AA1433" s="77"/>
      <c r="AB1433" s="77"/>
      <c r="AC1433" s="81" t="s">
        <v>5801</v>
      </c>
      <c r="AD1433" s="77" t="s">
        <v>5851</v>
      </c>
      <c r="AE1433" s="83" t="str">
        <f>HYPERLINK("https://twitter.com/vagasdesalvador/status/1662505265982238727")</f>
        <v>https://twitter.com/vagasdesalvador/status/1662505265982238727</v>
      </c>
      <c r="AF1433" s="79">
        <v>45073.712002314816</v>
      </c>
      <c r="AG1433" s="85">
        <v>45073</v>
      </c>
      <c r="AH1433" s="81" t="s">
        <v>7086</v>
      </c>
      <c r="AI1433" s="77" t="b">
        <v>0</v>
      </c>
      <c r="AJ1433" s="77"/>
      <c r="AK1433" s="77"/>
      <c r="AL1433" s="77"/>
      <c r="AM1433" s="77"/>
      <c r="AN1433" s="77"/>
      <c r="AO1433" s="77"/>
      <c r="AP1433" s="77"/>
      <c r="AQ1433" s="77"/>
      <c r="AR1433" s="77"/>
      <c r="AS1433" s="77"/>
      <c r="AT1433" s="77"/>
      <c r="AU1433" s="77"/>
      <c r="AV1433" s="83" t="str">
        <f>HYPERLINK("https://pbs.twimg.com/profile_images/1570481566039539715/leEExsEx_normal.jpg")</f>
        <v>https://pbs.twimg.com/profile_images/1570481566039539715/leEExsEx_normal.jpg</v>
      </c>
      <c r="AW1433" s="81" t="s">
        <v>10554</v>
      </c>
      <c r="AX1433" s="81" t="s">
        <v>11287</v>
      </c>
      <c r="AY1433" s="81" t="s">
        <v>11336</v>
      </c>
      <c r="AZ1433" s="81" t="s">
        <v>11377</v>
      </c>
      <c r="BA1433" s="81" t="s">
        <v>11359</v>
      </c>
      <c r="BB1433" s="81" t="s">
        <v>11359</v>
      </c>
      <c r="BC1433" s="81" t="s">
        <v>11377</v>
      </c>
      <c r="BD1433" s="81" t="s">
        <v>11336</v>
      </c>
      <c r="BE1433" s="77"/>
      <c r="BF1433" s="77"/>
      <c r="BG1433" s="77"/>
      <c r="BH1433" s="77"/>
      <c r="BI1433" s="77"/>
    </row>
    <row r="1434" spans="1:61" x14ac:dyDescent="0.25">
      <c r="A1434" s="62" t="s">
        <v>527</v>
      </c>
      <c r="B1434" s="62" t="s">
        <v>527</v>
      </c>
      <c r="C1434" s="63"/>
      <c r="D1434" s="64"/>
      <c r="E1434" s="65"/>
      <c r="F1434" s="66"/>
      <c r="G1434" s="63"/>
      <c r="H1434" s="67"/>
      <c r="I1434" s="68"/>
      <c r="J1434" s="68"/>
      <c r="K1434" s="32"/>
      <c r="L1434" s="75">
        <v>1434</v>
      </c>
      <c r="M1434" s="75"/>
      <c r="N1434" s="70"/>
      <c r="O1434" s="77" t="s">
        <v>968</v>
      </c>
      <c r="P1434" s="79">
        <v>45195.942847222221</v>
      </c>
      <c r="Q1434" s="77" t="s">
        <v>2232</v>
      </c>
      <c r="R1434" s="77">
        <v>1</v>
      </c>
      <c r="S1434" s="77">
        <v>0</v>
      </c>
      <c r="T1434" s="77">
        <v>0</v>
      </c>
      <c r="U1434" s="77">
        <v>0</v>
      </c>
      <c r="V1434" s="77"/>
      <c r="W1434" s="81" t="s">
        <v>3630</v>
      </c>
      <c r="X1434" s="77"/>
      <c r="Y1434" s="77"/>
      <c r="Z1434" s="77" t="s">
        <v>527</v>
      </c>
      <c r="AA1434" s="77"/>
      <c r="AB1434" s="77"/>
      <c r="AC1434" s="81" t="s">
        <v>5801</v>
      </c>
      <c r="AD1434" s="77" t="s">
        <v>5851</v>
      </c>
      <c r="AE1434" s="83" t="str">
        <f>HYPERLINK("https://twitter.com/vagasdesalvador/status/1706800240697770072")</f>
        <v>https://twitter.com/vagasdesalvador/status/1706800240697770072</v>
      </c>
      <c r="AF1434" s="79">
        <v>45195.942847222221</v>
      </c>
      <c r="AG1434" s="85">
        <v>45195</v>
      </c>
      <c r="AH1434" s="81" t="s">
        <v>7087</v>
      </c>
      <c r="AI1434" s="77"/>
      <c r="AJ1434" s="77"/>
      <c r="AK1434" s="77"/>
      <c r="AL1434" s="77"/>
      <c r="AM1434" s="77"/>
      <c r="AN1434" s="77"/>
      <c r="AO1434" s="77"/>
      <c r="AP1434" s="77"/>
      <c r="AQ1434" s="77"/>
      <c r="AR1434" s="77"/>
      <c r="AS1434" s="77"/>
      <c r="AT1434" s="77"/>
      <c r="AU1434" s="77"/>
      <c r="AV1434" s="83" t="str">
        <f>HYPERLINK("https://pbs.twimg.com/profile_images/1570481566039539715/leEExsEx_normal.jpg")</f>
        <v>https://pbs.twimg.com/profile_images/1570481566039539715/leEExsEx_normal.jpg</v>
      </c>
      <c r="AW1434" s="81" t="s">
        <v>10555</v>
      </c>
      <c r="AX1434" s="81" t="s">
        <v>10555</v>
      </c>
      <c r="AY1434" s="77"/>
      <c r="AZ1434" s="81" t="s">
        <v>11359</v>
      </c>
      <c r="BA1434" s="81" t="s">
        <v>11359</v>
      </c>
      <c r="BB1434" s="81" t="s">
        <v>10558</v>
      </c>
      <c r="BC1434" s="81" t="s">
        <v>10558</v>
      </c>
      <c r="BD1434" s="81" t="s">
        <v>11336</v>
      </c>
      <c r="BE1434" s="77"/>
      <c r="BF1434" s="77"/>
      <c r="BG1434" s="77"/>
      <c r="BH1434" s="77"/>
      <c r="BI1434" s="77"/>
    </row>
    <row r="1435" spans="1:61" x14ac:dyDescent="0.25">
      <c r="A1435" s="62" t="s">
        <v>527</v>
      </c>
      <c r="B1435" s="62" t="s">
        <v>527</v>
      </c>
      <c r="C1435" s="63"/>
      <c r="D1435" s="64"/>
      <c r="E1435" s="65"/>
      <c r="F1435" s="66"/>
      <c r="G1435" s="63"/>
      <c r="H1435" s="67"/>
      <c r="I1435" s="68"/>
      <c r="J1435" s="68"/>
      <c r="K1435" s="32"/>
      <c r="L1435" s="75">
        <v>1435</v>
      </c>
      <c r="M1435" s="75"/>
      <c r="N1435" s="70"/>
      <c r="O1435" s="77" t="s">
        <v>969</v>
      </c>
      <c r="P1435" s="79">
        <v>45166.952986111108</v>
      </c>
      <c r="Q1435" s="77" t="s">
        <v>2233</v>
      </c>
      <c r="R1435" s="77">
        <v>2</v>
      </c>
      <c r="S1435" s="77">
        <v>1</v>
      </c>
      <c r="T1435" s="77">
        <v>1</v>
      </c>
      <c r="U1435" s="77">
        <v>0</v>
      </c>
      <c r="V1435" s="77">
        <v>42</v>
      </c>
      <c r="W1435" s="81" t="s">
        <v>3625</v>
      </c>
      <c r="X1435" s="83" t="str">
        <f>HYPERLINK("https://semparar.gupy.io/job/eyJqb2JJZCI6NTM0MjE3NSwic291cmNlIjoiZ3VweV9wb3J0YWwifQ==?jobBoardSource=gupy_portal")</f>
        <v>https://semparar.gupy.io/job/eyJqb2JJZCI6NTM0MjE3NSwic291cmNlIjoiZ3VweV9wb3J0YWwifQ==?jobBoardSource=gupy_portal</v>
      </c>
      <c r="Y1435" s="77" t="s">
        <v>4294</v>
      </c>
      <c r="Z1435" s="77"/>
      <c r="AA1435" s="77"/>
      <c r="AB1435" s="77"/>
      <c r="AC1435" s="81" t="s">
        <v>5801</v>
      </c>
      <c r="AD1435" s="77" t="s">
        <v>5851</v>
      </c>
      <c r="AE1435" s="83" t="str">
        <f>HYPERLINK("https://twitter.com/vagasdesalvador/status/1696294667376013656")</f>
        <v>https://twitter.com/vagasdesalvador/status/1696294667376013656</v>
      </c>
      <c r="AF1435" s="79">
        <v>45166.952986111108</v>
      </c>
      <c r="AG1435" s="85">
        <v>45166</v>
      </c>
      <c r="AH1435" s="81" t="s">
        <v>7088</v>
      </c>
      <c r="AI1435" s="77" t="b">
        <v>0</v>
      </c>
      <c r="AJ1435" s="77"/>
      <c r="AK1435" s="77"/>
      <c r="AL1435" s="77"/>
      <c r="AM1435" s="77"/>
      <c r="AN1435" s="77"/>
      <c r="AO1435" s="77"/>
      <c r="AP1435" s="77"/>
      <c r="AQ1435" s="77"/>
      <c r="AR1435" s="77"/>
      <c r="AS1435" s="77"/>
      <c r="AT1435" s="77"/>
      <c r="AU1435" s="77"/>
      <c r="AV1435" s="83" t="str">
        <f>HYPERLINK("https://pbs.twimg.com/profile_images/1570481566039539715/leEExsEx_normal.jpg")</f>
        <v>https://pbs.twimg.com/profile_images/1570481566039539715/leEExsEx_normal.jpg</v>
      </c>
      <c r="AW1435" s="81" t="s">
        <v>10556</v>
      </c>
      <c r="AX1435" s="81" t="s">
        <v>11289</v>
      </c>
      <c r="AY1435" s="81" t="s">
        <v>11336</v>
      </c>
      <c r="AZ1435" s="81" t="s">
        <v>11378</v>
      </c>
      <c r="BA1435" s="81" t="s">
        <v>11359</v>
      </c>
      <c r="BB1435" s="81" t="s">
        <v>11359</v>
      </c>
      <c r="BC1435" s="81" t="s">
        <v>11378</v>
      </c>
      <c r="BD1435" s="81" t="s">
        <v>11336</v>
      </c>
      <c r="BE1435" s="77"/>
      <c r="BF1435" s="77"/>
      <c r="BG1435" s="77"/>
      <c r="BH1435" s="77"/>
      <c r="BI1435" s="77"/>
    </row>
    <row r="1436" spans="1:61" x14ac:dyDescent="0.25">
      <c r="A1436" s="62" t="s">
        <v>527</v>
      </c>
      <c r="B1436" s="62" t="s">
        <v>527</v>
      </c>
      <c r="C1436" s="63"/>
      <c r="D1436" s="64"/>
      <c r="E1436" s="65"/>
      <c r="F1436" s="66"/>
      <c r="G1436" s="63"/>
      <c r="H1436" s="67"/>
      <c r="I1436" s="68"/>
      <c r="J1436" s="68"/>
      <c r="K1436" s="32"/>
      <c r="L1436" s="75">
        <v>1436</v>
      </c>
      <c r="M1436" s="75"/>
      <c r="N1436" s="70"/>
      <c r="O1436" s="77" t="s">
        <v>969</v>
      </c>
      <c r="P1436" s="79">
        <v>45142.585902777777</v>
      </c>
      <c r="Q1436" s="77" t="s">
        <v>2234</v>
      </c>
      <c r="R1436" s="77">
        <v>1</v>
      </c>
      <c r="S1436" s="77">
        <v>0</v>
      </c>
      <c r="T1436" s="77">
        <v>1</v>
      </c>
      <c r="U1436" s="77">
        <v>0</v>
      </c>
      <c r="V1436" s="77">
        <v>43</v>
      </c>
      <c r="W1436" s="81" t="s">
        <v>3631</v>
      </c>
      <c r="X1436" s="83" t="str">
        <f>HYPERLINK("https://randstad-matriz.pandape.infojobs.com.br/Detail/560231")</f>
        <v>https://randstad-matriz.pandape.infojobs.com.br/Detail/560231</v>
      </c>
      <c r="Y1436" s="77" t="s">
        <v>4223</v>
      </c>
      <c r="Z1436" s="77"/>
      <c r="AA1436" s="77"/>
      <c r="AB1436" s="77"/>
      <c r="AC1436" s="81" t="s">
        <v>5801</v>
      </c>
      <c r="AD1436" s="77" t="s">
        <v>5851</v>
      </c>
      <c r="AE1436" s="83" t="str">
        <f>HYPERLINK("https://twitter.com/vagasdesalvador/status/1687464330260824065")</f>
        <v>https://twitter.com/vagasdesalvador/status/1687464330260824065</v>
      </c>
      <c r="AF1436" s="79">
        <v>45142.585902777777</v>
      </c>
      <c r="AG1436" s="85">
        <v>45142</v>
      </c>
      <c r="AH1436" s="81" t="s">
        <v>7089</v>
      </c>
      <c r="AI1436" s="77" t="b">
        <v>0</v>
      </c>
      <c r="AJ1436" s="77"/>
      <c r="AK1436" s="77"/>
      <c r="AL1436" s="77"/>
      <c r="AM1436" s="77"/>
      <c r="AN1436" s="77"/>
      <c r="AO1436" s="77"/>
      <c r="AP1436" s="77"/>
      <c r="AQ1436" s="77"/>
      <c r="AR1436" s="77"/>
      <c r="AS1436" s="77"/>
      <c r="AT1436" s="77"/>
      <c r="AU1436" s="77"/>
      <c r="AV1436" s="83" t="str">
        <f>HYPERLINK("https://pbs.twimg.com/profile_images/1570481566039539715/leEExsEx_normal.jpg")</f>
        <v>https://pbs.twimg.com/profile_images/1570481566039539715/leEExsEx_normal.jpg</v>
      </c>
      <c r="AW1436" s="81" t="s">
        <v>10557</v>
      </c>
      <c r="AX1436" s="81" t="s">
        <v>11289</v>
      </c>
      <c r="AY1436" s="81" t="s">
        <v>11336</v>
      </c>
      <c r="AZ1436" s="81" t="s">
        <v>11379</v>
      </c>
      <c r="BA1436" s="81" t="s">
        <v>11359</v>
      </c>
      <c r="BB1436" s="81" t="s">
        <v>11359</v>
      </c>
      <c r="BC1436" s="81" t="s">
        <v>11379</v>
      </c>
      <c r="BD1436" s="81" t="s">
        <v>11336</v>
      </c>
      <c r="BE1436" s="77"/>
      <c r="BF1436" s="77"/>
      <c r="BG1436" s="77"/>
      <c r="BH1436" s="77"/>
      <c r="BI1436" s="77"/>
    </row>
    <row r="1437" spans="1:61" x14ac:dyDescent="0.25">
      <c r="A1437" s="62" t="s">
        <v>527</v>
      </c>
      <c r="B1437" s="62" t="s">
        <v>527</v>
      </c>
      <c r="C1437" s="63"/>
      <c r="D1437" s="64"/>
      <c r="E1437" s="65"/>
      <c r="F1437" s="66"/>
      <c r="G1437" s="63"/>
      <c r="H1437" s="67"/>
      <c r="I1437" s="68"/>
      <c r="J1437" s="68"/>
      <c r="K1437" s="32"/>
      <c r="L1437" s="75">
        <v>1437</v>
      </c>
      <c r="M1437" s="75"/>
      <c r="N1437" s="70"/>
      <c r="O1437" s="77" t="s">
        <v>969</v>
      </c>
      <c r="P1437" s="79">
        <v>45195.942812499998</v>
      </c>
      <c r="Q1437" s="77" t="s">
        <v>2235</v>
      </c>
      <c r="R1437" s="77">
        <v>1</v>
      </c>
      <c r="S1437" s="77">
        <v>1</v>
      </c>
      <c r="T1437" s="77">
        <v>1</v>
      </c>
      <c r="U1437" s="77">
        <v>0</v>
      </c>
      <c r="V1437" s="77">
        <v>25</v>
      </c>
      <c r="W1437" s="81" t="s">
        <v>3625</v>
      </c>
      <c r="X1437" s="83" t="str">
        <f>HYPERLINK("https://www.vagas.com.br/vagas/v2550881/vendedor")</f>
        <v>https://www.vagas.com.br/vagas/v2550881/vendedor</v>
      </c>
      <c r="Y1437" s="77" t="s">
        <v>4223</v>
      </c>
      <c r="Z1437" s="77"/>
      <c r="AA1437" s="77"/>
      <c r="AB1437" s="77"/>
      <c r="AC1437" s="81" t="s">
        <v>5801</v>
      </c>
      <c r="AD1437" s="77" t="s">
        <v>5851</v>
      </c>
      <c r="AE1437" s="83" t="str">
        <f>HYPERLINK("https://twitter.com/vagasdesalvador/status/1706800224952299591")</f>
        <v>https://twitter.com/vagasdesalvador/status/1706800224952299591</v>
      </c>
      <c r="AF1437" s="79">
        <v>45195.942812499998</v>
      </c>
      <c r="AG1437" s="85">
        <v>45195</v>
      </c>
      <c r="AH1437" s="81" t="s">
        <v>7090</v>
      </c>
      <c r="AI1437" s="77" t="b">
        <v>0</v>
      </c>
      <c r="AJ1437" s="77"/>
      <c r="AK1437" s="77"/>
      <c r="AL1437" s="77"/>
      <c r="AM1437" s="77"/>
      <c r="AN1437" s="77"/>
      <c r="AO1437" s="77"/>
      <c r="AP1437" s="77"/>
      <c r="AQ1437" s="77"/>
      <c r="AR1437" s="77"/>
      <c r="AS1437" s="77"/>
      <c r="AT1437" s="77"/>
      <c r="AU1437" s="77"/>
      <c r="AV1437" s="83" t="str">
        <f>HYPERLINK("https://pbs.twimg.com/profile_images/1570481566039539715/leEExsEx_normal.jpg")</f>
        <v>https://pbs.twimg.com/profile_images/1570481566039539715/leEExsEx_normal.jpg</v>
      </c>
      <c r="AW1437" s="81" t="s">
        <v>10558</v>
      </c>
      <c r="AX1437" s="81" t="s">
        <v>11289</v>
      </c>
      <c r="AY1437" s="81" t="s">
        <v>11336</v>
      </c>
      <c r="AZ1437" s="81" t="s">
        <v>11380</v>
      </c>
      <c r="BA1437" s="81" t="s">
        <v>11359</v>
      </c>
      <c r="BB1437" s="81" t="s">
        <v>11359</v>
      </c>
      <c r="BC1437" s="81" t="s">
        <v>11380</v>
      </c>
      <c r="BD1437" s="81" t="s">
        <v>11336</v>
      </c>
      <c r="BE1437" s="77"/>
      <c r="BF1437" s="77"/>
      <c r="BG1437" s="77"/>
      <c r="BH1437" s="77"/>
      <c r="BI1437" s="77"/>
    </row>
    <row r="1438" spans="1:61" x14ac:dyDescent="0.25">
      <c r="A1438" s="62" t="s">
        <v>527</v>
      </c>
      <c r="B1438" s="62" t="s">
        <v>527</v>
      </c>
      <c r="C1438" s="63"/>
      <c r="D1438" s="64"/>
      <c r="E1438" s="65"/>
      <c r="F1438" s="66"/>
      <c r="G1438" s="63"/>
      <c r="H1438" s="67"/>
      <c r="I1438" s="68"/>
      <c r="J1438" s="68"/>
      <c r="K1438" s="32"/>
      <c r="L1438" s="75">
        <v>1438</v>
      </c>
      <c r="M1438" s="75"/>
      <c r="N1438" s="70"/>
      <c r="O1438" s="77" t="s">
        <v>969</v>
      </c>
      <c r="P1438" s="79">
        <v>45184.887708333335</v>
      </c>
      <c r="Q1438" s="77" t="s">
        <v>2236</v>
      </c>
      <c r="R1438" s="77">
        <v>2</v>
      </c>
      <c r="S1438" s="77">
        <v>1</v>
      </c>
      <c r="T1438" s="77">
        <v>1</v>
      </c>
      <c r="U1438" s="77">
        <v>0</v>
      </c>
      <c r="V1438" s="77">
        <v>83</v>
      </c>
      <c r="W1438" s="81" t="s">
        <v>3632</v>
      </c>
      <c r="X1438" s="83" t="str">
        <f>HYPERLINK("https://farm.gupy.io/job/eyJqb2JJZCI6NTM5OTQ1OCwic291cmNlIjoiZ3VweV9wb3J0YWwifQ==?jobBoardSource=gupy_portal")</f>
        <v>https://farm.gupy.io/job/eyJqb2JJZCI6NTM5OTQ1OCwic291cmNlIjoiZ3VweV9wb3J0YWwifQ==?jobBoardSource=gupy_portal</v>
      </c>
      <c r="Y1438" s="77" t="s">
        <v>4294</v>
      </c>
      <c r="Z1438" s="77"/>
      <c r="AA1438" s="77"/>
      <c r="AB1438" s="77"/>
      <c r="AC1438" s="81" t="s">
        <v>5801</v>
      </c>
      <c r="AD1438" s="77" t="s">
        <v>5851</v>
      </c>
      <c r="AE1438" s="83" t="str">
        <f>HYPERLINK("https://twitter.com/vagasdesalvador/status/1702793990259519529")</f>
        <v>https://twitter.com/vagasdesalvador/status/1702793990259519529</v>
      </c>
      <c r="AF1438" s="79">
        <v>45184.887708333335</v>
      </c>
      <c r="AG1438" s="85">
        <v>45184</v>
      </c>
      <c r="AH1438" s="81" t="s">
        <v>7091</v>
      </c>
      <c r="AI1438" s="77" t="b">
        <v>0</v>
      </c>
      <c r="AJ1438" s="77"/>
      <c r="AK1438" s="77"/>
      <c r="AL1438" s="77"/>
      <c r="AM1438" s="77"/>
      <c r="AN1438" s="77"/>
      <c r="AO1438" s="77"/>
      <c r="AP1438" s="77"/>
      <c r="AQ1438" s="77"/>
      <c r="AR1438" s="77"/>
      <c r="AS1438" s="77"/>
      <c r="AT1438" s="77"/>
      <c r="AU1438" s="77"/>
      <c r="AV1438" s="83" t="str">
        <f>HYPERLINK("https://pbs.twimg.com/profile_images/1570481566039539715/leEExsEx_normal.jpg")</f>
        <v>https://pbs.twimg.com/profile_images/1570481566039539715/leEExsEx_normal.jpg</v>
      </c>
      <c r="AW1438" s="81" t="s">
        <v>10559</v>
      </c>
      <c r="AX1438" s="81" t="s">
        <v>11289</v>
      </c>
      <c r="AY1438" s="81" t="s">
        <v>11336</v>
      </c>
      <c r="AZ1438" s="81" t="s">
        <v>10560</v>
      </c>
      <c r="BA1438" s="81" t="s">
        <v>11359</v>
      </c>
      <c r="BB1438" s="81" t="s">
        <v>11359</v>
      </c>
      <c r="BC1438" s="81" t="s">
        <v>10560</v>
      </c>
      <c r="BD1438" s="81" t="s">
        <v>11336</v>
      </c>
      <c r="BE1438" s="77"/>
      <c r="BF1438" s="77"/>
      <c r="BG1438" s="77"/>
      <c r="BH1438" s="77"/>
      <c r="BI1438" s="77"/>
    </row>
    <row r="1439" spans="1:61" x14ac:dyDescent="0.25">
      <c r="A1439" s="62" t="s">
        <v>527</v>
      </c>
      <c r="B1439" s="62" t="s">
        <v>527</v>
      </c>
      <c r="C1439" s="63"/>
      <c r="D1439" s="64"/>
      <c r="E1439" s="65"/>
      <c r="F1439" s="66"/>
      <c r="G1439" s="63"/>
      <c r="H1439" s="67"/>
      <c r="I1439" s="68"/>
      <c r="J1439" s="68"/>
      <c r="K1439" s="32"/>
      <c r="L1439" s="75">
        <v>1439</v>
      </c>
      <c r="M1439" s="75"/>
      <c r="N1439" s="70"/>
      <c r="O1439" s="77" t="s">
        <v>969</v>
      </c>
      <c r="P1439" s="79">
        <v>45184.886620370373</v>
      </c>
      <c r="Q1439" s="77" t="s">
        <v>2237</v>
      </c>
      <c r="R1439" s="77">
        <v>2</v>
      </c>
      <c r="S1439" s="77">
        <v>1</v>
      </c>
      <c r="T1439" s="77">
        <v>1</v>
      </c>
      <c r="U1439" s="77">
        <v>0</v>
      </c>
      <c r="V1439" s="77">
        <v>73</v>
      </c>
      <c r="W1439" s="81" t="s">
        <v>3625</v>
      </c>
      <c r="X1439" s="83" t="str">
        <f>HYPERLINK("https://farm.gupy.io/job/eyJqb2JJZCI6NTM5ODE0NSwic291cmNlIjoiZ3VweV9wb3J0YWwifQ==?jobBoardSource=gupy_portal")</f>
        <v>https://farm.gupy.io/job/eyJqb2JJZCI6NTM5ODE0NSwic291cmNlIjoiZ3VweV9wb3J0YWwifQ==?jobBoardSource=gupy_portal</v>
      </c>
      <c r="Y1439" s="77" t="s">
        <v>4294</v>
      </c>
      <c r="Z1439" s="77"/>
      <c r="AA1439" s="77"/>
      <c r="AB1439" s="77"/>
      <c r="AC1439" s="81" t="s">
        <v>5801</v>
      </c>
      <c r="AD1439" s="77" t="s">
        <v>5851</v>
      </c>
      <c r="AE1439" s="83" t="str">
        <f>HYPERLINK("https://twitter.com/vagasdesalvador/status/1702793598675173718")</f>
        <v>https://twitter.com/vagasdesalvador/status/1702793598675173718</v>
      </c>
      <c r="AF1439" s="79">
        <v>45184.886620370373</v>
      </c>
      <c r="AG1439" s="85">
        <v>45184</v>
      </c>
      <c r="AH1439" s="81" t="s">
        <v>7092</v>
      </c>
      <c r="AI1439" s="77" t="b">
        <v>0</v>
      </c>
      <c r="AJ1439" s="77"/>
      <c r="AK1439" s="77"/>
      <c r="AL1439" s="77"/>
      <c r="AM1439" s="77"/>
      <c r="AN1439" s="77"/>
      <c r="AO1439" s="77"/>
      <c r="AP1439" s="77"/>
      <c r="AQ1439" s="77"/>
      <c r="AR1439" s="77"/>
      <c r="AS1439" s="77"/>
      <c r="AT1439" s="77"/>
      <c r="AU1439" s="77"/>
      <c r="AV1439" s="83" t="str">
        <f>HYPERLINK("https://pbs.twimg.com/profile_images/1570481566039539715/leEExsEx_normal.jpg")</f>
        <v>https://pbs.twimg.com/profile_images/1570481566039539715/leEExsEx_normal.jpg</v>
      </c>
      <c r="AW1439" s="81" t="s">
        <v>10560</v>
      </c>
      <c r="AX1439" s="81" t="s">
        <v>11289</v>
      </c>
      <c r="AY1439" s="81" t="s">
        <v>11336</v>
      </c>
      <c r="AZ1439" s="81" t="s">
        <v>11381</v>
      </c>
      <c r="BA1439" s="81" t="s">
        <v>11359</v>
      </c>
      <c r="BB1439" s="81" t="s">
        <v>11359</v>
      </c>
      <c r="BC1439" s="81" t="s">
        <v>11381</v>
      </c>
      <c r="BD1439" s="81" t="s">
        <v>11336</v>
      </c>
      <c r="BE1439" s="77"/>
      <c r="BF1439" s="77"/>
      <c r="BG1439" s="77"/>
      <c r="BH1439" s="77"/>
      <c r="BI1439" s="77"/>
    </row>
    <row r="1440" spans="1:61" x14ac:dyDescent="0.25">
      <c r="A1440" s="62" t="s">
        <v>527</v>
      </c>
      <c r="B1440" s="62" t="s">
        <v>527</v>
      </c>
      <c r="C1440" s="63"/>
      <c r="D1440" s="64"/>
      <c r="E1440" s="65"/>
      <c r="F1440" s="66"/>
      <c r="G1440" s="63"/>
      <c r="H1440" s="67"/>
      <c r="I1440" s="68"/>
      <c r="J1440" s="68"/>
      <c r="K1440" s="32"/>
      <c r="L1440" s="75">
        <v>1440</v>
      </c>
      <c r="M1440" s="75"/>
      <c r="N1440" s="70"/>
      <c r="O1440" s="77" t="s">
        <v>969</v>
      </c>
      <c r="P1440" s="79">
        <v>45160.588865740741</v>
      </c>
      <c r="Q1440" s="77" t="s">
        <v>2238</v>
      </c>
      <c r="R1440" s="77">
        <v>1</v>
      </c>
      <c r="S1440" s="77">
        <v>2</v>
      </c>
      <c r="T1440" s="77">
        <v>1</v>
      </c>
      <c r="U1440" s="77">
        <v>0</v>
      </c>
      <c r="V1440" s="77">
        <v>69</v>
      </c>
      <c r="W1440" s="81" t="s">
        <v>3625</v>
      </c>
      <c r="X1440" s="83" t="str">
        <f>HYPERLINK("https://www.vagas.com.br/vagas/v2545255/vendedor-i-bahia?ci=2074740&amp;fnt=18&amp;ne=0&amp;utm_campaign=algoritimo-a&amp;utm_content=20230821&amp;utm_medium=email&amp;utm_posicao=1&amp;utm_quantidade_vagas=3&amp;utm_source=recomendacao&amp;utm_term=2545255")</f>
        <v>https://www.vagas.com.br/vagas/v2545255/vendedor-i-bahia?ci=2074740&amp;fnt=18&amp;ne=0&amp;utm_campaign=algoritimo-a&amp;utm_content=20230821&amp;utm_medium=email&amp;utm_posicao=1&amp;utm_quantidade_vagas=3&amp;utm_source=recomendacao&amp;utm_term=2545255</v>
      </c>
      <c r="Y1440" s="77" t="s">
        <v>4223</v>
      </c>
      <c r="Z1440" s="77"/>
      <c r="AA1440" s="77"/>
      <c r="AB1440" s="77"/>
      <c r="AC1440" s="81" t="s">
        <v>5801</v>
      </c>
      <c r="AD1440" s="77" t="s">
        <v>5851</v>
      </c>
      <c r="AE1440" s="83" t="str">
        <f>HYPERLINK("https://twitter.com/vagasdesalvador/status/1693988386254844088")</f>
        <v>https://twitter.com/vagasdesalvador/status/1693988386254844088</v>
      </c>
      <c r="AF1440" s="79">
        <v>45160.588865740741</v>
      </c>
      <c r="AG1440" s="85">
        <v>45160</v>
      </c>
      <c r="AH1440" s="81" t="s">
        <v>7093</v>
      </c>
      <c r="AI1440" s="77" t="b">
        <v>0</v>
      </c>
      <c r="AJ1440" s="77"/>
      <c r="AK1440" s="77"/>
      <c r="AL1440" s="77"/>
      <c r="AM1440" s="77"/>
      <c r="AN1440" s="77"/>
      <c r="AO1440" s="77"/>
      <c r="AP1440" s="77"/>
      <c r="AQ1440" s="77"/>
      <c r="AR1440" s="77"/>
      <c r="AS1440" s="77"/>
      <c r="AT1440" s="77"/>
      <c r="AU1440" s="77"/>
      <c r="AV1440" s="83" t="str">
        <f>HYPERLINK("https://pbs.twimg.com/profile_images/1570481566039539715/leEExsEx_normal.jpg")</f>
        <v>https://pbs.twimg.com/profile_images/1570481566039539715/leEExsEx_normal.jpg</v>
      </c>
      <c r="AW1440" s="81" t="s">
        <v>10561</v>
      </c>
      <c r="AX1440" s="81" t="s">
        <v>11289</v>
      </c>
      <c r="AY1440" s="81" t="s">
        <v>11336</v>
      </c>
      <c r="AZ1440" s="81" t="s">
        <v>10545</v>
      </c>
      <c r="BA1440" s="81" t="s">
        <v>11359</v>
      </c>
      <c r="BB1440" s="81" t="s">
        <v>11359</v>
      </c>
      <c r="BC1440" s="81" t="s">
        <v>10545</v>
      </c>
      <c r="BD1440" s="81" t="s">
        <v>11336</v>
      </c>
      <c r="BE1440" s="77"/>
      <c r="BF1440" s="77"/>
      <c r="BG1440" s="77"/>
      <c r="BH1440" s="77"/>
      <c r="BI1440" s="77"/>
    </row>
    <row r="1441" spans="1:61" x14ac:dyDescent="0.25">
      <c r="A1441" s="62" t="s">
        <v>527</v>
      </c>
      <c r="B1441" s="62" t="s">
        <v>527</v>
      </c>
      <c r="C1441" s="63"/>
      <c r="D1441" s="64"/>
      <c r="E1441" s="65"/>
      <c r="F1441" s="66"/>
      <c r="G1441" s="63"/>
      <c r="H1441" s="67"/>
      <c r="I1441" s="68"/>
      <c r="J1441" s="68"/>
      <c r="K1441" s="32"/>
      <c r="L1441" s="75">
        <v>1441</v>
      </c>
      <c r="M1441" s="75"/>
      <c r="N1441" s="70"/>
      <c r="O1441" s="77" t="s">
        <v>969</v>
      </c>
      <c r="P1441" s="79">
        <v>45096.780787037038</v>
      </c>
      <c r="Q1441" s="77" t="s">
        <v>2239</v>
      </c>
      <c r="R1441" s="77">
        <v>1</v>
      </c>
      <c r="S1441" s="77">
        <v>1</v>
      </c>
      <c r="T1441" s="77">
        <v>1</v>
      </c>
      <c r="U1441" s="77">
        <v>0</v>
      </c>
      <c r="V1441" s="77">
        <v>71</v>
      </c>
      <c r="W1441" s="81" t="s">
        <v>3626</v>
      </c>
      <c r="X1441" s="83" t="str">
        <f>HYPERLINK("https://candidato.luandre.com.br/vagas/visualizar/145162")</f>
        <v>https://candidato.luandre.com.br/vagas/visualizar/145162</v>
      </c>
      <c r="Y1441" s="77" t="s">
        <v>4223</v>
      </c>
      <c r="Z1441" s="77"/>
      <c r="AA1441" s="77"/>
      <c r="AB1441" s="77"/>
      <c r="AC1441" s="81" t="s">
        <v>5801</v>
      </c>
      <c r="AD1441" s="77" t="s">
        <v>5851</v>
      </c>
      <c r="AE1441" s="83" t="str">
        <f>HYPERLINK("https://twitter.com/vagasdesalvador/status/1670865112268169216")</f>
        <v>https://twitter.com/vagasdesalvador/status/1670865112268169216</v>
      </c>
      <c r="AF1441" s="79">
        <v>45096.780787037038</v>
      </c>
      <c r="AG1441" s="85">
        <v>45096</v>
      </c>
      <c r="AH1441" s="81" t="s">
        <v>7094</v>
      </c>
      <c r="AI1441" s="77" t="b">
        <v>0</v>
      </c>
      <c r="AJ1441" s="77"/>
      <c r="AK1441" s="77"/>
      <c r="AL1441" s="77"/>
      <c r="AM1441" s="77"/>
      <c r="AN1441" s="77"/>
      <c r="AO1441" s="77"/>
      <c r="AP1441" s="77"/>
      <c r="AQ1441" s="77"/>
      <c r="AR1441" s="77"/>
      <c r="AS1441" s="77"/>
      <c r="AT1441" s="77"/>
      <c r="AU1441" s="77"/>
      <c r="AV1441" s="83" t="str">
        <f>HYPERLINK("https://pbs.twimg.com/profile_images/1570481566039539715/leEExsEx_normal.jpg")</f>
        <v>https://pbs.twimg.com/profile_images/1570481566039539715/leEExsEx_normal.jpg</v>
      </c>
      <c r="AW1441" s="81" t="s">
        <v>10562</v>
      </c>
      <c r="AX1441" s="81" t="s">
        <v>11289</v>
      </c>
      <c r="AY1441" s="81" t="s">
        <v>11336</v>
      </c>
      <c r="AZ1441" s="81" t="s">
        <v>11382</v>
      </c>
      <c r="BA1441" s="81" t="s">
        <v>11359</v>
      </c>
      <c r="BB1441" s="81" t="s">
        <v>11359</v>
      </c>
      <c r="BC1441" s="81" t="s">
        <v>11382</v>
      </c>
      <c r="BD1441" s="81" t="s">
        <v>11336</v>
      </c>
      <c r="BE1441" s="77"/>
      <c r="BF1441" s="77"/>
      <c r="BG1441" s="77"/>
      <c r="BH1441" s="77"/>
      <c r="BI1441" s="77"/>
    </row>
    <row r="1442" spans="1:61" x14ac:dyDescent="0.25">
      <c r="A1442" s="62" t="s">
        <v>527</v>
      </c>
      <c r="B1442" s="62" t="s">
        <v>527</v>
      </c>
      <c r="C1442" s="63"/>
      <c r="D1442" s="64"/>
      <c r="E1442" s="65"/>
      <c r="F1442" s="66"/>
      <c r="G1442" s="63"/>
      <c r="H1442" s="67"/>
      <c r="I1442" s="68"/>
      <c r="J1442" s="68"/>
      <c r="K1442" s="32"/>
      <c r="L1442" s="75">
        <v>1442</v>
      </c>
      <c r="M1442" s="75"/>
      <c r="N1442" s="70"/>
      <c r="O1442" s="77" t="s">
        <v>969</v>
      </c>
      <c r="P1442" s="79">
        <v>45005.802581018521</v>
      </c>
      <c r="Q1442" s="77" t="s">
        <v>2240</v>
      </c>
      <c r="R1442" s="77">
        <v>1</v>
      </c>
      <c r="S1442" s="77">
        <v>0</v>
      </c>
      <c r="T1442" s="77">
        <v>2</v>
      </c>
      <c r="U1442" s="77">
        <v>0</v>
      </c>
      <c r="V1442" s="77">
        <v>50</v>
      </c>
      <c r="W1442" s="81" t="s">
        <v>3623</v>
      </c>
      <c r="X1442" s="83" t="str">
        <f>HYPERLINK("https://docg.gupy.io/job/eyJzb3VyY2UiOiJndXB5X3B1YmxpY19wYWdlIiwiam9iSWQiOjQzNTQzNDh9?jobBoardSource=gupy_public_page")</f>
        <v>https://docg.gupy.io/job/eyJzb3VyY2UiOiJndXB5X3B1YmxpY19wYWdlIiwiam9iSWQiOjQzNTQzNDh9?jobBoardSource=gupy_public_page</v>
      </c>
      <c r="Y1442" s="77" t="s">
        <v>4294</v>
      </c>
      <c r="Z1442" s="77"/>
      <c r="AA1442" s="77"/>
      <c r="AB1442" s="77"/>
      <c r="AC1442" s="81" t="s">
        <v>5805</v>
      </c>
      <c r="AD1442" s="77" t="s">
        <v>5851</v>
      </c>
      <c r="AE1442" s="83" t="str">
        <f>HYPERLINK("https://twitter.com/vagasdesalvador/status/1637895714045829122")</f>
        <v>https://twitter.com/vagasdesalvador/status/1637895714045829122</v>
      </c>
      <c r="AF1442" s="79">
        <v>45005.802581018521</v>
      </c>
      <c r="AG1442" s="85">
        <v>45005</v>
      </c>
      <c r="AH1442" s="81" t="s">
        <v>7095</v>
      </c>
      <c r="AI1442" s="77" t="b">
        <v>0</v>
      </c>
      <c r="AJ1442" s="77"/>
      <c r="AK1442" s="77"/>
      <c r="AL1442" s="77"/>
      <c r="AM1442" s="77"/>
      <c r="AN1442" s="77"/>
      <c r="AO1442" s="77"/>
      <c r="AP1442" s="77"/>
      <c r="AQ1442" s="77"/>
      <c r="AR1442" s="77"/>
      <c r="AS1442" s="77"/>
      <c r="AT1442" s="77"/>
      <c r="AU1442" s="77"/>
      <c r="AV1442" s="83" t="str">
        <f>HYPERLINK("https://pbs.twimg.com/profile_images/1570481566039539715/leEExsEx_normal.jpg")</f>
        <v>https://pbs.twimg.com/profile_images/1570481566039539715/leEExsEx_normal.jpg</v>
      </c>
      <c r="AW1442" s="81" t="s">
        <v>10563</v>
      </c>
      <c r="AX1442" s="81" t="s">
        <v>11291</v>
      </c>
      <c r="AY1442" s="81" t="s">
        <v>11336</v>
      </c>
      <c r="AZ1442" s="81" t="s">
        <v>11291</v>
      </c>
      <c r="BA1442" s="81" t="s">
        <v>11359</v>
      </c>
      <c r="BB1442" s="81" t="s">
        <v>11359</v>
      </c>
      <c r="BC1442" s="81" t="s">
        <v>11291</v>
      </c>
      <c r="BD1442" s="81" t="s">
        <v>11336</v>
      </c>
      <c r="BE1442" s="77"/>
      <c r="BF1442" s="77"/>
      <c r="BG1442" s="77"/>
      <c r="BH1442" s="77"/>
      <c r="BI1442" s="77"/>
    </row>
    <row r="1443" spans="1:61" x14ac:dyDescent="0.25">
      <c r="A1443" s="62" t="s">
        <v>528</v>
      </c>
      <c r="B1443" s="62" t="s">
        <v>528</v>
      </c>
      <c r="C1443" s="63"/>
      <c r="D1443" s="64"/>
      <c r="E1443" s="65"/>
      <c r="F1443" s="66"/>
      <c r="G1443" s="63"/>
      <c r="H1443" s="67"/>
      <c r="I1443" s="68"/>
      <c r="J1443" s="68"/>
      <c r="K1443" s="32"/>
      <c r="L1443" s="75">
        <v>1443</v>
      </c>
      <c r="M1443" s="75"/>
      <c r="N1443" s="70"/>
      <c r="O1443" s="77" t="s">
        <v>179</v>
      </c>
      <c r="P1443" s="79">
        <v>44938.605891203704</v>
      </c>
      <c r="Q1443" s="77" t="s">
        <v>2241</v>
      </c>
      <c r="R1443" s="77">
        <v>1</v>
      </c>
      <c r="S1443" s="77">
        <v>3</v>
      </c>
      <c r="T1443" s="77">
        <v>0</v>
      </c>
      <c r="U1443" s="77">
        <v>0</v>
      </c>
      <c r="V1443" s="77">
        <v>1051</v>
      </c>
      <c r="W1443" s="81" t="s">
        <v>3633</v>
      </c>
      <c r="X1443" s="77"/>
      <c r="Y1443" s="77"/>
      <c r="Z1443" s="77"/>
      <c r="AA1443" s="77" t="s">
        <v>5365</v>
      </c>
      <c r="AB1443" s="77" t="s">
        <v>5794</v>
      </c>
      <c r="AC1443" s="81" t="s">
        <v>5803</v>
      </c>
      <c r="AD1443" s="77" t="s">
        <v>5850</v>
      </c>
      <c r="AE1443" s="83" t="str">
        <f>HYPERLINK("https://twitter.com/korraleja/status/1613544448025133057")</f>
        <v>https://twitter.com/korraleja/status/1613544448025133057</v>
      </c>
      <c r="AF1443" s="79">
        <v>44938.605891203704</v>
      </c>
      <c r="AG1443" s="85">
        <v>44938</v>
      </c>
      <c r="AH1443" s="81" t="s">
        <v>7096</v>
      </c>
      <c r="AI1443" s="77" t="b">
        <v>0</v>
      </c>
      <c r="AJ1443" s="77" t="s">
        <v>7743</v>
      </c>
      <c r="AK1443" s="77" t="s">
        <v>7766</v>
      </c>
      <c r="AL1443" s="77" t="s">
        <v>7775</v>
      </c>
      <c r="AM1443" s="77" t="s">
        <v>7797</v>
      </c>
      <c r="AN1443" s="77" t="s">
        <v>7833</v>
      </c>
      <c r="AO1443" s="77" t="s">
        <v>7869</v>
      </c>
      <c r="AP1443" s="77" t="s">
        <v>7889</v>
      </c>
      <c r="AQ1443" s="77" t="s">
        <v>8868</v>
      </c>
      <c r="AR1443" s="77"/>
      <c r="AS1443" s="77"/>
      <c r="AT1443" s="77"/>
      <c r="AU1443" s="77"/>
      <c r="AV1443" s="83" t="str">
        <f>HYPERLINK("https://pbs.twimg.com/media/FmR2H23XwAMwh4B.jpg")</f>
        <v>https://pbs.twimg.com/media/FmR2H23XwAMwh4B.jpg</v>
      </c>
      <c r="AW1443" s="81" t="s">
        <v>10564</v>
      </c>
      <c r="AX1443" s="81" t="s">
        <v>10564</v>
      </c>
      <c r="AY1443" s="77"/>
      <c r="AZ1443" s="81" t="s">
        <v>11359</v>
      </c>
      <c r="BA1443" s="81" t="s">
        <v>11359</v>
      </c>
      <c r="BB1443" s="81" t="s">
        <v>11359</v>
      </c>
      <c r="BC1443" s="81" t="s">
        <v>10564</v>
      </c>
      <c r="BD1443" s="77">
        <v>91282224</v>
      </c>
      <c r="BE1443" s="77"/>
      <c r="BF1443" s="77"/>
      <c r="BG1443" s="77"/>
      <c r="BH1443" s="77"/>
      <c r="BI1443" s="77"/>
    </row>
    <row r="1444" spans="1:61" x14ac:dyDescent="0.25">
      <c r="A1444" s="62" t="s">
        <v>528</v>
      </c>
      <c r="B1444" s="62" t="s">
        <v>528</v>
      </c>
      <c r="C1444" s="63"/>
      <c r="D1444" s="64"/>
      <c r="E1444" s="65"/>
      <c r="F1444" s="66"/>
      <c r="G1444" s="63"/>
      <c r="H1444" s="67"/>
      <c r="I1444" s="68"/>
      <c r="J1444" s="68"/>
      <c r="K1444" s="32"/>
      <c r="L1444" s="75">
        <v>1444</v>
      </c>
      <c r="M1444" s="75"/>
      <c r="N1444" s="70"/>
      <c r="O1444" s="77" t="s">
        <v>179</v>
      </c>
      <c r="P1444" s="79">
        <v>45122.567384259259</v>
      </c>
      <c r="Q1444" s="77" t="s">
        <v>2242</v>
      </c>
      <c r="R1444" s="77">
        <v>2</v>
      </c>
      <c r="S1444" s="77">
        <v>0</v>
      </c>
      <c r="T1444" s="77">
        <v>0</v>
      </c>
      <c r="U1444" s="77">
        <v>0</v>
      </c>
      <c r="V1444" s="77">
        <v>807</v>
      </c>
      <c r="W1444" s="81" t="s">
        <v>3634</v>
      </c>
      <c r="X1444" s="77"/>
      <c r="Y1444" s="77"/>
      <c r="Z1444" s="77"/>
      <c r="AA1444" s="77" t="s">
        <v>5366</v>
      </c>
      <c r="AB1444" s="77" t="s">
        <v>5794</v>
      </c>
      <c r="AC1444" s="81" t="s">
        <v>5803</v>
      </c>
      <c r="AD1444" s="77" t="s">
        <v>5850</v>
      </c>
      <c r="AE1444" s="83" t="str">
        <f>HYPERLINK("https://twitter.com/korraleja/status/1680209861601001472")</f>
        <v>https://twitter.com/korraleja/status/1680209861601001472</v>
      </c>
      <c r="AF1444" s="79">
        <v>45122.567384259259</v>
      </c>
      <c r="AG1444" s="85">
        <v>45122</v>
      </c>
      <c r="AH1444" s="81" t="s">
        <v>7097</v>
      </c>
      <c r="AI1444" s="77" t="b">
        <v>0</v>
      </c>
      <c r="AJ1444" s="77" t="s">
        <v>7743</v>
      </c>
      <c r="AK1444" s="77" t="s">
        <v>7766</v>
      </c>
      <c r="AL1444" s="77" t="s">
        <v>7775</v>
      </c>
      <c r="AM1444" s="77" t="s">
        <v>7797</v>
      </c>
      <c r="AN1444" s="77" t="s">
        <v>7833</v>
      </c>
      <c r="AO1444" s="77" t="s">
        <v>7869</v>
      </c>
      <c r="AP1444" s="77" t="s">
        <v>7889</v>
      </c>
      <c r="AQ1444" s="77" t="s">
        <v>8869</v>
      </c>
      <c r="AR1444" s="77"/>
      <c r="AS1444" s="77"/>
      <c r="AT1444" s="77"/>
      <c r="AU1444" s="77"/>
      <c r="AV1444" s="83" t="str">
        <f>HYPERLINK("https://pbs.twimg.com/media/F1FN9qaWYAEy4wx.jpg")</f>
        <v>https://pbs.twimg.com/media/F1FN9qaWYAEy4wx.jpg</v>
      </c>
      <c r="AW1444" s="81" t="s">
        <v>10565</v>
      </c>
      <c r="AX1444" s="81" t="s">
        <v>10565</v>
      </c>
      <c r="AY1444" s="77"/>
      <c r="AZ1444" s="81" t="s">
        <v>11359</v>
      </c>
      <c r="BA1444" s="81" t="s">
        <v>11359</v>
      </c>
      <c r="BB1444" s="81" t="s">
        <v>11359</v>
      </c>
      <c r="BC1444" s="81" t="s">
        <v>10565</v>
      </c>
      <c r="BD1444" s="77">
        <v>91282224</v>
      </c>
      <c r="BE1444" s="77"/>
      <c r="BF1444" s="77"/>
      <c r="BG1444" s="77"/>
      <c r="BH1444" s="77"/>
      <c r="BI1444" s="77"/>
    </row>
    <row r="1445" spans="1:61" x14ac:dyDescent="0.25">
      <c r="A1445" s="62" t="s">
        <v>529</v>
      </c>
      <c r="B1445" s="62" t="s">
        <v>529</v>
      </c>
      <c r="C1445" s="63"/>
      <c r="D1445" s="64"/>
      <c r="E1445" s="65"/>
      <c r="F1445" s="66"/>
      <c r="G1445" s="63"/>
      <c r="H1445" s="67"/>
      <c r="I1445" s="68"/>
      <c r="J1445" s="68"/>
      <c r="K1445" s="32"/>
      <c r="L1445" s="75">
        <v>1445</v>
      </c>
      <c r="M1445" s="75"/>
      <c r="N1445" s="70"/>
      <c r="O1445" s="77" t="s">
        <v>179</v>
      </c>
      <c r="P1445" s="79">
        <v>44964.671249999999</v>
      </c>
      <c r="Q1445" s="77" t="s">
        <v>2243</v>
      </c>
      <c r="R1445" s="77">
        <v>0</v>
      </c>
      <c r="S1445" s="77">
        <v>0</v>
      </c>
      <c r="T1445" s="77">
        <v>0</v>
      </c>
      <c r="U1445" s="77">
        <v>0</v>
      </c>
      <c r="V1445" s="77">
        <v>6</v>
      </c>
      <c r="W1445" s="81" t="s">
        <v>3635</v>
      </c>
      <c r="X1445" s="83" t="str">
        <f>HYPERLINK("https://www.instagram.com/p/CoXgXGDuUrv/?igshid=YTgzYjQ4ZTY=")</f>
        <v>https://www.instagram.com/p/CoXgXGDuUrv/?igshid=YTgzYjQ4ZTY=</v>
      </c>
      <c r="Y1445" s="77" t="s">
        <v>4215</v>
      </c>
      <c r="Z1445" s="77"/>
      <c r="AA1445" s="77"/>
      <c r="AB1445" s="77"/>
      <c r="AC1445" s="81" t="s">
        <v>5804</v>
      </c>
      <c r="AD1445" s="77" t="s">
        <v>5853</v>
      </c>
      <c r="AE1445" s="83" t="str">
        <f>HYPERLINK("https://twitter.com/ceciliabolina/status/1622990217472012289")</f>
        <v>https://twitter.com/ceciliabolina/status/1622990217472012289</v>
      </c>
      <c r="AF1445" s="79">
        <v>44964.671249999999</v>
      </c>
      <c r="AG1445" s="85">
        <v>44964</v>
      </c>
      <c r="AH1445" s="81" t="s">
        <v>7098</v>
      </c>
      <c r="AI1445" s="77" t="b">
        <v>0</v>
      </c>
      <c r="AJ1445" s="77"/>
      <c r="AK1445" s="77"/>
      <c r="AL1445" s="77"/>
      <c r="AM1445" s="77"/>
      <c r="AN1445" s="77"/>
      <c r="AO1445" s="77"/>
      <c r="AP1445" s="77"/>
      <c r="AQ1445" s="77"/>
      <c r="AR1445" s="77"/>
      <c r="AS1445" s="77"/>
      <c r="AT1445" s="77"/>
      <c r="AU1445" s="77"/>
      <c r="AV1445" s="83" t="str">
        <f>HYPERLINK("https://pbs.twimg.com/profile_images/1695530758247514112/9QLAqPwg_normal.jpg")</f>
        <v>https://pbs.twimg.com/profile_images/1695530758247514112/9QLAqPwg_normal.jpg</v>
      </c>
      <c r="AW1445" s="81" t="s">
        <v>10566</v>
      </c>
      <c r="AX1445" s="81" t="s">
        <v>10566</v>
      </c>
      <c r="AY1445" s="77"/>
      <c r="AZ1445" s="81" t="s">
        <v>11359</v>
      </c>
      <c r="BA1445" s="81" t="s">
        <v>11359</v>
      </c>
      <c r="BB1445" s="81" t="s">
        <v>11359</v>
      </c>
      <c r="BC1445" s="81" t="s">
        <v>10566</v>
      </c>
      <c r="BD1445" s="77">
        <v>558847647</v>
      </c>
      <c r="BE1445" s="77"/>
      <c r="BF1445" s="77"/>
      <c r="BG1445" s="77"/>
      <c r="BH1445" s="77"/>
      <c r="BI1445" s="77"/>
    </row>
    <row r="1446" spans="1:61" x14ac:dyDescent="0.25">
      <c r="A1446" s="62" t="s">
        <v>529</v>
      </c>
      <c r="B1446" s="62" t="s">
        <v>529</v>
      </c>
      <c r="C1446" s="63"/>
      <c r="D1446" s="64"/>
      <c r="E1446" s="65"/>
      <c r="F1446" s="66"/>
      <c r="G1446" s="63"/>
      <c r="H1446" s="67"/>
      <c r="I1446" s="68"/>
      <c r="J1446" s="68"/>
      <c r="K1446" s="32"/>
      <c r="L1446" s="75">
        <v>1446</v>
      </c>
      <c r="M1446" s="75"/>
      <c r="N1446" s="70"/>
      <c r="O1446" s="77" t="s">
        <v>179</v>
      </c>
      <c r="P1446" s="79">
        <v>44959.273541666669</v>
      </c>
      <c r="Q1446" s="77" t="s">
        <v>2244</v>
      </c>
      <c r="R1446" s="77">
        <v>0</v>
      </c>
      <c r="S1446" s="77">
        <v>0</v>
      </c>
      <c r="T1446" s="77">
        <v>0</v>
      </c>
      <c r="U1446" s="77">
        <v>0</v>
      </c>
      <c r="V1446" s="77">
        <v>3</v>
      </c>
      <c r="W1446" s="81" t="s">
        <v>3636</v>
      </c>
      <c r="X1446" s="83" t="str">
        <f>HYPERLINK("https://www.instagram.com/p/CoJm2NSuXfU/?igshid=YTgzYjQ4ZTY=")</f>
        <v>https://www.instagram.com/p/CoJm2NSuXfU/?igshid=YTgzYjQ4ZTY=</v>
      </c>
      <c r="Y1446" s="77" t="s">
        <v>4215</v>
      </c>
      <c r="Z1446" s="77"/>
      <c r="AA1446" s="77"/>
      <c r="AB1446" s="77"/>
      <c r="AC1446" s="81" t="s">
        <v>5804</v>
      </c>
      <c r="AD1446" s="77" t="s">
        <v>5853</v>
      </c>
      <c r="AE1446" s="83" t="str">
        <f>HYPERLINK("https://twitter.com/ceciliabolina/status/1621034155147509761")</f>
        <v>https://twitter.com/ceciliabolina/status/1621034155147509761</v>
      </c>
      <c r="AF1446" s="79">
        <v>44959.273541666669</v>
      </c>
      <c r="AG1446" s="85">
        <v>44959</v>
      </c>
      <c r="AH1446" s="81" t="s">
        <v>7099</v>
      </c>
      <c r="AI1446" s="77" t="b">
        <v>0</v>
      </c>
      <c r="AJ1446" s="77"/>
      <c r="AK1446" s="77"/>
      <c r="AL1446" s="77"/>
      <c r="AM1446" s="77"/>
      <c r="AN1446" s="77"/>
      <c r="AO1446" s="77"/>
      <c r="AP1446" s="77"/>
      <c r="AQ1446" s="77"/>
      <c r="AR1446" s="77"/>
      <c r="AS1446" s="77"/>
      <c r="AT1446" s="77"/>
      <c r="AU1446" s="77"/>
      <c r="AV1446" s="83" t="str">
        <f>HYPERLINK("https://pbs.twimg.com/profile_images/1695530758247514112/9QLAqPwg_normal.jpg")</f>
        <v>https://pbs.twimg.com/profile_images/1695530758247514112/9QLAqPwg_normal.jpg</v>
      </c>
      <c r="AW1446" s="81" t="s">
        <v>10567</v>
      </c>
      <c r="AX1446" s="81" t="s">
        <v>10567</v>
      </c>
      <c r="AY1446" s="77"/>
      <c r="AZ1446" s="81" t="s">
        <v>11359</v>
      </c>
      <c r="BA1446" s="81" t="s">
        <v>11359</v>
      </c>
      <c r="BB1446" s="81" t="s">
        <v>11359</v>
      </c>
      <c r="BC1446" s="81" t="s">
        <v>10567</v>
      </c>
      <c r="BD1446" s="77">
        <v>558847647</v>
      </c>
      <c r="BE1446" s="77"/>
      <c r="BF1446" s="77"/>
      <c r="BG1446" s="77"/>
      <c r="BH1446" s="77"/>
      <c r="BI1446" s="77"/>
    </row>
    <row r="1447" spans="1:61" x14ac:dyDescent="0.25">
      <c r="A1447" s="62" t="s">
        <v>530</v>
      </c>
      <c r="B1447" s="62" t="s">
        <v>927</v>
      </c>
      <c r="C1447" s="63"/>
      <c r="D1447" s="64"/>
      <c r="E1447" s="65"/>
      <c r="F1447" s="66"/>
      <c r="G1447" s="63"/>
      <c r="H1447" s="67"/>
      <c r="I1447" s="68"/>
      <c r="J1447" s="68"/>
      <c r="K1447" s="32"/>
      <c r="L1447" s="75">
        <v>1447</v>
      </c>
      <c r="M1447" s="75"/>
      <c r="N1447" s="70"/>
      <c r="O1447" s="77" t="s">
        <v>967</v>
      </c>
      <c r="P1447" s="79">
        <v>44972.983923611115</v>
      </c>
      <c r="Q1447" s="77" t="s">
        <v>2245</v>
      </c>
      <c r="R1447" s="77">
        <v>0</v>
      </c>
      <c r="S1447" s="77">
        <v>0</v>
      </c>
      <c r="T1447" s="77">
        <v>1</v>
      </c>
      <c r="U1447" s="77">
        <v>0</v>
      </c>
      <c r="V1447" s="77">
        <v>25</v>
      </c>
      <c r="W1447" s="81" t="s">
        <v>3637</v>
      </c>
      <c r="X1447" s="77"/>
      <c r="Y1447" s="77"/>
      <c r="Z1447" s="77" t="s">
        <v>4379</v>
      </c>
      <c r="AA1447" s="77" t="s">
        <v>5367</v>
      </c>
      <c r="AB1447" s="77" t="s">
        <v>5794</v>
      </c>
      <c r="AC1447" s="81" t="s">
        <v>5801</v>
      </c>
      <c r="AD1447" s="77" t="s">
        <v>5850</v>
      </c>
      <c r="AE1447" s="83" t="str">
        <f>HYPERLINK("https://twitter.com/chuy13jesus04/status/1626002629552705537")</f>
        <v>https://twitter.com/chuy13jesus04/status/1626002629552705537</v>
      </c>
      <c r="AF1447" s="79">
        <v>44972.983923611115</v>
      </c>
      <c r="AG1447" s="85">
        <v>44972</v>
      </c>
      <c r="AH1447" s="81" t="s">
        <v>7100</v>
      </c>
      <c r="AI1447" s="77" t="b">
        <v>0</v>
      </c>
      <c r="AJ1447" s="77" t="s">
        <v>7744</v>
      </c>
      <c r="AK1447" s="77" t="s">
        <v>7767</v>
      </c>
      <c r="AL1447" s="77" t="s">
        <v>7776</v>
      </c>
      <c r="AM1447" s="77" t="s">
        <v>7798</v>
      </c>
      <c r="AN1447" s="77" t="s">
        <v>7834</v>
      </c>
      <c r="AO1447" s="77" t="s">
        <v>7870</v>
      </c>
      <c r="AP1447" s="77" t="s">
        <v>7889</v>
      </c>
      <c r="AQ1447" s="77" t="s">
        <v>8870</v>
      </c>
      <c r="AR1447" s="77"/>
      <c r="AS1447" s="77"/>
      <c r="AT1447" s="77"/>
      <c r="AU1447" s="77"/>
      <c r="AV1447" s="83" t="str">
        <f>HYPERLINK("https://pbs.twimg.com/media/FpC4xgaWIAEo3fD.jpg")</f>
        <v>https://pbs.twimg.com/media/FpC4xgaWIAEo3fD.jpg</v>
      </c>
      <c r="AW1447" s="81" t="s">
        <v>10568</v>
      </c>
      <c r="AX1447" s="81" t="s">
        <v>10568</v>
      </c>
      <c r="AY1447" s="81" t="s">
        <v>11337</v>
      </c>
      <c r="AZ1447" s="81" t="s">
        <v>11359</v>
      </c>
      <c r="BA1447" s="81" t="s">
        <v>11359</v>
      </c>
      <c r="BB1447" s="81" t="s">
        <v>11359</v>
      </c>
      <c r="BC1447" s="81" t="s">
        <v>10568</v>
      </c>
      <c r="BD1447" s="81" t="s">
        <v>11555</v>
      </c>
      <c r="BE1447" s="77"/>
      <c r="BF1447" s="77"/>
      <c r="BG1447" s="77"/>
      <c r="BH1447" s="77"/>
      <c r="BI1447" s="77"/>
    </row>
    <row r="1448" spans="1:61" x14ac:dyDescent="0.25">
      <c r="A1448" s="62" t="s">
        <v>530</v>
      </c>
      <c r="B1448" s="62" t="s">
        <v>928</v>
      </c>
      <c r="C1448" s="63"/>
      <c r="D1448" s="64"/>
      <c r="E1448" s="65"/>
      <c r="F1448" s="66"/>
      <c r="G1448" s="63"/>
      <c r="H1448" s="67"/>
      <c r="I1448" s="68"/>
      <c r="J1448" s="68"/>
      <c r="K1448" s="32"/>
      <c r="L1448" s="75">
        <v>1448</v>
      </c>
      <c r="M1448" s="75"/>
      <c r="N1448" s="70"/>
      <c r="O1448" s="77" t="s">
        <v>967</v>
      </c>
      <c r="P1448" s="79">
        <v>44972.983923611115</v>
      </c>
      <c r="Q1448" s="77" t="s">
        <v>2245</v>
      </c>
      <c r="R1448" s="77">
        <v>0</v>
      </c>
      <c r="S1448" s="77">
        <v>0</v>
      </c>
      <c r="T1448" s="77">
        <v>1</v>
      </c>
      <c r="U1448" s="77">
        <v>0</v>
      </c>
      <c r="V1448" s="77">
        <v>25</v>
      </c>
      <c r="W1448" s="81" t="s">
        <v>3637</v>
      </c>
      <c r="X1448" s="77"/>
      <c r="Y1448" s="77"/>
      <c r="Z1448" s="77" t="s">
        <v>4379</v>
      </c>
      <c r="AA1448" s="77" t="s">
        <v>5367</v>
      </c>
      <c r="AB1448" s="77" t="s">
        <v>5794</v>
      </c>
      <c r="AC1448" s="81" t="s">
        <v>5801</v>
      </c>
      <c r="AD1448" s="77" t="s">
        <v>5850</v>
      </c>
      <c r="AE1448" s="83" t="str">
        <f>HYPERLINK("https://twitter.com/chuy13jesus04/status/1626002629552705537")</f>
        <v>https://twitter.com/chuy13jesus04/status/1626002629552705537</v>
      </c>
      <c r="AF1448" s="79">
        <v>44972.983923611115</v>
      </c>
      <c r="AG1448" s="85">
        <v>44972</v>
      </c>
      <c r="AH1448" s="81" t="s">
        <v>7100</v>
      </c>
      <c r="AI1448" s="77" t="b">
        <v>0</v>
      </c>
      <c r="AJ1448" s="77" t="s">
        <v>7744</v>
      </c>
      <c r="AK1448" s="77" t="s">
        <v>7767</v>
      </c>
      <c r="AL1448" s="77" t="s">
        <v>7776</v>
      </c>
      <c r="AM1448" s="77" t="s">
        <v>7798</v>
      </c>
      <c r="AN1448" s="77" t="s">
        <v>7834</v>
      </c>
      <c r="AO1448" s="77" t="s">
        <v>7870</v>
      </c>
      <c r="AP1448" s="77" t="s">
        <v>7889</v>
      </c>
      <c r="AQ1448" s="77" t="s">
        <v>8870</v>
      </c>
      <c r="AR1448" s="77"/>
      <c r="AS1448" s="77"/>
      <c r="AT1448" s="77"/>
      <c r="AU1448" s="77"/>
      <c r="AV1448" s="83" t="str">
        <f>HYPERLINK("https://pbs.twimg.com/media/FpC4xgaWIAEo3fD.jpg")</f>
        <v>https://pbs.twimg.com/media/FpC4xgaWIAEo3fD.jpg</v>
      </c>
      <c r="AW1448" s="81" t="s">
        <v>10568</v>
      </c>
      <c r="AX1448" s="81" t="s">
        <v>10568</v>
      </c>
      <c r="AY1448" s="81" t="s">
        <v>11337</v>
      </c>
      <c r="AZ1448" s="81" t="s">
        <v>11359</v>
      </c>
      <c r="BA1448" s="81" t="s">
        <v>11359</v>
      </c>
      <c r="BB1448" s="81" t="s">
        <v>11359</v>
      </c>
      <c r="BC1448" s="81" t="s">
        <v>10568</v>
      </c>
      <c r="BD1448" s="81" t="s">
        <v>11555</v>
      </c>
      <c r="BE1448" s="77"/>
      <c r="BF1448" s="77"/>
      <c r="BG1448" s="77"/>
      <c r="BH1448" s="77"/>
      <c r="BI1448" s="77"/>
    </row>
    <row r="1449" spans="1:61" x14ac:dyDescent="0.25">
      <c r="A1449" s="62" t="s">
        <v>531</v>
      </c>
      <c r="B1449" s="62" t="s">
        <v>531</v>
      </c>
      <c r="C1449" s="63"/>
      <c r="D1449" s="64"/>
      <c r="E1449" s="65"/>
      <c r="F1449" s="66"/>
      <c r="G1449" s="63"/>
      <c r="H1449" s="67"/>
      <c r="I1449" s="68"/>
      <c r="J1449" s="68"/>
      <c r="K1449" s="32"/>
      <c r="L1449" s="75">
        <v>1449</v>
      </c>
      <c r="M1449" s="75"/>
      <c r="N1449" s="70"/>
      <c r="O1449" s="77" t="s">
        <v>179</v>
      </c>
      <c r="P1449" s="79">
        <v>45166.759791666664</v>
      </c>
      <c r="Q1449" s="77" t="s">
        <v>2246</v>
      </c>
      <c r="R1449" s="77">
        <v>0</v>
      </c>
      <c r="S1449" s="77">
        <v>0</v>
      </c>
      <c r="T1449" s="77">
        <v>0</v>
      </c>
      <c r="U1449" s="77">
        <v>0</v>
      </c>
      <c r="V1449" s="77">
        <v>26</v>
      </c>
      <c r="W1449" s="81" t="s">
        <v>3638</v>
      </c>
      <c r="X1449" s="77"/>
      <c r="Y1449" s="77"/>
      <c r="Z1449" s="77"/>
      <c r="AA1449" s="77" t="s">
        <v>5368</v>
      </c>
      <c r="AB1449" s="77" t="s">
        <v>5795</v>
      </c>
      <c r="AC1449" s="81" t="s">
        <v>5803</v>
      </c>
      <c r="AD1449" s="77" t="s">
        <v>5851</v>
      </c>
      <c r="AE1449" s="83" t="str">
        <f>HYPERLINK("https://twitter.com/vimaracarros/status/1696224651997749309")</f>
        <v>https://twitter.com/vimaracarros/status/1696224651997749309</v>
      </c>
      <c r="AF1449" s="79">
        <v>45166.759791666664</v>
      </c>
      <c r="AG1449" s="85">
        <v>45166</v>
      </c>
      <c r="AH1449" s="81" t="s">
        <v>7101</v>
      </c>
      <c r="AI1449" s="77" t="b">
        <v>0</v>
      </c>
      <c r="AJ1449" s="77"/>
      <c r="AK1449" s="77"/>
      <c r="AL1449" s="77"/>
      <c r="AM1449" s="77"/>
      <c r="AN1449" s="77"/>
      <c r="AO1449" s="77"/>
      <c r="AP1449" s="77"/>
      <c r="AQ1449" s="77" t="s">
        <v>8871</v>
      </c>
      <c r="AR1449" s="77">
        <v>14206</v>
      </c>
      <c r="AS1449" s="77"/>
      <c r="AT1449" s="77"/>
      <c r="AU1449" s="77"/>
      <c r="AV1449" s="83" t="str">
        <f>HYPERLINK("https://pbs.twimg.com/ext_tw_video_thumb/1696197231844495360/pu/img/ya7jcGbybnsRhQrN.jpg")</f>
        <v>https://pbs.twimg.com/ext_tw_video_thumb/1696197231844495360/pu/img/ya7jcGbybnsRhQrN.jpg</v>
      </c>
      <c r="AW1449" s="81" t="s">
        <v>10569</v>
      </c>
      <c r="AX1449" s="81" t="s">
        <v>10569</v>
      </c>
      <c r="AY1449" s="77"/>
      <c r="AZ1449" s="81" t="s">
        <v>11359</v>
      </c>
      <c r="BA1449" s="81" t="s">
        <v>11359</v>
      </c>
      <c r="BB1449" s="81" t="s">
        <v>11359</v>
      </c>
      <c r="BC1449" s="81" t="s">
        <v>10569</v>
      </c>
      <c r="BD1449" s="81" t="s">
        <v>11556</v>
      </c>
      <c r="BE1449" s="77"/>
      <c r="BF1449" s="77"/>
      <c r="BG1449" s="77"/>
      <c r="BH1449" s="77"/>
      <c r="BI1449" s="77"/>
    </row>
    <row r="1450" spans="1:61" x14ac:dyDescent="0.25">
      <c r="A1450" s="62" t="s">
        <v>531</v>
      </c>
      <c r="B1450" s="62" t="s">
        <v>531</v>
      </c>
      <c r="C1450" s="63"/>
      <c r="D1450" s="64"/>
      <c r="E1450" s="65"/>
      <c r="F1450" s="66"/>
      <c r="G1450" s="63"/>
      <c r="H1450" s="67"/>
      <c r="I1450" s="68"/>
      <c r="J1450" s="68"/>
      <c r="K1450" s="32"/>
      <c r="L1450" s="75">
        <v>1450</v>
      </c>
      <c r="M1450" s="75"/>
      <c r="N1450" s="70"/>
      <c r="O1450" s="77" t="s">
        <v>179</v>
      </c>
      <c r="P1450" s="79">
        <v>45174.769641203704</v>
      </c>
      <c r="Q1450" s="77" t="s">
        <v>2247</v>
      </c>
      <c r="R1450" s="77">
        <v>0</v>
      </c>
      <c r="S1450" s="77">
        <v>0</v>
      </c>
      <c r="T1450" s="77">
        <v>0</v>
      </c>
      <c r="U1450" s="77">
        <v>0</v>
      </c>
      <c r="V1450" s="77">
        <v>93</v>
      </c>
      <c r="W1450" s="81" t="s">
        <v>3639</v>
      </c>
      <c r="X1450" s="77"/>
      <c r="Y1450" s="77"/>
      <c r="Z1450" s="77"/>
      <c r="AA1450" s="77" t="s">
        <v>5369</v>
      </c>
      <c r="AB1450" s="77" t="s">
        <v>5795</v>
      </c>
      <c r="AC1450" s="81" t="s">
        <v>5803</v>
      </c>
      <c r="AD1450" s="77" t="s">
        <v>5851</v>
      </c>
      <c r="AE1450" s="83" t="str">
        <f>HYPERLINK("https://twitter.com/vimaracarros/status/1699127328134078901")</f>
        <v>https://twitter.com/vimaracarros/status/1699127328134078901</v>
      </c>
      <c r="AF1450" s="79">
        <v>45174.769641203704</v>
      </c>
      <c r="AG1450" s="85">
        <v>45174</v>
      </c>
      <c r="AH1450" s="81" t="s">
        <v>7102</v>
      </c>
      <c r="AI1450" s="77" t="b">
        <v>0</v>
      </c>
      <c r="AJ1450" s="77" t="s">
        <v>7737</v>
      </c>
      <c r="AK1450" s="77" t="s">
        <v>7763</v>
      </c>
      <c r="AL1450" s="77" t="s">
        <v>7772</v>
      </c>
      <c r="AM1450" s="77" t="s">
        <v>7791</v>
      </c>
      <c r="AN1450" s="77" t="s">
        <v>7827</v>
      </c>
      <c r="AO1450" s="77" t="s">
        <v>7863</v>
      </c>
      <c r="AP1450" s="77" t="s">
        <v>7889</v>
      </c>
      <c r="AQ1450" s="77" t="s">
        <v>8872</v>
      </c>
      <c r="AR1450" s="77">
        <v>16017</v>
      </c>
      <c r="AS1450" s="77"/>
      <c r="AT1450" s="77"/>
      <c r="AU1450" s="77"/>
      <c r="AV1450" s="83" t="str">
        <f>HYPERLINK("https://pbs.twimg.com/ext_tw_video_thumb/1699127266398109696/pu/img/xWP5lFyZVRGeATKC.jpg")</f>
        <v>https://pbs.twimg.com/ext_tw_video_thumb/1699127266398109696/pu/img/xWP5lFyZVRGeATKC.jpg</v>
      </c>
      <c r="AW1450" s="81" t="s">
        <v>10570</v>
      </c>
      <c r="AX1450" s="81" t="s">
        <v>10570</v>
      </c>
      <c r="AY1450" s="77"/>
      <c r="AZ1450" s="81" t="s">
        <v>11359</v>
      </c>
      <c r="BA1450" s="81" t="s">
        <v>11359</v>
      </c>
      <c r="BB1450" s="81" t="s">
        <v>11359</v>
      </c>
      <c r="BC1450" s="81" t="s">
        <v>10570</v>
      </c>
      <c r="BD1450" s="81" t="s">
        <v>11556</v>
      </c>
      <c r="BE1450" s="77"/>
      <c r="BF1450" s="77"/>
      <c r="BG1450" s="77"/>
      <c r="BH1450" s="77"/>
      <c r="BI1450" s="77"/>
    </row>
    <row r="1451" spans="1:61" x14ac:dyDescent="0.25">
      <c r="A1451" s="62" t="s">
        <v>531</v>
      </c>
      <c r="B1451" s="62" t="s">
        <v>531</v>
      </c>
      <c r="C1451" s="63"/>
      <c r="D1451" s="64"/>
      <c r="E1451" s="65"/>
      <c r="F1451" s="66"/>
      <c r="G1451" s="63"/>
      <c r="H1451" s="67"/>
      <c r="I1451" s="68"/>
      <c r="J1451" s="68"/>
      <c r="K1451" s="32"/>
      <c r="L1451" s="75">
        <v>1451</v>
      </c>
      <c r="M1451" s="75"/>
      <c r="N1451" s="70"/>
      <c r="O1451" s="77" t="s">
        <v>179</v>
      </c>
      <c r="P1451" s="79">
        <v>45162.528298611112</v>
      </c>
      <c r="Q1451" s="77" t="s">
        <v>2248</v>
      </c>
      <c r="R1451" s="77">
        <v>0</v>
      </c>
      <c r="S1451" s="77">
        <v>0</v>
      </c>
      <c r="T1451" s="77">
        <v>0</v>
      </c>
      <c r="U1451" s="77">
        <v>0</v>
      </c>
      <c r="V1451" s="77">
        <v>33</v>
      </c>
      <c r="W1451" s="81" t="s">
        <v>3640</v>
      </c>
      <c r="X1451" s="77"/>
      <c r="Y1451" s="77"/>
      <c r="Z1451" s="77"/>
      <c r="AA1451" s="77" t="s">
        <v>5370</v>
      </c>
      <c r="AB1451" s="77" t="s">
        <v>5795</v>
      </c>
      <c r="AC1451" s="81" t="s">
        <v>5803</v>
      </c>
      <c r="AD1451" s="77" t="s">
        <v>5851</v>
      </c>
      <c r="AE1451" s="83" t="str">
        <f>HYPERLINK("https://twitter.com/vimaracarros/status/1694691210537947358")</f>
        <v>https://twitter.com/vimaracarros/status/1694691210537947358</v>
      </c>
      <c r="AF1451" s="79">
        <v>45162.528298611112</v>
      </c>
      <c r="AG1451" s="85">
        <v>45162</v>
      </c>
      <c r="AH1451" s="81" t="s">
        <v>7103</v>
      </c>
      <c r="AI1451" s="77" t="b">
        <v>0</v>
      </c>
      <c r="AJ1451" s="77"/>
      <c r="AK1451" s="77"/>
      <c r="AL1451" s="77"/>
      <c r="AM1451" s="77"/>
      <c r="AN1451" s="77"/>
      <c r="AO1451" s="77"/>
      <c r="AP1451" s="77"/>
      <c r="AQ1451" s="77" t="s">
        <v>8873</v>
      </c>
      <c r="AR1451" s="77">
        <v>24638</v>
      </c>
      <c r="AS1451" s="77"/>
      <c r="AT1451" s="77"/>
      <c r="AU1451" s="77"/>
      <c r="AV1451" s="83" t="str">
        <f>HYPERLINK("https://pbs.twimg.com/ext_tw_video_thumb/1694691130921693184/pu/img/LA7n38pxGqVto-Je.jpg")</f>
        <v>https://pbs.twimg.com/ext_tw_video_thumb/1694691130921693184/pu/img/LA7n38pxGqVto-Je.jpg</v>
      </c>
      <c r="AW1451" s="81" t="s">
        <v>10571</v>
      </c>
      <c r="AX1451" s="81" t="s">
        <v>10571</v>
      </c>
      <c r="AY1451" s="77"/>
      <c r="AZ1451" s="81" t="s">
        <v>11359</v>
      </c>
      <c r="BA1451" s="81" t="s">
        <v>11359</v>
      </c>
      <c r="BB1451" s="81" t="s">
        <v>11359</v>
      </c>
      <c r="BC1451" s="81" t="s">
        <v>10571</v>
      </c>
      <c r="BD1451" s="81" t="s">
        <v>11556</v>
      </c>
      <c r="BE1451" s="77"/>
      <c r="BF1451" s="77"/>
      <c r="BG1451" s="77"/>
      <c r="BH1451" s="77"/>
      <c r="BI1451" s="77"/>
    </row>
    <row r="1452" spans="1:61" x14ac:dyDescent="0.25">
      <c r="A1452" s="62" t="s">
        <v>532</v>
      </c>
      <c r="B1452" s="62" t="s">
        <v>532</v>
      </c>
      <c r="C1452" s="63"/>
      <c r="D1452" s="64"/>
      <c r="E1452" s="65"/>
      <c r="F1452" s="66"/>
      <c r="G1452" s="63"/>
      <c r="H1452" s="67"/>
      <c r="I1452" s="68"/>
      <c r="J1452" s="68"/>
      <c r="K1452" s="32"/>
      <c r="L1452" s="75">
        <v>1452</v>
      </c>
      <c r="M1452" s="75"/>
      <c r="N1452" s="70"/>
      <c r="O1452" s="77" t="s">
        <v>179</v>
      </c>
      <c r="P1452" s="79">
        <v>44949.879884259259</v>
      </c>
      <c r="Q1452" s="77" t="s">
        <v>2249</v>
      </c>
      <c r="R1452" s="77">
        <v>1</v>
      </c>
      <c r="S1452" s="77">
        <v>2</v>
      </c>
      <c r="T1452" s="77">
        <v>0</v>
      </c>
      <c r="U1452" s="77">
        <v>0</v>
      </c>
      <c r="V1452" s="77">
        <v>72</v>
      </c>
      <c r="W1452" s="81" t="s">
        <v>3641</v>
      </c>
      <c r="X1452" s="77"/>
      <c r="Y1452" s="77"/>
      <c r="Z1452" s="77"/>
      <c r="AA1452" s="77"/>
      <c r="AB1452" s="77"/>
      <c r="AC1452" s="81" t="s">
        <v>5801</v>
      </c>
      <c r="AD1452" s="77" t="s">
        <v>5850</v>
      </c>
      <c r="AE1452" s="83" t="str">
        <f>HYPERLINK("https://twitter.com/juanvpe1980/status/1617630006670405632")</f>
        <v>https://twitter.com/juanvpe1980/status/1617630006670405632</v>
      </c>
      <c r="AF1452" s="79">
        <v>44949.879884259259</v>
      </c>
      <c r="AG1452" s="85">
        <v>44949</v>
      </c>
      <c r="AH1452" s="81" t="s">
        <v>7104</v>
      </c>
      <c r="AI1452" s="77"/>
      <c r="AJ1452" s="77"/>
      <c r="AK1452" s="77"/>
      <c r="AL1452" s="77"/>
      <c r="AM1452" s="77"/>
      <c r="AN1452" s="77"/>
      <c r="AO1452" s="77"/>
      <c r="AP1452" s="77"/>
      <c r="AQ1452" s="77"/>
      <c r="AR1452" s="77"/>
      <c r="AS1452" s="77"/>
      <c r="AT1452" s="77"/>
      <c r="AU1452" s="77"/>
      <c r="AV1452" s="83" t="str">
        <f>HYPERLINK("https://pbs.twimg.com/profile_images/869664374033666050/DnCWMVLH_normal.jpg")</f>
        <v>https://pbs.twimg.com/profile_images/869664374033666050/DnCWMVLH_normal.jpg</v>
      </c>
      <c r="AW1452" s="81" t="s">
        <v>10572</v>
      </c>
      <c r="AX1452" s="81" t="s">
        <v>10572</v>
      </c>
      <c r="AY1452" s="77"/>
      <c r="AZ1452" s="81" t="s">
        <v>11359</v>
      </c>
      <c r="BA1452" s="81" t="s">
        <v>11359</v>
      </c>
      <c r="BB1452" s="81" t="s">
        <v>11359</v>
      </c>
      <c r="BC1452" s="81" t="s">
        <v>10572</v>
      </c>
      <c r="BD1452" s="77">
        <v>201370856</v>
      </c>
      <c r="BE1452" s="77"/>
      <c r="BF1452" s="77"/>
      <c r="BG1452" s="77"/>
      <c r="BH1452" s="77"/>
      <c r="BI1452" s="77"/>
    </row>
    <row r="1453" spans="1:61" x14ac:dyDescent="0.25">
      <c r="A1453" s="62" t="s">
        <v>532</v>
      </c>
      <c r="B1453" s="62" t="s">
        <v>532</v>
      </c>
      <c r="C1453" s="63"/>
      <c r="D1453" s="64"/>
      <c r="E1453" s="65"/>
      <c r="F1453" s="66"/>
      <c r="G1453" s="63"/>
      <c r="H1453" s="67"/>
      <c r="I1453" s="68"/>
      <c r="J1453" s="68"/>
      <c r="K1453" s="32"/>
      <c r="L1453" s="75">
        <v>1453</v>
      </c>
      <c r="M1453" s="75"/>
      <c r="N1453" s="70"/>
      <c r="O1453" s="77" t="s">
        <v>179</v>
      </c>
      <c r="P1453" s="79">
        <v>45076.560995370368</v>
      </c>
      <c r="Q1453" s="77" t="s">
        <v>2250</v>
      </c>
      <c r="R1453" s="77">
        <v>0</v>
      </c>
      <c r="S1453" s="77">
        <v>1</v>
      </c>
      <c r="T1453" s="77">
        <v>1</v>
      </c>
      <c r="U1453" s="77">
        <v>0</v>
      </c>
      <c r="V1453" s="77">
        <v>53</v>
      </c>
      <c r="W1453" s="81" t="s">
        <v>3642</v>
      </c>
      <c r="X1453" s="77"/>
      <c r="Y1453" s="77"/>
      <c r="Z1453" s="77"/>
      <c r="AA1453" s="77"/>
      <c r="AB1453" s="77"/>
      <c r="AC1453" s="81" t="s">
        <v>5801</v>
      </c>
      <c r="AD1453" s="77" t="s">
        <v>5850</v>
      </c>
      <c r="AE1453" s="83" t="str">
        <f>HYPERLINK("https://twitter.com/juanvpe1980/status/1663537703193923587")</f>
        <v>https://twitter.com/juanvpe1980/status/1663537703193923587</v>
      </c>
      <c r="AF1453" s="79">
        <v>45076.560995370368</v>
      </c>
      <c r="AG1453" s="85">
        <v>45076</v>
      </c>
      <c r="AH1453" s="81" t="s">
        <v>7105</v>
      </c>
      <c r="AI1453" s="77"/>
      <c r="AJ1453" s="77"/>
      <c r="AK1453" s="77"/>
      <c r="AL1453" s="77"/>
      <c r="AM1453" s="77"/>
      <c r="AN1453" s="77"/>
      <c r="AO1453" s="77"/>
      <c r="AP1453" s="77"/>
      <c r="AQ1453" s="77"/>
      <c r="AR1453" s="77"/>
      <c r="AS1453" s="77"/>
      <c r="AT1453" s="77"/>
      <c r="AU1453" s="77"/>
      <c r="AV1453" s="83" t="str">
        <f>HYPERLINK("https://pbs.twimg.com/profile_images/869664374033666050/DnCWMVLH_normal.jpg")</f>
        <v>https://pbs.twimg.com/profile_images/869664374033666050/DnCWMVLH_normal.jpg</v>
      </c>
      <c r="AW1453" s="81" t="s">
        <v>10573</v>
      </c>
      <c r="AX1453" s="81" t="s">
        <v>10573</v>
      </c>
      <c r="AY1453" s="77"/>
      <c r="AZ1453" s="81" t="s">
        <v>11359</v>
      </c>
      <c r="BA1453" s="81" t="s">
        <v>11359</v>
      </c>
      <c r="BB1453" s="81" t="s">
        <v>11359</v>
      </c>
      <c r="BC1453" s="81" t="s">
        <v>10573</v>
      </c>
      <c r="BD1453" s="77">
        <v>201370856</v>
      </c>
      <c r="BE1453" s="77"/>
      <c r="BF1453" s="77"/>
      <c r="BG1453" s="77"/>
      <c r="BH1453" s="77"/>
      <c r="BI1453" s="77"/>
    </row>
    <row r="1454" spans="1:61" x14ac:dyDescent="0.25">
      <c r="A1454" s="62" t="s">
        <v>533</v>
      </c>
      <c r="B1454" s="62" t="s">
        <v>533</v>
      </c>
      <c r="C1454" s="63"/>
      <c r="D1454" s="64"/>
      <c r="E1454" s="65"/>
      <c r="F1454" s="66"/>
      <c r="G1454" s="63"/>
      <c r="H1454" s="67"/>
      <c r="I1454" s="68"/>
      <c r="J1454" s="68"/>
      <c r="K1454" s="32"/>
      <c r="L1454" s="75">
        <v>1454</v>
      </c>
      <c r="M1454" s="75"/>
      <c r="N1454" s="70"/>
      <c r="O1454" s="77" t="s">
        <v>179</v>
      </c>
      <c r="P1454" s="79">
        <v>45135.53466435185</v>
      </c>
      <c r="Q1454" s="77" t="s">
        <v>2251</v>
      </c>
      <c r="R1454" s="77">
        <v>0</v>
      </c>
      <c r="S1454" s="77">
        <v>0</v>
      </c>
      <c r="T1454" s="77">
        <v>0</v>
      </c>
      <c r="U1454" s="77">
        <v>0</v>
      </c>
      <c r="V1454" s="77">
        <v>13</v>
      </c>
      <c r="W1454" s="81" t="s">
        <v>3643</v>
      </c>
      <c r="X1454" s="83" t="str">
        <f>HYPERLINK("https://x.gd/IEqwm")</f>
        <v>https://x.gd/IEqwm</v>
      </c>
      <c r="Y1454" s="77" t="s">
        <v>4296</v>
      </c>
      <c r="Z1454" s="77"/>
      <c r="AA1454" s="77" t="s">
        <v>5371</v>
      </c>
      <c r="AB1454" s="77" t="s">
        <v>5794</v>
      </c>
      <c r="AC1454" s="81" t="s">
        <v>5805</v>
      </c>
      <c r="AD1454" s="77" t="s">
        <v>5851</v>
      </c>
      <c r="AE1454" s="83" t="str">
        <f>HYPERLINK("https://twitter.com/juristecadv/status/1684909045176479744")</f>
        <v>https://twitter.com/juristecadv/status/1684909045176479744</v>
      </c>
      <c r="AF1454" s="79">
        <v>45135.53466435185</v>
      </c>
      <c r="AG1454" s="85">
        <v>45135</v>
      </c>
      <c r="AH1454" s="81" t="s">
        <v>7106</v>
      </c>
      <c r="AI1454" s="77" t="b">
        <v>0</v>
      </c>
      <c r="AJ1454" s="77"/>
      <c r="AK1454" s="77"/>
      <c r="AL1454" s="77"/>
      <c r="AM1454" s="77"/>
      <c r="AN1454" s="77"/>
      <c r="AO1454" s="77"/>
      <c r="AP1454" s="77"/>
      <c r="AQ1454" s="77" t="s">
        <v>8874</v>
      </c>
      <c r="AR1454" s="77"/>
      <c r="AS1454" s="77"/>
      <c r="AT1454" s="77"/>
      <c r="AU1454" s="77"/>
      <c r="AV1454" s="83" t="str">
        <f>HYPERLINK("https://pbs.twimg.com/media/F2H_1yQXEAEIzJ2.jpg")</f>
        <v>https://pbs.twimg.com/media/F2H_1yQXEAEIzJ2.jpg</v>
      </c>
      <c r="AW1454" s="81" t="s">
        <v>10574</v>
      </c>
      <c r="AX1454" s="81" t="s">
        <v>10574</v>
      </c>
      <c r="AY1454" s="77"/>
      <c r="AZ1454" s="81" t="s">
        <v>11359</v>
      </c>
      <c r="BA1454" s="81" t="s">
        <v>11359</v>
      </c>
      <c r="BB1454" s="81" t="s">
        <v>11359</v>
      </c>
      <c r="BC1454" s="81" t="s">
        <v>10574</v>
      </c>
      <c r="BD1454" s="81" t="s">
        <v>11557</v>
      </c>
      <c r="BE1454" s="77"/>
      <c r="BF1454" s="77"/>
      <c r="BG1454" s="77"/>
      <c r="BH1454" s="77"/>
      <c r="BI1454" s="77"/>
    </row>
    <row r="1455" spans="1:61" x14ac:dyDescent="0.25">
      <c r="A1455" s="62" t="s">
        <v>533</v>
      </c>
      <c r="B1455" s="62" t="s">
        <v>533</v>
      </c>
      <c r="C1455" s="63"/>
      <c r="D1455" s="64"/>
      <c r="E1455" s="65"/>
      <c r="F1455" s="66"/>
      <c r="G1455" s="63"/>
      <c r="H1455" s="67"/>
      <c r="I1455" s="68"/>
      <c r="J1455" s="68"/>
      <c r="K1455" s="32"/>
      <c r="L1455" s="75">
        <v>1455</v>
      </c>
      <c r="M1455" s="75"/>
      <c r="N1455" s="70"/>
      <c r="O1455" s="77" t="s">
        <v>179</v>
      </c>
      <c r="P1455" s="79">
        <v>45122.013935185183</v>
      </c>
      <c r="Q1455" s="77" t="s">
        <v>2252</v>
      </c>
      <c r="R1455" s="77">
        <v>0</v>
      </c>
      <c r="S1455" s="77">
        <v>0</v>
      </c>
      <c r="T1455" s="77">
        <v>0</v>
      </c>
      <c r="U1455" s="77">
        <v>0</v>
      </c>
      <c r="V1455" s="77">
        <v>2</v>
      </c>
      <c r="W1455" s="81" t="s">
        <v>3644</v>
      </c>
      <c r="X1455" s="83" t="str">
        <f>HYPERLINK("https://x.gd/haTym")</f>
        <v>https://x.gd/haTym</v>
      </c>
      <c r="Y1455" s="77" t="s">
        <v>4296</v>
      </c>
      <c r="Z1455" s="77"/>
      <c r="AA1455" s="77" t="s">
        <v>5372</v>
      </c>
      <c r="AB1455" s="77" t="s">
        <v>5794</v>
      </c>
      <c r="AC1455" s="81" t="s">
        <v>5808</v>
      </c>
      <c r="AD1455" s="77" t="s">
        <v>5851</v>
      </c>
      <c r="AE1455" s="83" t="str">
        <f>HYPERLINK("https://twitter.com/juristecadv/status/1680009297172869121")</f>
        <v>https://twitter.com/juristecadv/status/1680009297172869121</v>
      </c>
      <c r="AF1455" s="79">
        <v>45122.013935185183</v>
      </c>
      <c r="AG1455" s="85">
        <v>45122</v>
      </c>
      <c r="AH1455" s="81" t="s">
        <v>7107</v>
      </c>
      <c r="AI1455" s="77" t="b">
        <v>0</v>
      </c>
      <c r="AJ1455" s="77"/>
      <c r="AK1455" s="77"/>
      <c r="AL1455" s="77"/>
      <c r="AM1455" s="77"/>
      <c r="AN1455" s="77"/>
      <c r="AO1455" s="77"/>
      <c r="AP1455" s="77"/>
      <c r="AQ1455" s="77" t="s">
        <v>8875</v>
      </c>
      <c r="AR1455" s="77"/>
      <c r="AS1455" s="77"/>
      <c r="AT1455" s="77"/>
      <c r="AU1455" s="77"/>
      <c r="AV1455" s="83" t="str">
        <f>HYPERLINK("https://pbs.twimg.com/media/F1CXjWCWAAE_0WP.jpg")</f>
        <v>https://pbs.twimg.com/media/F1CXjWCWAAE_0WP.jpg</v>
      </c>
      <c r="AW1455" s="81" t="s">
        <v>10575</v>
      </c>
      <c r="AX1455" s="81" t="s">
        <v>10575</v>
      </c>
      <c r="AY1455" s="77"/>
      <c r="AZ1455" s="81" t="s">
        <v>11359</v>
      </c>
      <c r="BA1455" s="81" t="s">
        <v>11359</v>
      </c>
      <c r="BB1455" s="81" t="s">
        <v>11359</v>
      </c>
      <c r="BC1455" s="81" t="s">
        <v>10575</v>
      </c>
      <c r="BD1455" s="81" t="s">
        <v>11557</v>
      </c>
      <c r="BE1455" s="77"/>
      <c r="BF1455" s="77"/>
      <c r="BG1455" s="77"/>
      <c r="BH1455" s="77"/>
      <c r="BI1455" s="77"/>
    </row>
    <row r="1456" spans="1:61" x14ac:dyDescent="0.25">
      <c r="A1456" s="62" t="s">
        <v>534</v>
      </c>
      <c r="B1456" s="62" t="s">
        <v>534</v>
      </c>
      <c r="C1456" s="63"/>
      <c r="D1456" s="64"/>
      <c r="E1456" s="65"/>
      <c r="F1456" s="66"/>
      <c r="G1456" s="63"/>
      <c r="H1456" s="67"/>
      <c r="I1456" s="68"/>
      <c r="J1456" s="68"/>
      <c r="K1456" s="32"/>
      <c r="L1456" s="75">
        <v>1456</v>
      </c>
      <c r="M1456" s="75"/>
      <c r="N1456" s="70"/>
      <c r="O1456" s="77" t="s">
        <v>179</v>
      </c>
      <c r="P1456" s="79">
        <v>44937.630358796298</v>
      </c>
      <c r="Q1456" s="77" t="s">
        <v>2253</v>
      </c>
      <c r="R1456" s="77">
        <v>0</v>
      </c>
      <c r="S1456" s="77">
        <v>2</v>
      </c>
      <c r="T1456" s="77">
        <v>0</v>
      </c>
      <c r="U1456" s="77">
        <v>0</v>
      </c>
      <c r="V1456" s="77">
        <v>124</v>
      </c>
      <c r="W1456" s="81" t="s">
        <v>3645</v>
      </c>
      <c r="X1456" s="77"/>
      <c r="Y1456" s="77"/>
      <c r="Z1456" s="77"/>
      <c r="AA1456" s="77" t="s">
        <v>5373</v>
      </c>
      <c r="AB1456" s="77" t="s">
        <v>5796</v>
      </c>
      <c r="AC1456" s="81" t="s">
        <v>5805</v>
      </c>
      <c r="AD1456" s="77" t="s">
        <v>5850</v>
      </c>
      <c r="AE1456" s="83" t="str">
        <f>HYPERLINK("https://twitter.com/opensinergia/status/1613190927434059776")</f>
        <v>https://twitter.com/opensinergia/status/1613190927434059776</v>
      </c>
      <c r="AF1456" s="79">
        <v>44937.630358796298</v>
      </c>
      <c r="AG1456" s="85">
        <v>44937</v>
      </c>
      <c r="AH1456" s="81" t="s">
        <v>6316</v>
      </c>
      <c r="AI1456" s="77" t="b">
        <v>0</v>
      </c>
      <c r="AJ1456" s="77"/>
      <c r="AK1456" s="77"/>
      <c r="AL1456" s="77"/>
      <c r="AM1456" s="77"/>
      <c r="AN1456" s="77"/>
      <c r="AO1456" s="77"/>
      <c r="AP1456" s="77"/>
      <c r="AQ1456" s="77" t="s">
        <v>8876</v>
      </c>
      <c r="AR1456" s="77"/>
      <c r="AS1456" s="77"/>
      <c r="AT1456" s="77"/>
      <c r="AU1456" s="77"/>
      <c r="AV1456" s="83" t="str">
        <f>HYPERLINK("https://pbs.twimg.com/tweet_video_thumb/FmM0mDmXoAAMTmn.jpg")</f>
        <v>https://pbs.twimg.com/tweet_video_thumb/FmM0mDmXoAAMTmn.jpg</v>
      </c>
      <c r="AW1456" s="81" t="s">
        <v>10576</v>
      </c>
      <c r="AX1456" s="81" t="s">
        <v>10576</v>
      </c>
      <c r="AY1456" s="77"/>
      <c r="AZ1456" s="81" t="s">
        <v>11359</v>
      </c>
      <c r="BA1456" s="81" t="s">
        <v>11359</v>
      </c>
      <c r="BB1456" s="81" t="s">
        <v>11359</v>
      </c>
      <c r="BC1456" s="81" t="s">
        <v>10576</v>
      </c>
      <c r="BD1456" s="77">
        <v>209107747</v>
      </c>
      <c r="BE1456" s="77"/>
      <c r="BF1456" s="77"/>
      <c r="BG1456" s="77"/>
      <c r="BH1456" s="77"/>
      <c r="BI1456" s="77"/>
    </row>
    <row r="1457" spans="1:61" x14ac:dyDescent="0.25">
      <c r="A1457" s="62" t="s">
        <v>535</v>
      </c>
      <c r="B1457" s="62" t="s">
        <v>535</v>
      </c>
      <c r="C1457" s="63"/>
      <c r="D1457" s="64"/>
      <c r="E1457" s="65"/>
      <c r="F1457" s="66"/>
      <c r="G1457" s="63"/>
      <c r="H1457" s="67"/>
      <c r="I1457" s="68"/>
      <c r="J1457" s="68"/>
      <c r="K1457" s="32"/>
      <c r="L1457" s="75">
        <v>1457</v>
      </c>
      <c r="M1457" s="75"/>
      <c r="N1457" s="70"/>
      <c r="O1457" s="77" t="s">
        <v>179</v>
      </c>
      <c r="P1457" s="79">
        <v>45082.646527777775</v>
      </c>
      <c r="Q1457" s="77" t="s">
        <v>2254</v>
      </c>
      <c r="R1457" s="77">
        <v>0</v>
      </c>
      <c r="S1457" s="77">
        <v>0</v>
      </c>
      <c r="T1457" s="77">
        <v>0</v>
      </c>
      <c r="U1457" s="77">
        <v>0</v>
      </c>
      <c r="V1457" s="77">
        <v>53</v>
      </c>
      <c r="W1457" s="81" t="s">
        <v>3646</v>
      </c>
      <c r="X1457" s="77"/>
      <c r="Y1457" s="77"/>
      <c r="Z1457" s="77"/>
      <c r="AA1457" s="77" t="s">
        <v>5374</v>
      </c>
      <c r="AB1457" s="77" t="s">
        <v>5794</v>
      </c>
      <c r="AC1457" s="81" t="s">
        <v>5805</v>
      </c>
      <c r="AD1457" s="77" t="s">
        <v>5851</v>
      </c>
      <c r="AE1457" s="83" t="str">
        <f>HYPERLINK("https://twitter.com/goianiacal/status/1665743026705293313")</f>
        <v>https://twitter.com/goianiacal/status/1665743026705293313</v>
      </c>
      <c r="AF1457" s="79">
        <v>45082.646527777775</v>
      </c>
      <c r="AG1457" s="85">
        <v>45082</v>
      </c>
      <c r="AH1457" s="81" t="s">
        <v>7108</v>
      </c>
      <c r="AI1457" s="77" t="b">
        <v>0</v>
      </c>
      <c r="AJ1457" s="77"/>
      <c r="AK1457" s="77"/>
      <c r="AL1457" s="77"/>
      <c r="AM1457" s="77"/>
      <c r="AN1457" s="77"/>
      <c r="AO1457" s="77"/>
      <c r="AP1457" s="77"/>
      <c r="AQ1457" s="77" t="s">
        <v>8877</v>
      </c>
      <c r="AR1457" s="77"/>
      <c r="AS1457" s="77"/>
      <c r="AT1457" s="77"/>
      <c r="AU1457" s="77"/>
      <c r="AV1457" s="83" t="str">
        <f>HYPERLINK("https://pbs.twimg.com/media/FxnwZ5-XoAECVoT.jpg")</f>
        <v>https://pbs.twimg.com/media/FxnwZ5-XoAECVoT.jpg</v>
      </c>
      <c r="AW1457" s="81" t="s">
        <v>10577</v>
      </c>
      <c r="AX1457" s="81" t="s">
        <v>10577</v>
      </c>
      <c r="AY1457" s="77"/>
      <c r="AZ1457" s="81" t="s">
        <v>11359</v>
      </c>
      <c r="BA1457" s="81" t="s">
        <v>11359</v>
      </c>
      <c r="BB1457" s="81" t="s">
        <v>11359</v>
      </c>
      <c r="BC1457" s="81" t="s">
        <v>10577</v>
      </c>
      <c r="BD1457" s="77">
        <v>4778265077</v>
      </c>
      <c r="BE1457" s="77"/>
      <c r="BF1457" s="77"/>
      <c r="BG1457" s="77"/>
      <c r="BH1457" s="77"/>
      <c r="BI1457" s="77"/>
    </row>
    <row r="1458" spans="1:61" x14ac:dyDescent="0.25">
      <c r="A1458" s="62" t="s">
        <v>536</v>
      </c>
      <c r="B1458" s="62" t="s">
        <v>536</v>
      </c>
      <c r="C1458" s="63"/>
      <c r="D1458" s="64"/>
      <c r="E1458" s="65"/>
      <c r="F1458" s="66"/>
      <c r="G1458" s="63"/>
      <c r="H1458" s="67"/>
      <c r="I1458" s="68"/>
      <c r="J1458" s="68"/>
      <c r="K1458" s="32"/>
      <c r="L1458" s="75">
        <v>1458</v>
      </c>
      <c r="M1458" s="75"/>
      <c r="N1458" s="70"/>
      <c r="O1458" s="77" t="s">
        <v>179</v>
      </c>
      <c r="P1458" s="79">
        <v>45138.684664351851</v>
      </c>
      <c r="Q1458" s="77" t="s">
        <v>2255</v>
      </c>
      <c r="R1458" s="77">
        <v>0</v>
      </c>
      <c r="S1458" s="77">
        <v>0</v>
      </c>
      <c r="T1458" s="77">
        <v>0</v>
      </c>
      <c r="U1458" s="77">
        <v>0</v>
      </c>
      <c r="V1458" s="77">
        <v>32</v>
      </c>
      <c r="W1458" s="81" t="s">
        <v>3647</v>
      </c>
      <c r="X1458" s="77"/>
      <c r="Y1458" s="77"/>
      <c r="Z1458" s="77"/>
      <c r="AA1458" s="77" t="s">
        <v>5375</v>
      </c>
      <c r="AB1458" s="77" t="s">
        <v>5794</v>
      </c>
      <c r="AC1458" s="81" t="s">
        <v>5801</v>
      </c>
      <c r="AD1458" s="77" t="s">
        <v>5850</v>
      </c>
      <c r="AE1458" s="83" t="str">
        <f>HYPERLINK("https://twitter.com/saraperez0205/status/1686050569931177995")</f>
        <v>https://twitter.com/saraperez0205/status/1686050569931177995</v>
      </c>
      <c r="AF1458" s="79">
        <v>45138.684664351851</v>
      </c>
      <c r="AG1458" s="85">
        <v>45138</v>
      </c>
      <c r="AH1458" s="81" t="s">
        <v>7109</v>
      </c>
      <c r="AI1458" s="77" t="b">
        <v>0</v>
      </c>
      <c r="AJ1458" s="77"/>
      <c r="AK1458" s="77"/>
      <c r="AL1458" s="77"/>
      <c r="AM1458" s="77"/>
      <c r="AN1458" s="77"/>
      <c r="AO1458" s="77"/>
      <c r="AP1458" s="77"/>
      <c r="AQ1458" s="77" t="s">
        <v>8878</v>
      </c>
      <c r="AR1458" s="77"/>
      <c r="AS1458" s="77"/>
      <c r="AT1458" s="77"/>
      <c r="AU1458" s="77"/>
      <c r="AV1458" s="83" t="str">
        <f>HYPERLINK("https://pbs.twimg.com/media/F2YODfaXUAEOP7t.jpg")</f>
        <v>https://pbs.twimg.com/media/F2YODfaXUAEOP7t.jpg</v>
      </c>
      <c r="AW1458" s="81" t="s">
        <v>10578</v>
      </c>
      <c r="AX1458" s="81" t="s">
        <v>10578</v>
      </c>
      <c r="AY1458" s="77"/>
      <c r="AZ1458" s="81" t="s">
        <v>11359</v>
      </c>
      <c r="BA1458" s="81" t="s">
        <v>11359</v>
      </c>
      <c r="BB1458" s="81" t="s">
        <v>11359</v>
      </c>
      <c r="BC1458" s="81" t="s">
        <v>10578</v>
      </c>
      <c r="BD1458" s="81" t="s">
        <v>11558</v>
      </c>
      <c r="BE1458" s="77"/>
      <c r="BF1458" s="77"/>
      <c r="BG1458" s="77"/>
      <c r="BH1458" s="77"/>
      <c r="BI1458" s="77"/>
    </row>
    <row r="1459" spans="1:61" x14ac:dyDescent="0.25">
      <c r="A1459" s="62" t="s">
        <v>537</v>
      </c>
      <c r="B1459" s="62" t="s">
        <v>537</v>
      </c>
      <c r="C1459" s="63"/>
      <c r="D1459" s="64"/>
      <c r="E1459" s="65"/>
      <c r="F1459" s="66"/>
      <c r="G1459" s="63"/>
      <c r="H1459" s="67"/>
      <c r="I1459" s="68"/>
      <c r="J1459" s="68"/>
      <c r="K1459" s="32"/>
      <c r="L1459" s="75">
        <v>1459</v>
      </c>
      <c r="M1459" s="75"/>
      <c r="N1459" s="70"/>
      <c r="O1459" s="77" t="s">
        <v>179</v>
      </c>
      <c r="P1459" s="79">
        <v>45072.668599537035</v>
      </c>
      <c r="Q1459" s="77" t="s">
        <v>2256</v>
      </c>
      <c r="R1459" s="77">
        <v>0</v>
      </c>
      <c r="S1459" s="77">
        <v>2</v>
      </c>
      <c r="T1459" s="77">
        <v>0</v>
      </c>
      <c r="U1459" s="77">
        <v>0</v>
      </c>
      <c r="V1459" s="77">
        <v>202</v>
      </c>
      <c r="W1459" s="81" t="s">
        <v>3648</v>
      </c>
      <c r="X1459" s="77"/>
      <c r="Y1459" s="77"/>
      <c r="Z1459" s="77"/>
      <c r="AA1459" s="77" t="s">
        <v>5376</v>
      </c>
      <c r="AB1459" s="77" t="s">
        <v>5795</v>
      </c>
      <c r="AC1459" s="81" t="s">
        <v>5805</v>
      </c>
      <c r="AD1459" s="77" t="s">
        <v>5850</v>
      </c>
      <c r="AE1459" s="83" t="str">
        <f>HYPERLINK("https://twitter.com/hispanatolia/status/1662127149711499265")</f>
        <v>https://twitter.com/hispanatolia/status/1662127149711499265</v>
      </c>
      <c r="AF1459" s="79">
        <v>45072.668599537035</v>
      </c>
      <c r="AG1459" s="85">
        <v>45072</v>
      </c>
      <c r="AH1459" s="81" t="s">
        <v>7110</v>
      </c>
      <c r="AI1459" s="77" t="b">
        <v>0</v>
      </c>
      <c r="AJ1459" s="77"/>
      <c r="AK1459" s="77"/>
      <c r="AL1459" s="77"/>
      <c r="AM1459" s="77"/>
      <c r="AN1459" s="77"/>
      <c r="AO1459" s="77"/>
      <c r="AP1459" s="77"/>
      <c r="AQ1459" s="77" t="s">
        <v>8879</v>
      </c>
      <c r="AR1459" s="77">
        <v>71914</v>
      </c>
      <c r="AS1459" s="77"/>
      <c r="AT1459" s="77"/>
      <c r="AU1459" s="77"/>
      <c r="AV1459" s="83" t="str">
        <f>HYPERLINK("https://pbs.twimg.com/ext_tw_video_thumb/1662125468231901184/pu/img/bLnB_1Z1I5h9IKnt.jpg")</f>
        <v>https://pbs.twimg.com/ext_tw_video_thumb/1662125468231901184/pu/img/bLnB_1Z1I5h9IKnt.jpg</v>
      </c>
      <c r="AW1459" s="81" t="s">
        <v>10579</v>
      </c>
      <c r="AX1459" s="81" t="s">
        <v>10579</v>
      </c>
      <c r="AY1459" s="77"/>
      <c r="AZ1459" s="81" t="s">
        <v>11359</v>
      </c>
      <c r="BA1459" s="81" t="s">
        <v>11359</v>
      </c>
      <c r="BB1459" s="81" t="s">
        <v>11359</v>
      </c>
      <c r="BC1459" s="81" t="s">
        <v>10579</v>
      </c>
      <c r="BD1459" s="77">
        <v>233927179</v>
      </c>
      <c r="BE1459" s="77"/>
      <c r="BF1459" s="77"/>
      <c r="BG1459" s="77"/>
      <c r="BH1459" s="77"/>
      <c r="BI1459" s="77"/>
    </row>
    <row r="1460" spans="1:61" x14ac:dyDescent="0.25">
      <c r="A1460" s="62" t="s">
        <v>538</v>
      </c>
      <c r="B1460" s="62" t="s">
        <v>538</v>
      </c>
      <c r="C1460" s="63"/>
      <c r="D1460" s="64"/>
      <c r="E1460" s="65"/>
      <c r="F1460" s="66"/>
      <c r="G1460" s="63"/>
      <c r="H1460" s="67"/>
      <c r="I1460" s="68"/>
      <c r="J1460" s="68"/>
      <c r="K1460" s="32"/>
      <c r="L1460" s="75">
        <v>1460</v>
      </c>
      <c r="M1460" s="75"/>
      <c r="N1460" s="70"/>
      <c r="O1460" s="77" t="s">
        <v>179</v>
      </c>
      <c r="P1460" s="79">
        <v>44941.807280092595</v>
      </c>
      <c r="Q1460" s="77" t="s">
        <v>2257</v>
      </c>
      <c r="R1460" s="77">
        <v>0</v>
      </c>
      <c r="S1460" s="77">
        <v>0</v>
      </c>
      <c r="T1460" s="77">
        <v>0</v>
      </c>
      <c r="U1460" s="77">
        <v>0</v>
      </c>
      <c r="V1460" s="77">
        <v>30</v>
      </c>
      <c r="W1460" s="81" t="s">
        <v>3649</v>
      </c>
      <c r="X1460" s="83" t="str">
        <f>HYPERLINK("https://books2read.com/u/bMw5O7")</f>
        <v>https://books2read.com/u/bMw5O7</v>
      </c>
      <c r="Y1460" s="77" t="s">
        <v>4297</v>
      </c>
      <c r="Z1460" s="77"/>
      <c r="AA1460" s="77" t="s">
        <v>5377</v>
      </c>
      <c r="AB1460" s="77" t="s">
        <v>5795</v>
      </c>
      <c r="AC1460" s="81" t="s">
        <v>5805</v>
      </c>
      <c r="AD1460" s="77" t="s">
        <v>5850</v>
      </c>
      <c r="AE1460" s="83" t="str">
        <f>HYPERLINK("https://twitter.com/franklindiazl/status/1614704592884727809")</f>
        <v>https://twitter.com/franklindiazl/status/1614704592884727809</v>
      </c>
      <c r="AF1460" s="79">
        <v>44941.807280092595</v>
      </c>
      <c r="AG1460" s="85">
        <v>44941</v>
      </c>
      <c r="AH1460" s="81" t="s">
        <v>7111</v>
      </c>
      <c r="AI1460" s="77" t="b">
        <v>0</v>
      </c>
      <c r="AJ1460" s="77"/>
      <c r="AK1460" s="77"/>
      <c r="AL1460" s="77"/>
      <c r="AM1460" s="77"/>
      <c r="AN1460" s="77"/>
      <c r="AO1460" s="77"/>
      <c r="AP1460" s="77"/>
      <c r="AQ1460" s="77" t="s">
        <v>8880</v>
      </c>
      <c r="AR1460" s="77">
        <v>6000</v>
      </c>
      <c r="AS1460" s="77"/>
      <c r="AT1460" s="77"/>
      <c r="AU1460" s="77"/>
      <c r="AV1460" s="83" t="str">
        <f>HYPERLINK("https://pbs.twimg.com/ext_tw_video_thumb/1614704434931539969/pu/img/QnTmx4CtRUU8jJ85.jpg")</f>
        <v>https://pbs.twimg.com/ext_tw_video_thumb/1614704434931539969/pu/img/QnTmx4CtRUU8jJ85.jpg</v>
      </c>
      <c r="AW1460" s="81" t="s">
        <v>10580</v>
      </c>
      <c r="AX1460" s="81" t="s">
        <v>10580</v>
      </c>
      <c r="AY1460" s="77"/>
      <c r="AZ1460" s="81" t="s">
        <v>11359</v>
      </c>
      <c r="BA1460" s="81" t="s">
        <v>11359</v>
      </c>
      <c r="BB1460" s="81" t="s">
        <v>11359</v>
      </c>
      <c r="BC1460" s="81" t="s">
        <v>10580</v>
      </c>
      <c r="BD1460" s="77">
        <v>154145814</v>
      </c>
      <c r="BE1460" s="77"/>
      <c r="BF1460" s="77"/>
      <c r="BG1460" s="77"/>
      <c r="BH1460" s="77"/>
      <c r="BI1460" s="77"/>
    </row>
    <row r="1461" spans="1:61" x14ac:dyDescent="0.25">
      <c r="A1461" s="62" t="s">
        <v>538</v>
      </c>
      <c r="B1461" s="62" t="s">
        <v>538</v>
      </c>
      <c r="C1461" s="63"/>
      <c r="D1461" s="64"/>
      <c r="E1461" s="65"/>
      <c r="F1461" s="66"/>
      <c r="G1461" s="63"/>
      <c r="H1461" s="67"/>
      <c r="I1461" s="68"/>
      <c r="J1461" s="68"/>
      <c r="K1461" s="32"/>
      <c r="L1461" s="75">
        <v>1461</v>
      </c>
      <c r="M1461" s="75"/>
      <c r="N1461" s="70"/>
      <c r="O1461" s="77" t="s">
        <v>179</v>
      </c>
      <c r="P1461" s="79">
        <v>44998.645821759259</v>
      </c>
      <c r="Q1461" s="77" t="s">
        <v>2258</v>
      </c>
      <c r="R1461" s="77">
        <v>1</v>
      </c>
      <c r="S1461" s="77">
        <v>1</v>
      </c>
      <c r="T1461" s="77">
        <v>0</v>
      </c>
      <c r="U1461" s="77">
        <v>0</v>
      </c>
      <c r="V1461" s="77">
        <v>8</v>
      </c>
      <c r="W1461" s="81" t="s">
        <v>3650</v>
      </c>
      <c r="X1461" s="83" t="str">
        <f>HYPERLINK("https://play.google.com/store/audiobooks/details?id=AQAAAEACmnzabM")</f>
        <v>https://play.google.com/store/audiobooks/details?id=AQAAAEACmnzabM</v>
      </c>
      <c r="Y1461" s="77" t="s">
        <v>4298</v>
      </c>
      <c r="Z1461" s="77"/>
      <c r="AA1461" s="77"/>
      <c r="AB1461" s="77"/>
      <c r="AC1461" s="81" t="s">
        <v>5805</v>
      </c>
      <c r="AD1461" s="77" t="s">
        <v>5850</v>
      </c>
      <c r="AE1461" s="83" t="str">
        <f>HYPERLINK("https://twitter.com/franklindiazl/status/1635302189760651265")</f>
        <v>https://twitter.com/franklindiazl/status/1635302189760651265</v>
      </c>
      <c r="AF1461" s="79">
        <v>44998.645821759259</v>
      </c>
      <c r="AG1461" s="85">
        <v>44998</v>
      </c>
      <c r="AH1461" s="81" t="s">
        <v>7112</v>
      </c>
      <c r="AI1461" s="77" t="b">
        <v>0</v>
      </c>
      <c r="AJ1461" s="77"/>
      <c r="AK1461" s="77"/>
      <c r="AL1461" s="77"/>
      <c r="AM1461" s="77"/>
      <c r="AN1461" s="77"/>
      <c r="AO1461" s="77"/>
      <c r="AP1461" s="77"/>
      <c r="AQ1461" s="77"/>
      <c r="AR1461" s="77"/>
      <c r="AS1461" s="77"/>
      <c r="AT1461" s="77"/>
      <c r="AU1461" s="77"/>
      <c r="AV1461" s="83" t="str">
        <f>HYPERLINK("https://pbs.twimg.com/profile_images/1704953648466255872/V0ZEMt3s_normal.jpg")</f>
        <v>https://pbs.twimg.com/profile_images/1704953648466255872/V0ZEMt3s_normal.jpg</v>
      </c>
      <c r="AW1461" s="81" t="s">
        <v>10581</v>
      </c>
      <c r="AX1461" s="81" t="s">
        <v>10581</v>
      </c>
      <c r="AY1461" s="77"/>
      <c r="AZ1461" s="81" t="s">
        <v>11359</v>
      </c>
      <c r="BA1461" s="81" t="s">
        <v>11359</v>
      </c>
      <c r="BB1461" s="81" t="s">
        <v>11359</v>
      </c>
      <c r="BC1461" s="81" t="s">
        <v>10581</v>
      </c>
      <c r="BD1461" s="77">
        <v>154145814</v>
      </c>
      <c r="BE1461" s="77"/>
      <c r="BF1461" s="77"/>
      <c r="BG1461" s="77"/>
      <c r="BH1461" s="77"/>
      <c r="BI1461" s="77"/>
    </row>
    <row r="1462" spans="1:61" x14ac:dyDescent="0.25">
      <c r="A1462" s="62" t="s">
        <v>538</v>
      </c>
      <c r="B1462" s="62" t="s">
        <v>538</v>
      </c>
      <c r="C1462" s="63"/>
      <c r="D1462" s="64"/>
      <c r="E1462" s="65"/>
      <c r="F1462" s="66"/>
      <c r="G1462" s="63"/>
      <c r="H1462" s="67"/>
      <c r="I1462" s="68"/>
      <c r="J1462" s="68"/>
      <c r="K1462" s="32"/>
      <c r="L1462" s="75">
        <v>1462</v>
      </c>
      <c r="M1462" s="75"/>
      <c r="N1462" s="70"/>
      <c r="O1462" s="77" t="s">
        <v>179</v>
      </c>
      <c r="P1462" s="79">
        <v>45037.589583333334</v>
      </c>
      <c r="Q1462" s="77" t="s">
        <v>2259</v>
      </c>
      <c r="R1462" s="77">
        <v>0</v>
      </c>
      <c r="S1462" s="77">
        <v>0</v>
      </c>
      <c r="T1462" s="77">
        <v>0</v>
      </c>
      <c r="U1462" s="77">
        <v>0</v>
      </c>
      <c r="V1462" s="77">
        <v>6</v>
      </c>
      <c r="W1462" s="81" t="s">
        <v>3650</v>
      </c>
      <c r="X1462" s="83" t="str">
        <f>HYPERLINK("https://play.google.com/store/audiobooks/details?id=AQAAAEACmnzabM")</f>
        <v>https://play.google.com/store/audiobooks/details?id=AQAAAEACmnzabM</v>
      </c>
      <c r="Y1462" s="77" t="s">
        <v>4298</v>
      </c>
      <c r="Z1462" s="77"/>
      <c r="AA1462" s="77"/>
      <c r="AB1462" s="77"/>
      <c r="AC1462" s="81" t="s">
        <v>5805</v>
      </c>
      <c r="AD1462" s="77" t="s">
        <v>5850</v>
      </c>
      <c r="AE1462" s="83" t="str">
        <f>HYPERLINK("https://twitter.com/franklindiazl/status/1649414936848736261")</f>
        <v>https://twitter.com/franklindiazl/status/1649414936848736261</v>
      </c>
      <c r="AF1462" s="79">
        <v>45037.589583333334</v>
      </c>
      <c r="AG1462" s="85">
        <v>45037</v>
      </c>
      <c r="AH1462" s="81" t="s">
        <v>7113</v>
      </c>
      <c r="AI1462" s="77" t="b">
        <v>0</v>
      </c>
      <c r="AJ1462" s="77"/>
      <c r="AK1462" s="77"/>
      <c r="AL1462" s="77"/>
      <c r="AM1462" s="77"/>
      <c r="AN1462" s="77"/>
      <c r="AO1462" s="77"/>
      <c r="AP1462" s="77"/>
      <c r="AQ1462" s="77"/>
      <c r="AR1462" s="77"/>
      <c r="AS1462" s="77"/>
      <c r="AT1462" s="77"/>
      <c r="AU1462" s="77"/>
      <c r="AV1462" s="83" t="str">
        <f>HYPERLINK("https://pbs.twimg.com/profile_images/1704953648466255872/V0ZEMt3s_normal.jpg")</f>
        <v>https://pbs.twimg.com/profile_images/1704953648466255872/V0ZEMt3s_normal.jpg</v>
      </c>
      <c r="AW1462" s="81" t="s">
        <v>10582</v>
      </c>
      <c r="AX1462" s="81" t="s">
        <v>10582</v>
      </c>
      <c r="AY1462" s="77"/>
      <c r="AZ1462" s="81" t="s">
        <v>11359</v>
      </c>
      <c r="BA1462" s="81" t="s">
        <v>11359</v>
      </c>
      <c r="BB1462" s="81" t="s">
        <v>11359</v>
      </c>
      <c r="BC1462" s="81" t="s">
        <v>10582</v>
      </c>
      <c r="BD1462" s="77">
        <v>154145814</v>
      </c>
      <c r="BE1462" s="77"/>
      <c r="BF1462" s="77"/>
      <c r="BG1462" s="77"/>
      <c r="BH1462" s="77"/>
      <c r="BI1462" s="77"/>
    </row>
    <row r="1463" spans="1:61" x14ac:dyDescent="0.25">
      <c r="A1463" s="62" t="s">
        <v>538</v>
      </c>
      <c r="B1463" s="62" t="s">
        <v>538</v>
      </c>
      <c r="C1463" s="63"/>
      <c r="D1463" s="64"/>
      <c r="E1463" s="65"/>
      <c r="F1463" s="66"/>
      <c r="G1463" s="63"/>
      <c r="H1463" s="67"/>
      <c r="I1463" s="68"/>
      <c r="J1463" s="68"/>
      <c r="K1463" s="32"/>
      <c r="L1463" s="75">
        <v>1463</v>
      </c>
      <c r="M1463" s="75"/>
      <c r="N1463" s="70"/>
      <c r="O1463" s="77" t="s">
        <v>179</v>
      </c>
      <c r="P1463" s="79">
        <v>45052.29791666667</v>
      </c>
      <c r="Q1463" s="77" t="s">
        <v>2259</v>
      </c>
      <c r="R1463" s="77">
        <v>1</v>
      </c>
      <c r="S1463" s="77">
        <v>1</v>
      </c>
      <c r="T1463" s="77">
        <v>0</v>
      </c>
      <c r="U1463" s="77">
        <v>0</v>
      </c>
      <c r="V1463" s="77">
        <v>13</v>
      </c>
      <c r="W1463" s="81" t="s">
        <v>3650</v>
      </c>
      <c r="X1463" s="83" t="str">
        <f>HYPERLINK("https://play.google.com/store/audiobooks/details?id=AQAAAEACmnzabM")</f>
        <v>https://play.google.com/store/audiobooks/details?id=AQAAAEACmnzabM</v>
      </c>
      <c r="Y1463" s="77" t="s">
        <v>4298</v>
      </c>
      <c r="Z1463" s="77"/>
      <c r="AA1463" s="77"/>
      <c r="AB1463" s="77"/>
      <c r="AC1463" s="81" t="s">
        <v>5805</v>
      </c>
      <c r="AD1463" s="77" t="s">
        <v>5850</v>
      </c>
      <c r="AE1463" s="83" t="str">
        <f>HYPERLINK("https://twitter.com/franklindiazl/status/1654745058158039040")</f>
        <v>https://twitter.com/franklindiazl/status/1654745058158039040</v>
      </c>
      <c r="AF1463" s="79">
        <v>45052.29791666667</v>
      </c>
      <c r="AG1463" s="85">
        <v>45052</v>
      </c>
      <c r="AH1463" s="81" t="s">
        <v>7114</v>
      </c>
      <c r="AI1463" s="77" t="b">
        <v>0</v>
      </c>
      <c r="AJ1463" s="77"/>
      <c r="AK1463" s="77"/>
      <c r="AL1463" s="77"/>
      <c r="AM1463" s="77"/>
      <c r="AN1463" s="77"/>
      <c r="AO1463" s="77"/>
      <c r="AP1463" s="77"/>
      <c r="AQ1463" s="77"/>
      <c r="AR1463" s="77"/>
      <c r="AS1463" s="77"/>
      <c r="AT1463" s="77"/>
      <c r="AU1463" s="77"/>
      <c r="AV1463" s="83" t="str">
        <f>HYPERLINK("https://pbs.twimg.com/profile_images/1704953648466255872/V0ZEMt3s_normal.jpg")</f>
        <v>https://pbs.twimg.com/profile_images/1704953648466255872/V0ZEMt3s_normal.jpg</v>
      </c>
      <c r="AW1463" s="81" t="s">
        <v>10583</v>
      </c>
      <c r="AX1463" s="81" t="s">
        <v>10583</v>
      </c>
      <c r="AY1463" s="77"/>
      <c r="AZ1463" s="81" t="s">
        <v>11359</v>
      </c>
      <c r="BA1463" s="81" t="s">
        <v>11359</v>
      </c>
      <c r="BB1463" s="81" t="s">
        <v>11359</v>
      </c>
      <c r="BC1463" s="81" t="s">
        <v>10583</v>
      </c>
      <c r="BD1463" s="77">
        <v>154145814</v>
      </c>
      <c r="BE1463" s="77"/>
      <c r="BF1463" s="77"/>
      <c r="BG1463" s="77"/>
      <c r="BH1463" s="77"/>
      <c r="BI1463" s="77"/>
    </row>
    <row r="1464" spans="1:61" x14ac:dyDescent="0.25">
      <c r="A1464" s="62" t="s">
        <v>538</v>
      </c>
      <c r="B1464" s="62" t="s">
        <v>538</v>
      </c>
      <c r="C1464" s="63"/>
      <c r="D1464" s="64"/>
      <c r="E1464" s="65"/>
      <c r="F1464" s="66"/>
      <c r="G1464" s="63"/>
      <c r="H1464" s="67"/>
      <c r="I1464" s="68"/>
      <c r="J1464" s="68"/>
      <c r="K1464" s="32"/>
      <c r="L1464" s="75">
        <v>1464</v>
      </c>
      <c r="M1464" s="75"/>
      <c r="N1464" s="70"/>
      <c r="O1464" s="77" t="s">
        <v>179</v>
      </c>
      <c r="P1464" s="79">
        <v>45008.854166666664</v>
      </c>
      <c r="Q1464" s="77" t="s">
        <v>2258</v>
      </c>
      <c r="R1464" s="77">
        <v>3</v>
      </c>
      <c r="S1464" s="77">
        <v>3</v>
      </c>
      <c r="T1464" s="77">
        <v>0</v>
      </c>
      <c r="U1464" s="77">
        <v>0</v>
      </c>
      <c r="V1464" s="77">
        <v>22</v>
      </c>
      <c r="W1464" s="81" t="s">
        <v>3650</v>
      </c>
      <c r="X1464" s="83" t="str">
        <f>HYPERLINK("https://play.google.com/store/audiobooks/details?id=AQAAAEACmnzabM")</f>
        <v>https://play.google.com/store/audiobooks/details?id=AQAAAEACmnzabM</v>
      </c>
      <c r="Y1464" s="77" t="s">
        <v>4298</v>
      </c>
      <c r="Z1464" s="77"/>
      <c r="AA1464" s="77"/>
      <c r="AB1464" s="77"/>
      <c r="AC1464" s="81" t="s">
        <v>5805</v>
      </c>
      <c r="AD1464" s="77" t="s">
        <v>5850</v>
      </c>
      <c r="AE1464" s="83" t="str">
        <f>HYPERLINK("https://twitter.com/franklindiazl/status/1639001571668402177")</f>
        <v>https://twitter.com/franklindiazl/status/1639001571668402177</v>
      </c>
      <c r="AF1464" s="79">
        <v>45008.854166666664</v>
      </c>
      <c r="AG1464" s="85">
        <v>45008</v>
      </c>
      <c r="AH1464" s="81" t="s">
        <v>7115</v>
      </c>
      <c r="AI1464" s="77" t="b">
        <v>0</v>
      </c>
      <c r="AJ1464" s="77"/>
      <c r="AK1464" s="77"/>
      <c r="AL1464" s="77"/>
      <c r="AM1464" s="77"/>
      <c r="AN1464" s="77"/>
      <c r="AO1464" s="77"/>
      <c r="AP1464" s="77"/>
      <c r="AQ1464" s="77"/>
      <c r="AR1464" s="77"/>
      <c r="AS1464" s="77"/>
      <c r="AT1464" s="77"/>
      <c r="AU1464" s="77"/>
      <c r="AV1464" s="83" t="str">
        <f>HYPERLINK("https://pbs.twimg.com/profile_images/1704953648466255872/V0ZEMt3s_normal.jpg")</f>
        <v>https://pbs.twimg.com/profile_images/1704953648466255872/V0ZEMt3s_normal.jpg</v>
      </c>
      <c r="AW1464" s="81" t="s">
        <v>10584</v>
      </c>
      <c r="AX1464" s="81" t="s">
        <v>10584</v>
      </c>
      <c r="AY1464" s="77"/>
      <c r="AZ1464" s="81" t="s">
        <v>11359</v>
      </c>
      <c r="BA1464" s="81" t="s">
        <v>11359</v>
      </c>
      <c r="BB1464" s="81" t="s">
        <v>11359</v>
      </c>
      <c r="BC1464" s="81" t="s">
        <v>10584</v>
      </c>
      <c r="BD1464" s="77">
        <v>154145814</v>
      </c>
      <c r="BE1464" s="77"/>
      <c r="BF1464" s="77"/>
      <c r="BG1464" s="77"/>
      <c r="BH1464" s="77"/>
      <c r="BI1464" s="77"/>
    </row>
    <row r="1465" spans="1:61" x14ac:dyDescent="0.25">
      <c r="A1465" s="62" t="s">
        <v>538</v>
      </c>
      <c r="B1465" s="62" t="s">
        <v>538</v>
      </c>
      <c r="C1465" s="63"/>
      <c r="D1465" s="64"/>
      <c r="E1465" s="65"/>
      <c r="F1465" s="66"/>
      <c r="G1465" s="63"/>
      <c r="H1465" s="67"/>
      <c r="I1465" s="68"/>
      <c r="J1465" s="68"/>
      <c r="K1465" s="32"/>
      <c r="L1465" s="75">
        <v>1465</v>
      </c>
      <c r="M1465" s="75"/>
      <c r="N1465" s="70"/>
      <c r="O1465" s="77" t="s">
        <v>179</v>
      </c>
      <c r="P1465" s="79">
        <v>45112.23541666667</v>
      </c>
      <c r="Q1465" s="77" t="s">
        <v>2260</v>
      </c>
      <c r="R1465" s="77">
        <v>1</v>
      </c>
      <c r="S1465" s="77">
        <v>1</v>
      </c>
      <c r="T1465" s="77">
        <v>0</v>
      </c>
      <c r="U1465" s="77">
        <v>0</v>
      </c>
      <c r="V1465" s="77">
        <v>6</v>
      </c>
      <c r="W1465" s="81" t="s">
        <v>3651</v>
      </c>
      <c r="X1465" s="83" t="str">
        <f>HYPERLINK("https://play.google.com/store/audiobooks/details?id=AQAAAEACmnzabM#ventas")</f>
        <v>https://play.google.com/store/audiobooks/details?id=AQAAAEACmnzabM#ventas</v>
      </c>
      <c r="Y1465" s="77" t="s">
        <v>4298</v>
      </c>
      <c r="Z1465" s="77"/>
      <c r="AA1465" s="77" t="s">
        <v>5378</v>
      </c>
      <c r="AB1465" s="77" t="s">
        <v>5794</v>
      </c>
      <c r="AC1465" s="81" t="s">
        <v>5805</v>
      </c>
      <c r="AD1465" s="77" t="s">
        <v>5850</v>
      </c>
      <c r="AE1465" s="83" t="str">
        <f>HYPERLINK("https://twitter.com/franklindiazl/status/1676465680760315904")</f>
        <v>https://twitter.com/franklindiazl/status/1676465680760315904</v>
      </c>
      <c r="AF1465" s="79">
        <v>45112.23541666667</v>
      </c>
      <c r="AG1465" s="85">
        <v>45112</v>
      </c>
      <c r="AH1465" s="81" t="s">
        <v>7116</v>
      </c>
      <c r="AI1465" s="77" t="b">
        <v>0</v>
      </c>
      <c r="AJ1465" s="77"/>
      <c r="AK1465" s="77"/>
      <c r="AL1465" s="77"/>
      <c r="AM1465" s="77"/>
      <c r="AN1465" s="77"/>
      <c r="AO1465" s="77"/>
      <c r="AP1465" s="77"/>
      <c r="AQ1465" s="77" t="s">
        <v>8881</v>
      </c>
      <c r="AR1465" s="77"/>
      <c r="AS1465" s="77"/>
      <c r="AT1465" s="77"/>
      <c r="AU1465" s="77"/>
      <c r="AV1465" s="83" t="str">
        <f>HYPERLINK("https://pbs.twimg.com/media/Fz8suZ7WIAM5ynD.jpg")</f>
        <v>https://pbs.twimg.com/media/Fz8suZ7WIAM5ynD.jpg</v>
      </c>
      <c r="AW1465" s="81" t="s">
        <v>10585</v>
      </c>
      <c r="AX1465" s="81" t="s">
        <v>10585</v>
      </c>
      <c r="AY1465" s="77"/>
      <c r="AZ1465" s="81" t="s">
        <v>11359</v>
      </c>
      <c r="BA1465" s="81" t="s">
        <v>11359</v>
      </c>
      <c r="BB1465" s="81" t="s">
        <v>11359</v>
      </c>
      <c r="BC1465" s="81" t="s">
        <v>10585</v>
      </c>
      <c r="BD1465" s="77">
        <v>154145814</v>
      </c>
      <c r="BE1465" s="77"/>
      <c r="BF1465" s="77"/>
      <c r="BG1465" s="77"/>
      <c r="BH1465" s="77"/>
      <c r="BI1465" s="77"/>
    </row>
    <row r="1466" spans="1:61" x14ac:dyDescent="0.25">
      <c r="A1466" s="62" t="s">
        <v>538</v>
      </c>
      <c r="B1466" s="62" t="s">
        <v>538</v>
      </c>
      <c r="C1466" s="63"/>
      <c r="D1466" s="64"/>
      <c r="E1466" s="65"/>
      <c r="F1466" s="66"/>
      <c r="G1466" s="63"/>
      <c r="H1466" s="67"/>
      <c r="I1466" s="68"/>
      <c r="J1466" s="68"/>
      <c r="K1466" s="32"/>
      <c r="L1466" s="75">
        <v>1466</v>
      </c>
      <c r="M1466" s="75"/>
      <c r="N1466" s="70"/>
      <c r="O1466" s="77" t="s">
        <v>179</v>
      </c>
      <c r="P1466" s="79">
        <v>45111.818055555559</v>
      </c>
      <c r="Q1466" s="77" t="s">
        <v>2261</v>
      </c>
      <c r="R1466" s="77">
        <v>1</v>
      </c>
      <c r="S1466" s="77">
        <v>1</v>
      </c>
      <c r="T1466" s="77">
        <v>0</v>
      </c>
      <c r="U1466" s="77">
        <v>0</v>
      </c>
      <c r="V1466" s="77">
        <v>4</v>
      </c>
      <c r="W1466" s="81" t="s">
        <v>3651</v>
      </c>
      <c r="X1466" s="83" t="str">
        <f>HYPERLINK("https://play.google.com/store/audiobooks/details?id=AQAAAEACmnzabM#ventas")</f>
        <v>https://play.google.com/store/audiobooks/details?id=AQAAAEACmnzabM#ventas</v>
      </c>
      <c r="Y1466" s="77" t="s">
        <v>4298</v>
      </c>
      <c r="Z1466" s="77"/>
      <c r="AA1466" s="77" t="s">
        <v>5379</v>
      </c>
      <c r="AB1466" s="77" t="s">
        <v>5794</v>
      </c>
      <c r="AC1466" s="81" t="s">
        <v>5805</v>
      </c>
      <c r="AD1466" s="77" t="s">
        <v>5850</v>
      </c>
      <c r="AE1466" s="83" t="str">
        <f>HYPERLINK("https://twitter.com/franklindiazl/status/1676314434271166464")</f>
        <v>https://twitter.com/franklindiazl/status/1676314434271166464</v>
      </c>
      <c r="AF1466" s="79">
        <v>45111.818055555559</v>
      </c>
      <c r="AG1466" s="85">
        <v>45111</v>
      </c>
      <c r="AH1466" s="81" t="s">
        <v>7117</v>
      </c>
      <c r="AI1466" s="77" t="b">
        <v>0</v>
      </c>
      <c r="AJ1466" s="77"/>
      <c r="AK1466" s="77"/>
      <c r="AL1466" s="77"/>
      <c r="AM1466" s="77"/>
      <c r="AN1466" s="77"/>
      <c r="AO1466" s="77"/>
      <c r="AP1466" s="77"/>
      <c r="AQ1466" s="77" t="s">
        <v>8882</v>
      </c>
      <c r="AR1466" s="77"/>
      <c r="AS1466" s="77"/>
      <c r="AT1466" s="77"/>
      <c r="AU1466" s="77"/>
      <c r="AV1466" s="83" t="str">
        <f>HYPERLINK("https://pbs.twimg.com/media/Fz8skb3WIAAb-2Y.jpg")</f>
        <v>https://pbs.twimg.com/media/Fz8skb3WIAAb-2Y.jpg</v>
      </c>
      <c r="AW1466" s="81" t="s">
        <v>10586</v>
      </c>
      <c r="AX1466" s="81" t="s">
        <v>10586</v>
      </c>
      <c r="AY1466" s="77"/>
      <c r="AZ1466" s="81" t="s">
        <v>11359</v>
      </c>
      <c r="BA1466" s="81" t="s">
        <v>11359</v>
      </c>
      <c r="BB1466" s="81" t="s">
        <v>11359</v>
      </c>
      <c r="BC1466" s="81" t="s">
        <v>10586</v>
      </c>
      <c r="BD1466" s="77">
        <v>154145814</v>
      </c>
      <c r="BE1466" s="77"/>
      <c r="BF1466" s="77"/>
      <c r="BG1466" s="77"/>
      <c r="BH1466" s="77"/>
      <c r="BI1466" s="77"/>
    </row>
    <row r="1467" spans="1:61" x14ac:dyDescent="0.25">
      <c r="A1467" s="62" t="s">
        <v>538</v>
      </c>
      <c r="B1467" s="62" t="s">
        <v>538</v>
      </c>
      <c r="C1467" s="63"/>
      <c r="D1467" s="64"/>
      <c r="E1467" s="65"/>
      <c r="F1467" s="66"/>
      <c r="G1467" s="63"/>
      <c r="H1467" s="67"/>
      <c r="I1467" s="68"/>
      <c r="J1467" s="68"/>
      <c r="K1467" s="32"/>
      <c r="L1467" s="75">
        <v>1467</v>
      </c>
      <c r="M1467" s="75"/>
      <c r="N1467" s="70"/>
      <c r="O1467" s="77" t="s">
        <v>179</v>
      </c>
      <c r="P1467" s="79">
        <v>44946.966666666667</v>
      </c>
      <c r="Q1467" s="77" t="s">
        <v>2262</v>
      </c>
      <c r="R1467" s="77">
        <v>0</v>
      </c>
      <c r="S1467" s="77">
        <v>0</v>
      </c>
      <c r="T1467" s="77">
        <v>0</v>
      </c>
      <c r="U1467" s="77">
        <v>0</v>
      </c>
      <c r="V1467" s="77">
        <v>5</v>
      </c>
      <c r="W1467" s="81" t="s">
        <v>3650</v>
      </c>
      <c r="X1467" s="83" t="str">
        <f>HYPERLINK("https://play.google.com/store/audiobooks/details?id=AQAAAEACmnzabM")</f>
        <v>https://play.google.com/store/audiobooks/details?id=AQAAAEACmnzabM</v>
      </c>
      <c r="Y1467" s="77" t="s">
        <v>4298</v>
      </c>
      <c r="Z1467" s="77"/>
      <c r="AA1467" s="77"/>
      <c r="AB1467" s="77"/>
      <c r="AC1467" s="81" t="s">
        <v>5805</v>
      </c>
      <c r="AD1467" s="77" t="s">
        <v>5850</v>
      </c>
      <c r="AE1467" s="83" t="str">
        <f>HYPERLINK("https://twitter.com/franklindiazl/status/1616574291432116225")</f>
        <v>https://twitter.com/franklindiazl/status/1616574291432116225</v>
      </c>
      <c r="AF1467" s="79">
        <v>44946.966666666667</v>
      </c>
      <c r="AG1467" s="85">
        <v>44946</v>
      </c>
      <c r="AH1467" s="81" t="s">
        <v>7118</v>
      </c>
      <c r="AI1467" s="77" t="b">
        <v>0</v>
      </c>
      <c r="AJ1467" s="77"/>
      <c r="AK1467" s="77"/>
      <c r="AL1467" s="77"/>
      <c r="AM1467" s="77"/>
      <c r="AN1467" s="77"/>
      <c r="AO1467" s="77"/>
      <c r="AP1467" s="77"/>
      <c r="AQ1467" s="77"/>
      <c r="AR1467" s="77"/>
      <c r="AS1467" s="77"/>
      <c r="AT1467" s="77"/>
      <c r="AU1467" s="77"/>
      <c r="AV1467" s="83" t="str">
        <f>HYPERLINK("https://pbs.twimg.com/profile_images/1704953648466255872/V0ZEMt3s_normal.jpg")</f>
        <v>https://pbs.twimg.com/profile_images/1704953648466255872/V0ZEMt3s_normal.jpg</v>
      </c>
      <c r="AW1467" s="81" t="s">
        <v>10587</v>
      </c>
      <c r="AX1467" s="81" t="s">
        <v>10587</v>
      </c>
      <c r="AY1467" s="77"/>
      <c r="AZ1467" s="81" t="s">
        <v>11359</v>
      </c>
      <c r="BA1467" s="81" t="s">
        <v>11359</v>
      </c>
      <c r="BB1467" s="81" t="s">
        <v>11359</v>
      </c>
      <c r="BC1467" s="81" t="s">
        <v>10587</v>
      </c>
      <c r="BD1467" s="77">
        <v>154145814</v>
      </c>
      <c r="BE1467" s="77"/>
      <c r="BF1467" s="77"/>
      <c r="BG1467" s="77"/>
      <c r="BH1467" s="77"/>
      <c r="BI1467" s="77"/>
    </row>
    <row r="1468" spans="1:61" x14ac:dyDescent="0.25">
      <c r="A1468" s="62" t="s">
        <v>538</v>
      </c>
      <c r="B1468" s="62" t="s">
        <v>538</v>
      </c>
      <c r="C1468" s="63"/>
      <c r="D1468" s="64"/>
      <c r="E1468" s="65"/>
      <c r="F1468" s="66"/>
      <c r="G1468" s="63"/>
      <c r="H1468" s="67"/>
      <c r="I1468" s="68"/>
      <c r="J1468" s="68"/>
      <c r="K1468" s="32"/>
      <c r="L1468" s="75">
        <v>1468</v>
      </c>
      <c r="M1468" s="75"/>
      <c r="N1468" s="70"/>
      <c r="O1468" s="77" t="s">
        <v>179</v>
      </c>
      <c r="P1468" s="79">
        <v>45113.819444444445</v>
      </c>
      <c r="Q1468" s="77" t="s">
        <v>2263</v>
      </c>
      <c r="R1468" s="77">
        <v>0</v>
      </c>
      <c r="S1468" s="77">
        <v>0</v>
      </c>
      <c r="T1468" s="77">
        <v>0</v>
      </c>
      <c r="U1468" s="77">
        <v>0</v>
      </c>
      <c r="V1468" s="77">
        <v>6</v>
      </c>
      <c r="W1468" s="81" t="s">
        <v>3651</v>
      </c>
      <c r="X1468" s="83" t="str">
        <f>HYPERLINK("https://play.google.com/store/audiobooks/details?id=AQAAAEACmnzabM#ventas")</f>
        <v>https://play.google.com/store/audiobooks/details?id=AQAAAEACmnzabM#ventas</v>
      </c>
      <c r="Y1468" s="77" t="s">
        <v>4298</v>
      </c>
      <c r="Z1468" s="77"/>
      <c r="AA1468" s="77" t="s">
        <v>5380</v>
      </c>
      <c r="AB1468" s="77" t="s">
        <v>5794</v>
      </c>
      <c r="AC1468" s="81" t="s">
        <v>5805</v>
      </c>
      <c r="AD1468" s="77" t="s">
        <v>5850</v>
      </c>
      <c r="AE1468" s="83" t="str">
        <f>HYPERLINK("https://twitter.com/franklindiazl/status/1677039713298051072")</f>
        <v>https://twitter.com/franklindiazl/status/1677039713298051072</v>
      </c>
      <c r="AF1468" s="79">
        <v>45113.819444444445</v>
      </c>
      <c r="AG1468" s="85">
        <v>45113</v>
      </c>
      <c r="AH1468" s="81" t="s">
        <v>7119</v>
      </c>
      <c r="AI1468" s="77" t="b">
        <v>0</v>
      </c>
      <c r="AJ1468" s="77"/>
      <c r="AK1468" s="77"/>
      <c r="AL1468" s="77"/>
      <c r="AM1468" s="77"/>
      <c r="AN1468" s="77"/>
      <c r="AO1468" s="77"/>
      <c r="AP1468" s="77"/>
      <c r="AQ1468" s="77" t="s">
        <v>8883</v>
      </c>
      <c r="AR1468" s="77"/>
      <c r="AS1468" s="77"/>
      <c r="AT1468" s="77"/>
      <c r="AU1468" s="77"/>
      <c r="AV1468" s="83" t="str">
        <f>HYPERLINK("https://pbs.twimg.com/media/Fz8s5PRXgAI-D7v.jpg")</f>
        <v>https://pbs.twimg.com/media/Fz8s5PRXgAI-D7v.jpg</v>
      </c>
      <c r="AW1468" s="81" t="s">
        <v>10588</v>
      </c>
      <c r="AX1468" s="81" t="s">
        <v>10588</v>
      </c>
      <c r="AY1468" s="77"/>
      <c r="AZ1468" s="81" t="s">
        <v>11359</v>
      </c>
      <c r="BA1468" s="81" t="s">
        <v>11359</v>
      </c>
      <c r="BB1468" s="81" t="s">
        <v>11359</v>
      </c>
      <c r="BC1468" s="81" t="s">
        <v>10588</v>
      </c>
      <c r="BD1468" s="77">
        <v>154145814</v>
      </c>
      <c r="BE1468" s="77"/>
      <c r="BF1468" s="77"/>
      <c r="BG1468" s="77"/>
      <c r="BH1468" s="77"/>
      <c r="BI1468" s="77"/>
    </row>
    <row r="1469" spans="1:61" x14ac:dyDescent="0.25">
      <c r="A1469" s="62" t="s">
        <v>538</v>
      </c>
      <c r="B1469" s="62" t="s">
        <v>538</v>
      </c>
      <c r="C1469" s="63"/>
      <c r="D1469" s="64"/>
      <c r="E1469" s="65"/>
      <c r="F1469" s="66"/>
      <c r="G1469" s="63"/>
      <c r="H1469" s="67"/>
      <c r="I1469" s="68"/>
      <c r="J1469" s="68"/>
      <c r="K1469" s="32"/>
      <c r="L1469" s="75">
        <v>1469</v>
      </c>
      <c r="M1469" s="75"/>
      <c r="N1469" s="70"/>
      <c r="O1469" s="77" t="s">
        <v>179</v>
      </c>
      <c r="P1469" s="79">
        <v>44983.854166666664</v>
      </c>
      <c r="Q1469" s="77" t="s">
        <v>2264</v>
      </c>
      <c r="R1469" s="77">
        <v>1</v>
      </c>
      <c r="S1469" s="77">
        <v>1</v>
      </c>
      <c r="T1469" s="77">
        <v>0</v>
      </c>
      <c r="U1469" s="77">
        <v>0</v>
      </c>
      <c r="V1469" s="77">
        <v>11</v>
      </c>
      <c r="W1469" s="81" t="s">
        <v>3649</v>
      </c>
      <c r="X1469" s="83" t="str">
        <f>HYPERLINK("https://books2read.com/u/bMw5O7")</f>
        <v>https://books2read.com/u/bMw5O7</v>
      </c>
      <c r="Y1469" s="77" t="s">
        <v>4297</v>
      </c>
      <c r="Z1469" s="77"/>
      <c r="AA1469" s="77"/>
      <c r="AB1469" s="77"/>
      <c r="AC1469" s="81" t="s">
        <v>5805</v>
      </c>
      <c r="AD1469" s="77" t="s">
        <v>5850</v>
      </c>
      <c r="AE1469" s="83" t="str">
        <f>HYPERLINK("https://twitter.com/franklindiazl/status/1629941875359481863")</f>
        <v>https://twitter.com/franklindiazl/status/1629941875359481863</v>
      </c>
      <c r="AF1469" s="79">
        <v>44983.854166666664</v>
      </c>
      <c r="AG1469" s="85">
        <v>44983</v>
      </c>
      <c r="AH1469" s="81" t="s">
        <v>7115</v>
      </c>
      <c r="AI1469" s="77" t="b">
        <v>0</v>
      </c>
      <c r="AJ1469" s="77"/>
      <c r="AK1469" s="77"/>
      <c r="AL1469" s="77"/>
      <c r="AM1469" s="77"/>
      <c r="AN1469" s="77"/>
      <c r="AO1469" s="77"/>
      <c r="AP1469" s="77"/>
      <c r="AQ1469" s="77"/>
      <c r="AR1469" s="77"/>
      <c r="AS1469" s="77"/>
      <c r="AT1469" s="77"/>
      <c r="AU1469" s="77"/>
      <c r="AV1469" s="83" t="str">
        <f>HYPERLINK("https://pbs.twimg.com/profile_images/1704953648466255872/V0ZEMt3s_normal.jpg")</f>
        <v>https://pbs.twimg.com/profile_images/1704953648466255872/V0ZEMt3s_normal.jpg</v>
      </c>
      <c r="AW1469" s="81" t="s">
        <v>10589</v>
      </c>
      <c r="AX1469" s="81" t="s">
        <v>10589</v>
      </c>
      <c r="AY1469" s="77"/>
      <c r="AZ1469" s="81" t="s">
        <v>11359</v>
      </c>
      <c r="BA1469" s="81" t="s">
        <v>11359</v>
      </c>
      <c r="BB1469" s="81" t="s">
        <v>11359</v>
      </c>
      <c r="BC1469" s="81" t="s">
        <v>10589</v>
      </c>
      <c r="BD1469" s="77">
        <v>154145814</v>
      </c>
      <c r="BE1469" s="77"/>
      <c r="BF1469" s="77"/>
      <c r="BG1469" s="77"/>
      <c r="BH1469" s="77"/>
      <c r="BI1469" s="77"/>
    </row>
    <row r="1470" spans="1:61" x14ac:dyDescent="0.25">
      <c r="A1470" s="62" t="s">
        <v>538</v>
      </c>
      <c r="B1470" s="62" t="s">
        <v>538</v>
      </c>
      <c r="C1470" s="63"/>
      <c r="D1470" s="64"/>
      <c r="E1470" s="65"/>
      <c r="F1470" s="66"/>
      <c r="G1470" s="63"/>
      <c r="H1470" s="67"/>
      <c r="I1470" s="68"/>
      <c r="J1470" s="68"/>
      <c r="K1470" s="32"/>
      <c r="L1470" s="75">
        <v>1470</v>
      </c>
      <c r="M1470" s="75"/>
      <c r="N1470" s="70"/>
      <c r="O1470" s="77" t="s">
        <v>179</v>
      </c>
      <c r="P1470" s="79">
        <v>45185.855555555558</v>
      </c>
      <c r="Q1470" s="77" t="s">
        <v>2265</v>
      </c>
      <c r="R1470" s="77">
        <v>0</v>
      </c>
      <c r="S1470" s="77">
        <v>0</v>
      </c>
      <c r="T1470" s="77">
        <v>0</v>
      </c>
      <c r="U1470" s="77">
        <v>0</v>
      </c>
      <c r="V1470" s="77">
        <v>9</v>
      </c>
      <c r="W1470" s="81" t="s">
        <v>3649</v>
      </c>
      <c r="X1470" s="83" t="str">
        <f>HYPERLINK("https://books2read.com/u/bMw5O7")</f>
        <v>https://books2read.com/u/bMw5O7</v>
      </c>
      <c r="Y1470" s="77" t="s">
        <v>4297</v>
      </c>
      <c r="Z1470" s="77"/>
      <c r="AA1470" s="77"/>
      <c r="AB1470" s="77"/>
      <c r="AC1470" s="81" t="s">
        <v>5805</v>
      </c>
      <c r="AD1470" s="77" t="s">
        <v>5850</v>
      </c>
      <c r="AE1470" s="83" t="str">
        <f>HYPERLINK("https://twitter.com/franklindiazl/status/1703144725879124163")</f>
        <v>https://twitter.com/franklindiazl/status/1703144725879124163</v>
      </c>
      <c r="AF1470" s="79">
        <v>45185.855555555558</v>
      </c>
      <c r="AG1470" s="85">
        <v>45185</v>
      </c>
      <c r="AH1470" s="81" t="s">
        <v>7120</v>
      </c>
      <c r="AI1470" s="77" t="b">
        <v>0</v>
      </c>
      <c r="AJ1470" s="77"/>
      <c r="AK1470" s="77"/>
      <c r="AL1470" s="77"/>
      <c r="AM1470" s="77"/>
      <c r="AN1470" s="77"/>
      <c r="AO1470" s="77"/>
      <c r="AP1470" s="77"/>
      <c r="AQ1470" s="77"/>
      <c r="AR1470" s="77"/>
      <c r="AS1470" s="77"/>
      <c r="AT1470" s="77"/>
      <c r="AU1470" s="77"/>
      <c r="AV1470" s="83" t="str">
        <f>HYPERLINK("https://pbs.twimg.com/profile_images/1704953648466255872/V0ZEMt3s_normal.jpg")</f>
        <v>https://pbs.twimg.com/profile_images/1704953648466255872/V0ZEMt3s_normal.jpg</v>
      </c>
      <c r="AW1470" s="81" t="s">
        <v>10590</v>
      </c>
      <c r="AX1470" s="81" t="s">
        <v>10590</v>
      </c>
      <c r="AY1470" s="77"/>
      <c r="AZ1470" s="81" t="s">
        <v>11359</v>
      </c>
      <c r="BA1470" s="81" t="s">
        <v>11359</v>
      </c>
      <c r="BB1470" s="81" t="s">
        <v>11359</v>
      </c>
      <c r="BC1470" s="81" t="s">
        <v>10590</v>
      </c>
      <c r="BD1470" s="77">
        <v>154145814</v>
      </c>
      <c r="BE1470" s="77"/>
      <c r="BF1470" s="77"/>
      <c r="BG1470" s="77"/>
      <c r="BH1470" s="77"/>
      <c r="BI1470" s="77"/>
    </row>
    <row r="1471" spans="1:61" x14ac:dyDescent="0.25">
      <c r="A1471" s="62" t="s">
        <v>538</v>
      </c>
      <c r="B1471" s="62" t="s">
        <v>538</v>
      </c>
      <c r="C1471" s="63"/>
      <c r="D1471" s="64"/>
      <c r="E1471" s="65"/>
      <c r="F1471" s="66"/>
      <c r="G1471" s="63"/>
      <c r="H1471" s="67"/>
      <c r="I1471" s="68"/>
      <c r="J1471" s="68"/>
      <c r="K1471" s="32"/>
      <c r="L1471" s="75">
        <v>1471</v>
      </c>
      <c r="M1471" s="75"/>
      <c r="N1471" s="70"/>
      <c r="O1471" s="77" t="s">
        <v>179</v>
      </c>
      <c r="P1471" s="79">
        <v>45110.734027777777</v>
      </c>
      <c r="Q1471" s="77" t="s">
        <v>2266</v>
      </c>
      <c r="R1471" s="77">
        <v>3</v>
      </c>
      <c r="S1471" s="77">
        <v>3</v>
      </c>
      <c r="T1471" s="77">
        <v>0</v>
      </c>
      <c r="U1471" s="77">
        <v>0</v>
      </c>
      <c r="V1471" s="77">
        <v>17</v>
      </c>
      <c r="W1471" s="81" t="s">
        <v>3651</v>
      </c>
      <c r="X1471" s="83" t="str">
        <f>HYPERLINK("https://play.google.com/store/audiobooks/details?id=AQAAAEACmnzabM#ventas")</f>
        <v>https://play.google.com/store/audiobooks/details?id=AQAAAEACmnzabM#ventas</v>
      </c>
      <c r="Y1471" s="77" t="s">
        <v>4298</v>
      </c>
      <c r="Z1471" s="77"/>
      <c r="AA1471" s="77" t="s">
        <v>5381</v>
      </c>
      <c r="AB1471" s="77" t="s">
        <v>5794</v>
      </c>
      <c r="AC1471" s="81" t="s">
        <v>5805</v>
      </c>
      <c r="AD1471" s="77" t="s">
        <v>5850</v>
      </c>
      <c r="AE1471" s="83" t="str">
        <f>HYPERLINK("https://twitter.com/franklindiazl/status/1675921595855147008")</f>
        <v>https://twitter.com/franklindiazl/status/1675921595855147008</v>
      </c>
      <c r="AF1471" s="79">
        <v>45110.734027777777</v>
      </c>
      <c r="AG1471" s="85">
        <v>45110</v>
      </c>
      <c r="AH1471" s="81" t="s">
        <v>7121</v>
      </c>
      <c r="AI1471" s="77" t="b">
        <v>0</v>
      </c>
      <c r="AJ1471" s="77"/>
      <c r="AK1471" s="77"/>
      <c r="AL1471" s="77"/>
      <c r="AM1471" s="77"/>
      <c r="AN1471" s="77"/>
      <c r="AO1471" s="77"/>
      <c r="AP1471" s="77"/>
      <c r="AQ1471" s="77" t="s">
        <v>8884</v>
      </c>
      <c r="AR1471" s="77"/>
      <c r="AS1471" s="77"/>
      <c r="AT1471" s="77"/>
      <c r="AU1471" s="77"/>
      <c r="AV1471" s="83" t="str">
        <f>HYPERLINK("https://pbs.twimg.com/media/Fz8sYL9WwAEBXNc.jpg")</f>
        <v>https://pbs.twimg.com/media/Fz8sYL9WwAEBXNc.jpg</v>
      </c>
      <c r="AW1471" s="81" t="s">
        <v>10591</v>
      </c>
      <c r="AX1471" s="81" t="s">
        <v>10591</v>
      </c>
      <c r="AY1471" s="77"/>
      <c r="AZ1471" s="81" t="s">
        <v>11359</v>
      </c>
      <c r="BA1471" s="81" t="s">
        <v>11359</v>
      </c>
      <c r="BB1471" s="81" t="s">
        <v>11359</v>
      </c>
      <c r="BC1471" s="81" t="s">
        <v>10591</v>
      </c>
      <c r="BD1471" s="77">
        <v>154145814</v>
      </c>
      <c r="BE1471" s="77"/>
      <c r="BF1471" s="77"/>
      <c r="BG1471" s="77"/>
      <c r="BH1471" s="77"/>
      <c r="BI1471" s="77"/>
    </row>
    <row r="1472" spans="1:61" x14ac:dyDescent="0.25">
      <c r="A1472" s="62" t="s">
        <v>538</v>
      </c>
      <c r="B1472" s="62" t="s">
        <v>538</v>
      </c>
      <c r="C1472" s="63"/>
      <c r="D1472" s="64"/>
      <c r="E1472" s="65"/>
      <c r="F1472" s="66"/>
      <c r="G1472" s="63"/>
      <c r="H1472" s="67"/>
      <c r="I1472" s="68"/>
      <c r="J1472" s="68"/>
      <c r="K1472" s="32"/>
      <c r="L1472" s="75">
        <v>1472</v>
      </c>
      <c r="M1472" s="75"/>
      <c r="N1472" s="70"/>
      <c r="O1472" s="77" t="s">
        <v>179</v>
      </c>
      <c r="P1472" s="79">
        <v>45109.316666666666</v>
      </c>
      <c r="Q1472" s="77" t="s">
        <v>2267</v>
      </c>
      <c r="R1472" s="77">
        <v>3</v>
      </c>
      <c r="S1472" s="77">
        <v>3</v>
      </c>
      <c r="T1472" s="77">
        <v>0</v>
      </c>
      <c r="U1472" s="77">
        <v>0</v>
      </c>
      <c r="V1472" s="77">
        <v>25</v>
      </c>
      <c r="W1472" s="81" t="s">
        <v>3651</v>
      </c>
      <c r="X1472" s="83" t="str">
        <f>HYPERLINK("https://play.google.com/store/audiobooks/details?id=AQAAAEACmnzabM#ventas")</f>
        <v>https://play.google.com/store/audiobooks/details?id=AQAAAEACmnzabM#ventas</v>
      </c>
      <c r="Y1472" s="77" t="s">
        <v>4298</v>
      </c>
      <c r="Z1472" s="77"/>
      <c r="AA1472" s="77" t="s">
        <v>5382</v>
      </c>
      <c r="AB1472" s="77" t="s">
        <v>5794</v>
      </c>
      <c r="AC1472" s="81" t="s">
        <v>5805</v>
      </c>
      <c r="AD1472" s="77" t="s">
        <v>5850</v>
      </c>
      <c r="AE1472" s="83" t="str">
        <f>HYPERLINK("https://twitter.com/franklindiazl/status/1675407961219276800")</f>
        <v>https://twitter.com/franklindiazl/status/1675407961219276800</v>
      </c>
      <c r="AF1472" s="79">
        <v>45109.316666666666</v>
      </c>
      <c r="AG1472" s="85">
        <v>45109</v>
      </c>
      <c r="AH1472" s="81" t="s">
        <v>7122</v>
      </c>
      <c r="AI1472" s="77" t="b">
        <v>0</v>
      </c>
      <c r="AJ1472" s="77"/>
      <c r="AK1472" s="77"/>
      <c r="AL1472" s="77"/>
      <c r="AM1472" s="77"/>
      <c r="AN1472" s="77"/>
      <c r="AO1472" s="77"/>
      <c r="AP1472" s="77"/>
      <c r="AQ1472" s="77" t="s">
        <v>8885</v>
      </c>
      <c r="AR1472" s="77"/>
      <c r="AS1472" s="77"/>
      <c r="AT1472" s="77"/>
      <c r="AU1472" s="77"/>
      <c r="AV1472" s="83" t="str">
        <f>HYPERLINK("https://pbs.twimg.com/media/Fz8sEAuWYAA8ggJ.jpg")</f>
        <v>https://pbs.twimg.com/media/Fz8sEAuWYAA8ggJ.jpg</v>
      </c>
      <c r="AW1472" s="81" t="s">
        <v>10592</v>
      </c>
      <c r="AX1472" s="81" t="s">
        <v>10592</v>
      </c>
      <c r="AY1472" s="77"/>
      <c r="AZ1472" s="81" t="s">
        <v>11359</v>
      </c>
      <c r="BA1472" s="81" t="s">
        <v>11359</v>
      </c>
      <c r="BB1472" s="81" t="s">
        <v>11359</v>
      </c>
      <c r="BC1472" s="81" t="s">
        <v>10592</v>
      </c>
      <c r="BD1472" s="77">
        <v>154145814</v>
      </c>
      <c r="BE1472" s="77"/>
      <c r="BF1472" s="77"/>
      <c r="BG1472" s="77"/>
      <c r="BH1472" s="77"/>
      <c r="BI1472" s="77"/>
    </row>
    <row r="1473" spans="1:61" x14ac:dyDescent="0.25">
      <c r="A1473" s="62" t="s">
        <v>538</v>
      </c>
      <c r="B1473" s="62" t="s">
        <v>538</v>
      </c>
      <c r="C1473" s="63"/>
      <c r="D1473" s="64"/>
      <c r="E1473" s="65"/>
      <c r="F1473" s="66"/>
      <c r="G1473" s="63"/>
      <c r="H1473" s="67"/>
      <c r="I1473" s="68"/>
      <c r="J1473" s="68"/>
      <c r="K1473" s="32"/>
      <c r="L1473" s="75">
        <v>1473</v>
      </c>
      <c r="M1473" s="75"/>
      <c r="N1473" s="70"/>
      <c r="O1473" s="77" t="s">
        <v>179</v>
      </c>
      <c r="P1473" s="79">
        <v>45108.482442129629</v>
      </c>
      <c r="Q1473" s="77" t="s">
        <v>2268</v>
      </c>
      <c r="R1473" s="77">
        <v>0</v>
      </c>
      <c r="S1473" s="77">
        <v>1</v>
      </c>
      <c r="T1473" s="77">
        <v>0</v>
      </c>
      <c r="U1473" s="77">
        <v>0</v>
      </c>
      <c r="V1473" s="77">
        <v>20</v>
      </c>
      <c r="W1473" s="81" t="s">
        <v>3652</v>
      </c>
      <c r="X1473" s="83" t="str">
        <f>HYPERLINK("https://play.google.com/store/audiobooks/details?id=AQAAAEACmnzabM#ventas")</f>
        <v>https://play.google.com/store/audiobooks/details?id=AQAAAEACmnzabM#ventas</v>
      </c>
      <c r="Y1473" s="77" t="s">
        <v>4298</v>
      </c>
      <c r="Z1473" s="77"/>
      <c r="AA1473" s="77" t="s">
        <v>5383</v>
      </c>
      <c r="AB1473" s="77" t="s">
        <v>5794</v>
      </c>
      <c r="AC1473" s="81" t="s">
        <v>5805</v>
      </c>
      <c r="AD1473" s="77" t="s">
        <v>5850</v>
      </c>
      <c r="AE1473" s="83" t="str">
        <f>HYPERLINK("https://twitter.com/franklindiazl/status/1675105649955336193")</f>
        <v>https://twitter.com/franklindiazl/status/1675105649955336193</v>
      </c>
      <c r="AF1473" s="79">
        <v>45108.482442129629</v>
      </c>
      <c r="AG1473" s="85">
        <v>45108</v>
      </c>
      <c r="AH1473" s="81" t="s">
        <v>7123</v>
      </c>
      <c r="AI1473" s="77" t="b">
        <v>0</v>
      </c>
      <c r="AJ1473" s="77"/>
      <c r="AK1473" s="77"/>
      <c r="AL1473" s="77"/>
      <c r="AM1473" s="77"/>
      <c r="AN1473" s="77"/>
      <c r="AO1473" s="77"/>
      <c r="AP1473" s="77"/>
      <c r="AQ1473" s="77" t="s">
        <v>8886</v>
      </c>
      <c r="AR1473" s="77"/>
      <c r="AS1473" s="77"/>
      <c r="AT1473" s="77"/>
      <c r="AU1473" s="77"/>
      <c r="AV1473" s="83" t="str">
        <f>HYPERLINK("https://pbs.twimg.com/media/Fz8rXVmXsAEYvmT.jpg")</f>
        <v>https://pbs.twimg.com/media/Fz8rXVmXsAEYvmT.jpg</v>
      </c>
      <c r="AW1473" s="81" t="s">
        <v>10593</v>
      </c>
      <c r="AX1473" s="81" t="s">
        <v>10593</v>
      </c>
      <c r="AY1473" s="77"/>
      <c r="AZ1473" s="81" t="s">
        <v>11359</v>
      </c>
      <c r="BA1473" s="81" t="s">
        <v>11359</v>
      </c>
      <c r="BB1473" s="81" t="s">
        <v>11359</v>
      </c>
      <c r="BC1473" s="81" t="s">
        <v>10593</v>
      </c>
      <c r="BD1473" s="77">
        <v>154145814</v>
      </c>
      <c r="BE1473" s="77"/>
      <c r="BF1473" s="77"/>
      <c r="BG1473" s="77"/>
      <c r="BH1473" s="77"/>
      <c r="BI1473" s="77"/>
    </row>
    <row r="1474" spans="1:61" x14ac:dyDescent="0.25">
      <c r="A1474" s="62" t="s">
        <v>539</v>
      </c>
      <c r="B1474" s="62" t="s">
        <v>539</v>
      </c>
      <c r="C1474" s="63"/>
      <c r="D1474" s="64"/>
      <c r="E1474" s="65"/>
      <c r="F1474" s="66"/>
      <c r="G1474" s="63"/>
      <c r="H1474" s="67"/>
      <c r="I1474" s="68"/>
      <c r="J1474" s="68"/>
      <c r="K1474" s="32"/>
      <c r="L1474" s="75">
        <v>1474</v>
      </c>
      <c r="M1474" s="75"/>
      <c r="N1474" s="70"/>
      <c r="O1474" s="77" t="s">
        <v>179</v>
      </c>
      <c r="P1474" s="79">
        <v>45072.617268518516</v>
      </c>
      <c r="Q1474" s="77" t="s">
        <v>2269</v>
      </c>
      <c r="R1474" s="77">
        <v>0</v>
      </c>
      <c r="S1474" s="77">
        <v>1</v>
      </c>
      <c r="T1474" s="77">
        <v>0</v>
      </c>
      <c r="U1474" s="77">
        <v>0</v>
      </c>
      <c r="V1474" s="77">
        <v>16</v>
      </c>
      <c r="W1474" s="81" t="s">
        <v>3653</v>
      </c>
      <c r="X1474" s="77"/>
      <c r="Y1474" s="77"/>
      <c r="Z1474" s="77"/>
      <c r="AA1474" s="77" t="s">
        <v>5384</v>
      </c>
      <c r="AB1474" s="77" t="s">
        <v>5795</v>
      </c>
      <c r="AC1474" s="81" t="s">
        <v>5805</v>
      </c>
      <c r="AD1474" s="77" t="s">
        <v>5850</v>
      </c>
      <c r="AE1474" s="83" t="str">
        <f>HYPERLINK("https://twitter.com/ahnegocios/status/1662108546404581377")</f>
        <v>https://twitter.com/ahnegocios/status/1662108546404581377</v>
      </c>
      <c r="AF1474" s="79">
        <v>45072.617268518516</v>
      </c>
      <c r="AG1474" s="85">
        <v>45072</v>
      </c>
      <c r="AH1474" s="81" t="s">
        <v>7124</v>
      </c>
      <c r="AI1474" s="77" t="b">
        <v>0</v>
      </c>
      <c r="AJ1474" s="77"/>
      <c r="AK1474" s="77"/>
      <c r="AL1474" s="77"/>
      <c r="AM1474" s="77"/>
      <c r="AN1474" s="77"/>
      <c r="AO1474" s="77"/>
      <c r="AP1474" s="77"/>
      <c r="AQ1474" s="77" t="s">
        <v>8887</v>
      </c>
      <c r="AR1474" s="77">
        <v>16137</v>
      </c>
      <c r="AS1474" s="77"/>
      <c r="AT1474" s="77"/>
      <c r="AU1474" s="77"/>
      <c r="AV1474" s="83" t="str">
        <f>HYPERLINK("https://pbs.twimg.com/ext_tw_video_thumb/1662108480277299201/pu/img/m01_RlcvW8NEDqkj.jpg")</f>
        <v>https://pbs.twimg.com/ext_tw_video_thumb/1662108480277299201/pu/img/m01_RlcvW8NEDqkj.jpg</v>
      </c>
      <c r="AW1474" s="81" t="s">
        <v>10594</v>
      </c>
      <c r="AX1474" s="81" t="s">
        <v>10594</v>
      </c>
      <c r="AY1474" s="77"/>
      <c r="AZ1474" s="81" t="s">
        <v>11359</v>
      </c>
      <c r="BA1474" s="81" t="s">
        <v>11359</v>
      </c>
      <c r="BB1474" s="81" t="s">
        <v>11359</v>
      </c>
      <c r="BC1474" s="81" t="s">
        <v>10594</v>
      </c>
      <c r="BD1474" s="81" t="s">
        <v>11559</v>
      </c>
      <c r="BE1474" s="77"/>
      <c r="BF1474" s="77"/>
      <c r="BG1474" s="77"/>
      <c r="BH1474" s="77"/>
      <c r="BI1474" s="77"/>
    </row>
    <row r="1475" spans="1:61" x14ac:dyDescent="0.25">
      <c r="A1475" s="62" t="s">
        <v>540</v>
      </c>
      <c r="B1475" s="62" t="s">
        <v>540</v>
      </c>
      <c r="C1475" s="63"/>
      <c r="D1475" s="64"/>
      <c r="E1475" s="65"/>
      <c r="F1475" s="66"/>
      <c r="G1475" s="63"/>
      <c r="H1475" s="67"/>
      <c r="I1475" s="68"/>
      <c r="J1475" s="68"/>
      <c r="K1475" s="32"/>
      <c r="L1475" s="75">
        <v>1475</v>
      </c>
      <c r="M1475" s="75"/>
      <c r="N1475" s="70"/>
      <c r="O1475" s="77" t="s">
        <v>179</v>
      </c>
      <c r="P1475" s="79">
        <v>45009.487233796295</v>
      </c>
      <c r="Q1475" s="77" t="s">
        <v>2270</v>
      </c>
      <c r="R1475" s="77">
        <v>0</v>
      </c>
      <c r="S1475" s="77">
        <v>0</v>
      </c>
      <c r="T1475" s="77">
        <v>0</v>
      </c>
      <c r="U1475" s="77">
        <v>0</v>
      </c>
      <c r="V1475" s="77">
        <v>7</v>
      </c>
      <c r="W1475" s="81" t="s">
        <v>3654</v>
      </c>
      <c r="X1475" s="77"/>
      <c r="Y1475" s="77"/>
      <c r="Z1475" s="77"/>
      <c r="AA1475" s="77"/>
      <c r="AB1475" s="77"/>
      <c r="AC1475" s="81" t="s">
        <v>5801</v>
      </c>
      <c r="AD1475" s="77" t="s">
        <v>5850</v>
      </c>
      <c r="AE1475" s="83" t="str">
        <f>HYPERLINK("https://twitter.com/vaconmarke65311/status/1639230985643466752")</f>
        <v>https://twitter.com/vaconmarke65311/status/1639230985643466752</v>
      </c>
      <c r="AF1475" s="79">
        <v>45009.487233796295</v>
      </c>
      <c r="AG1475" s="85">
        <v>45009</v>
      </c>
      <c r="AH1475" s="81" t="s">
        <v>7125</v>
      </c>
      <c r="AI1475" s="77"/>
      <c r="AJ1475" s="77"/>
      <c r="AK1475" s="77"/>
      <c r="AL1475" s="77"/>
      <c r="AM1475" s="77"/>
      <c r="AN1475" s="77"/>
      <c r="AO1475" s="77"/>
      <c r="AP1475" s="77"/>
      <c r="AQ1475" s="77"/>
      <c r="AR1475" s="77"/>
      <c r="AS1475" s="77"/>
      <c r="AT1475" s="77"/>
      <c r="AU1475" s="77"/>
      <c r="AV1475" s="83" t="str">
        <f>HYPERLINK("https://pbs.twimg.com/profile_images/1638274872177578008/V9TYfzIE_normal.jpg")</f>
        <v>https://pbs.twimg.com/profile_images/1638274872177578008/V9TYfzIE_normal.jpg</v>
      </c>
      <c r="AW1475" s="81" t="s">
        <v>10595</v>
      </c>
      <c r="AX1475" s="81" t="s">
        <v>10595</v>
      </c>
      <c r="AY1475" s="77"/>
      <c r="AZ1475" s="81" t="s">
        <v>11359</v>
      </c>
      <c r="BA1475" s="81" t="s">
        <v>11359</v>
      </c>
      <c r="BB1475" s="81" t="s">
        <v>11359</v>
      </c>
      <c r="BC1475" s="81" t="s">
        <v>10595</v>
      </c>
      <c r="BD1475" s="81" t="s">
        <v>11560</v>
      </c>
      <c r="BE1475" s="77"/>
      <c r="BF1475" s="77"/>
      <c r="BG1475" s="77"/>
      <c r="BH1475" s="77"/>
      <c r="BI1475" s="77"/>
    </row>
    <row r="1476" spans="1:61" x14ac:dyDescent="0.25">
      <c r="A1476" s="62" t="s">
        <v>541</v>
      </c>
      <c r="B1476" s="62" t="s">
        <v>541</v>
      </c>
      <c r="C1476" s="63"/>
      <c r="D1476" s="64"/>
      <c r="E1476" s="65"/>
      <c r="F1476" s="66"/>
      <c r="G1476" s="63"/>
      <c r="H1476" s="67"/>
      <c r="I1476" s="68"/>
      <c r="J1476" s="68"/>
      <c r="K1476" s="32"/>
      <c r="L1476" s="75">
        <v>1476</v>
      </c>
      <c r="M1476" s="75"/>
      <c r="N1476" s="70"/>
      <c r="O1476" s="77" t="s">
        <v>969</v>
      </c>
      <c r="P1476" s="79">
        <v>45093.012569444443</v>
      </c>
      <c r="Q1476" s="77" t="s">
        <v>2271</v>
      </c>
      <c r="R1476" s="77">
        <v>0</v>
      </c>
      <c r="S1476" s="77">
        <v>0</v>
      </c>
      <c r="T1476" s="77">
        <v>0</v>
      </c>
      <c r="U1476" s="77">
        <v>0</v>
      </c>
      <c r="V1476" s="77">
        <v>46</v>
      </c>
      <c r="W1476" s="81" t="s">
        <v>3655</v>
      </c>
      <c r="X1476" s="77"/>
      <c r="Y1476" s="77"/>
      <c r="Z1476" s="77"/>
      <c r="AA1476" s="77"/>
      <c r="AB1476" s="77"/>
      <c r="AC1476" s="81" t="s">
        <v>5803</v>
      </c>
      <c r="AD1476" s="77" t="s">
        <v>5854</v>
      </c>
      <c r="AE1476" s="83" t="str">
        <f>HYPERLINK("https://twitter.com/oleonardodantas/status/1669499555971227648")</f>
        <v>https://twitter.com/oleonardodantas/status/1669499555971227648</v>
      </c>
      <c r="AF1476" s="79">
        <v>45093.012569444443</v>
      </c>
      <c r="AG1476" s="85">
        <v>45093</v>
      </c>
      <c r="AH1476" s="81" t="s">
        <v>7126</v>
      </c>
      <c r="AI1476" s="77"/>
      <c r="AJ1476" s="77"/>
      <c r="AK1476" s="77"/>
      <c r="AL1476" s="77"/>
      <c r="AM1476" s="77"/>
      <c r="AN1476" s="77"/>
      <c r="AO1476" s="77"/>
      <c r="AP1476" s="77"/>
      <c r="AQ1476" s="77"/>
      <c r="AR1476" s="77"/>
      <c r="AS1476" s="77"/>
      <c r="AT1476" s="77"/>
      <c r="AU1476" s="77"/>
      <c r="AV1476" s="83" t="str">
        <f>HYPERLINK("https://pbs.twimg.com/profile_images/1697727016966012928/VY9K5jq8_normal.jpg")</f>
        <v>https://pbs.twimg.com/profile_images/1697727016966012928/VY9K5jq8_normal.jpg</v>
      </c>
      <c r="AW1476" s="81" t="s">
        <v>10596</v>
      </c>
      <c r="AX1476" s="81" t="s">
        <v>11292</v>
      </c>
      <c r="AY1476" s="81" t="s">
        <v>11338</v>
      </c>
      <c r="AZ1476" s="81" t="s">
        <v>11292</v>
      </c>
      <c r="BA1476" s="81" t="s">
        <v>11359</v>
      </c>
      <c r="BB1476" s="81" t="s">
        <v>11359</v>
      </c>
      <c r="BC1476" s="81" t="s">
        <v>11292</v>
      </c>
      <c r="BD1476" s="77">
        <v>1476275959</v>
      </c>
      <c r="BE1476" s="77"/>
      <c r="BF1476" s="77"/>
      <c r="BG1476" s="77"/>
      <c r="BH1476" s="77"/>
      <c r="BI1476" s="77"/>
    </row>
    <row r="1477" spans="1:61" x14ac:dyDescent="0.25">
      <c r="A1477" s="62" t="s">
        <v>542</v>
      </c>
      <c r="B1477" s="62" t="s">
        <v>542</v>
      </c>
      <c r="C1477" s="63"/>
      <c r="D1477" s="64"/>
      <c r="E1477" s="65"/>
      <c r="F1477" s="66"/>
      <c r="G1477" s="63"/>
      <c r="H1477" s="67"/>
      <c r="I1477" s="68"/>
      <c r="J1477" s="68"/>
      <c r="K1477" s="32"/>
      <c r="L1477" s="75">
        <v>1477</v>
      </c>
      <c r="M1477" s="75"/>
      <c r="N1477" s="70"/>
      <c r="O1477" s="77" t="s">
        <v>179</v>
      </c>
      <c r="P1477" s="79">
        <v>45116.641168981485</v>
      </c>
      <c r="Q1477" s="77" t="s">
        <v>2272</v>
      </c>
      <c r="R1477" s="77">
        <v>0</v>
      </c>
      <c r="S1477" s="77">
        <v>1</v>
      </c>
      <c r="T1477" s="77">
        <v>0</v>
      </c>
      <c r="U1477" s="77">
        <v>0</v>
      </c>
      <c r="V1477" s="77">
        <v>6</v>
      </c>
      <c r="W1477" s="81" t="s">
        <v>3656</v>
      </c>
      <c r="X1477" s="77"/>
      <c r="Y1477" s="77"/>
      <c r="Z1477" s="77"/>
      <c r="AA1477" s="77" t="s">
        <v>5385</v>
      </c>
      <c r="AB1477" s="77" t="s">
        <v>5795</v>
      </c>
      <c r="AC1477" s="81" t="s">
        <v>5801</v>
      </c>
      <c r="AD1477" s="77" t="s">
        <v>5851</v>
      </c>
      <c r="AE1477" s="83" t="str">
        <f>HYPERLINK("https://twitter.com/doutornegis/status/1678062273514938372")</f>
        <v>https://twitter.com/doutornegis/status/1678062273514938372</v>
      </c>
      <c r="AF1477" s="79">
        <v>45116.641168981485</v>
      </c>
      <c r="AG1477" s="85">
        <v>45116</v>
      </c>
      <c r="AH1477" s="81" t="s">
        <v>7127</v>
      </c>
      <c r="AI1477" s="77" t="b">
        <v>0</v>
      </c>
      <c r="AJ1477" s="77" t="s">
        <v>7737</v>
      </c>
      <c r="AK1477" s="77" t="s">
        <v>7763</v>
      </c>
      <c r="AL1477" s="77" t="s">
        <v>7772</v>
      </c>
      <c r="AM1477" s="77" t="s">
        <v>7791</v>
      </c>
      <c r="AN1477" s="77" t="s">
        <v>7827</v>
      </c>
      <c r="AO1477" s="77" t="s">
        <v>7863</v>
      </c>
      <c r="AP1477" s="77" t="s">
        <v>7889</v>
      </c>
      <c r="AQ1477" s="77" t="s">
        <v>8888</v>
      </c>
      <c r="AR1477" s="77">
        <v>57632</v>
      </c>
      <c r="AS1477" s="77"/>
      <c r="AT1477" s="77"/>
      <c r="AU1477" s="77"/>
      <c r="AV1477" s="83" t="str">
        <f>HYPERLINK("https://pbs.twimg.com/ext_tw_video_thumb/1678062228337991680/pu/img/mYlNnFOGUN-FstvS.jpg")</f>
        <v>https://pbs.twimg.com/ext_tw_video_thumb/1678062228337991680/pu/img/mYlNnFOGUN-FstvS.jpg</v>
      </c>
      <c r="AW1477" s="81" t="s">
        <v>10597</v>
      </c>
      <c r="AX1477" s="81" t="s">
        <v>10597</v>
      </c>
      <c r="AY1477" s="77"/>
      <c r="AZ1477" s="81" t="s">
        <v>11359</v>
      </c>
      <c r="BA1477" s="81" t="s">
        <v>11359</v>
      </c>
      <c r="BB1477" s="81" t="s">
        <v>11359</v>
      </c>
      <c r="BC1477" s="81" t="s">
        <v>10597</v>
      </c>
      <c r="BD1477" s="81" t="s">
        <v>11561</v>
      </c>
      <c r="BE1477" s="77"/>
      <c r="BF1477" s="77"/>
      <c r="BG1477" s="77"/>
      <c r="BH1477" s="77"/>
      <c r="BI1477" s="77"/>
    </row>
    <row r="1478" spans="1:61" x14ac:dyDescent="0.25">
      <c r="A1478" s="62" t="s">
        <v>543</v>
      </c>
      <c r="B1478" s="62" t="s">
        <v>543</v>
      </c>
      <c r="C1478" s="63"/>
      <c r="D1478" s="64"/>
      <c r="E1478" s="65"/>
      <c r="F1478" s="66"/>
      <c r="G1478" s="63"/>
      <c r="H1478" s="67"/>
      <c r="I1478" s="68"/>
      <c r="J1478" s="68"/>
      <c r="K1478" s="32"/>
      <c r="L1478" s="75">
        <v>1478</v>
      </c>
      <c r="M1478" s="75"/>
      <c r="N1478" s="70"/>
      <c r="O1478" s="77" t="s">
        <v>179</v>
      </c>
      <c r="P1478" s="79">
        <v>45000.923842592594</v>
      </c>
      <c r="Q1478" s="77" t="s">
        <v>2273</v>
      </c>
      <c r="R1478" s="77">
        <v>0</v>
      </c>
      <c r="S1478" s="77">
        <v>0</v>
      </c>
      <c r="T1478" s="77">
        <v>0</v>
      </c>
      <c r="U1478" s="77">
        <v>0</v>
      </c>
      <c r="V1478" s="77">
        <v>9</v>
      </c>
      <c r="W1478" s="81" t="s">
        <v>2947</v>
      </c>
      <c r="X1478" s="77"/>
      <c r="Y1478" s="77"/>
      <c r="Z1478" s="77"/>
      <c r="AA1478" s="77" t="s">
        <v>5386</v>
      </c>
      <c r="AB1478" s="77" t="s">
        <v>5794</v>
      </c>
      <c r="AC1478" s="81" t="s">
        <v>5801</v>
      </c>
      <c r="AD1478" s="77" t="s">
        <v>5850</v>
      </c>
      <c r="AE1478" s="83" t="str">
        <f>HYPERLINK("https://twitter.com/alaboralec/status/1636127719258816515")</f>
        <v>https://twitter.com/alaboralec/status/1636127719258816515</v>
      </c>
      <c r="AF1478" s="79">
        <v>45000.923842592594</v>
      </c>
      <c r="AG1478" s="85">
        <v>45000</v>
      </c>
      <c r="AH1478" s="81" t="s">
        <v>7128</v>
      </c>
      <c r="AI1478" s="77" t="b">
        <v>0</v>
      </c>
      <c r="AJ1478" s="77"/>
      <c r="AK1478" s="77"/>
      <c r="AL1478" s="77"/>
      <c r="AM1478" s="77"/>
      <c r="AN1478" s="77"/>
      <c r="AO1478" s="77"/>
      <c r="AP1478" s="77"/>
      <c r="AQ1478" s="77" t="s">
        <v>8889</v>
      </c>
      <c r="AR1478" s="77"/>
      <c r="AS1478" s="77"/>
      <c r="AT1478" s="77"/>
      <c r="AU1478" s="77"/>
      <c r="AV1478" s="83" t="str">
        <f>HYPERLINK("https://pbs.twimg.com/media/FrSxfGSWAAAuKX5.jpg")</f>
        <v>https://pbs.twimg.com/media/FrSxfGSWAAAuKX5.jpg</v>
      </c>
      <c r="AW1478" s="81" t="s">
        <v>10598</v>
      </c>
      <c r="AX1478" s="81" t="s">
        <v>10598</v>
      </c>
      <c r="AY1478" s="77"/>
      <c r="AZ1478" s="81" t="s">
        <v>11359</v>
      </c>
      <c r="BA1478" s="81" t="s">
        <v>11359</v>
      </c>
      <c r="BB1478" s="81" t="s">
        <v>11359</v>
      </c>
      <c r="BC1478" s="81" t="s">
        <v>10598</v>
      </c>
      <c r="BD1478" s="81" t="s">
        <v>11562</v>
      </c>
      <c r="BE1478" s="77"/>
      <c r="BF1478" s="77"/>
      <c r="BG1478" s="77"/>
      <c r="BH1478" s="77"/>
      <c r="BI1478" s="77"/>
    </row>
    <row r="1479" spans="1:61" x14ac:dyDescent="0.25">
      <c r="A1479" s="62" t="s">
        <v>544</v>
      </c>
      <c r="B1479" s="62" t="s">
        <v>544</v>
      </c>
      <c r="C1479" s="63"/>
      <c r="D1479" s="64"/>
      <c r="E1479" s="65"/>
      <c r="F1479" s="66"/>
      <c r="G1479" s="63"/>
      <c r="H1479" s="67"/>
      <c r="I1479" s="68"/>
      <c r="J1479" s="68"/>
      <c r="K1479" s="32"/>
      <c r="L1479" s="75">
        <v>1479</v>
      </c>
      <c r="M1479" s="75"/>
      <c r="N1479" s="70"/>
      <c r="O1479" s="77" t="s">
        <v>179</v>
      </c>
      <c r="P1479" s="79">
        <v>45124.621493055558</v>
      </c>
      <c r="Q1479" s="77" t="s">
        <v>2274</v>
      </c>
      <c r="R1479" s="77">
        <v>0</v>
      </c>
      <c r="S1479" s="77">
        <v>2</v>
      </c>
      <c r="T1479" s="77">
        <v>0</v>
      </c>
      <c r="U1479" s="77">
        <v>0</v>
      </c>
      <c r="V1479" s="77">
        <v>67</v>
      </c>
      <c r="W1479" s="81" t="s">
        <v>3657</v>
      </c>
      <c r="X1479" s="77"/>
      <c r="Y1479" s="77"/>
      <c r="Z1479" s="77"/>
      <c r="AA1479" s="77" t="s">
        <v>5387</v>
      </c>
      <c r="AB1479" s="77" t="s">
        <v>5794</v>
      </c>
      <c r="AC1479" s="81" t="s">
        <v>5805</v>
      </c>
      <c r="AD1479" s="77" t="s">
        <v>5851</v>
      </c>
      <c r="AE1479" s="83" t="str">
        <f>HYPERLINK("https://twitter.com/plastlaminados/status/1680954246957506561")</f>
        <v>https://twitter.com/plastlaminados/status/1680954246957506561</v>
      </c>
      <c r="AF1479" s="79">
        <v>45124.621493055558</v>
      </c>
      <c r="AG1479" s="85">
        <v>45124</v>
      </c>
      <c r="AH1479" s="81" t="s">
        <v>7129</v>
      </c>
      <c r="AI1479" s="77" t="b">
        <v>0</v>
      </c>
      <c r="AJ1479" s="77"/>
      <c r="AK1479" s="77"/>
      <c r="AL1479" s="77"/>
      <c r="AM1479" s="77"/>
      <c r="AN1479" s="77"/>
      <c r="AO1479" s="77"/>
      <c r="AP1479" s="77"/>
      <c r="AQ1479" s="77" t="s">
        <v>8890</v>
      </c>
      <c r="AR1479" s="77"/>
      <c r="AS1479" s="77"/>
      <c r="AT1479" s="77"/>
      <c r="AU1479" s="77"/>
      <c r="AV1479" s="83" t="str">
        <f>HYPERLINK("https://pbs.twimg.com/media/F1Pw-ZiWcAARKca.jpg")</f>
        <v>https://pbs.twimg.com/media/F1Pw-ZiWcAARKca.jpg</v>
      </c>
      <c r="AW1479" s="81" t="s">
        <v>10599</v>
      </c>
      <c r="AX1479" s="81" t="s">
        <v>10599</v>
      </c>
      <c r="AY1479" s="77"/>
      <c r="AZ1479" s="81" t="s">
        <v>11359</v>
      </c>
      <c r="BA1479" s="81" t="s">
        <v>11359</v>
      </c>
      <c r="BB1479" s="81" t="s">
        <v>11359</v>
      </c>
      <c r="BC1479" s="81" t="s">
        <v>10599</v>
      </c>
      <c r="BD1479" s="77">
        <v>296374541</v>
      </c>
      <c r="BE1479" s="77"/>
      <c r="BF1479" s="77"/>
      <c r="BG1479" s="77"/>
      <c r="BH1479" s="77"/>
      <c r="BI1479" s="77"/>
    </row>
    <row r="1480" spans="1:61" x14ac:dyDescent="0.25">
      <c r="A1480" s="62" t="s">
        <v>545</v>
      </c>
      <c r="B1480" s="62" t="s">
        <v>545</v>
      </c>
      <c r="C1480" s="63"/>
      <c r="D1480" s="64"/>
      <c r="E1480" s="65"/>
      <c r="F1480" s="66"/>
      <c r="G1480" s="63"/>
      <c r="H1480" s="67"/>
      <c r="I1480" s="68"/>
      <c r="J1480" s="68"/>
      <c r="K1480" s="32"/>
      <c r="L1480" s="75">
        <v>1480</v>
      </c>
      <c r="M1480" s="75"/>
      <c r="N1480" s="70"/>
      <c r="O1480" s="77" t="s">
        <v>179</v>
      </c>
      <c r="P1480" s="79">
        <v>45124.95239583333</v>
      </c>
      <c r="Q1480" s="77" t="s">
        <v>2275</v>
      </c>
      <c r="R1480" s="77">
        <v>0</v>
      </c>
      <c r="S1480" s="77">
        <v>0</v>
      </c>
      <c r="T1480" s="77">
        <v>0</v>
      </c>
      <c r="U1480" s="77">
        <v>0</v>
      </c>
      <c r="V1480" s="77">
        <v>9</v>
      </c>
      <c r="W1480" s="81" t="s">
        <v>3658</v>
      </c>
      <c r="X1480" s="83" t="str">
        <f>HYPERLINK("https://www.instagram.com/reel/Cu0C6W0NYBW/?igshid=MTc4MmM1YmI2Ng==")</f>
        <v>https://www.instagram.com/reel/Cu0C6W0NYBW/?igshid=MTc4MmM1YmI2Ng==</v>
      </c>
      <c r="Y1480" s="77" t="s">
        <v>4215</v>
      </c>
      <c r="Z1480" s="77"/>
      <c r="AA1480" s="77"/>
      <c r="AB1480" s="77"/>
      <c r="AC1480" s="81" t="s">
        <v>5801</v>
      </c>
      <c r="AD1480" s="77" t="s">
        <v>5850</v>
      </c>
      <c r="AE1480" s="83" t="str">
        <f>HYPERLINK("https://twitter.com/jorge_ebe85/status/1681074162343747584")</f>
        <v>https://twitter.com/jorge_ebe85/status/1681074162343747584</v>
      </c>
      <c r="AF1480" s="79">
        <v>45124.95239583333</v>
      </c>
      <c r="AG1480" s="85">
        <v>45124</v>
      </c>
      <c r="AH1480" s="81" t="s">
        <v>7130</v>
      </c>
      <c r="AI1480" s="77" t="b">
        <v>0</v>
      </c>
      <c r="AJ1480" s="77"/>
      <c r="AK1480" s="77"/>
      <c r="AL1480" s="77"/>
      <c r="AM1480" s="77"/>
      <c r="AN1480" s="77"/>
      <c r="AO1480" s="77"/>
      <c r="AP1480" s="77"/>
      <c r="AQ1480" s="77"/>
      <c r="AR1480" s="77"/>
      <c r="AS1480" s="77"/>
      <c r="AT1480" s="77"/>
      <c r="AU1480" s="77"/>
      <c r="AV1480" s="83" t="str">
        <f>HYPERLINK("https://pbs.twimg.com/profile_images/1626279381277589505/pM1YxkWl_normal.jpg")</f>
        <v>https://pbs.twimg.com/profile_images/1626279381277589505/pM1YxkWl_normal.jpg</v>
      </c>
      <c r="AW1480" s="81" t="s">
        <v>10600</v>
      </c>
      <c r="AX1480" s="81" t="s">
        <v>10600</v>
      </c>
      <c r="AY1480" s="77"/>
      <c r="AZ1480" s="81" t="s">
        <v>11359</v>
      </c>
      <c r="BA1480" s="81" t="s">
        <v>11359</v>
      </c>
      <c r="BB1480" s="81" t="s">
        <v>11359</v>
      </c>
      <c r="BC1480" s="81" t="s">
        <v>10600</v>
      </c>
      <c r="BD1480" s="81" t="s">
        <v>11563</v>
      </c>
      <c r="BE1480" s="77"/>
      <c r="BF1480" s="77"/>
      <c r="BG1480" s="77"/>
      <c r="BH1480" s="77"/>
      <c r="BI1480" s="77"/>
    </row>
    <row r="1481" spans="1:61" x14ac:dyDescent="0.25">
      <c r="A1481" s="62" t="s">
        <v>545</v>
      </c>
      <c r="B1481" s="62" t="s">
        <v>545</v>
      </c>
      <c r="C1481" s="63"/>
      <c r="D1481" s="64"/>
      <c r="E1481" s="65"/>
      <c r="F1481" s="66"/>
      <c r="G1481" s="63"/>
      <c r="H1481" s="67"/>
      <c r="I1481" s="68"/>
      <c r="J1481" s="68"/>
      <c r="K1481" s="32"/>
      <c r="L1481" s="75">
        <v>1481</v>
      </c>
      <c r="M1481" s="75"/>
      <c r="N1481" s="70"/>
      <c r="O1481" s="77" t="s">
        <v>179</v>
      </c>
      <c r="P1481" s="79">
        <v>45124.896423611113</v>
      </c>
      <c r="Q1481" s="77" t="s">
        <v>2276</v>
      </c>
      <c r="R1481" s="77">
        <v>0</v>
      </c>
      <c r="S1481" s="77">
        <v>0</v>
      </c>
      <c r="T1481" s="77">
        <v>0</v>
      </c>
      <c r="U1481" s="77">
        <v>0</v>
      </c>
      <c r="V1481" s="77">
        <v>3</v>
      </c>
      <c r="W1481" s="81" t="s">
        <v>3659</v>
      </c>
      <c r="X1481" s="83" t="str">
        <f>HYPERLINK("https://youtube.com/shorts/2gCwuyjBe7k?feature=share")</f>
        <v>https://youtube.com/shorts/2gCwuyjBe7k?feature=share</v>
      </c>
      <c r="Y1481" s="77" t="s">
        <v>4225</v>
      </c>
      <c r="Z1481" s="77"/>
      <c r="AA1481" s="77"/>
      <c r="AB1481" s="77"/>
      <c r="AC1481" s="81" t="s">
        <v>5801</v>
      </c>
      <c r="AD1481" s="77" t="s">
        <v>5853</v>
      </c>
      <c r="AE1481" s="83" t="str">
        <f>HYPERLINK("https://twitter.com/jorge_ebe85/status/1681053879474036737")</f>
        <v>https://twitter.com/jorge_ebe85/status/1681053879474036737</v>
      </c>
      <c r="AF1481" s="79">
        <v>45124.896423611113</v>
      </c>
      <c r="AG1481" s="85">
        <v>45124</v>
      </c>
      <c r="AH1481" s="81" t="s">
        <v>7131</v>
      </c>
      <c r="AI1481" s="77" t="b">
        <v>0</v>
      </c>
      <c r="AJ1481" s="77"/>
      <c r="AK1481" s="77"/>
      <c r="AL1481" s="77"/>
      <c r="AM1481" s="77"/>
      <c r="AN1481" s="77"/>
      <c r="AO1481" s="77"/>
      <c r="AP1481" s="77"/>
      <c r="AQ1481" s="77"/>
      <c r="AR1481" s="77"/>
      <c r="AS1481" s="77"/>
      <c r="AT1481" s="77"/>
      <c r="AU1481" s="77"/>
      <c r="AV1481" s="83" t="str">
        <f>HYPERLINK("https://pbs.twimg.com/profile_images/1626279381277589505/pM1YxkWl_normal.jpg")</f>
        <v>https://pbs.twimg.com/profile_images/1626279381277589505/pM1YxkWl_normal.jpg</v>
      </c>
      <c r="AW1481" s="81" t="s">
        <v>10601</v>
      </c>
      <c r="AX1481" s="81" t="s">
        <v>10601</v>
      </c>
      <c r="AY1481" s="77"/>
      <c r="AZ1481" s="81" t="s">
        <v>11359</v>
      </c>
      <c r="BA1481" s="81" t="s">
        <v>11359</v>
      </c>
      <c r="BB1481" s="81" t="s">
        <v>11359</v>
      </c>
      <c r="BC1481" s="81" t="s">
        <v>10601</v>
      </c>
      <c r="BD1481" s="81" t="s">
        <v>11563</v>
      </c>
      <c r="BE1481" s="77"/>
      <c r="BF1481" s="77"/>
      <c r="BG1481" s="77"/>
      <c r="BH1481" s="77"/>
      <c r="BI1481" s="77"/>
    </row>
    <row r="1482" spans="1:61" x14ac:dyDescent="0.25">
      <c r="A1482" s="62" t="s">
        <v>546</v>
      </c>
      <c r="B1482" s="62" t="s">
        <v>546</v>
      </c>
      <c r="C1482" s="63"/>
      <c r="D1482" s="64"/>
      <c r="E1482" s="65"/>
      <c r="F1482" s="66"/>
      <c r="G1482" s="63"/>
      <c r="H1482" s="67"/>
      <c r="I1482" s="68"/>
      <c r="J1482" s="68"/>
      <c r="K1482" s="32"/>
      <c r="L1482" s="75">
        <v>1482</v>
      </c>
      <c r="M1482" s="75"/>
      <c r="N1482" s="70"/>
      <c r="O1482" s="77" t="s">
        <v>179</v>
      </c>
      <c r="P1482" s="79">
        <v>45066.688703703701</v>
      </c>
      <c r="Q1482" s="77" t="s">
        <v>2277</v>
      </c>
      <c r="R1482" s="77">
        <v>0</v>
      </c>
      <c r="S1482" s="77">
        <v>0</v>
      </c>
      <c r="T1482" s="77">
        <v>0</v>
      </c>
      <c r="U1482" s="77">
        <v>0</v>
      </c>
      <c r="V1482" s="77">
        <v>39</v>
      </c>
      <c r="W1482" s="81" t="s">
        <v>3660</v>
      </c>
      <c r="X1482" s="83" t="str">
        <f>HYPERLINK("https://bit.ly/436toc4")</f>
        <v>https://bit.ly/436toc4</v>
      </c>
      <c r="Y1482" s="77" t="s">
        <v>4213</v>
      </c>
      <c r="Z1482" s="77"/>
      <c r="AA1482" s="77"/>
      <c r="AB1482" s="77"/>
      <c r="AC1482" s="81" t="s">
        <v>5805</v>
      </c>
      <c r="AD1482" s="77" t="s">
        <v>5850</v>
      </c>
      <c r="AE1482" s="83" t="str">
        <f>HYPERLINK("https://twitter.com/elcircotv/status/1659960105838706689")</f>
        <v>https://twitter.com/elcircotv/status/1659960105838706689</v>
      </c>
      <c r="AF1482" s="79">
        <v>45066.688703703701</v>
      </c>
      <c r="AG1482" s="85">
        <v>45066</v>
      </c>
      <c r="AH1482" s="81" t="s">
        <v>7132</v>
      </c>
      <c r="AI1482" s="77" t="b">
        <v>0</v>
      </c>
      <c r="AJ1482" s="77"/>
      <c r="AK1482" s="77"/>
      <c r="AL1482" s="77"/>
      <c r="AM1482" s="77"/>
      <c r="AN1482" s="77"/>
      <c r="AO1482" s="77"/>
      <c r="AP1482" s="77"/>
      <c r="AQ1482" s="77"/>
      <c r="AR1482" s="77"/>
      <c r="AS1482" s="77"/>
      <c r="AT1482" s="77"/>
      <c r="AU1482" s="77"/>
      <c r="AV1482" s="83" t="str">
        <f>HYPERLINK("https://pbs.twimg.com/profile_images/1613110555882954753/BqN5V-gf_normal.jpg")</f>
        <v>https://pbs.twimg.com/profile_images/1613110555882954753/BqN5V-gf_normal.jpg</v>
      </c>
      <c r="AW1482" s="81" t="s">
        <v>10602</v>
      </c>
      <c r="AX1482" s="81" t="s">
        <v>10602</v>
      </c>
      <c r="AY1482" s="77"/>
      <c r="AZ1482" s="81" t="s">
        <v>11359</v>
      </c>
      <c r="BA1482" s="81" t="s">
        <v>11359</v>
      </c>
      <c r="BB1482" s="81" t="s">
        <v>11359</v>
      </c>
      <c r="BC1482" s="81" t="s">
        <v>10602</v>
      </c>
      <c r="BD1482" s="77">
        <v>1264016365</v>
      </c>
      <c r="BE1482" s="77"/>
      <c r="BF1482" s="77"/>
      <c r="BG1482" s="77"/>
      <c r="BH1482" s="77"/>
      <c r="BI1482" s="77"/>
    </row>
    <row r="1483" spans="1:61" x14ac:dyDescent="0.25">
      <c r="A1483" s="62" t="s">
        <v>546</v>
      </c>
      <c r="B1483" s="62" t="s">
        <v>546</v>
      </c>
      <c r="C1483" s="63"/>
      <c r="D1483" s="64"/>
      <c r="E1483" s="65"/>
      <c r="F1483" s="66"/>
      <c r="G1483" s="63"/>
      <c r="H1483" s="67"/>
      <c r="I1483" s="68"/>
      <c r="J1483" s="68"/>
      <c r="K1483" s="32"/>
      <c r="L1483" s="75">
        <v>1483</v>
      </c>
      <c r="M1483" s="75"/>
      <c r="N1483" s="70"/>
      <c r="O1483" s="77" t="s">
        <v>179</v>
      </c>
      <c r="P1483" s="79">
        <v>45066.67597222222</v>
      </c>
      <c r="Q1483" s="77" t="s">
        <v>2278</v>
      </c>
      <c r="R1483" s="77">
        <v>0</v>
      </c>
      <c r="S1483" s="77">
        <v>0</v>
      </c>
      <c r="T1483" s="77">
        <v>0</v>
      </c>
      <c r="U1483" s="77">
        <v>0</v>
      </c>
      <c r="V1483" s="77">
        <v>39</v>
      </c>
      <c r="W1483" s="81" t="s">
        <v>3661</v>
      </c>
      <c r="X1483" s="83" t="str">
        <f>HYPERLINK("https://bit.ly/3WoEwij")</f>
        <v>https://bit.ly/3WoEwij</v>
      </c>
      <c r="Y1483" s="77" t="s">
        <v>4213</v>
      </c>
      <c r="Z1483" s="77"/>
      <c r="AA1483" s="77"/>
      <c r="AB1483" s="77"/>
      <c r="AC1483" s="81" t="s">
        <v>5805</v>
      </c>
      <c r="AD1483" s="77" t="s">
        <v>5850</v>
      </c>
      <c r="AE1483" s="83" t="str">
        <f>HYPERLINK("https://twitter.com/elcircotv/status/1659955494105014279")</f>
        <v>https://twitter.com/elcircotv/status/1659955494105014279</v>
      </c>
      <c r="AF1483" s="79">
        <v>45066.67597222222</v>
      </c>
      <c r="AG1483" s="85">
        <v>45066</v>
      </c>
      <c r="AH1483" s="81" t="s">
        <v>7133</v>
      </c>
      <c r="AI1483" s="77" t="b">
        <v>0</v>
      </c>
      <c r="AJ1483" s="77"/>
      <c r="AK1483" s="77"/>
      <c r="AL1483" s="77"/>
      <c r="AM1483" s="77"/>
      <c r="AN1483" s="77"/>
      <c r="AO1483" s="77"/>
      <c r="AP1483" s="77"/>
      <c r="AQ1483" s="77"/>
      <c r="AR1483" s="77"/>
      <c r="AS1483" s="77"/>
      <c r="AT1483" s="77"/>
      <c r="AU1483" s="77"/>
      <c r="AV1483" s="83" t="str">
        <f>HYPERLINK("https://pbs.twimg.com/profile_images/1613110555882954753/BqN5V-gf_normal.jpg")</f>
        <v>https://pbs.twimg.com/profile_images/1613110555882954753/BqN5V-gf_normal.jpg</v>
      </c>
      <c r="AW1483" s="81" t="s">
        <v>10603</v>
      </c>
      <c r="AX1483" s="81" t="s">
        <v>10603</v>
      </c>
      <c r="AY1483" s="77"/>
      <c r="AZ1483" s="81" t="s">
        <v>11359</v>
      </c>
      <c r="BA1483" s="81" t="s">
        <v>11359</v>
      </c>
      <c r="BB1483" s="81" t="s">
        <v>11359</v>
      </c>
      <c r="BC1483" s="81" t="s">
        <v>10603</v>
      </c>
      <c r="BD1483" s="77">
        <v>1264016365</v>
      </c>
      <c r="BE1483" s="77"/>
      <c r="BF1483" s="77"/>
      <c r="BG1483" s="77"/>
      <c r="BH1483" s="77"/>
      <c r="BI1483" s="77"/>
    </row>
    <row r="1484" spans="1:61" x14ac:dyDescent="0.25">
      <c r="A1484" s="62" t="s">
        <v>546</v>
      </c>
      <c r="B1484" s="62" t="s">
        <v>546</v>
      </c>
      <c r="C1484" s="63"/>
      <c r="D1484" s="64"/>
      <c r="E1484" s="65"/>
      <c r="F1484" s="66"/>
      <c r="G1484" s="63"/>
      <c r="H1484" s="67"/>
      <c r="I1484" s="68"/>
      <c r="J1484" s="68"/>
      <c r="K1484" s="32"/>
      <c r="L1484" s="75">
        <v>1484</v>
      </c>
      <c r="M1484" s="75"/>
      <c r="N1484" s="70"/>
      <c r="O1484" s="77" t="s">
        <v>179</v>
      </c>
      <c r="P1484" s="79">
        <v>45139.859502314815</v>
      </c>
      <c r="Q1484" s="77" t="s">
        <v>2279</v>
      </c>
      <c r="R1484" s="77">
        <v>0</v>
      </c>
      <c r="S1484" s="77">
        <v>0</v>
      </c>
      <c r="T1484" s="77">
        <v>0</v>
      </c>
      <c r="U1484" s="77">
        <v>0</v>
      </c>
      <c r="V1484" s="77">
        <v>51</v>
      </c>
      <c r="W1484" s="81" t="s">
        <v>3662</v>
      </c>
      <c r="X1484" s="83" t="str">
        <f>HYPERLINK("https://bit.ly/43Qxt3O")</f>
        <v>https://bit.ly/43Qxt3O</v>
      </c>
      <c r="Y1484" s="77" t="s">
        <v>4213</v>
      </c>
      <c r="Z1484" s="77"/>
      <c r="AA1484" s="77"/>
      <c r="AB1484" s="77"/>
      <c r="AC1484" s="81" t="s">
        <v>5805</v>
      </c>
      <c r="AD1484" s="77" t="s">
        <v>5850</v>
      </c>
      <c r="AE1484" s="83" t="str">
        <f>HYPERLINK("https://twitter.com/elcircotv/status/1686476315161919489")</f>
        <v>https://twitter.com/elcircotv/status/1686476315161919489</v>
      </c>
      <c r="AF1484" s="79">
        <v>45139.859502314815</v>
      </c>
      <c r="AG1484" s="85">
        <v>45139</v>
      </c>
      <c r="AH1484" s="81" t="s">
        <v>7134</v>
      </c>
      <c r="AI1484" s="77" t="b">
        <v>0</v>
      </c>
      <c r="AJ1484" s="77"/>
      <c r="AK1484" s="77"/>
      <c r="AL1484" s="77"/>
      <c r="AM1484" s="77"/>
      <c r="AN1484" s="77"/>
      <c r="AO1484" s="77"/>
      <c r="AP1484" s="77"/>
      <c r="AQ1484" s="77"/>
      <c r="AR1484" s="77"/>
      <c r="AS1484" s="77"/>
      <c r="AT1484" s="77"/>
      <c r="AU1484" s="77"/>
      <c r="AV1484" s="83" t="str">
        <f>HYPERLINK("https://pbs.twimg.com/profile_images/1613110555882954753/BqN5V-gf_normal.jpg")</f>
        <v>https://pbs.twimg.com/profile_images/1613110555882954753/BqN5V-gf_normal.jpg</v>
      </c>
      <c r="AW1484" s="81" t="s">
        <v>10604</v>
      </c>
      <c r="AX1484" s="81" t="s">
        <v>10604</v>
      </c>
      <c r="AY1484" s="77"/>
      <c r="AZ1484" s="81" t="s">
        <v>11359</v>
      </c>
      <c r="BA1484" s="81" t="s">
        <v>11359</v>
      </c>
      <c r="BB1484" s="81" t="s">
        <v>11359</v>
      </c>
      <c r="BC1484" s="81" t="s">
        <v>10604</v>
      </c>
      <c r="BD1484" s="77">
        <v>1264016365</v>
      </c>
      <c r="BE1484" s="77"/>
      <c r="BF1484" s="77"/>
      <c r="BG1484" s="77"/>
      <c r="BH1484" s="77"/>
      <c r="BI1484" s="77"/>
    </row>
    <row r="1485" spans="1:61" x14ac:dyDescent="0.25">
      <c r="A1485" s="62" t="s">
        <v>546</v>
      </c>
      <c r="B1485" s="62" t="s">
        <v>546</v>
      </c>
      <c r="C1485" s="63"/>
      <c r="D1485" s="64"/>
      <c r="E1485" s="65"/>
      <c r="F1485" s="66"/>
      <c r="G1485" s="63"/>
      <c r="H1485" s="67"/>
      <c r="I1485" s="68"/>
      <c r="J1485" s="68"/>
      <c r="K1485" s="32"/>
      <c r="L1485" s="75">
        <v>1485</v>
      </c>
      <c r="M1485" s="75"/>
      <c r="N1485" s="70"/>
      <c r="O1485" s="77" t="s">
        <v>179</v>
      </c>
      <c r="P1485" s="79">
        <v>45139.858437499999</v>
      </c>
      <c r="Q1485" s="77" t="s">
        <v>2280</v>
      </c>
      <c r="R1485" s="77">
        <v>0</v>
      </c>
      <c r="S1485" s="77">
        <v>0</v>
      </c>
      <c r="T1485" s="77">
        <v>0</v>
      </c>
      <c r="U1485" s="77">
        <v>0</v>
      </c>
      <c r="V1485" s="77">
        <v>51</v>
      </c>
      <c r="W1485" s="81" t="s">
        <v>3663</v>
      </c>
      <c r="X1485" s="83" t="str">
        <f>HYPERLINK("https://bit.ly/44O5iDP")</f>
        <v>https://bit.ly/44O5iDP</v>
      </c>
      <c r="Y1485" s="77" t="s">
        <v>4213</v>
      </c>
      <c r="Z1485" s="77"/>
      <c r="AA1485" s="77"/>
      <c r="AB1485" s="77"/>
      <c r="AC1485" s="81" t="s">
        <v>5805</v>
      </c>
      <c r="AD1485" s="77" t="s">
        <v>5850</v>
      </c>
      <c r="AE1485" s="83" t="str">
        <f>HYPERLINK("https://twitter.com/elcircotv/status/1686475928489123840")</f>
        <v>https://twitter.com/elcircotv/status/1686475928489123840</v>
      </c>
      <c r="AF1485" s="79">
        <v>45139.858437499999</v>
      </c>
      <c r="AG1485" s="85">
        <v>45139</v>
      </c>
      <c r="AH1485" s="81" t="s">
        <v>7135</v>
      </c>
      <c r="AI1485" s="77" t="b">
        <v>0</v>
      </c>
      <c r="AJ1485" s="77"/>
      <c r="AK1485" s="77"/>
      <c r="AL1485" s="77"/>
      <c r="AM1485" s="77"/>
      <c r="AN1485" s="77"/>
      <c r="AO1485" s="77"/>
      <c r="AP1485" s="77"/>
      <c r="AQ1485" s="77"/>
      <c r="AR1485" s="77"/>
      <c r="AS1485" s="77"/>
      <c r="AT1485" s="77"/>
      <c r="AU1485" s="77"/>
      <c r="AV1485" s="83" t="str">
        <f>HYPERLINK("https://pbs.twimg.com/profile_images/1613110555882954753/BqN5V-gf_normal.jpg")</f>
        <v>https://pbs.twimg.com/profile_images/1613110555882954753/BqN5V-gf_normal.jpg</v>
      </c>
      <c r="AW1485" s="81" t="s">
        <v>10605</v>
      </c>
      <c r="AX1485" s="81" t="s">
        <v>10605</v>
      </c>
      <c r="AY1485" s="77"/>
      <c r="AZ1485" s="81" t="s">
        <v>11359</v>
      </c>
      <c r="BA1485" s="81" t="s">
        <v>11359</v>
      </c>
      <c r="BB1485" s="81" t="s">
        <v>11359</v>
      </c>
      <c r="BC1485" s="81" t="s">
        <v>10605</v>
      </c>
      <c r="BD1485" s="77">
        <v>1264016365</v>
      </c>
      <c r="BE1485" s="77"/>
      <c r="BF1485" s="77"/>
      <c r="BG1485" s="77"/>
      <c r="BH1485" s="77"/>
      <c r="BI1485" s="77"/>
    </row>
    <row r="1486" spans="1:61" x14ac:dyDescent="0.25">
      <c r="A1486" s="62" t="s">
        <v>547</v>
      </c>
      <c r="B1486" s="62" t="s">
        <v>547</v>
      </c>
      <c r="C1486" s="63"/>
      <c r="D1486" s="64"/>
      <c r="E1486" s="65"/>
      <c r="F1486" s="66"/>
      <c r="G1486" s="63"/>
      <c r="H1486" s="67"/>
      <c r="I1486" s="68"/>
      <c r="J1486" s="68"/>
      <c r="K1486" s="32"/>
      <c r="L1486" s="75">
        <v>1486</v>
      </c>
      <c r="M1486" s="75"/>
      <c r="N1486" s="70"/>
      <c r="O1486" s="77" t="s">
        <v>179</v>
      </c>
      <c r="P1486" s="79">
        <v>44985.401597222219</v>
      </c>
      <c r="Q1486" s="77" t="s">
        <v>2281</v>
      </c>
      <c r="R1486" s="77">
        <v>0</v>
      </c>
      <c r="S1486" s="77">
        <v>0</v>
      </c>
      <c r="T1486" s="77">
        <v>0</v>
      </c>
      <c r="U1486" s="77">
        <v>0</v>
      </c>
      <c r="V1486" s="77">
        <v>22</v>
      </c>
      <c r="W1486" s="81" t="s">
        <v>3664</v>
      </c>
      <c r="X1486" s="83" t="str">
        <f>HYPERLINK("https://lnkd.in/dPg2qkTr")</f>
        <v>https://lnkd.in/dPg2qkTr</v>
      </c>
      <c r="Y1486" s="77" t="s">
        <v>4221</v>
      </c>
      <c r="Z1486" s="77"/>
      <c r="AA1486" s="77"/>
      <c r="AB1486" s="77"/>
      <c r="AC1486" s="81" t="s">
        <v>5810</v>
      </c>
      <c r="AD1486" s="77" t="s">
        <v>5850</v>
      </c>
      <c r="AE1486" s="83" t="str">
        <f>HYPERLINK("https://twitter.com/ventas_exito/status/1630502643540844547")</f>
        <v>https://twitter.com/ventas_exito/status/1630502643540844547</v>
      </c>
      <c r="AF1486" s="79">
        <v>44985.401597222219</v>
      </c>
      <c r="AG1486" s="85">
        <v>44985</v>
      </c>
      <c r="AH1486" s="81" t="s">
        <v>7136</v>
      </c>
      <c r="AI1486" s="77" t="b">
        <v>0</v>
      </c>
      <c r="AJ1486" s="77"/>
      <c r="AK1486" s="77"/>
      <c r="AL1486" s="77"/>
      <c r="AM1486" s="77"/>
      <c r="AN1486" s="77"/>
      <c r="AO1486" s="77"/>
      <c r="AP1486" s="77"/>
      <c r="AQ1486" s="77"/>
      <c r="AR1486" s="77"/>
      <c r="AS1486" s="77"/>
      <c r="AT1486" s="77"/>
      <c r="AU1486" s="77"/>
      <c r="AV1486" s="83" t="str">
        <f>HYPERLINK("https://pbs.twimg.com/profile_images/1652804755628883969/rw_8CogI_normal.jpg")</f>
        <v>https://pbs.twimg.com/profile_images/1652804755628883969/rw_8CogI_normal.jpg</v>
      </c>
      <c r="AW1486" s="81" t="s">
        <v>10606</v>
      </c>
      <c r="AX1486" s="81" t="s">
        <v>10606</v>
      </c>
      <c r="AY1486" s="77"/>
      <c r="AZ1486" s="81" t="s">
        <v>11359</v>
      </c>
      <c r="BA1486" s="81" t="s">
        <v>11359</v>
      </c>
      <c r="BB1486" s="81" t="s">
        <v>11359</v>
      </c>
      <c r="BC1486" s="81" t="s">
        <v>10606</v>
      </c>
      <c r="BD1486" s="77">
        <v>4287177953</v>
      </c>
      <c r="BE1486" s="77"/>
      <c r="BF1486" s="77"/>
      <c r="BG1486" s="77"/>
      <c r="BH1486" s="77"/>
      <c r="BI1486" s="77"/>
    </row>
    <row r="1487" spans="1:61" x14ac:dyDescent="0.25">
      <c r="A1487" s="62" t="s">
        <v>547</v>
      </c>
      <c r="B1487" s="62" t="s">
        <v>547</v>
      </c>
      <c r="C1487" s="63"/>
      <c r="D1487" s="64"/>
      <c r="E1487" s="65"/>
      <c r="F1487" s="66"/>
      <c r="G1487" s="63"/>
      <c r="H1487" s="67"/>
      <c r="I1487" s="68"/>
      <c r="J1487" s="68"/>
      <c r="K1487" s="32"/>
      <c r="L1487" s="75">
        <v>1487</v>
      </c>
      <c r="M1487" s="75"/>
      <c r="N1487" s="70"/>
      <c r="O1487" s="77" t="s">
        <v>179</v>
      </c>
      <c r="P1487" s="79">
        <v>44964.347129629627</v>
      </c>
      <c r="Q1487" s="77" t="s">
        <v>2282</v>
      </c>
      <c r="R1487" s="77">
        <v>0</v>
      </c>
      <c r="S1487" s="77">
        <v>0</v>
      </c>
      <c r="T1487" s="77">
        <v>0</v>
      </c>
      <c r="U1487" s="77">
        <v>0</v>
      </c>
      <c r="V1487" s="77">
        <v>19</v>
      </c>
      <c r="W1487" s="81" t="s">
        <v>3665</v>
      </c>
      <c r="X1487" s="77" t="s">
        <v>4187</v>
      </c>
      <c r="Y1487" s="77" t="s">
        <v>4282</v>
      </c>
      <c r="Z1487" s="77"/>
      <c r="AA1487" s="77"/>
      <c r="AB1487" s="77"/>
      <c r="AC1487" s="81" t="s">
        <v>5810</v>
      </c>
      <c r="AD1487" s="77" t="s">
        <v>5850</v>
      </c>
      <c r="AE1487" s="83" t="str">
        <f>HYPERLINK("https://twitter.com/ventas_exito/status/1622872760631394305")</f>
        <v>https://twitter.com/ventas_exito/status/1622872760631394305</v>
      </c>
      <c r="AF1487" s="79">
        <v>44964.347129629627</v>
      </c>
      <c r="AG1487" s="85">
        <v>44964</v>
      </c>
      <c r="AH1487" s="81" t="s">
        <v>7137</v>
      </c>
      <c r="AI1487" s="77" t="b">
        <v>0</v>
      </c>
      <c r="AJ1487" s="77"/>
      <c r="AK1487" s="77"/>
      <c r="AL1487" s="77"/>
      <c r="AM1487" s="77"/>
      <c r="AN1487" s="77"/>
      <c r="AO1487" s="77"/>
      <c r="AP1487" s="77"/>
      <c r="AQ1487" s="77"/>
      <c r="AR1487" s="77"/>
      <c r="AS1487" s="77"/>
      <c r="AT1487" s="77"/>
      <c r="AU1487" s="77"/>
      <c r="AV1487" s="83" t="str">
        <f>HYPERLINK("https://pbs.twimg.com/profile_images/1652804755628883969/rw_8CogI_normal.jpg")</f>
        <v>https://pbs.twimg.com/profile_images/1652804755628883969/rw_8CogI_normal.jpg</v>
      </c>
      <c r="AW1487" s="81" t="s">
        <v>10607</v>
      </c>
      <c r="AX1487" s="81" t="s">
        <v>10607</v>
      </c>
      <c r="AY1487" s="77"/>
      <c r="AZ1487" s="81" t="s">
        <v>11359</v>
      </c>
      <c r="BA1487" s="81" t="s">
        <v>11359</v>
      </c>
      <c r="BB1487" s="81" t="s">
        <v>11359</v>
      </c>
      <c r="BC1487" s="81" t="s">
        <v>10607</v>
      </c>
      <c r="BD1487" s="77">
        <v>4287177953</v>
      </c>
      <c r="BE1487" s="77"/>
      <c r="BF1487" s="77"/>
      <c r="BG1487" s="77"/>
      <c r="BH1487" s="77"/>
      <c r="BI1487" s="77"/>
    </row>
    <row r="1488" spans="1:61" x14ac:dyDescent="0.25">
      <c r="A1488" s="62" t="s">
        <v>547</v>
      </c>
      <c r="B1488" s="62" t="s">
        <v>547</v>
      </c>
      <c r="C1488" s="63"/>
      <c r="D1488" s="64"/>
      <c r="E1488" s="65"/>
      <c r="F1488" s="66"/>
      <c r="G1488" s="63"/>
      <c r="H1488" s="67"/>
      <c r="I1488" s="68"/>
      <c r="J1488" s="68"/>
      <c r="K1488" s="32"/>
      <c r="L1488" s="75">
        <v>1488</v>
      </c>
      <c r="M1488" s="75"/>
      <c r="N1488" s="70"/>
      <c r="O1488" s="77" t="s">
        <v>179</v>
      </c>
      <c r="P1488" s="79">
        <v>44978.34920138889</v>
      </c>
      <c r="Q1488" s="77" t="s">
        <v>2283</v>
      </c>
      <c r="R1488" s="77">
        <v>0</v>
      </c>
      <c r="S1488" s="77">
        <v>0</v>
      </c>
      <c r="T1488" s="77">
        <v>0</v>
      </c>
      <c r="U1488" s="77">
        <v>0</v>
      </c>
      <c r="V1488" s="77">
        <v>14</v>
      </c>
      <c r="W1488" s="81" t="s">
        <v>3666</v>
      </c>
      <c r="X1488" s="77" t="s">
        <v>4188</v>
      </c>
      <c r="Y1488" s="77" t="s">
        <v>4282</v>
      </c>
      <c r="Z1488" s="77"/>
      <c r="AA1488" s="77"/>
      <c r="AB1488" s="77"/>
      <c r="AC1488" s="81" t="s">
        <v>5810</v>
      </c>
      <c r="AD1488" s="77" t="s">
        <v>5850</v>
      </c>
      <c r="AE1488" s="83" t="str">
        <f>HYPERLINK("https://twitter.com/ventas_exito/status/1627946942117384195")</f>
        <v>https://twitter.com/ventas_exito/status/1627946942117384195</v>
      </c>
      <c r="AF1488" s="79">
        <v>44978.34920138889</v>
      </c>
      <c r="AG1488" s="85">
        <v>44978</v>
      </c>
      <c r="AH1488" s="81" t="s">
        <v>7138</v>
      </c>
      <c r="AI1488" s="77" t="b">
        <v>0</v>
      </c>
      <c r="AJ1488" s="77"/>
      <c r="AK1488" s="77"/>
      <c r="AL1488" s="77"/>
      <c r="AM1488" s="77"/>
      <c r="AN1488" s="77"/>
      <c r="AO1488" s="77"/>
      <c r="AP1488" s="77"/>
      <c r="AQ1488" s="77"/>
      <c r="AR1488" s="77"/>
      <c r="AS1488" s="77"/>
      <c r="AT1488" s="77"/>
      <c r="AU1488" s="77"/>
      <c r="AV1488" s="83" t="str">
        <f>HYPERLINK("https://pbs.twimg.com/profile_images/1652804755628883969/rw_8CogI_normal.jpg")</f>
        <v>https://pbs.twimg.com/profile_images/1652804755628883969/rw_8CogI_normal.jpg</v>
      </c>
      <c r="AW1488" s="81" t="s">
        <v>10608</v>
      </c>
      <c r="AX1488" s="81" t="s">
        <v>10608</v>
      </c>
      <c r="AY1488" s="77"/>
      <c r="AZ1488" s="81" t="s">
        <v>11359</v>
      </c>
      <c r="BA1488" s="81" t="s">
        <v>11359</v>
      </c>
      <c r="BB1488" s="81" t="s">
        <v>11359</v>
      </c>
      <c r="BC1488" s="81" t="s">
        <v>10608</v>
      </c>
      <c r="BD1488" s="77">
        <v>4287177953</v>
      </c>
      <c r="BE1488" s="77"/>
      <c r="BF1488" s="77"/>
      <c r="BG1488" s="77"/>
      <c r="BH1488" s="77"/>
      <c r="BI1488" s="77"/>
    </row>
    <row r="1489" spans="1:61" x14ac:dyDescent="0.25">
      <c r="A1489" s="62" t="s">
        <v>547</v>
      </c>
      <c r="B1489" s="62" t="s">
        <v>547</v>
      </c>
      <c r="C1489" s="63"/>
      <c r="D1489" s="64"/>
      <c r="E1489" s="65"/>
      <c r="F1489" s="66"/>
      <c r="G1489" s="63"/>
      <c r="H1489" s="67"/>
      <c r="I1489" s="68"/>
      <c r="J1489" s="68"/>
      <c r="K1489" s="32"/>
      <c r="L1489" s="75">
        <v>1489</v>
      </c>
      <c r="M1489" s="75"/>
      <c r="N1489" s="70"/>
      <c r="O1489" s="77" t="s">
        <v>179</v>
      </c>
      <c r="P1489" s="79">
        <v>45032.187685185185</v>
      </c>
      <c r="Q1489" s="77" t="s">
        <v>2284</v>
      </c>
      <c r="R1489" s="77">
        <v>0</v>
      </c>
      <c r="S1489" s="77">
        <v>0</v>
      </c>
      <c r="T1489" s="77">
        <v>0</v>
      </c>
      <c r="U1489" s="77">
        <v>0</v>
      </c>
      <c r="V1489" s="77">
        <v>40</v>
      </c>
      <c r="W1489" s="81" t="s">
        <v>3667</v>
      </c>
      <c r="X1489" s="83" t="str">
        <f>HYPERLINK("https://lnkd.in/dxyENFQ9")</f>
        <v>https://lnkd.in/dxyENFQ9</v>
      </c>
      <c r="Y1489" s="77" t="s">
        <v>4221</v>
      </c>
      <c r="Z1489" s="77"/>
      <c r="AA1489" s="77"/>
      <c r="AB1489" s="77"/>
      <c r="AC1489" s="81" t="s">
        <v>5810</v>
      </c>
      <c r="AD1489" s="77" t="s">
        <v>5850</v>
      </c>
      <c r="AE1489" s="83" t="str">
        <f>HYPERLINK("https://twitter.com/ventas_exito/status/1647457357197197312")</f>
        <v>https://twitter.com/ventas_exito/status/1647457357197197312</v>
      </c>
      <c r="AF1489" s="79">
        <v>45032.187685185185</v>
      </c>
      <c r="AG1489" s="85">
        <v>45032</v>
      </c>
      <c r="AH1489" s="81" t="s">
        <v>7139</v>
      </c>
      <c r="AI1489" s="77" t="b">
        <v>0</v>
      </c>
      <c r="AJ1489" s="77"/>
      <c r="AK1489" s="77"/>
      <c r="AL1489" s="77"/>
      <c r="AM1489" s="77"/>
      <c r="AN1489" s="77"/>
      <c r="AO1489" s="77"/>
      <c r="AP1489" s="77"/>
      <c r="AQ1489" s="77"/>
      <c r="AR1489" s="77"/>
      <c r="AS1489" s="77"/>
      <c r="AT1489" s="77"/>
      <c r="AU1489" s="77"/>
      <c r="AV1489" s="83" t="str">
        <f>HYPERLINK("https://pbs.twimg.com/profile_images/1652804755628883969/rw_8CogI_normal.jpg")</f>
        <v>https://pbs.twimg.com/profile_images/1652804755628883969/rw_8CogI_normal.jpg</v>
      </c>
      <c r="AW1489" s="81" t="s">
        <v>10609</v>
      </c>
      <c r="AX1489" s="81" t="s">
        <v>10609</v>
      </c>
      <c r="AY1489" s="77"/>
      <c r="AZ1489" s="81" t="s">
        <v>11359</v>
      </c>
      <c r="BA1489" s="81" t="s">
        <v>11359</v>
      </c>
      <c r="BB1489" s="81" t="s">
        <v>11359</v>
      </c>
      <c r="BC1489" s="81" t="s">
        <v>10609</v>
      </c>
      <c r="BD1489" s="77">
        <v>4287177953</v>
      </c>
      <c r="BE1489" s="77"/>
      <c r="BF1489" s="77"/>
      <c r="BG1489" s="77"/>
      <c r="BH1489" s="77"/>
      <c r="BI1489" s="77"/>
    </row>
    <row r="1490" spans="1:61" x14ac:dyDescent="0.25">
      <c r="A1490" s="62" t="s">
        <v>548</v>
      </c>
      <c r="B1490" s="62" t="s">
        <v>548</v>
      </c>
      <c r="C1490" s="63"/>
      <c r="D1490" s="64"/>
      <c r="E1490" s="65"/>
      <c r="F1490" s="66"/>
      <c r="G1490" s="63"/>
      <c r="H1490" s="67"/>
      <c r="I1490" s="68"/>
      <c r="J1490" s="68"/>
      <c r="K1490" s="32"/>
      <c r="L1490" s="75">
        <v>1490</v>
      </c>
      <c r="M1490" s="75"/>
      <c r="N1490" s="70"/>
      <c r="O1490" s="77" t="s">
        <v>179</v>
      </c>
      <c r="P1490" s="79">
        <v>44988.798773148148</v>
      </c>
      <c r="Q1490" s="77" t="s">
        <v>2285</v>
      </c>
      <c r="R1490" s="77">
        <v>0</v>
      </c>
      <c r="S1490" s="77">
        <v>0</v>
      </c>
      <c r="T1490" s="77">
        <v>0</v>
      </c>
      <c r="U1490" s="77">
        <v>0</v>
      </c>
      <c r="V1490" s="77">
        <v>124</v>
      </c>
      <c r="W1490" s="81" t="s">
        <v>3668</v>
      </c>
      <c r="X1490" s="83" t="str">
        <f>HYPERLINK("https://www.globalempregos.com.br/vagas-de-emprego/rj/niteroi/132109-vendedor/")</f>
        <v>https://www.globalempregos.com.br/vagas-de-emprego/rj/niteroi/132109-vendedor/</v>
      </c>
      <c r="Y1490" s="77" t="s">
        <v>4223</v>
      </c>
      <c r="Z1490" s="77"/>
      <c r="AA1490" s="77" t="s">
        <v>5388</v>
      </c>
      <c r="AB1490" s="77" t="s">
        <v>5794</v>
      </c>
      <c r="AC1490" s="81" t="s">
        <v>5808</v>
      </c>
      <c r="AD1490" s="77" t="s">
        <v>5851</v>
      </c>
      <c r="AE1490" s="83" t="str">
        <f>HYPERLINK("https://twitter.com/globalempregos/status/1631733738739564561")</f>
        <v>https://twitter.com/globalempregos/status/1631733738739564561</v>
      </c>
      <c r="AF1490" s="79">
        <v>44988.798773148148</v>
      </c>
      <c r="AG1490" s="85">
        <v>44988</v>
      </c>
      <c r="AH1490" s="81" t="s">
        <v>7140</v>
      </c>
      <c r="AI1490" s="77" t="b">
        <v>0</v>
      </c>
      <c r="AJ1490" s="77"/>
      <c r="AK1490" s="77"/>
      <c r="AL1490" s="77"/>
      <c r="AM1490" s="77"/>
      <c r="AN1490" s="77"/>
      <c r="AO1490" s="77"/>
      <c r="AP1490" s="77"/>
      <c r="AQ1490" s="77" t="s">
        <v>8891</v>
      </c>
      <c r="AR1490" s="77"/>
      <c r="AS1490" s="77"/>
      <c r="AT1490" s="77"/>
      <c r="AU1490" s="77"/>
      <c r="AV1490" s="83" t="str">
        <f>HYPERLINK("https://pbs.twimg.com/media/FqUVMBnXgAEs63u.jpg")</f>
        <v>https://pbs.twimg.com/media/FqUVMBnXgAEs63u.jpg</v>
      </c>
      <c r="AW1490" s="81" t="s">
        <v>10610</v>
      </c>
      <c r="AX1490" s="81" t="s">
        <v>10610</v>
      </c>
      <c r="AY1490" s="77"/>
      <c r="AZ1490" s="81" t="s">
        <v>11359</v>
      </c>
      <c r="BA1490" s="81" t="s">
        <v>11359</v>
      </c>
      <c r="BB1490" s="81" t="s">
        <v>11359</v>
      </c>
      <c r="BC1490" s="81" t="s">
        <v>10610</v>
      </c>
      <c r="BD1490" s="77">
        <v>66361482</v>
      </c>
      <c r="BE1490" s="77"/>
      <c r="BF1490" s="77"/>
      <c r="BG1490" s="77"/>
      <c r="BH1490" s="77"/>
      <c r="BI1490" s="77"/>
    </row>
    <row r="1491" spans="1:61" x14ac:dyDescent="0.25">
      <c r="A1491" s="62" t="s">
        <v>549</v>
      </c>
      <c r="B1491" s="62" t="s">
        <v>786</v>
      </c>
      <c r="C1491" s="63"/>
      <c r="D1491" s="64"/>
      <c r="E1491" s="65"/>
      <c r="F1491" s="66"/>
      <c r="G1491" s="63"/>
      <c r="H1491" s="67"/>
      <c r="I1491" s="68"/>
      <c r="J1491" s="68"/>
      <c r="K1491" s="32"/>
      <c r="L1491" s="75">
        <v>1491</v>
      </c>
      <c r="M1491" s="75"/>
      <c r="N1491" s="70"/>
      <c r="O1491" s="77" t="s">
        <v>968</v>
      </c>
      <c r="P1491" s="79">
        <v>45194.411111111112</v>
      </c>
      <c r="Q1491" s="77" t="s">
        <v>1114</v>
      </c>
      <c r="R1491" s="77">
        <v>3</v>
      </c>
      <c r="S1491" s="77">
        <v>0</v>
      </c>
      <c r="T1491" s="77">
        <v>0</v>
      </c>
      <c r="U1491" s="77">
        <v>0</v>
      </c>
      <c r="V1491" s="77"/>
      <c r="W1491" s="77"/>
      <c r="X1491" s="77"/>
      <c r="Y1491" s="77"/>
      <c r="Z1491" s="77" t="s">
        <v>786</v>
      </c>
      <c r="AA1491" s="77"/>
      <c r="AB1491" s="77"/>
      <c r="AC1491" s="81" t="s">
        <v>5801</v>
      </c>
      <c r="AD1491" s="77" t="s">
        <v>5850</v>
      </c>
      <c r="AE1491" s="83" t="str">
        <f>HYPERLINK("https://twitter.com/juanpedroporra1/status/1706245158461730898")</f>
        <v>https://twitter.com/juanpedroporra1/status/1706245158461730898</v>
      </c>
      <c r="AF1491" s="79">
        <v>45194.411111111112</v>
      </c>
      <c r="AG1491" s="85">
        <v>45194</v>
      </c>
      <c r="AH1491" s="81" t="s">
        <v>7141</v>
      </c>
      <c r="AI1491" s="77"/>
      <c r="AJ1491" s="77"/>
      <c r="AK1491" s="77"/>
      <c r="AL1491" s="77"/>
      <c r="AM1491" s="77"/>
      <c r="AN1491" s="77"/>
      <c r="AO1491" s="77"/>
      <c r="AP1491" s="77"/>
      <c r="AQ1491" s="77"/>
      <c r="AR1491" s="77"/>
      <c r="AS1491" s="77"/>
      <c r="AT1491" s="77"/>
      <c r="AU1491" s="77"/>
      <c r="AV1491" s="83" t="str">
        <f>HYPERLINK("https://pbs.twimg.com/profile_images/1420181201336377350/bbohmsYK_normal.jpg")</f>
        <v>https://pbs.twimg.com/profile_images/1420181201336377350/bbohmsYK_normal.jpg</v>
      </c>
      <c r="AW1491" s="81" t="s">
        <v>10611</v>
      </c>
      <c r="AX1491" s="81" t="s">
        <v>10611</v>
      </c>
      <c r="AY1491" s="77"/>
      <c r="AZ1491" s="81" t="s">
        <v>11359</v>
      </c>
      <c r="BA1491" s="81" t="s">
        <v>11359</v>
      </c>
      <c r="BB1491" s="81" t="s">
        <v>11007</v>
      </c>
      <c r="BC1491" s="81" t="s">
        <v>11007</v>
      </c>
      <c r="BD1491" s="81" t="s">
        <v>11564</v>
      </c>
      <c r="BE1491" s="77"/>
      <c r="BF1491" s="77"/>
      <c r="BG1491" s="77"/>
      <c r="BH1491" s="77"/>
      <c r="BI1491" s="77"/>
    </row>
    <row r="1492" spans="1:61" x14ac:dyDescent="0.25">
      <c r="A1492" s="62" t="s">
        <v>550</v>
      </c>
      <c r="B1492" s="62" t="s">
        <v>550</v>
      </c>
      <c r="C1492" s="63"/>
      <c r="D1492" s="64"/>
      <c r="E1492" s="65"/>
      <c r="F1492" s="66"/>
      <c r="G1492" s="63"/>
      <c r="H1492" s="67"/>
      <c r="I1492" s="68"/>
      <c r="J1492" s="68"/>
      <c r="K1492" s="32"/>
      <c r="L1492" s="75">
        <v>1492</v>
      </c>
      <c r="M1492" s="75"/>
      <c r="N1492" s="70"/>
      <c r="O1492" s="77" t="s">
        <v>179</v>
      </c>
      <c r="P1492" s="79">
        <v>45033.847407407404</v>
      </c>
      <c r="Q1492" s="77" t="s">
        <v>2286</v>
      </c>
      <c r="R1492" s="77">
        <v>0</v>
      </c>
      <c r="S1492" s="77">
        <v>4</v>
      </c>
      <c r="T1492" s="77">
        <v>0</v>
      </c>
      <c r="U1492" s="77">
        <v>0</v>
      </c>
      <c r="V1492" s="77">
        <v>960</v>
      </c>
      <c r="W1492" s="81" t="s">
        <v>3669</v>
      </c>
      <c r="X1492" s="77"/>
      <c r="Y1492" s="77"/>
      <c r="Z1492" s="77"/>
      <c r="AA1492" s="77" t="s">
        <v>5389</v>
      </c>
      <c r="AB1492" s="77" t="s">
        <v>5795</v>
      </c>
      <c r="AC1492" s="81" t="s">
        <v>5803</v>
      </c>
      <c r="AD1492" s="77" t="s">
        <v>5850</v>
      </c>
      <c r="AE1492" s="83" t="str">
        <f>HYPERLINK("https://twitter.com/telepremier/status/1648058817362661377")</f>
        <v>https://twitter.com/telepremier/status/1648058817362661377</v>
      </c>
      <c r="AF1492" s="79">
        <v>45033.847407407404</v>
      </c>
      <c r="AG1492" s="85">
        <v>45033</v>
      </c>
      <c r="AH1492" s="81" t="s">
        <v>7142</v>
      </c>
      <c r="AI1492" s="77" t="b">
        <v>1</v>
      </c>
      <c r="AJ1492" s="77"/>
      <c r="AK1492" s="77"/>
      <c r="AL1492" s="77"/>
      <c r="AM1492" s="77"/>
      <c r="AN1492" s="77"/>
      <c r="AO1492" s="77"/>
      <c r="AP1492" s="77"/>
      <c r="AQ1492" s="77" t="s">
        <v>8892</v>
      </c>
      <c r="AR1492" s="77">
        <v>33200</v>
      </c>
      <c r="AS1492" s="77"/>
      <c r="AT1492" s="77"/>
      <c r="AU1492" s="77"/>
      <c r="AV1492" s="83" t="str">
        <f>HYPERLINK("https://pbs.twimg.com/ext_tw_video_thumb/1648058768771502100/pu/img/viHrlOcDm3Dh1T93.jpg")</f>
        <v>https://pbs.twimg.com/ext_tw_video_thumb/1648058768771502100/pu/img/viHrlOcDm3Dh1T93.jpg</v>
      </c>
      <c r="AW1492" s="81" t="s">
        <v>10612</v>
      </c>
      <c r="AX1492" s="81" t="s">
        <v>10612</v>
      </c>
      <c r="AY1492" s="77"/>
      <c r="AZ1492" s="81" t="s">
        <v>11359</v>
      </c>
      <c r="BA1492" s="81" t="s">
        <v>11359</v>
      </c>
      <c r="BB1492" s="81" t="s">
        <v>11359</v>
      </c>
      <c r="BC1492" s="81" t="s">
        <v>10612</v>
      </c>
      <c r="BD1492" s="81" t="s">
        <v>11565</v>
      </c>
      <c r="BE1492" s="77"/>
      <c r="BF1492" s="77"/>
      <c r="BG1492" s="77"/>
      <c r="BH1492" s="77"/>
      <c r="BI1492" s="77"/>
    </row>
    <row r="1493" spans="1:61" x14ac:dyDescent="0.25">
      <c r="A1493" s="62" t="s">
        <v>551</v>
      </c>
      <c r="B1493" s="62" t="s">
        <v>551</v>
      </c>
      <c r="C1493" s="63"/>
      <c r="D1493" s="64"/>
      <c r="E1493" s="65"/>
      <c r="F1493" s="66"/>
      <c r="G1493" s="63"/>
      <c r="H1493" s="67"/>
      <c r="I1493" s="68"/>
      <c r="J1493" s="68"/>
      <c r="K1493" s="32"/>
      <c r="L1493" s="75">
        <v>1493</v>
      </c>
      <c r="M1493" s="75"/>
      <c r="N1493" s="70"/>
      <c r="O1493" s="77" t="s">
        <v>179</v>
      </c>
      <c r="P1493" s="79">
        <v>45030.738020833334</v>
      </c>
      <c r="Q1493" s="77" t="s">
        <v>2287</v>
      </c>
      <c r="R1493" s="77">
        <v>4</v>
      </c>
      <c r="S1493" s="77">
        <v>8</v>
      </c>
      <c r="T1493" s="77">
        <v>0</v>
      </c>
      <c r="U1493" s="77">
        <v>0</v>
      </c>
      <c r="V1493" s="77">
        <v>797</v>
      </c>
      <c r="W1493" s="81" t="s">
        <v>3670</v>
      </c>
      <c r="X1493" s="83" t="str">
        <f>HYPERLINK("https://youtu.be/llemxeHd9Fs")</f>
        <v>https://youtu.be/llemxeHd9Fs</v>
      </c>
      <c r="Y1493" s="77" t="s">
        <v>4214</v>
      </c>
      <c r="Z1493" s="77"/>
      <c r="AA1493" s="77" t="s">
        <v>5390</v>
      </c>
      <c r="AB1493" s="77" t="s">
        <v>5794</v>
      </c>
      <c r="AC1493" s="81" t="s">
        <v>5802</v>
      </c>
      <c r="AD1493" s="77" t="s">
        <v>5850</v>
      </c>
      <c r="AE1493" s="83" t="str">
        <f>HYPERLINK("https://twitter.com/negocios_tv/status/1646932013960527872")</f>
        <v>https://twitter.com/negocios_tv/status/1646932013960527872</v>
      </c>
      <c r="AF1493" s="79">
        <v>45030.738020833334</v>
      </c>
      <c r="AG1493" s="85">
        <v>45030</v>
      </c>
      <c r="AH1493" s="81" t="s">
        <v>7143</v>
      </c>
      <c r="AI1493" s="77" t="b">
        <v>0</v>
      </c>
      <c r="AJ1493" s="77"/>
      <c r="AK1493" s="77"/>
      <c r="AL1493" s="77"/>
      <c r="AM1493" s="77"/>
      <c r="AN1493" s="77"/>
      <c r="AO1493" s="77"/>
      <c r="AP1493" s="77"/>
      <c r="AQ1493" s="77" t="s">
        <v>8893</v>
      </c>
      <c r="AR1493" s="77"/>
      <c r="AS1493" s="77"/>
      <c r="AT1493" s="77"/>
      <c r="AU1493" s="77"/>
      <c r="AV1493" s="83" t="str">
        <f>HYPERLINK("https://pbs.twimg.com/media/FtsT8IDXwAANSzw.jpg")</f>
        <v>https://pbs.twimg.com/media/FtsT8IDXwAANSzw.jpg</v>
      </c>
      <c r="AW1493" s="81" t="s">
        <v>10613</v>
      </c>
      <c r="AX1493" s="81" t="s">
        <v>10613</v>
      </c>
      <c r="AY1493" s="77"/>
      <c r="AZ1493" s="81" t="s">
        <v>11359</v>
      </c>
      <c r="BA1493" s="81" t="s">
        <v>11359</v>
      </c>
      <c r="BB1493" s="81" t="s">
        <v>11359</v>
      </c>
      <c r="BC1493" s="81" t="s">
        <v>10613</v>
      </c>
      <c r="BD1493" s="81" t="s">
        <v>11566</v>
      </c>
      <c r="BE1493" s="77"/>
      <c r="BF1493" s="77"/>
      <c r="BG1493" s="77"/>
      <c r="BH1493" s="77"/>
      <c r="BI1493" s="77"/>
    </row>
    <row r="1494" spans="1:61" x14ac:dyDescent="0.25">
      <c r="A1494" s="62" t="s">
        <v>551</v>
      </c>
      <c r="B1494" s="62" t="s">
        <v>551</v>
      </c>
      <c r="C1494" s="63"/>
      <c r="D1494" s="64"/>
      <c r="E1494" s="65"/>
      <c r="F1494" s="66"/>
      <c r="G1494" s="63"/>
      <c r="H1494" s="67"/>
      <c r="I1494" s="68"/>
      <c r="J1494" s="68"/>
      <c r="K1494" s="32"/>
      <c r="L1494" s="75">
        <v>1494</v>
      </c>
      <c r="M1494" s="75"/>
      <c r="N1494" s="70"/>
      <c r="O1494" s="77" t="s">
        <v>179</v>
      </c>
      <c r="P1494" s="79">
        <v>45078.575127314813</v>
      </c>
      <c r="Q1494" s="77" t="s">
        <v>2288</v>
      </c>
      <c r="R1494" s="77">
        <v>2</v>
      </c>
      <c r="S1494" s="77">
        <v>7</v>
      </c>
      <c r="T1494" s="77">
        <v>0</v>
      </c>
      <c r="U1494" s="77">
        <v>2</v>
      </c>
      <c r="V1494" s="77">
        <v>1201</v>
      </c>
      <c r="W1494" s="81" t="s">
        <v>3671</v>
      </c>
      <c r="X1494" s="83" t="str">
        <f>HYPERLINK("https://youtu.be/hNSVmDVQ0Vc")</f>
        <v>https://youtu.be/hNSVmDVQ0Vc</v>
      </c>
      <c r="Y1494" s="77" t="s">
        <v>4214</v>
      </c>
      <c r="Z1494" s="77"/>
      <c r="AA1494" s="77" t="s">
        <v>5391</v>
      </c>
      <c r="AB1494" s="77" t="s">
        <v>5794</v>
      </c>
      <c r="AC1494" s="81" t="s">
        <v>5802</v>
      </c>
      <c r="AD1494" s="77" t="s">
        <v>5850</v>
      </c>
      <c r="AE1494" s="83" t="str">
        <f>HYPERLINK("https://twitter.com/negocios_tv/status/1664267600568745984")</f>
        <v>https://twitter.com/negocios_tv/status/1664267600568745984</v>
      </c>
      <c r="AF1494" s="79">
        <v>45078.575127314813</v>
      </c>
      <c r="AG1494" s="85">
        <v>45078</v>
      </c>
      <c r="AH1494" s="81" t="s">
        <v>7144</v>
      </c>
      <c r="AI1494" s="77" t="b">
        <v>0</v>
      </c>
      <c r="AJ1494" s="77"/>
      <c r="AK1494" s="77"/>
      <c r="AL1494" s="77"/>
      <c r="AM1494" s="77"/>
      <c r="AN1494" s="77"/>
      <c r="AO1494" s="77"/>
      <c r="AP1494" s="77"/>
      <c r="AQ1494" s="77" t="s">
        <v>8894</v>
      </c>
      <c r="AR1494" s="77"/>
      <c r="AS1494" s="77"/>
      <c r="AT1494" s="77"/>
      <c r="AU1494" s="77"/>
      <c r="AV1494" s="83" t="str">
        <f>HYPERLINK("https://pbs.twimg.com/media/FxiqkD7acAMMwae.jpg")</f>
        <v>https://pbs.twimg.com/media/FxiqkD7acAMMwae.jpg</v>
      </c>
      <c r="AW1494" s="81" t="s">
        <v>10614</v>
      </c>
      <c r="AX1494" s="81" t="s">
        <v>10614</v>
      </c>
      <c r="AY1494" s="77"/>
      <c r="AZ1494" s="81" t="s">
        <v>11359</v>
      </c>
      <c r="BA1494" s="81" t="s">
        <v>11359</v>
      </c>
      <c r="BB1494" s="81" t="s">
        <v>11359</v>
      </c>
      <c r="BC1494" s="81" t="s">
        <v>10614</v>
      </c>
      <c r="BD1494" s="81" t="s">
        <v>11566</v>
      </c>
      <c r="BE1494" s="77"/>
      <c r="BF1494" s="77"/>
      <c r="BG1494" s="77"/>
      <c r="BH1494" s="77"/>
      <c r="BI1494" s="77"/>
    </row>
    <row r="1495" spans="1:61" x14ac:dyDescent="0.25">
      <c r="A1495" s="62" t="s">
        <v>552</v>
      </c>
      <c r="B1495" s="62" t="s">
        <v>552</v>
      </c>
      <c r="C1495" s="63"/>
      <c r="D1495" s="64"/>
      <c r="E1495" s="65"/>
      <c r="F1495" s="66"/>
      <c r="G1495" s="63"/>
      <c r="H1495" s="67"/>
      <c r="I1495" s="68"/>
      <c r="J1495" s="68"/>
      <c r="K1495" s="32"/>
      <c r="L1495" s="75">
        <v>1495</v>
      </c>
      <c r="M1495" s="75"/>
      <c r="N1495" s="70"/>
      <c r="O1495" s="77" t="s">
        <v>179</v>
      </c>
      <c r="P1495" s="79">
        <v>45121.913124999999</v>
      </c>
      <c r="Q1495" s="77" t="s">
        <v>2289</v>
      </c>
      <c r="R1495" s="77">
        <v>0</v>
      </c>
      <c r="S1495" s="77">
        <v>0</v>
      </c>
      <c r="T1495" s="77">
        <v>0</v>
      </c>
      <c r="U1495" s="77">
        <v>0</v>
      </c>
      <c r="V1495" s="77">
        <v>6</v>
      </c>
      <c r="W1495" s="81" t="s">
        <v>3672</v>
      </c>
      <c r="X1495" s="77"/>
      <c r="Y1495" s="77"/>
      <c r="Z1495" s="77"/>
      <c r="AA1495" s="77"/>
      <c r="AB1495" s="77"/>
      <c r="AC1495" s="81" t="s">
        <v>5805</v>
      </c>
      <c r="AD1495" s="77" t="s">
        <v>5850</v>
      </c>
      <c r="AE1495" s="83" t="str">
        <f>HYPERLINK("https://twitter.com/oscarmarcosg/status/1679972767201103872")</f>
        <v>https://twitter.com/oscarmarcosg/status/1679972767201103872</v>
      </c>
      <c r="AF1495" s="79">
        <v>45121.913124999999</v>
      </c>
      <c r="AG1495" s="85">
        <v>45121</v>
      </c>
      <c r="AH1495" s="81" t="s">
        <v>7145</v>
      </c>
      <c r="AI1495" s="77"/>
      <c r="AJ1495" s="77"/>
      <c r="AK1495" s="77"/>
      <c r="AL1495" s="77"/>
      <c r="AM1495" s="77"/>
      <c r="AN1495" s="77"/>
      <c r="AO1495" s="77"/>
      <c r="AP1495" s="77"/>
      <c r="AQ1495" s="77"/>
      <c r="AR1495" s="77"/>
      <c r="AS1495" s="77"/>
      <c r="AT1495" s="77"/>
      <c r="AU1495" s="77"/>
      <c r="AV1495" s="83" t="str">
        <f>HYPERLINK("https://pbs.twimg.com/profile_images/1644391195542720514/r0P7pyz1_normal.jpg")</f>
        <v>https://pbs.twimg.com/profile_images/1644391195542720514/r0P7pyz1_normal.jpg</v>
      </c>
      <c r="AW1495" s="81" t="s">
        <v>10615</v>
      </c>
      <c r="AX1495" s="81" t="s">
        <v>10615</v>
      </c>
      <c r="AY1495" s="77"/>
      <c r="AZ1495" s="81" t="s">
        <v>11359</v>
      </c>
      <c r="BA1495" s="81" t="s">
        <v>11359</v>
      </c>
      <c r="BB1495" s="81" t="s">
        <v>11359</v>
      </c>
      <c r="BC1495" s="81" t="s">
        <v>10615</v>
      </c>
      <c r="BD1495" s="77">
        <v>69145133</v>
      </c>
      <c r="BE1495" s="77"/>
      <c r="BF1495" s="77"/>
      <c r="BG1495" s="77"/>
      <c r="BH1495" s="77"/>
      <c r="BI1495" s="77"/>
    </row>
    <row r="1496" spans="1:61" x14ac:dyDescent="0.25">
      <c r="A1496" s="62" t="s">
        <v>553</v>
      </c>
      <c r="B1496" s="62" t="s">
        <v>553</v>
      </c>
      <c r="C1496" s="63"/>
      <c r="D1496" s="64"/>
      <c r="E1496" s="65"/>
      <c r="F1496" s="66"/>
      <c r="G1496" s="63"/>
      <c r="H1496" s="67"/>
      <c r="I1496" s="68"/>
      <c r="J1496" s="68"/>
      <c r="K1496" s="32"/>
      <c r="L1496" s="75">
        <v>1496</v>
      </c>
      <c r="M1496" s="75"/>
      <c r="N1496" s="70"/>
      <c r="O1496" s="77" t="s">
        <v>179</v>
      </c>
      <c r="P1496" s="79">
        <v>45035.619513888887</v>
      </c>
      <c r="Q1496" s="77" t="s">
        <v>2290</v>
      </c>
      <c r="R1496" s="77">
        <v>2</v>
      </c>
      <c r="S1496" s="77">
        <v>1</v>
      </c>
      <c r="T1496" s="77">
        <v>0</v>
      </c>
      <c r="U1496" s="77">
        <v>0</v>
      </c>
      <c r="V1496" s="77">
        <v>202</v>
      </c>
      <c r="W1496" s="81" t="s">
        <v>3673</v>
      </c>
      <c r="X1496" s="77"/>
      <c r="Y1496" s="77"/>
      <c r="Z1496" s="77"/>
      <c r="AA1496" s="77" t="s">
        <v>5392</v>
      </c>
      <c r="AB1496" s="77" t="s">
        <v>5794</v>
      </c>
      <c r="AC1496" s="81" t="s">
        <v>5811</v>
      </c>
      <c r="AD1496" s="77" t="s">
        <v>5850</v>
      </c>
      <c r="AE1496" s="83" t="str">
        <f>HYPERLINK("https://twitter.com/sonderargentina/status/1648701009311457284")</f>
        <v>https://twitter.com/sonderargentina/status/1648701009311457284</v>
      </c>
      <c r="AF1496" s="79">
        <v>45035.619513888887</v>
      </c>
      <c r="AG1496" s="85">
        <v>45035</v>
      </c>
      <c r="AH1496" s="81" t="s">
        <v>7146</v>
      </c>
      <c r="AI1496" s="77" t="b">
        <v>0</v>
      </c>
      <c r="AJ1496" s="77"/>
      <c r="AK1496" s="77"/>
      <c r="AL1496" s="77"/>
      <c r="AM1496" s="77"/>
      <c r="AN1496" s="77"/>
      <c r="AO1496" s="77"/>
      <c r="AP1496" s="77"/>
      <c r="AQ1496" s="77" t="s">
        <v>8895</v>
      </c>
      <c r="AR1496" s="77"/>
      <c r="AS1496" s="77"/>
      <c r="AT1496" s="77"/>
      <c r="AU1496" s="77"/>
      <c r="AV1496" s="83" t="str">
        <f>HYPERLINK("https://pbs.twimg.com/media/FuFc0wgXoAQoShC.jpg")</f>
        <v>https://pbs.twimg.com/media/FuFc0wgXoAQoShC.jpg</v>
      </c>
      <c r="AW1496" s="81" t="s">
        <v>10616</v>
      </c>
      <c r="AX1496" s="81" t="s">
        <v>10616</v>
      </c>
      <c r="AY1496" s="77"/>
      <c r="AZ1496" s="81" t="s">
        <v>11359</v>
      </c>
      <c r="BA1496" s="81" t="s">
        <v>11359</v>
      </c>
      <c r="BB1496" s="81" t="s">
        <v>11359</v>
      </c>
      <c r="BC1496" s="81" t="s">
        <v>10616</v>
      </c>
      <c r="BD1496" s="77">
        <v>2789874721</v>
      </c>
      <c r="BE1496" s="77"/>
      <c r="BF1496" s="77"/>
      <c r="BG1496" s="77"/>
      <c r="BH1496" s="77"/>
      <c r="BI1496" s="77"/>
    </row>
    <row r="1497" spans="1:61" x14ac:dyDescent="0.25">
      <c r="A1497" s="62" t="s">
        <v>554</v>
      </c>
      <c r="B1497" s="62" t="s">
        <v>554</v>
      </c>
      <c r="C1497" s="63"/>
      <c r="D1497" s="64"/>
      <c r="E1497" s="65"/>
      <c r="F1497" s="66"/>
      <c r="G1497" s="63"/>
      <c r="H1497" s="67"/>
      <c r="I1497" s="68"/>
      <c r="J1497" s="68"/>
      <c r="K1497" s="32"/>
      <c r="L1497" s="75">
        <v>1497</v>
      </c>
      <c r="M1497" s="75"/>
      <c r="N1497" s="70"/>
      <c r="O1497" s="77" t="s">
        <v>179</v>
      </c>
      <c r="P1497" s="79">
        <v>45072.493425925924</v>
      </c>
      <c r="Q1497" s="77" t="s">
        <v>2291</v>
      </c>
      <c r="R1497" s="77">
        <v>0</v>
      </c>
      <c r="S1497" s="77">
        <v>0</v>
      </c>
      <c r="T1497" s="77">
        <v>0</v>
      </c>
      <c r="U1497" s="77">
        <v>0</v>
      </c>
      <c r="V1497" s="77">
        <v>8</v>
      </c>
      <c r="W1497" s="81" t="s">
        <v>3674</v>
      </c>
      <c r="X1497" s="77"/>
      <c r="Y1497" s="77"/>
      <c r="Z1497" s="77"/>
      <c r="AA1497" s="77"/>
      <c r="AB1497" s="77"/>
      <c r="AC1497" s="81" t="s">
        <v>5801</v>
      </c>
      <c r="AD1497" s="77" t="s">
        <v>5850</v>
      </c>
      <c r="AE1497" s="83" t="str">
        <f>HYPERLINK("https://twitter.com/elvendedor81/status/1662063666189967361")</f>
        <v>https://twitter.com/elvendedor81/status/1662063666189967361</v>
      </c>
      <c r="AF1497" s="79">
        <v>45072.493425925924</v>
      </c>
      <c r="AG1497" s="85">
        <v>45072</v>
      </c>
      <c r="AH1497" s="81" t="s">
        <v>7147</v>
      </c>
      <c r="AI1497" s="77"/>
      <c r="AJ1497" s="77"/>
      <c r="AK1497" s="77"/>
      <c r="AL1497" s="77"/>
      <c r="AM1497" s="77"/>
      <c r="AN1497" s="77"/>
      <c r="AO1497" s="77"/>
      <c r="AP1497" s="77"/>
      <c r="AQ1497" s="77"/>
      <c r="AR1497" s="77"/>
      <c r="AS1497" s="77"/>
      <c r="AT1497" s="77"/>
      <c r="AU1497" s="77"/>
      <c r="AV1497" s="83" t="str">
        <f>HYPERLINK("https://pbs.twimg.com/profile_images/1655662288060162048/k50i8tes_normal.jpg")</f>
        <v>https://pbs.twimg.com/profile_images/1655662288060162048/k50i8tes_normal.jpg</v>
      </c>
      <c r="AW1497" s="81" t="s">
        <v>10617</v>
      </c>
      <c r="AX1497" s="81" t="s">
        <v>10617</v>
      </c>
      <c r="AY1497" s="77"/>
      <c r="AZ1497" s="81" t="s">
        <v>11359</v>
      </c>
      <c r="BA1497" s="81" t="s">
        <v>11359</v>
      </c>
      <c r="BB1497" s="81" t="s">
        <v>11359</v>
      </c>
      <c r="BC1497" s="81" t="s">
        <v>10617</v>
      </c>
      <c r="BD1497" s="81" t="s">
        <v>11567</v>
      </c>
      <c r="BE1497" s="77"/>
      <c r="BF1497" s="77"/>
      <c r="BG1497" s="77"/>
      <c r="BH1497" s="77"/>
      <c r="BI1497" s="77"/>
    </row>
    <row r="1498" spans="1:61" x14ac:dyDescent="0.25">
      <c r="A1498" s="62" t="s">
        <v>554</v>
      </c>
      <c r="B1498" s="62" t="s">
        <v>554</v>
      </c>
      <c r="C1498" s="63"/>
      <c r="D1498" s="64"/>
      <c r="E1498" s="65"/>
      <c r="F1498" s="66"/>
      <c r="G1498" s="63"/>
      <c r="H1498" s="67"/>
      <c r="I1498" s="68"/>
      <c r="J1498" s="68"/>
      <c r="K1498" s="32"/>
      <c r="L1498" s="75">
        <v>1498</v>
      </c>
      <c r="M1498" s="75"/>
      <c r="N1498" s="70"/>
      <c r="O1498" s="77" t="s">
        <v>179</v>
      </c>
      <c r="P1498" s="79">
        <v>45057.144328703704</v>
      </c>
      <c r="Q1498" s="77" t="s">
        <v>2292</v>
      </c>
      <c r="R1498" s="77">
        <v>0</v>
      </c>
      <c r="S1498" s="77">
        <v>0</v>
      </c>
      <c r="T1498" s="77">
        <v>0</v>
      </c>
      <c r="U1498" s="77">
        <v>0</v>
      </c>
      <c r="V1498" s="77">
        <v>7</v>
      </c>
      <c r="W1498" s="81" t="s">
        <v>3674</v>
      </c>
      <c r="X1498" s="77"/>
      <c r="Y1498" s="77"/>
      <c r="Z1498" s="77"/>
      <c r="AA1498" s="77"/>
      <c r="AB1498" s="77"/>
      <c r="AC1498" s="81" t="s">
        <v>5801</v>
      </c>
      <c r="AD1498" s="77" t="s">
        <v>5850</v>
      </c>
      <c r="AE1498" s="83" t="str">
        <f>HYPERLINK("https://twitter.com/elvendedor81/status/1656501340342824960")</f>
        <v>https://twitter.com/elvendedor81/status/1656501340342824960</v>
      </c>
      <c r="AF1498" s="79">
        <v>45057.144328703704</v>
      </c>
      <c r="AG1498" s="85">
        <v>45057</v>
      </c>
      <c r="AH1498" s="81" t="s">
        <v>7148</v>
      </c>
      <c r="AI1498" s="77"/>
      <c r="AJ1498" s="77"/>
      <c r="AK1498" s="77"/>
      <c r="AL1498" s="77"/>
      <c r="AM1498" s="77"/>
      <c r="AN1498" s="77"/>
      <c r="AO1498" s="77"/>
      <c r="AP1498" s="77"/>
      <c r="AQ1498" s="77"/>
      <c r="AR1498" s="77"/>
      <c r="AS1498" s="77"/>
      <c r="AT1498" s="77"/>
      <c r="AU1498" s="77"/>
      <c r="AV1498" s="83" t="str">
        <f>HYPERLINK("https://pbs.twimg.com/profile_images/1655662288060162048/k50i8tes_normal.jpg")</f>
        <v>https://pbs.twimg.com/profile_images/1655662288060162048/k50i8tes_normal.jpg</v>
      </c>
      <c r="AW1498" s="81" t="s">
        <v>10618</v>
      </c>
      <c r="AX1498" s="81" t="s">
        <v>10618</v>
      </c>
      <c r="AY1498" s="77"/>
      <c r="AZ1498" s="81" t="s">
        <v>11359</v>
      </c>
      <c r="BA1498" s="81" t="s">
        <v>11359</v>
      </c>
      <c r="BB1498" s="81" t="s">
        <v>11359</v>
      </c>
      <c r="BC1498" s="81" t="s">
        <v>10618</v>
      </c>
      <c r="BD1498" s="81" t="s">
        <v>11567</v>
      </c>
      <c r="BE1498" s="77"/>
      <c r="BF1498" s="77"/>
      <c r="BG1498" s="77"/>
      <c r="BH1498" s="77"/>
      <c r="BI1498" s="77"/>
    </row>
    <row r="1499" spans="1:61" x14ac:dyDescent="0.25">
      <c r="A1499" s="62" t="s">
        <v>554</v>
      </c>
      <c r="B1499" s="62" t="s">
        <v>554</v>
      </c>
      <c r="C1499" s="63"/>
      <c r="D1499" s="64"/>
      <c r="E1499" s="65"/>
      <c r="F1499" s="66"/>
      <c r="G1499" s="63"/>
      <c r="H1499" s="67"/>
      <c r="I1499" s="68"/>
      <c r="J1499" s="68"/>
      <c r="K1499" s="32"/>
      <c r="L1499" s="75">
        <v>1499</v>
      </c>
      <c r="M1499" s="75"/>
      <c r="N1499" s="70"/>
      <c r="O1499" s="77" t="s">
        <v>179</v>
      </c>
      <c r="P1499" s="79">
        <v>45057.140763888892</v>
      </c>
      <c r="Q1499" s="77" t="s">
        <v>2293</v>
      </c>
      <c r="R1499" s="77">
        <v>0</v>
      </c>
      <c r="S1499" s="77">
        <v>0</v>
      </c>
      <c r="T1499" s="77">
        <v>0</v>
      </c>
      <c r="U1499" s="77">
        <v>0</v>
      </c>
      <c r="V1499" s="77">
        <v>5</v>
      </c>
      <c r="W1499" s="81" t="s">
        <v>3675</v>
      </c>
      <c r="X1499" s="77"/>
      <c r="Y1499" s="77"/>
      <c r="Z1499" s="77"/>
      <c r="AA1499" s="77"/>
      <c r="AB1499" s="77"/>
      <c r="AC1499" s="81" t="s">
        <v>5801</v>
      </c>
      <c r="AD1499" s="77" t="s">
        <v>5850</v>
      </c>
      <c r="AE1499" s="83" t="str">
        <f>HYPERLINK("https://twitter.com/elvendedor81/status/1656500049654738948")</f>
        <v>https://twitter.com/elvendedor81/status/1656500049654738948</v>
      </c>
      <c r="AF1499" s="79">
        <v>45057.140763888892</v>
      </c>
      <c r="AG1499" s="85">
        <v>45057</v>
      </c>
      <c r="AH1499" s="81" t="s">
        <v>7149</v>
      </c>
      <c r="AI1499" s="77"/>
      <c r="AJ1499" s="77"/>
      <c r="AK1499" s="77"/>
      <c r="AL1499" s="77"/>
      <c r="AM1499" s="77"/>
      <c r="AN1499" s="77"/>
      <c r="AO1499" s="77"/>
      <c r="AP1499" s="77"/>
      <c r="AQ1499" s="77"/>
      <c r="AR1499" s="77"/>
      <c r="AS1499" s="77"/>
      <c r="AT1499" s="77"/>
      <c r="AU1499" s="77"/>
      <c r="AV1499" s="83" t="str">
        <f>HYPERLINK("https://pbs.twimg.com/profile_images/1655662288060162048/k50i8tes_normal.jpg")</f>
        <v>https://pbs.twimg.com/profile_images/1655662288060162048/k50i8tes_normal.jpg</v>
      </c>
      <c r="AW1499" s="81" t="s">
        <v>10619</v>
      </c>
      <c r="AX1499" s="81" t="s">
        <v>10619</v>
      </c>
      <c r="AY1499" s="77"/>
      <c r="AZ1499" s="81" t="s">
        <v>11359</v>
      </c>
      <c r="BA1499" s="81" t="s">
        <v>11359</v>
      </c>
      <c r="BB1499" s="81" t="s">
        <v>11359</v>
      </c>
      <c r="BC1499" s="81" t="s">
        <v>10619</v>
      </c>
      <c r="BD1499" s="81" t="s">
        <v>11567</v>
      </c>
      <c r="BE1499" s="77"/>
      <c r="BF1499" s="77"/>
      <c r="BG1499" s="77"/>
      <c r="BH1499" s="77"/>
      <c r="BI1499" s="77"/>
    </row>
    <row r="1500" spans="1:61" x14ac:dyDescent="0.25">
      <c r="A1500" s="62" t="s">
        <v>554</v>
      </c>
      <c r="B1500" s="62" t="s">
        <v>554</v>
      </c>
      <c r="C1500" s="63"/>
      <c r="D1500" s="64"/>
      <c r="E1500" s="65"/>
      <c r="F1500" s="66"/>
      <c r="G1500" s="63"/>
      <c r="H1500" s="67"/>
      <c r="I1500" s="68"/>
      <c r="J1500" s="68"/>
      <c r="K1500" s="32"/>
      <c r="L1500" s="75">
        <v>1500</v>
      </c>
      <c r="M1500" s="75"/>
      <c r="N1500" s="70"/>
      <c r="O1500" s="77" t="s">
        <v>179</v>
      </c>
      <c r="P1500" s="79">
        <v>45055.819432870368</v>
      </c>
      <c r="Q1500" s="77" t="s">
        <v>2294</v>
      </c>
      <c r="R1500" s="77">
        <v>0</v>
      </c>
      <c r="S1500" s="77">
        <v>0</v>
      </c>
      <c r="T1500" s="77">
        <v>0</v>
      </c>
      <c r="U1500" s="77">
        <v>0</v>
      </c>
      <c r="V1500" s="77">
        <v>9</v>
      </c>
      <c r="W1500" s="81" t="s">
        <v>3676</v>
      </c>
      <c r="X1500" s="77"/>
      <c r="Y1500" s="77"/>
      <c r="Z1500" s="77"/>
      <c r="AA1500" s="77"/>
      <c r="AB1500" s="77"/>
      <c r="AC1500" s="81" t="s">
        <v>5801</v>
      </c>
      <c r="AD1500" s="77" t="s">
        <v>5850</v>
      </c>
      <c r="AE1500" s="83" t="str">
        <f>HYPERLINK("https://twitter.com/elvendedor81/status/1656021214572290070")</f>
        <v>https://twitter.com/elvendedor81/status/1656021214572290070</v>
      </c>
      <c r="AF1500" s="79">
        <v>45055.819432870368</v>
      </c>
      <c r="AG1500" s="85">
        <v>45055</v>
      </c>
      <c r="AH1500" s="81" t="s">
        <v>7150</v>
      </c>
      <c r="AI1500" s="77"/>
      <c r="AJ1500" s="77"/>
      <c r="AK1500" s="77"/>
      <c r="AL1500" s="77"/>
      <c r="AM1500" s="77"/>
      <c r="AN1500" s="77"/>
      <c r="AO1500" s="77"/>
      <c r="AP1500" s="77"/>
      <c r="AQ1500" s="77"/>
      <c r="AR1500" s="77"/>
      <c r="AS1500" s="77"/>
      <c r="AT1500" s="77"/>
      <c r="AU1500" s="77"/>
      <c r="AV1500" s="83" t="str">
        <f>HYPERLINK("https://pbs.twimg.com/profile_images/1655662288060162048/k50i8tes_normal.jpg")</f>
        <v>https://pbs.twimg.com/profile_images/1655662288060162048/k50i8tes_normal.jpg</v>
      </c>
      <c r="AW1500" s="81" t="s">
        <v>10620</v>
      </c>
      <c r="AX1500" s="81" t="s">
        <v>10620</v>
      </c>
      <c r="AY1500" s="77"/>
      <c r="AZ1500" s="81" t="s">
        <v>11359</v>
      </c>
      <c r="BA1500" s="81" t="s">
        <v>11359</v>
      </c>
      <c r="BB1500" s="81" t="s">
        <v>11359</v>
      </c>
      <c r="BC1500" s="81" t="s">
        <v>10620</v>
      </c>
      <c r="BD1500" s="81" t="s">
        <v>11567</v>
      </c>
      <c r="BE1500" s="77"/>
      <c r="BF1500" s="77"/>
      <c r="BG1500" s="77"/>
      <c r="BH1500" s="77"/>
      <c r="BI1500" s="77"/>
    </row>
    <row r="1501" spans="1:61" x14ac:dyDescent="0.25">
      <c r="A1501" s="62" t="s">
        <v>554</v>
      </c>
      <c r="B1501" s="62" t="s">
        <v>554</v>
      </c>
      <c r="C1501" s="63"/>
      <c r="D1501" s="64"/>
      <c r="E1501" s="65"/>
      <c r="F1501" s="66"/>
      <c r="G1501" s="63"/>
      <c r="H1501" s="67"/>
      <c r="I1501" s="68"/>
      <c r="J1501" s="68"/>
      <c r="K1501" s="32"/>
      <c r="L1501" s="75">
        <v>1501</v>
      </c>
      <c r="M1501" s="75"/>
      <c r="N1501" s="70"/>
      <c r="O1501" s="77" t="s">
        <v>179</v>
      </c>
      <c r="P1501" s="79">
        <v>45055.817766203705</v>
      </c>
      <c r="Q1501" s="77" t="s">
        <v>2295</v>
      </c>
      <c r="R1501" s="77">
        <v>0</v>
      </c>
      <c r="S1501" s="77">
        <v>0</v>
      </c>
      <c r="T1501" s="77">
        <v>0</v>
      </c>
      <c r="U1501" s="77">
        <v>0</v>
      </c>
      <c r="V1501" s="77">
        <v>7</v>
      </c>
      <c r="W1501" s="81" t="s">
        <v>3675</v>
      </c>
      <c r="X1501" s="77"/>
      <c r="Y1501" s="77"/>
      <c r="Z1501" s="77"/>
      <c r="AA1501" s="77"/>
      <c r="AB1501" s="77"/>
      <c r="AC1501" s="81" t="s">
        <v>5801</v>
      </c>
      <c r="AD1501" s="77" t="s">
        <v>5850</v>
      </c>
      <c r="AE1501" s="83" t="str">
        <f>HYPERLINK("https://twitter.com/elvendedor81/status/1656020611544621090")</f>
        <v>https://twitter.com/elvendedor81/status/1656020611544621090</v>
      </c>
      <c r="AF1501" s="79">
        <v>45055.817766203705</v>
      </c>
      <c r="AG1501" s="85">
        <v>45055</v>
      </c>
      <c r="AH1501" s="81" t="s">
        <v>7151</v>
      </c>
      <c r="AI1501" s="77"/>
      <c r="AJ1501" s="77"/>
      <c r="AK1501" s="77"/>
      <c r="AL1501" s="77"/>
      <c r="AM1501" s="77"/>
      <c r="AN1501" s="77"/>
      <c r="AO1501" s="77"/>
      <c r="AP1501" s="77"/>
      <c r="AQ1501" s="77"/>
      <c r="AR1501" s="77"/>
      <c r="AS1501" s="77"/>
      <c r="AT1501" s="77"/>
      <c r="AU1501" s="77"/>
      <c r="AV1501" s="83" t="str">
        <f>HYPERLINK("https://pbs.twimg.com/profile_images/1655662288060162048/k50i8tes_normal.jpg")</f>
        <v>https://pbs.twimg.com/profile_images/1655662288060162048/k50i8tes_normal.jpg</v>
      </c>
      <c r="AW1501" s="81" t="s">
        <v>10621</v>
      </c>
      <c r="AX1501" s="81" t="s">
        <v>10621</v>
      </c>
      <c r="AY1501" s="77"/>
      <c r="AZ1501" s="81" t="s">
        <v>11359</v>
      </c>
      <c r="BA1501" s="81" t="s">
        <v>11359</v>
      </c>
      <c r="BB1501" s="81" t="s">
        <v>11359</v>
      </c>
      <c r="BC1501" s="81" t="s">
        <v>10621</v>
      </c>
      <c r="BD1501" s="81" t="s">
        <v>11567</v>
      </c>
      <c r="BE1501" s="77"/>
      <c r="BF1501" s="77"/>
      <c r="BG1501" s="77"/>
      <c r="BH1501" s="77"/>
      <c r="BI1501" s="77"/>
    </row>
    <row r="1502" spans="1:61" x14ac:dyDescent="0.25">
      <c r="A1502" s="62" t="s">
        <v>554</v>
      </c>
      <c r="B1502" s="62" t="s">
        <v>554</v>
      </c>
      <c r="C1502" s="63"/>
      <c r="D1502" s="64"/>
      <c r="E1502" s="65"/>
      <c r="F1502" s="66"/>
      <c r="G1502" s="63"/>
      <c r="H1502" s="67"/>
      <c r="I1502" s="68"/>
      <c r="J1502" s="68"/>
      <c r="K1502" s="32"/>
      <c r="L1502" s="75">
        <v>1502</v>
      </c>
      <c r="M1502" s="75"/>
      <c r="N1502" s="70"/>
      <c r="O1502" s="77" t="s">
        <v>179</v>
      </c>
      <c r="P1502" s="79">
        <v>45055.81621527778</v>
      </c>
      <c r="Q1502" s="77" t="s">
        <v>2296</v>
      </c>
      <c r="R1502" s="77">
        <v>0</v>
      </c>
      <c r="S1502" s="77">
        <v>0</v>
      </c>
      <c r="T1502" s="77">
        <v>0</v>
      </c>
      <c r="U1502" s="77">
        <v>0</v>
      </c>
      <c r="V1502" s="77">
        <v>7</v>
      </c>
      <c r="W1502" s="81" t="s">
        <v>3677</v>
      </c>
      <c r="X1502" s="77"/>
      <c r="Y1502" s="77"/>
      <c r="Z1502" s="77"/>
      <c r="AA1502" s="77"/>
      <c r="AB1502" s="77"/>
      <c r="AC1502" s="81" t="s">
        <v>5801</v>
      </c>
      <c r="AD1502" s="77" t="s">
        <v>5850</v>
      </c>
      <c r="AE1502" s="83" t="str">
        <f>HYPERLINK("https://twitter.com/elvendedor81/status/1656020050153709568")</f>
        <v>https://twitter.com/elvendedor81/status/1656020050153709568</v>
      </c>
      <c r="AF1502" s="79">
        <v>45055.81621527778</v>
      </c>
      <c r="AG1502" s="85">
        <v>45055</v>
      </c>
      <c r="AH1502" s="81" t="s">
        <v>7152</v>
      </c>
      <c r="AI1502" s="77"/>
      <c r="AJ1502" s="77"/>
      <c r="AK1502" s="77"/>
      <c r="AL1502" s="77"/>
      <c r="AM1502" s="77"/>
      <c r="AN1502" s="77"/>
      <c r="AO1502" s="77"/>
      <c r="AP1502" s="77"/>
      <c r="AQ1502" s="77"/>
      <c r="AR1502" s="77"/>
      <c r="AS1502" s="77"/>
      <c r="AT1502" s="77"/>
      <c r="AU1502" s="77"/>
      <c r="AV1502" s="83" t="str">
        <f>HYPERLINK("https://pbs.twimg.com/profile_images/1655662288060162048/k50i8tes_normal.jpg")</f>
        <v>https://pbs.twimg.com/profile_images/1655662288060162048/k50i8tes_normal.jpg</v>
      </c>
      <c r="AW1502" s="81" t="s">
        <v>10622</v>
      </c>
      <c r="AX1502" s="81" t="s">
        <v>10622</v>
      </c>
      <c r="AY1502" s="77"/>
      <c r="AZ1502" s="81" t="s">
        <v>11359</v>
      </c>
      <c r="BA1502" s="81" t="s">
        <v>11359</v>
      </c>
      <c r="BB1502" s="81" t="s">
        <v>11359</v>
      </c>
      <c r="BC1502" s="81" t="s">
        <v>10622</v>
      </c>
      <c r="BD1502" s="81" t="s">
        <v>11567</v>
      </c>
      <c r="BE1502" s="77"/>
      <c r="BF1502" s="77"/>
      <c r="BG1502" s="77"/>
      <c r="BH1502" s="77"/>
      <c r="BI1502" s="77"/>
    </row>
    <row r="1503" spans="1:61" x14ac:dyDescent="0.25">
      <c r="A1503" s="62" t="s">
        <v>554</v>
      </c>
      <c r="B1503" s="62" t="s">
        <v>554</v>
      </c>
      <c r="C1503" s="63"/>
      <c r="D1503" s="64"/>
      <c r="E1503" s="65"/>
      <c r="F1503" s="66"/>
      <c r="G1503" s="63"/>
      <c r="H1503" s="67"/>
      <c r="I1503" s="68"/>
      <c r="J1503" s="68"/>
      <c r="K1503" s="32"/>
      <c r="L1503" s="75">
        <v>1503</v>
      </c>
      <c r="M1503" s="75"/>
      <c r="N1503" s="70"/>
      <c r="O1503" s="77" t="s">
        <v>179</v>
      </c>
      <c r="P1503" s="79">
        <v>45055.81322916667</v>
      </c>
      <c r="Q1503" s="77" t="s">
        <v>2297</v>
      </c>
      <c r="R1503" s="77">
        <v>0</v>
      </c>
      <c r="S1503" s="77">
        <v>0</v>
      </c>
      <c r="T1503" s="77">
        <v>0</v>
      </c>
      <c r="U1503" s="77">
        <v>0</v>
      </c>
      <c r="V1503" s="77">
        <v>5</v>
      </c>
      <c r="W1503" s="81" t="s">
        <v>3677</v>
      </c>
      <c r="X1503" s="77"/>
      <c r="Y1503" s="77"/>
      <c r="Z1503" s="77"/>
      <c r="AA1503" s="77"/>
      <c r="AB1503" s="77"/>
      <c r="AC1503" s="81" t="s">
        <v>5801</v>
      </c>
      <c r="AD1503" s="77" t="s">
        <v>5850</v>
      </c>
      <c r="AE1503" s="83" t="str">
        <f>HYPERLINK("https://twitter.com/elvendedor81/status/1656018965569708044")</f>
        <v>https://twitter.com/elvendedor81/status/1656018965569708044</v>
      </c>
      <c r="AF1503" s="79">
        <v>45055.81322916667</v>
      </c>
      <c r="AG1503" s="85">
        <v>45055</v>
      </c>
      <c r="AH1503" s="81" t="s">
        <v>7153</v>
      </c>
      <c r="AI1503" s="77"/>
      <c r="AJ1503" s="77"/>
      <c r="AK1503" s="77"/>
      <c r="AL1503" s="77"/>
      <c r="AM1503" s="77"/>
      <c r="AN1503" s="77"/>
      <c r="AO1503" s="77"/>
      <c r="AP1503" s="77"/>
      <c r="AQ1503" s="77"/>
      <c r="AR1503" s="77"/>
      <c r="AS1503" s="77"/>
      <c r="AT1503" s="77"/>
      <c r="AU1503" s="77"/>
      <c r="AV1503" s="83" t="str">
        <f>HYPERLINK("https://pbs.twimg.com/profile_images/1655662288060162048/k50i8tes_normal.jpg")</f>
        <v>https://pbs.twimg.com/profile_images/1655662288060162048/k50i8tes_normal.jpg</v>
      </c>
      <c r="AW1503" s="81" t="s">
        <v>10623</v>
      </c>
      <c r="AX1503" s="81" t="s">
        <v>10623</v>
      </c>
      <c r="AY1503" s="77"/>
      <c r="AZ1503" s="81" t="s">
        <v>11359</v>
      </c>
      <c r="BA1503" s="81" t="s">
        <v>11359</v>
      </c>
      <c r="BB1503" s="81" t="s">
        <v>11359</v>
      </c>
      <c r="BC1503" s="81" t="s">
        <v>10623</v>
      </c>
      <c r="BD1503" s="81" t="s">
        <v>11567</v>
      </c>
      <c r="BE1503" s="77"/>
      <c r="BF1503" s="77"/>
      <c r="BG1503" s="77"/>
      <c r="BH1503" s="77"/>
      <c r="BI1503" s="77"/>
    </row>
    <row r="1504" spans="1:61" x14ac:dyDescent="0.25">
      <c r="A1504" s="62" t="s">
        <v>554</v>
      </c>
      <c r="B1504" s="62" t="s">
        <v>554</v>
      </c>
      <c r="C1504" s="63"/>
      <c r="D1504" s="64"/>
      <c r="E1504" s="65"/>
      <c r="F1504" s="66"/>
      <c r="G1504" s="63"/>
      <c r="H1504" s="67"/>
      <c r="I1504" s="68"/>
      <c r="J1504" s="68"/>
      <c r="K1504" s="32"/>
      <c r="L1504" s="75">
        <v>1504</v>
      </c>
      <c r="M1504" s="75"/>
      <c r="N1504" s="70"/>
      <c r="O1504" s="77" t="s">
        <v>179</v>
      </c>
      <c r="P1504" s="79">
        <v>45128.729583333334</v>
      </c>
      <c r="Q1504" s="77" t="s">
        <v>2298</v>
      </c>
      <c r="R1504" s="77">
        <v>0</v>
      </c>
      <c r="S1504" s="77">
        <v>0</v>
      </c>
      <c r="T1504" s="77">
        <v>0</v>
      </c>
      <c r="U1504" s="77">
        <v>0</v>
      </c>
      <c r="V1504" s="77">
        <v>2</v>
      </c>
      <c r="W1504" s="81" t="s">
        <v>3678</v>
      </c>
      <c r="X1504" s="77"/>
      <c r="Y1504" s="77"/>
      <c r="Z1504" s="77"/>
      <c r="AA1504" s="77"/>
      <c r="AB1504" s="77"/>
      <c r="AC1504" s="81" t="s">
        <v>5801</v>
      </c>
      <c r="AD1504" s="77" t="s">
        <v>5850</v>
      </c>
      <c r="AE1504" s="83" t="str">
        <f>HYPERLINK("https://twitter.com/elvendedor81/status/1682442966512685063")</f>
        <v>https://twitter.com/elvendedor81/status/1682442966512685063</v>
      </c>
      <c r="AF1504" s="79">
        <v>45128.729583333334</v>
      </c>
      <c r="AG1504" s="85">
        <v>45128</v>
      </c>
      <c r="AH1504" s="81" t="s">
        <v>7154</v>
      </c>
      <c r="AI1504" s="77"/>
      <c r="AJ1504" s="77"/>
      <c r="AK1504" s="77"/>
      <c r="AL1504" s="77"/>
      <c r="AM1504" s="77"/>
      <c r="AN1504" s="77"/>
      <c r="AO1504" s="77"/>
      <c r="AP1504" s="77"/>
      <c r="AQ1504" s="77"/>
      <c r="AR1504" s="77"/>
      <c r="AS1504" s="77"/>
      <c r="AT1504" s="77"/>
      <c r="AU1504" s="77"/>
      <c r="AV1504" s="83" t="str">
        <f>HYPERLINK("https://pbs.twimg.com/profile_images/1655662288060162048/k50i8tes_normal.jpg")</f>
        <v>https://pbs.twimg.com/profile_images/1655662288060162048/k50i8tes_normal.jpg</v>
      </c>
      <c r="AW1504" s="81" t="s">
        <v>10624</v>
      </c>
      <c r="AX1504" s="81" t="s">
        <v>10624</v>
      </c>
      <c r="AY1504" s="77"/>
      <c r="AZ1504" s="81" t="s">
        <v>11359</v>
      </c>
      <c r="BA1504" s="81" t="s">
        <v>11359</v>
      </c>
      <c r="BB1504" s="81" t="s">
        <v>11359</v>
      </c>
      <c r="BC1504" s="81" t="s">
        <v>10624</v>
      </c>
      <c r="BD1504" s="81" t="s">
        <v>11567</v>
      </c>
      <c r="BE1504" s="77"/>
      <c r="BF1504" s="77"/>
      <c r="BG1504" s="77"/>
      <c r="BH1504" s="77"/>
      <c r="BI1504" s="77"/>
    </row>
    <row r="1505" spans="1:61" x14ac:dyDescent="0.25">
      <c r="A1505" s="62" t="s">
        <v>554</v>
      </c>
      <c r="B1505" s="62" t="s">
        <v>554</v>
      </c>
      <c r="C1505" s="63"/>
      <c r="D1505" s="64"/>
      <c r="E1505" s="65"/>
      <c r="F1505" s="66"/>
      <c r="G1505" s="63"/>
      <c r="H1505" s="67"/>
      <c r="I1505" s="68"/>
      <c r="J1505" s="68"/>
      <c r="K1505" s="32"/>
      <c r="L1505" s="75">
        <v>1505</v>
      </c>
      <c r="M1505" s="75"/>
      <c r="N1505" s="70"/>
      <c r="O1505" s="77" t="s">
        <v>179</v>
      </c>
      <c r="P1505" s="79">
        <v>45128.724733796298</v>
      </c>
      <c r="Q1505" s="77" t="s">
        <v>2299</v>
      </c>
      <c r="R1505" s="77">
        <v>0</v>
      </c>
      <c r="S1505" s="77">
        <v>0</v>
      </c>
      <c r="T1505" s="77">
        <v>0</v>
      </c>
      <c r="U1505" s="77">
        <v>0</v>
      </c>
      <c r="V1505" s="77">
        <v>5</v>
      </c>
      <c r="W1505" s="81" t="s">
        <v>3679</v>
      </c>
      <c r="X1505" s="77"/>
      <c r="Y1505" s="77"/>
      <c r="Z1505" s="77"/>
      <c r="AA1505" s="77"/>
      <c r="AB1505" s="77"/>
      <c r="AC1505" s="81" t="s">
        <v>5801</v>
      </c>
      <c r="AD1505" s="77" t="s">
        <v>5850</v>
      </c>
      <c r="AE1505" s="83" t="str">
        <f>HYPERLINK("https://twitter.com/elvendedor81/status/1682441209485094916")</f>
        <v>https://twitter.com/elvendedor81/status/1682441209485094916</v>
      </c>
      <c r="AF1505" s="79">
        <v>45128.724733796298</v>
      </c>
      <c r="AG1505" s="85">
        <v>45128</v>
      </c>
      <c r="AH1505" s="81" t="s">
        <v>7155</v>
      </c>
      <c r="AI1505" s="77"/>
      <c r="AJ1505" s="77"/>
      <c r="AK1505" s="77"/>
      <c r="AL1505" s="77"/>
      <c r="AM1505" s="77"/>
      <c r="AN1505" s="77"/>
      <c r="AO1505" s="77"/>
      <c r="AP1505" s="77"/>
      <c r="AQ1505" s="77"/>
      <c r="AR1505" s="77"/>
      <c r="AS1505" s="77"/>
      <c r="AT1505" s="77"/>
      <c r="AU1505" s="77"/>
      <c r="AV1505" s="83" t="str">
        <f>HYPERLINK("https://pbs.twimg.com/profile_images/1655662288060162048/k50i8tes_normal.jpg")</f>
        <v>https://pbs.twimg.com/profile_images/1655662288060162048/k50i8tes_normal.jpg</v>
      </c>
      <c r="AW1505" s="81" t="s">
        <v>10625</v>
      </c>
      <c r="AX1505" s="81" t="s">
        <v>10625</v>
      </c>
      <c r="AY1505" s="77"/>
      <c r="AZ1505" s="81" t="s">
        <v>11359</v>
      </c>
      <c r="BA1505" s="81" t="s">
        <v>11359</v>
      </c>
      <c r="BB1505" s="81" t="s">
        <v>11359</v>
      </c>
      <c r="BC1505" s="81" t="s">
        <v>10625</v>
      </c>
      <c r="BD1505" s="81" t="s">
        <v>11567</v>
      </c>
      <c r="BE1505" s="77"/>
      <c r="BF1505" s="77"/>
      <c r="BG1505" s="77"/>
      <c r="BH1505" s="77"/>
      <c r="BI1505" s="77"/>
    </row>
    <row r="1506" spans="1:61" x14ac:dyDescent="0.25">
      <c r="A1506" s="62" t="s">
        <v>554</v>
      </c>
      <c r="B1506" s="62" t="s">
        <v>554</v>
      </c>
      <c r="C1506" s="63"/>
      <c r="D1506" s="64"/>
      <c r="E1506" s="65"/>
      <c r="F1506" s="66"/>
      <c r="G1506" s="63"/>
      <c r="H1506" s="67"/>
      <c r="I1506" s="68"/>
      <c r="J1506" s="68"/>
      <c r="K1506" s="32"/>
      <c r="L1506" s="75">
        <v>1506</v>
      </c>
      <c r="M1506" s="75"/>
      <c r="N1506" s="70"/>
      <c r="O1506" s="77" t="s">
        <v>179</v>
      </c>
      <c r="P1506" s="79">
        <v>45063.875868055555</v>
      </c>
      <c r="Q1506" s="77" t="s">
        <v>2300</v>
      </c>
      <c r="R1506" s="77">
        <v>0</v>
      </c>
      <c r="S1506" s="77">
        <v>0</v>
      </c>
      <c r="T1506" s="77">
        <v>0</v>
      </c>
      <c r="U1506" s="77">
        <v>0</v>
      </c>
      <c r="V1506" s="77">
        <v>6</v>
      </c>
      <c r="W1506" s="81" t="s">
        <v>3675</v>
      </c>
      <c r="X1506" s="77"/>
      <c r="Y1506" s="77"/>
      <c r="Z1506" s="77"/>
      <c r="AA1506" s="77"/>
      <c r="AB1506" s="77"/>
      <c r="AC1506" s="81" t="s">
        <v>5801</v>
      </c>
      <c r="AD1506" s="77" t="s">
        <v>5850</v>
      </c>
      <c r="AE1506" s="83" t="str">
        <f>HYPERLINK("https://twitter.com/elvendedor81/status/1658940769879699459")</f>
        <v>https://twitter.com/elvendedor81/status/1658940769879699459</v>
      </c>
      <c r="AF1506" s="79">
        <v>45063.875868055555</v>
      </c>
      <c r="AG1506" s="85">
        <v>45063</v>
      </c>
      <c r="AH1506" s="81" t="s">
        <v>7156</v>
      </c>
      <c r="AI1506" s="77"/>
      <c r="AJ1506" s="77"/>
      <c r="AK1506" s="77"/>
      <c r="AL1506" s="77"/>
      <c r="AM1506" s="77"/>
      <c r="AN1506" s="77"/>
      <c r="AO1506" s="77"/>
      <c r="AP1506" s="77"/>
      <c r="AQ1506" s="77"/>
      <c r="AR1506" s="77"/>
      <c r="AS1506" s="77"/>
      <c r="AT1506" s="77"/>
      <c r="AU1506" s="77"/>
      <c r="AV1506" s="83" t="str">
        <f>HYPERLINK("https://pbs.twimg.com/profile_images/1655662288060162048/k50i8tes_normal.jpg")</f>
        <v>https://pbs.twimg.com/profile_images/1655662288060162048/k50i8tes_normal.jpg</v>
      </c>
      <c r="AW1506" s="81" t="s">
        <v>10626</v>
      </c>
      <c r="AX1506" s="81" t="s">
        <v>10626</v>
      </c>
      <c r="AY1506" s="77"/>
      <c r="AZ1506" s="81" t="s">
        <v>11359</v>
      </c>
      <c r="BA1506" s="81" t="s">
        <v>11359</v>
      </c>
      <c r="BB1506" s="81" t="s">
        <v>11359</v>
      </c>
      <c r="BC1506" s="81" t="s">
        <v>10626</v>
      </c>
      <c r="BD1506" s="81" t="s">
        <v>11567</v>
      </c>
      <c r="BE1506" s="77"/>
      <c r="BF1506" s="77"/>
      <c r="BG1506" s="77"/>
      <c r="BH1506" s="77"/>
      <c r="BI1506" s="77"/>
    </row>
    <row r="1507" spans="1:61" x14ac:dyDescent="0.25">
      <c r="A1507" s="62" t="s">
        <v>555</v>
      </c>
      <c r="B1507" s="62" t="s">
        <v>555</v>
      </c>
      <c r="C1507" s="63"/>
      <c r="D1507" s="64"/>
      <c r="E1507" s="65"/>
      <c r="F1507" s="66"/>
      <c r="G1507" s="63"/>
      <c r="H1507" s="67"/>
      <c r="I1507" s="68"/>
      <c r="J1507" s="68"/>
      <c r="K1507" s="32"/>
      <c r="L1507" s="75">
        <v>1507</v>
      </c>
      <c r="M1507" s="75"/>
      <c r="N1507" s="70"/>
      <c r="O1507" s="77" t="s">
        <v>179</v>
      </c>
      <c r="P1507" s="79">
        <v>45176.037199074075</v>
      </c>
      <c r="Q1507" s="77" t="s">
        <v>2301</v>
      </c>
      <c r="R1507" s="77">
        <v>0</v>
      </c>
      <c r="S1507" s="77">
        <v>0</v>
      </c>
      <c r="T1507" s="77">
        <v>0</v>
      </c>
      <c r="U1507" s="77">
        <v>1</v>
      </c>
      <c r="V1507" s="77">
        <v>1108</v>
      </c>
      <c r="W1507" s="81" t="s">
        <v>3680</v>
      </c>
      <c r="X1507" s="83" t="str">
        <f>HYPERLINK("https://estadoluz.com/2023/09/06/indignante-confiscan-carrito-a-vendedor-de-pan-de-la-tercera-edad/")</f>
        <v>https://estadoluz.com/2023/09/06/indignante-confiscan-carrito-a-vendedor-de-pan-de-la-tercera-edad/</v>
      </c>
      <c r="Y1507" s="77" t="s">
        <v>4299</v>
      </c>
      <c r="Z1507" s="77"/>
      <c r="AA1507" s="77"/>
      <c r="AB1507" s="77"/>
      <c r="AC1507" s="81" t="s">
        <v>5805</v>
      </c>
      <c r="AD1507" s="77" t="s">
        <v>5850</v>
      </c>
      <c r="AE1507" s="83" t="str">
        <f>HYPERLINK("https://twitter.com/estadoluz_/status/1699586671971295464")</f>
        <v>https://twitter.com/estadoluz_/status/1699586671971295464</v>
      </c>
      <c r="AF1507" s="79">
        <v>45176.037199074075</v>
      </c>
      <c r="AG1507" s="85">
        <v>45176</v>
      </c>
      <c r="AH1507" s="81" t="s">
        <v>7157</v>
      </c>
      <c r="AI1507" s="77" t="b">
        <v>0</v>
      </c>
      <c r="AJ1507" s="77"/>
      <c r="AK1507" s="77"/>
      <c r="AL1507" s="77"/>
      <c r="AM1507" s="77"/>
      <c r="AN1507" s="77"/>
      <c r="AO1507" s="77"/>
      <c r="AP1507" s="77"/>
      <c r="AQ1507" s="77"/>
      <c r="AR1507" s="77"/>
      <c r="AS1507" s="77"/>
      <c r="AT1507" s="77"/>
      <c r="AU1507" s="77"/>
      <c r="AV1507" s="83" t="str">
        <f>HYPERLINK("https://pbs.twimg.com/profile_images/1514640986810437634/O74S9-F2_normal.jpg")</f>
        <v>https://pbs.twimg.com/profile_images/1514640986810437634/O74S9-F2_normal.jpg</v>
      </c>
      <c r="AW1507" s="81" t="s">
        <v>10627</v>
      </c>
      <c r="AX1507" s="81" t="s">
        <v>10627</v>
      </c>
      <c r="AY1507" s="77"/>
      <c r="AZ1507" s="81" t="s">
        <v>11359</v>
      </c>
      <c r="BA1507" s="81" t="s">
        <v>11359</v>
      </c>
      <c r="BB1507" s="81" t="s">
        <v>11359</v>
      </c>
      <c r="BC1507" s="81" t="s">
        <v>10627</v>
      </c>
      <c r="BD1507" s="81" t="s">
        <v>11568</v>
      </c>
      <c r="BE1507" s="77"/>
      <c r="BF1507" s="77"/>
      <c r="BG1507" s="77"/>
      <c r="BH1507" s="77"/>
      <c r="BI1507" s="77"/>
    </row>
    <row r="1508" spans="1:61" x14ac:dyDescent="0.25">
      <c r="A1508" s="62" t="s">
        <v>556</v>
      </c>
      <c r="B1508" s="62" t="s">
        <v>556</v>
      </c>
      <c r="C1508" s="63"/>
      <c r="D1508" s="64"/>
      <c r="E1508" s="65"/>
      <c r="F1508" s="66"/>
      <c r="G1508" s="63"/>
      <c r="H1508" s="67"/>
      <c r="I1508" s="68"/>
      <c r="J1508" s="68"/>
      <c r="K1508" s="32"/>
      <c r="L1508" s="75">
        <v>1508</v>
      </c>
      <c r="M1508" s="75"/>
      <c r="N1508" s="70"/>
      <c r="O1508" s="77" t="s">
        <v>179</v>
      </c>
      <c r="P1508" s="79">
        <v>44945.626030092593</v>
      </c>
      <c r="Q1508" s="77" t="s">
        <v>2302</v>
      </c>
      <c r="R1508" s="77">
        <v>40</v>
      </c>
      <c r="S1508" s="77">
        <v>17</v>
      </c>
      <c r="T1508" s="77">
        <v>11</v>
      </c>
      <c r="U1508" s="77">
        <v>5</v>
      </c>
      <c r="V1508" s="77">
        <v>2022</v>
      </c>
      <c r="W1508" s="81" t="s">
        <v>3681</v>
      </c>
      <c r="X1508" s="77"/>
      <c r="Y1508" s="77"/>
      <c r="Z1508" s="77"/>
      <c r="AA1508" s="77" t="s">
        <v>5393</v>
      </c>
      <c r="AB1508" s="77" t="s">
        <v>5794</v>
      </c>
      <c r="AC1508" s="81" t="s">
        <v>5805</v>
      </c>
      <c r="AD1508" s="77" t="s">
        <v>5850</v>
      </c>
      <c r="AE1508" s="83" t="str">
        <f>HYPERLINK("https://twitter.com/billeteramovil_/status/1616088462150758402")</f>
        <v>https://twitter.com/billeteramovil_/status/1616088462150758402</v>
      </c>
      <c r="AF1508" s="79">
        <v>44945.626030092593</v>
      </c>
      <c r="AG1508" s="85">
        <v>44945</v>
      </c>
      <c r="AH1508" s="81" t="s">
        <v>7158</v>
      </c>
      <c r="AI1508" s="77" t="b">
        <v>0</v>
      </c>
      <c r="AJ1508" s="77"/>
      <c r="AK1508" s="77"/>
      <c r="AL1508" s="77"/>
      <c r="AM1508" s="77"/>
      <c r="AN1508" s="77"/>
      <c r="AO1508" s="77"/>
      <c r="AP1508" s="77"/>
      <c r="AQ1508" s="77" t="s">
        <v>8896</v>
      </c>
      <c r="AR1508" s="77"/>
      <c r="AS1508" s="77"/>
      <c r="AT1508" s="77"/>
      <c r="AU1508" s="77"/>
      <c r="AV1508" s="83" t="str">
        <f>HYPERLINK("https://pbs.twimg.com/media/Fm1_jycaMAQTz37.jpg")</f>
        <v>https://pbs.twimg.com/media/Fm1_jycaMAQTz37.jpg</v>
      </c>
      <c r="AW1508" s="81" t="s">
        <v>10628</v>
      </c>
      <c r="AX1508" s="81" t="s">
        <v>10628</v>
      </c>
      <c r="AY1508" s="77"/>
      <c r="AZ1508" s="81" t="s">
        <v>11359</v>
      </c>
      <c r="BA1508" s="81" t="s">
        <v>11359</v>
      </c>
      <c r="BB1508" s="81" t="s">
        <v>11359</v>
      </c>
      <c r="BC1508" s="81" t="s">
        <v>10628</v>
      </c>
      <c r="BD1508" s="81" t="s">
        <v>11569</v>
      </c>
      <c r="BE1508" s="77"/>
      <c r="BF1508" s="77"/>
      <c r="BG1508" s="77"/>
      <c r="BH1508" s="77"/>
      <c r="BI1508" s="77"/>
    </row>
    <row r="1509" spans="1:61" x14ac:dyDescent="0.25">
      <c r="A1509" s="62" t="s">
        <v>556</v>
      </c>
      <c r="B1509" s="62" t="s">
        <v>556</v>
      </c>
      <c r="C1509" s="63"/>
      <c r="D1509" s="64"/>
      <c r="E1509" s="65"/>
      <c r="F1509" s="66"/>
      <c r="G1509" s="63"/>
      <c r="H1509" s="67"/>
      <c r="I1509" s="68"/>
      <c r="J1509" s="68"/>
      <c r="K1509" s="32"/>
      <c r="L1509" s="75">
        <v>1509</v>
      </c>
      <c r="M1509" s="75"/>
      <c r="N1509" s="70"/>
      <c r="O1509" s="77" t="s">
        <v>179</v>
      </c>
      <c r="P1509" s="79">
        <v>45120.797743055555</v>
      </c>
      <c r="Q1509" s="77" t="s">
        <v>2303</v>
      </c>
      <c r="R1509" s="77">
        <v>1</v>
      </c>
      <c r="S1509" s="77">
        <v>1</v>
      </c>
      <c r="T1509" s="77">
        <v>0</v>
      </c>
      <c r="U1509" s="77">
        <v>0</v>
      </c>
      <c r="V1509" s="77">
        <v>135</v>
      </c>
      <c r="W1509" s="81" t="s">
        <v>3682</v>
      </c>
      <c r="X1509" s="83" t="str">
        <f>HYPERLINK("http://www.billeteramovil.gob.ve")</f>
        <v>http://www.billeteramovil.gob.ve</v>
      </c>
      <c r="Y1509" s="77" t="s">
        <v>4300</v>
      </c>
      <c r="Z1509" s="77"/>
      <c r="AA1509" s="77" t="s">
        <v>5394</v>
      </c>
      <c r="AB1509" s="77" t="s">
        <v>5795</v>
      </c>
      <c r="AC1509" s="81" t="s">
        <v>5805</v>
      </c>
      <c r="AD1509" s="77" t="s">
        <v>5850</v>
      </c>
      <c r="AE1509" s="83" t="str">
        <f>HYPERLINK("https://twitter.com/billeteramovil_/status/1679568566176169985")</f>
        <v>https://twitter.com/billeteramovil_/status/1679568566176169985</v>
      </c>
      <c r="AF1509" s="79">
        <v>45120.797743055555</v>
      </c>
      <c r="AG1509" s="85">
        <v>45120</v>
      </c>
      <c r="AH1509" s="81" t="s">
        <v>7159</v>
      </c>
      <c r="AI1509" s="77" t="b">
        <v>0</v>
      </c>
      <c r="AJ1509" s="77"/>
      <c r="AK1509" s="77"/>
      <c r="AL1509" s="77"/>
      <c r="AM1509" s="77"/>
      <c r="AN1509" s="77"/>
      <c r="AO1509" s="77"/>
      <c r="AP1509" s="77"/>
      <c r="AQ1509" s="77" t="s">
        <v>8897</v>
      </c>
      <c r="AR1509" s="77">
        <v>40200</v>
      </c>
      <c r="AS1509" s="77"/>
      <c r="AT1509" s="77"/>
      <c r="AU1509" s="77"/>
      <c r="AV1509" s="83" t="str">
        <f>HYPERLINK("https://pbs.twimg.com/ext_tw_video_thumb/1679568418536603651/pu/img/kaZrVN401aX1dLO3.jpg")</f>
        <v>https://pbs.twimg.com/ext_tw_video_thumb/1679568418536603651/pu/img/kaZrVN401aX1dLO3.jpg</v>
      </c>
      <c r="AW1509" s="81" t="s">
        <v>10629</v>
      </c>
      <c r="AX1509" s="81" t="s">
        <v>10629</v>
      </c>
      <c r="AY1509" s="77"/>
      <c r="AZ1509" s="81" t="s">
        <v>11359</v>
      </c>
      <c r="BA1509" s="81" t="s">
        <v>11359</v>
      </c>
      <c r="BB1509" s="81" t="s">
        <v>11359</v>
      </c>
      <c r="BC1509" s="81" t="s">
        <v>10629</v>
      </c>
      <c r="BD1509" s="81" t="s">
        <v>11569</v>
      </c>
      <c r="BE1509" s="77"/>
      <c r="BF1509" s="77"/>
      <c r="BG1509" s="77"/>
      <c r="BH1509" s="77"/>
      <c r="BI1509" s="77"/>
    </row>
    <row r="1510" spans="1:61" x14ac:dyDescent="0.25">
      <c r="A1510" s="62" t="s">
        <v>557</v>
      </c>
      <c r="B1510" s="62" t="s">
        <v>557</v>
      </c>
      <c r="C1510" s="63"/>
      <c r="D1510" s="64"/>
      <c r="E1510" s="65"/>
      <c r="F1510" s="66"/>
      <c r="G1510" s="63"/>
      <c r="H1510" s="67"/>
      <c r="I1510" s="68"/>
      <c r="J1510" s="68"/>
      <c r="K1510" s="32"/>
      <c r="L1510" s="75">
        <v>1510</v>
      </c>
      <c r="M1510" s="75"/>
      <c r="N1510" s="70"/>
      <c r="O1510" s="77" t="s">
        <v>179</v>
      </c>
      <c r="P1510" s="79">
        <v>45188.548576388886</v>
      </c>
      <c r="Q1510" s="77" t="s">
        <v>2304</v>
      </c>
      <c r="R1510" s="77">
        <v>1</v>
      </c>
      <c r="S1510" s="77">
        <v>1</v>
      </c>
      <c r="T1510" s="77">
        <v>0</v>
      </c>
      <c r="U1510" s="77">
        <v>0</v>
      </c>
      <c r="V1510" s="77">
        <v>129</v>
      </c>
      <c r="W1510" s="81" t="s">
        <v>3683</v>
      </c>
      <c r="X1510" s="77" t="s">
        <v>4189</v>
      </c>
      <c r="Y1510" s="77" t="s">
        <v>4301</v>
      </c>
      <c r="Z1510" s="77"/>
      <c r="AA1510" s="77" t="s">
        <v>5395</v>
      </c>
      <c r="AB1510" s="77" t="s">
        <v>5794</v>
      </c>
      <c r="AC1510" s="81" t="s">
        <v>5805</v>
      </c>
      <c r="AD1510" s="77" t="s">
        <v>5850</v>
      </c>
      <c r="AE1510" s="83" t="str">
        <f>HYPERLINK("https://twitter.com/eldial_com/status/1704120644848267774")</f>
        <v>https://twitter.com/eldial_com/status/1704120644848267774</v>
      </c>
      <c r="AF1510" s="79">
        <v>45188.548576388886</v>
      </c>
      <c r="AG1510" s="85">
        <v>45188</v>
      </c>
      <c r="AH1510" s="81" t="s">
        <v>7160</v>
      </c>
      <c r="AI1510" s="77" t="b">
        <v>0</v>
      </c>
      <c r="AJ1510" s="77"/>
      <c r="AK1510" s="77"/>
      <c r="AL1510" s="77"/>
      <c r="AM1510" s="77"/>
      <c r="AN1510" s="77"/>
      <c r="AO1510" s="77"/>
      <c r="AP1510" s="77"/>
      <c r="AQ1510" s="77" t="s">
        <v>8898</v>
      </c>
      <c r="AR1510" s="77"/>
      <c r="AS1510" s="77"/>
      <c r="AT1510" s="77"/>
      <c r="AU1510" s="77"/>
      <c r="AV1510" s="83" t="str">
        <f>HYPERLINK("https://pbs.twimg.com/media/F6ZApcRXMAAezXi.jpg")</f>
        <v>https://pbs.twimg.com/media/F6ZApcRXMAAezXi.jpg</v>
      </c>
      <c r="AW1510" s="81" t="s">
        <v>10630</v>
      </c>
      <c r="AX1510" s="81" t="s">
        <v>10630</v>
      </c>
      <c r="AY1510" s="77"/>
      <c r="AZ1510" s="81" t="s">
        <v>11359</v>
      </c>
      <c r="BA1510" s="81" t="s">
        <v>11359</v>
      </c>
      <c r="BB1510" s="81" t="s">
        <v>11359</v>
      </c>
      <c r="BC1510" s="81" t="s">
        <v>10630</v>
      </c>
      <c r="BD1510" s="77">
        <v>123353550</v>
      </c>
      <c r="BE1510" s="77"/>
      <c r="BF1510" s="77"/>
      <c r="BG1510" s="77"/>
      <c r="BH1510" s="77"/>
      <c r="BI1510" s="77"/>
    </row>
    <row r="1511" spans="1:61" x14ac:dyDescent="0.25">
      <c r="A1511" s="62" t="s">
        <v>558</v>
      </c>
      <c r="B1511" s="62" t="s">
        <v>557</v>
      </c>
      <c r="C1511" s="63"/>
      <c r="D1511" s="64"/>
      <c r="E1511" s="65"/>
      <c r="F1511" s="66"/>
      <c r="G1511" s="63"/>
      <c r="H1511" s="67"/>
      <c r="I1511" s="68"/>
      <c r="J1511" s="68"/>
      <c r="K1511" s="32"/>
      <c r="L1511" s="75">
        <v>1511</v>
      </c>
      <c r="M1511" s="75"/>
      <c r="N1511" s="70"/>
      <c r="O1511" s="77" t="s">
        <v>968</v>
      </c>
      <c r="P1511" s="79">
        <v>45188.749374999999</v>
      </c>
      <c r="Q1511" s="77" t="s">
        <v>2305</v>
      </c>
      <c r="R1511" s="77">
        <v>1</v>
      </c>
      <c r="S1511" s="77">
        <v>0</v>
      </c>
      <c r="T1511" s="77">
        <v>0</v>
      </c>
      <c r="U1511" s="77">
        <v>0</v>
      </c>
      <c r="V1511" s="77"/>
      <c r="W1511" s="77"/>
      <c r="X1511" s="83" t="str">
        <f>HYPERLINK("https://bit.ly/48oMGwr")</f>
        <v>https://bit.ly/48oMGwr</v>
      </c>
      <c r="Y1511" s="77" t="s">
        <v>4213</v>
      </c>
      <c r="Z1511" s="77" t="s">
        <v>557</v>
      </c>
      <c r="AA1511" s="77"/>
      <c r="AB1511" s="77"/>
      <c r="AC1511" s="81" t="s">
        <v>5801</v>
      </c>
      <c r="AD1511" s="77" t="s">
        <v>5850</v>
      </c>
      <c r="AE1511" s="83" t="str">
        <f>HYPERLINK("https://twitter.com/rprsabogados1/status/1704193410393862522")</f>
        <v>https://twitter.com/rprsabogados1/status/1704193410393862522</v>
      </c>
      <c r="AF1511" s="79">
        <v>45188.749374999999</v>
      </c>
      <c r="AG1511" s="85">
        <v>45188</v>
      </c>
      <c r="AH1511" s="81" t="s">
        <v>7161</v>
      </c>
      <c r="AI1511" s="77" t="b">
        <v>0</v>
      </c>
      <c r="AJ1511" s="77"/>
      <c r="AK1511" s="77"/>
      <c r="AL1511" s="77"/>
      <c r="AM1511" s="77"/>
      <c r="AN1511" s="77"/>
      <c r="AO1511" s="77"/>
      <c r="AP1511" s="77"/>
      <c r="AQ1511" s="77"/>
      <c r="AR1511" s="77"/>
      <c r="AS1511" s="77"/>
      <c r="AT1511" s="77"/>
      <c r="AU1511" s="77"/>
      <c r="AV1511" s="83" t="str">
        <f>HYPERLINK("https://pbs.twimg.com/profile_images/992249427401191424/QEqeA3P-_normal.jpg")</f>
        <v>https://pbs.twimg.com/profile_images/992249427401191424/QEqeA3P-_normal.jpg</v>
      </c>
      <c r="AW1511" s="81" t="s">
        <v>10631</v>
      </c>
      <c r="AX1511" s="81" t="s">
        <v>10631</v>
      </c>
      <c r="AY1511" s="77"/>
      <c r="AZ1511" s="81" t="s">
        <v>11359</v>
      </c>
      <c r="BA1511" s="81" t="s">
        <v>11359</v>
      </c>
      <c r="BB1511" s="81" t="s">
        <v>10630</v>
      </c>
      <c r="BC1511" s="81" t="s">
        <v>10630</v>
      </c>
      <c r="BD1511" s="77">
        <v>4923654153</v>
      </c>
      <c r="BE1511" s="77"/>
      <c r="BF1511" s="77"/>
      <c r="BG1511" s="77"/>
      <c r="BH1511" s="77"/>
      <c r="BI1511" s="77"/>
    </row>
    <row r="1512" spans="1:61" x14ac:dyDescent="0.25">
      <c r="A1512" s="62" t="s">
        <v>559</v>
      </c>
      <c r="B1512" s="62" t="s">
        <v>559</v>
      </c>
      <c r="C1512" s="63"/>
      <c r="D1512" s="64"/>
      <c r="E1512" s="65"/>
      <c r="F1512" s="66"/>
      <c r="G1512" s="63"/>
      <c r="H1512" s="67"/>
      <c r="I1512" s="68"/>
      <c r="J1512" s="68"/>
      <c r="K1512" s="32"/>
      <c r="L1512" s="75">
        <v>1512</v>
      </c>
      <c r="M1512" s="75"/>
      <c r="N1512" s="70"/>
      <c r="O1512" s="77" t="s">
        <v>179</v>
      </c>
      <c r="P1512" s="79">
        <v>44944.837210648147</v>
      </c>
      <c r="Q1512" s="77" t="s">
        <v>2306</v>
      </c>
      <c r="R1512" s="77">
        <v>1</v>
      </c>
      <c r="S1512" s="77">
        <v>1</v>
      </c>
      <c r="T1512" s="77">
        <v>0</v>
      </c>
      <c r="U1512" s="77">
        <v>0</v>
      </c>
      <c r="V1512" s="77">
        <v>43</v>
      </c>
      <c r="W1512" s="81" t="s">
        <v>3684</v>
      </c>
      <c r="X1512" s="77"/>
      <c r="Y1512" s="77"/>
      <c r="Z1512" s="77"/>
      <c r="AA1512" s="77" t="s">
        <v>5396</v>
      </c>
      <c r="AB1512" s="77" t="s">
        <v>5794</v>
      </c>
      <c r="AC1512" s="81" t="s">
        <v>5805</v>
      </c>
      <c r="AD1512" s="77" t="s">
        <v>5851</v>
      </c>
      <c r="AE1512" s="83" t="str">
        <f>HYPERLINK("https://twitter.com/casasmaracana/status/1615802602037383174")</f>
        <v>https://twitter.com/casasmaracana/status/1615802602037383174</v>
      </c>
      <c r="AF1512" s="79">
        <v>44944.837210648147</v>
      </c>
      <c r="AG1512" s="85">
        <v>44944</v>
      </c>
      <c r="AH1512" s="81" t="s">
        <v>7162</v>
      </c>
      <c r="AI1512" s="77" t="b">
        <v>0</v>
      </c>
      <c r="AJ1512" s="77"/>
      <c r="AK1512" s="77"/>
      <c r="AL1512" s="77"/>
      <c r="AM1512" s="77"/>
      <c r="AN1512" s="77"/>
      <c r="AO1512" s="77"/>
      <c r="AP1512" s="77"/>
      <c r="AQ1512" s="77" t="s">
        <v>8899</v>
      </c>
      <c r="AR1512" s="77"/>
      <c r="AS1512" s="77"/>
      <c r="AT1512" s="77"/>
      <c r="AU1512" s="77"/>
      <c r="AV1512" s="83" t="str">
        <f>HYPERLINK("https://pbs.twimg.com/media/Fmx7zZ-X0AUABV-.jpg")</f>
        <v>https://pbs.twimg.com/media/Fmx7zZ-X0AUABV-.jpg</v>
      </c>
      <c r="AW1512" s="81" t="s">
        <v>10632</v>
      </c>
      <c r="AX1512" s="81" t="s">
        <v>10632</v>
      </c>
      <c r="AY1512" s="77"/>
      <c r="AZ1512" s="81" t="s">
        <v>11359</v>
      </c>
      <c r="BA1512" s="81" t="s">
        <v>11359</v>
      </c>
      <c r="BB1512" s="81" t="s">
        <v>11359</v>
      </c>
      <c r="BC1512" s="81" t="s">
        <v>10632</v>
      </c>
      <c r="BD1512" s="81" t="s">
        <v>11570</v>
      </c>
      <c r="BE1512" s="77"/>
      <c r="BF1512" s="77"/>
      <c r="BG1512" s="77"/>
      <c r="BH1512" s="77"/>
      <c r="BI1512" s="77"/>
    </row>
    <row r="1513" spans="1:61" x14ac:dyDescent="0.25">
      <c r="A1513" s="62" t="s">
        <v>559</v>
      </c>
      <c r="B1513" s="62" t="s">
        <v>559</v>
      </c>
      <c r="C1513" s="63"/>
      <c r="D1513" s="64"/>
      <c r="E1513" s="65"/>
      <c r="F1513" s="66"/>
      <c r="G1513" s="63"/>
      <c r="H1513" s="67"/>
      <c r="I1513" s="68"/>
      <c r="J1513" s="68"/>
      <c r="K1513" s="32"/>
      <c r="L1513" s="75">
        <v>1513</v>
      </c>
      <c r="M1513" s="75"/>
      <c r="N1513" s="70"/>
      <c r="O1513" s="77" t="s">
        <v>179</v>
      </c>
      <c r="P1513" s="79">
        <v>45005.817650462966</v>
      </c>
      <c r="Q1513" s="77" t="s">
        <v>2307</v>
      </c>
      <c r="R1513" s="77">
        <v>1</v>
      </c>
      <c r="S1513" s="77">
        <v>1</v>
      </c>
      <c r="T1513" s="77">
        <v>0</v>
      </c>
      <c r="U1513" s="77">
        <v>0</v>
      </c>
      <c r="V1513" s="77">
        <v>27</v>
      </c>
      <c r="W1513" s="81" t="s">
        <v>3685</v>
      </c>
      <c r="X1513" s="77"/>
      <c r="Y1513" s="77"/>
      <c r="Z1513" s="77"/>
      <c r="AA1513" s="77" t="s">
        <v>5397</v>
      </c>
      <c r="AB1513" s="77" t="s">
        <v>5794</v>
      </c>
      <c r="AC1513" s="81" t="s">
        <v>5805</v>
      </c>
      <c r="AD1513" s="77" t="s">
        <v>5851</v>
      </c>
      <c r="AE1513" s="83" t="str">
        <f>HYPERLINK("https://twitter.com/casasmaracana/status/1637901176459894784")</f>
        <v>https://twitter.com/casasmaracana/status/1637901176459894784</v>
      </c>
      <c r="AF1513" s="79">
        <v>45005.817650462966</v>
      </c>
      <c r="AG1513" s="85">
        <v>45005</v>
      </c>
      <c r="AH1513" s="81" t="s">
        <v>7163</v>
      </c>
      <c r="AI1513" s="77" t="b">
        <v>0</v>
      </c>
      <c r="AJ1513" s="77"/>
      <c r="AK1513" s="77"/>
      <c r="AL1513" s="77"/>
      <c r="AM1513" s="77"/>
      <c r="AN1513" s="77"/>
      <c r="AO1513" s="77"/>
      <c r="AP1513" s="77"/>
      <c r="AQ1513" s="77" t="s">
        <v>8900</v>
      </c>
      <c r="AR1513" s="77"/>
      <c r="AS1513" s="77"/>
      <c r="AT1513" s="77"/>
      <c r="AU1513" s="77"/>
      <c r="AV1513" s="83" t="str">
        <f>HYPERLINK("https://pbs.twimg.com/media/Frr-KaUX0AA-1z7.jpg")</f>
        <v>https://pbs.twimg.com/media/Frr-KaUX0AA-1z7.jpg</v>
      </c>
      <c r="AW1513" s="81" t="s">
        <v>10633</v>
      </c>
      <c r="AX1513" s="81" t="s">
        <v>10633</v>
      </c>
      <c r="AY1513" s="77"/>
      <c r="AZ1513" s="81" t="s">
        <v>11359</v>
      </c>
      <c r="BA1513" s="81" t="s">
        <v>11359</v>
      </c>
      <c r="BB1513" s="81" t="s">
        <v>11359</v>
      </c>
      <c r="BC1513" s="81" t="s">
        <v>10633</v>
      </c>
      <c r="BD1513" s="81" t="s">
        <v>11570</v>
      </c>
      <c r="BE1513" s="77"/>
      <c r="BF1513" s="77"/>
      <c r="BG1513" s="77"/>
      <c r="BH1513" s="77"/>
      <c r="BI1513" s="77"/>
    </row>
    <row r="1514" spans="1:61" x14ac:dyDescent="0.25">
      <c r="A1514" s="62" t="s">
        <v>559</v>
      </c>
      <c r="B1514" s="62" t="s">
        <v>559</v>
      </c>
      <c r="C1514" s="63"/>
      <c r="D1514" s="64"/>
      <c r="E1514" s="65"/>
      <c r="F1514" s="66"/>
      <c r="G1514" s="63"/>
      <c r="H1514" s="67"/>
      <c r="I1514" s="68"/>
      <c r="J1514" s="68"/>
      <c r="K1514" s="32"/>
      <c r="L1514" s="75">
        <v>1514</v>
      </c>
      <c r="M1514" s="75"/>
      <c r="N1514" s="70"/>
      <c r="O1514" s="77" t="s">
        <v>179</v>
      </c>
      <c r="P1514" s="79">
        <v>44930.679675925923</v>
      </c>
      <c r="Q1514" s="77" t="s">
        <v>2308</v>
      </c>
      <c r="R1514" s="77">
        <v>0</v>
      </c>
      <c r="S1514" s="77">
        <v>0</v>
      </c>
      <c r="T1514" s="77">
        <v>0</v>
      </c>
      <c r="U1514" s="77">
        <v>0</v>
      </c>
      <c r="V1514" s="77">
        <v>22</v>
      </c>
      <c r="W1514" s="81" t="s">
        <v>3686</v>
      </c>
      <c r="X1514" s="77"/>
      <c r="Y1514" s="77"/>
      <c r="Z1514" s="77"/>
      <c r="AA1514" s="77" t="s">
        <v>5398</v>
      </c>
      <c r="AB1514" s="77" t="s">
        <v>5794</v>
      </c>
      <c r="AC1514" s="81" t="s">
        <v>5805</v>
      </c>
      <c r="AD1514" s="77" t="s">
        <v>5851</v>
      </c>
      <c r="AE1514" s="83" t="str">
        <f>HYPERLINK("https://twitter.com/casasmaracana/status/1610672084824330243")</f>
        <v>https://twitter.com/casasmaracana/status/1610672084824330243</v>
      </c>
      <c r="AF1514" s="79">
        <v>44930.679675925923</v>
      </c>
      <c r="AG1514" s="85">
        <v>44930</v>
      </c>
      <c r="AH1514" s="81" t="s">
        <v>7164</v>
      </c>
      <c r="AI1514" s="77" t="b">
        <v>0</v>
      </c>
      <c r="AJ1514" s="77"/>
      <c r="AK1514" s="77"/>
      <c r="AL1514" s="77"/>
      <c r="AM1514" s="77"/>
      <c r="AN1514" s="77"/>
      <c r="AO1514" s="77"/>
      <c r="AP1514" s="77"/>
      <c r="AQ1514" s="77" t="s">
        <v>8901</v>
      </c>
      <c r="AR1514" s="77"/>
      <c r="AS1514" s="77"/>
      <c r="AT1514" s="77"/>
      <c r="AU1514" s="77"/>
      <c r="AV1514" s="83" t="str">
        <f>HYPERLINK("https://pbs.twimg.com/media/FlpBrpCWIAADO1u.jpg")</f>
        <v>https://pbs.twimg.com/media/FlpBrpCWIAADO1u.jpg</v>
      </c>
      <c r="AW1514" s="81" t="s">
        <v>10634</v>
      </c>
      <c r="AX1514" s="81" t="s">
        <v>10634</v>
      </c>
      <c r="AY1514" s="77"/>
      <c r="AZ1514" s="81" t="s">
        <v>11359</v>
      </c>
      <c r="BA1514" s="81" t="s">
        <v>11359</v>
      </c>
      <c r="BB1514" s="81" t="s">
        <v>11359</v>
      </c>
      <c r="BC1514" s="81" t="s">
        <v>10634</v>
      </c>
      <c r="BD1514" s="81" t="s">
        <v>11570</v>
      </c>
      <c r="BE1514" s="77"/>
      <c r="BF1514" s="77"/>
      <c r="BG1514" s="77"/>
      <c r="BH1514" s="77"/>
      <c r="BI1514" s="77"/>
    </row>
    <row r="1515" spans="1:61" x14ac:dyDescent="0.25">
      <c r="A1515" s="62" t="s">
        <v>560</v>
      </c>
      <c r="B1515" s="62" t="s">
        <v>560</v>
      </c>
      <c r="C1515" s="63"/>
      <c r="D1515" s="64"/>
      <c r="E1515" s="65"/>
      <c r="F1515" s="66"/>
      <c r="G1515" s="63"/>
      <c r="H1515" s="67"/>
      <c r="I1515" s="68"/>
      <c r="J1515" s="68"/>
      <c r="K1515" s="32"/>
      <c r="L1515" s="75">
        <v>1515</v>
      </c>
      <c r="M1515" s="75"/>
      <c r="N1515" s="70"/>
      <c r="O1515" s="77" t="s">
        <v>179</v>
      </c>
      <c r="P1515" s="79">
        <v>45110.208344907405</v>
      </c>
      <c r="Q1515" s="77" t="s">
        <v>2309</v>
      </c>
      <c r="R1515" s="77">
        <v>0</v>
      </c>
      <c r="S1515" s="77">
        <v>2</v>
      </c>
      <c r="T1515" s="77">
        <v>0</v>
      </c>
      <c r="U1515" s="77">
        <v>0</v>
      </c>
      <c r="V1515" s="77">
        <v>165</v>
      </c>
      <c r="W1515" s="81" t="s">
        <v>3687</v>
      </c>
      <c r="X1515" s="77"/>
      <c r="Y1515" s="77"/>
      <c r="Z1515" s="77"/>
      <c r="AA1515" s="77" t="s">
        <v>5399</v>
      </c>
      <c r="AB1515" s="77" t="s">
        <v>5795</v>
      </c>
      <c r="AC1515" s="81" t="s">
        <v>5805</v>
      </c>
      <c r="AD1515" s="77" t="s">
        <v>5850</v>
      </c>
      <c r="AE1515" s="83" t="str">
        <f>HYPERLINK("https://twitter.com/juanitomalafoya/status/1675731093826453505")</f>
        <v>https://twitter.com/juanitomalafoya/status/1675731093826453505</v>
      </c>
      <c r="AF1515" s="79">
        <v>45110.208344907405</v>
      </c>
      <c r="AG1515" s="85">
        <v>45110</v>
      </c>
      <c r="AH1515" s="81" t="s">
        <v>7165</v>
      </c>
      <c r="AI1515" s="77" t="b">
        <v>0</v>
      </c>
      <c r="AJ1515" s="77"/>
      <c r="AK1515" s="77"/>
      <c r="AL1515" s="77"/>
      <c r="AM1515" s="77"/>
      <c r="AN1515" s="77"/>
      <c r="AO1515" s="77"/>
      <c r="AP1515" s="77"/>
      <c r="AQ1515" s="77" t="s">
        <v>8902</v>
      </c>
      <c r="AR1515" s="77">
        <v>93885</v>
      </c>
      <c r="AS1515" s="77"/>
      <c r="AT1515" s="77"/>
      <c r="AU1515" s="77"/>
      <c r="AV1515" s="83" t="str">
        <f>HYPERLINK("https://pbs.twimg.com/ext_tw_video_thumb/1675593605799456773/pu/img/bXQtFEsg1YHFlX6Y.jpg")</f>
        <v>https://pbs.twimg.com/ext_tw_video_thumb/1675593605799456773/pu/img/bXQtFEsg1YHFlX6Y.jpg</v>
      </c>
      <c r="AW1515" s="81" t="s">
        <v>10635</v>
      </c>
      <c r="AX1515" s="81" t="s">
        <v>10635</v>
      </c>
      <c r="AY1515" s="77"/>
      <c r="AZ1515" s="81" t="s">
        <v>11359</v>
      </c>
      <c r="BA1515" s="81" t="s">
        <v>11359</v>
      </c>
      <c r="BB1515" s="81" t="s">
        <v>11359</v>
      </c>
      <c r="BC1515" s="81" t="s">
        <v>10635</v>
      </c>
      <c r="BD1515" s="81" t="s">
        <v>11571</v>
      </c>
      <c r="BE1515" s="77"/>
      <c r="BF1515" s="77"/>
      <c r="BG1515" s="77"/>
      <c r="BH1515" s="77"/>
      <c r="BI1515" s="77"/>
    </row>
    <row r="1516" spans="1:61" x14ac:dyDescent="0.25">
      <c r="A1516" s="62" t="s">
        <v>561</v>
      </c>
      <c r="B1516" s="62" t="s">
        <v>561</v>
      </c>
      <c r="C1516" s="63"/>
      <c r="D1516" s="64"/>
      <c r="E1516" s="65"/>
      <c r="F1516" s="66"/>
      <c r="G1516" s="63"/>
      <c r="H1516" s="67"/>
      <c r="I1516" s="68"/>
      <c r="J1516" s="68"/>
      <c r="K1516" s="32"/>
      <c r="L1516" s="75">
        <v>1516</v>
      </c>
      <c r="M1516" s="75"/>
      <c r="N1516" s="70"/>
      <c r="O1516" s="77" t="s">
        <v>179</v>
      </c>
      <c r="P1516" s="79">
        <v>44956.854131944441</v>
      </c>
      <c r="Q1516" s="77" t="s">
        <v>2310</v>
      </c>
      <c r="R1516" s="77">
        <v>0</v>
      </c>
      <c r="S1516" s="77">
        <v>0</v>
      </c>
      <c r="T1516" s="77">
        <v>0</v>
      </c>
      <c r="U1516" s="77">
        <v>0</v>
      </c>
      <c r="V1516" s="77">
        <v>35</v>
      </c>
      <c r="W1516" s="81" t="s">
        <v>3688</v>
      </c>
      <c r="X1516" s="77"/>
      <c r="Y1516" s="77"/>
      <c r="Z1516" s="77"/>
      <c r="AA1516" s="77" t="s">
        <v>5400</v>
      </c>
      <c r="AB1516" s="77" t="s">
        <v>5794</v>
      </c>
      <c r="AC1516" s="81" t="s">
        <v>5801</v>
      </c>
      <c r="AD1516" s="77" t="s">
        <v>5850</v>
      </c>
      <c r="AE1516" s="83" t="str">
        <f>HYPERLINK("https://twitter.com/gestionmhumana/status/1620157389197684736")</f>
        <v>https://twitter.com/gestionmhumana/status/1620157389197684736</v>
      </c>
      <c r="AF1516" s="79">
        <v>44956.854131944441</v>
      </c>
      <c r="AG1516" s="85">
        <v>44956</v>
      </c>
      <c r="AH1516" s="81" t="s">
        <v>7166</v>
      </c>
      <c r="AI1516" s="77" t="b">
        <v>0</v>
      </c>
      <c r="AJ1516" s="77"/>
      <c r="AK1516" s="77"/>
      <c r="AL1516" s="77"/>
      <c r="AM1516" s="77"/>
      <c r="AN1516" s="77"/>
      <c r="AO1516" s="77"/>
      <c r="AP1516" s="77"/>
      <c r="AQ1516" s="77" t="s">
        <v>8903</v>
      </c>
      <c r="AR1516" s="77"/>
      <c r="AS1516" s="77"/>
      <c r="AT1516" s="77"/>
      <c r="AU1516" s="77"/>
      <c r="AV1516" s="83" t="str">
        <f>HYPERLINK("https://pbs.twimg.com/media/Fnv0jsZXwAAgjVs.jpg")</f>
        <v>https://pbs.twimg.com/media/Fnv0jsZXwAAgjVs.jpg</v>
      </c>
      <c r="AW1516" s="81" t="s">
        <v>10636</v>
      </c>
      <c r="AX1516" s="81" t="s">
        <v>10636</v>
      </c>
      <c r="AY1516" s="77"/>
      <c r="AZ1516" s="81" t="s">
        <v>11359</v>
      </c>
      <c r="BA1516" s="81" t="s">
        <v>11359</v>
      </c>
      <c r="BB1516" s="81" t="s">
        <v>11359</v>
      </c>
      <c r="BC1516" s="81" t="s">
        <v>10636</v>
      </c>
      <c r="BD1516" s="81" t="s">
        <v>11572</v>
      </c>
      <c r="BE1516" s="77"/>
      <c r="BF1516" s="77"/>
      <c r="BG1516" s="77"/>
      <c r="BH1516" s="77"/>
      <c r="BI1516" s="77"/>
    </row>
    <row r="1517" spans="1:61" x14ac:dyDescent="0.25">
      <c r="A1517" s="62" t="s">
        <v>562</v>
      </c>
      <c r="B1517" s="62" t="s">
        <v>562</v>
      </c>
      <c r="C1517" s="63"/>
      <c r="D1517" s="64"/>
      <c r="E1517" s="65"/>
      <c r="F1517" s="66"/>
      <c r="G1517" s="63"/>
      <c r="H1517" s="67"/>
      <c r="I1517" s="68"/>
      <c r="J1517" s="68"/>
      <c r="K1517" s="32"/>
      <c r="L1517" s="75">
        <v>1517</v>
      </c>
      <c r="M1517" s="75"/>
      <c r="N1517" s="70"/>
      <c r="O1517" s="77" t="s">
        <v>179</v>
      </c>
      <c r="P1517" s="79">
        <v>45075.927384259259</v>
      </c>
      <c r="Q1517" s="77" t="s">
        <v>2311</v>
      </c>
      <c r="R1517" s="77">
        <v>0</v>
      </c>
      <c r="S1517" s="77">
        <v>0</v>
      </c>
      <c r="T1517" s="77">
        <v>0</v>
      </c>
      <c r="U1517" s="77">
        <v>0</v>
      </c>
      <c r="V1517" s="77">
        <v>197</v>
      </c>
      <c r="W1517" s="81" t="s">
        <v>3689</v>
      </c>
      <c r="X1517" s="83" t="str">
        <f>HYPERLINK("https://youtu.be/kD3Re_uAv04")</f>
        <v>https://youtu.be/kD3Re_uAv04</v>
      </c>
      <c r="Y1517" s="77" t="s">
        <v>4214</v>
      </c>
      <c r="Z1517" s="77"/>
      <c r="AA1517" s="77" t="s">
        <v>5401</v>
      </c>
      <c r="AB1517" s="77" t="s">
        <v>5794</v>
      </c>
      <c r="AC1517" s="81" t="s">
        <v>5801</v>
      </c>
      <c r="AD1517" s="77" t="s">
        <v>5850</v>
      </c>
      <c r="AE1517" s="83" t="str">
        <f>HYPERLINK("https://twitter.com/kevintanori11/status/1663308093256769538")</f>
        <v>https://twitter.com/kevintanori11/status/1663308093256769538</v>
      </c>
      <c r="AF1517" s="79">
        <v>45075.927384259259</v>
      </c>
      <c r="AG1517" s="85">
        <v>45075</v>
      </c>
      <c r="AH1517" s="81" t="s">
        <v>7167</v>
      </c>
      <c r="AI1517" s="77" t="b">
        <v>0</v>
      </c>
      <c r="AJ1517" s="77"/>
      <c r="AK1517" s="77"/>
      <c r="AL1517" s="77"/>
      <c r="AM1517" s="77"/>
      <c r="AN1517" s="77"/>
      <c r="AO1517" s="77"/>
      <c r="AP1517" s="77"/>
      <c r="AQ1517" s="77" t="s">
        <v>8904</v>
      </c>
      <c r="AR1517" s="77"/>
      <c r="AS1517" s="77"/>
      <c r="AT1517" s="77"/>
      <c r="AU1517" s="77"/>
      <c r="AV1517" s="83" t="str">
        <f>HYPERLINK("https://pbs.twimg.com/media/FxVB5VzaEAAeUce.jpg")</f>
        <v>https://pbs.twimg.com/media/FxVB5VzaEAAeUce.jpg</v>
      </c>
      <c r="AW1517" s="81" t="s">
        <v>10637</v>
      </c>
      <c r="AX1517" s="81" t="s">
        <v>10637</v>
      </c>
      <c r="AY1517" s="77"/>
      <c r="AZ1517" s="81" t="s">
        <v>11359</v>
      </c>
      <c r="BA1517" s="81" t="s">
        <v>11359</v>
      </c>
      <c r="BB1517" s="81" t="s">
        <v>11359</v>
      </c>
      <c r="BC1517" s="81" t="s">
        <v>10637</v>
      </c>
      <c r="BD1517" s="81" t="s">
        <v>11573</v>
      </c>
      <c r="BE1517" s="77"/>
      <c r="BF1517" s="77"/>
      <c r="BG1517" s="77"/>
      <c r="BH1517" s="77"/>
      <c r="BI1517" s="77"/>
    </row>
    <row r="1518" spans="1:61" x14ac:dyDescent="0.25">
      <c r="A1518" s="62" t="s">
        <v>562</v>
      </c>
      <c r="B1518" s="62" t="s">
        <v>562</v>
      </c>
      <c r="C1518" s="63"/>
      <c r="D1518" s="64"/>
      <c r="E1518" s="65"/>
      <c r="F1518" s="66"/>
      <c r="G1518" s="63"/>
      <c r="H1518" s="67"/>
      <c r="I1518" s="68"/>
      <c r="J1518" s="68"/>
      <c r="K1518" s="32"/>
      <c r="L1518" s="75">
        <v>1518</v>
      </c>
      <c r="M1518" s="75"/>
      <c r="N1518" s="70"/>
      <c r="O1518" s="77" t="s">
        <v>179</v>
      </c>
      <c r="P1518" s="79">
        <v>45094.008657407408</v>
      </c>
      <c r="Q1518" s="77" t="s">
        <v>2312</v>
      </c>
      <c r="R1518" s="77">
        <v>0</v>
      </c>
      <c r="S1518" s="77">
        <v>1</v>
      </c>
      <c r="T1518" s="77">
        <v>0</v>
      </c>
      <c r="U1518" s="77">
        <v>0</v>
      </c>
      <c r="V1518" s="77">
        <v>206</v>
      </c>
      <c r="W1518" s="81" t="s">
        <v>3690</v>
      </c>
      <c r="X1518" s="83" t="str">
        <f>HYPERLINK("https://youtube.com/@KevinTanory11")</f>
        <v>https://youtube.com/@KevinTanory11</v>
      </c>
      <c r="Y1518" s="77" t="s">
        <v>4225</v>
      </c>
      <c r="Z1518" s="77"/>
      <c r="AA1518" s="77" t="s">
        <v>5402</v>
      </c>
      <c r="AB1518" s="77" t="s">
        <v>5795</v>
      </c>
      <c r="AC1518" s="81" t="s">
        <v>5801</v>
      </c>
      <c r="AD1518" s="77" t="s">
        <v>5850</v>
      </c>
      <c r="AE1518" s="83" t="str">
        <f>HYPERLINK("https://twitter.com/kevintanori11/status/1669860525327654912")</f>
        <v>https://twitter.com/kevintanori11/status/1669860525327654912</v>
      </c>
      <c r="AF1518" s="79">
        <v>45094.008657407408</v>
      </c>
      <c r="AG1518" s="85">
        <v>45094</v>
      </c>
      <c r="AH1518" s="81" t="s">
        <v>7168</v>
      </c>
      <c r="AI1518" s="77" t="b">
        <v>0</v>
      </c>
      <c r="AJ1518" s="77"/>
      <c r="AK1518" s="77"/>
      <c r="AL1518" s="77"/>
      <c r="AM1518" s="77"/>
      <c r="AN1518" s="77"/>
      <c r="AO1518" s="77"/>
      <c r="AP1518" s="77"/>
      <c r="AQ1518" s="77" t="s">
        <v>8905</v>
      </c>
      <c r="AR1518" s="77">
        <v>139936</v>
      </c>
      <c r="AS1518" s="77"/>
      <c r="AT1518" s="77"/>
      <c r="AU1518" s="77"/>
      <c r="AV1518" s="83" t="str">
        <f>HYPERLINK("https://pbs.twimg.com/ext_tw_video_thumb/1669860153498431489/pu/img/GFF1DEgE5dOrOQVp.jpg")</f>
        <v>https://pbs.twimg.com/ext_tw_video_thumb/1669860153498431489/pu/img/GFF1DEgE5dOrOQVp.jpg</v>
      </c>
      <c r="AW1518" s="81" t="s">
        <v>10638</v>
      </c>
      <c r="AX1518" s="81" t="s">
        <v>10638</v>
      </c>
      <c r="AY1518" s="77"/>
      <c r="AZ1518" s="81" t="s">
        <v>11359</v>
      </c>
      <c r="BA1518" s="81" t="s">
        <v>11359</v>
      </c>
      <c r="BB1518" s="81" t="s">
        <v>11359</v>
      </c>
      <c r="BC1518" s="81" t="s">
        <v>10638</v>
      </c>
      <c r="BD1518" s="81" t="s">
        <v>11573</v>
      </c>
      <c r="BE1518" s="77"/>
      <c r="BF1518" s="77"/>
      <c r="BG1518" s="77"/>
      <c r="BH1518" s="77"/>
      <c r="BI1518" s="77"/>
    </row>
    <row r="1519" spans="1:61" x14ac:dyDescent="0.25">
      <c r="A1519" s="62" t="s">
        <v>563</v>
      </c>
      <c r="B1519" s="62" t="s">
        <v>563</v>
      </c>
      <c r="C1519" s="63"/>
      <c r="D1519" s="64"/>
      <c r="E1519" s="65"/>
      <c r="F1519" s="66"/>
      <c r="G1519" s="63"/>
      <c r="H1519" s="67"/>
      <c r="I1519" s="68"/>
      <c r="J1519" s="68"/>
      <c r="K1519" s="32"/>
      <c r="L1519" s="75">
        <v>1519</v>
      </c>
      <c r="M1519" s="75"/>
      <c r="N1519" s="70"/>
      <c r="O1519" s="77" t="s">
        <v>969</v>
      </c>
      <c r="P1519" s="79">
        <v>44998.822789351849</v>
      </c>
      <c r="Q1519" s="77" t="s">
        <v>2313</v>
      </c>
      <c r="R1519" s="77">
        <v>0</v>
      </c>
      <c r="S1519" s="77">
        <v>0</v>
      </c>
      <c r="T1519" s="77">
        <v>0</v>
      </c>
      <c r="U1519" s="77">
        <v>0</v>
      </c>
      <c r="V1519" s="77">
        <v>7</v>
      </c>
      <c r="W1519" s="81" t="s">
        <v>2947</v>
      </c>
      <c r="X1519" s="77"/>
      <c r="Y1519" s="77"/>
      <c r="Z1519" s="77"/>
      <c r="AA1519" s="77"/>
      <c r="AB1519" s="77"/>
      <c r="AC1519" s="81" t="s">
        <v>5805</v>
      </c>
      <c r="AD1519" s="77" t="s">
        <v>5850</v>
      </c>
      <c r="AE1519" s="83" t="str">
        <f>HYPERLINK("https://twitter.com/pgsconsultingg/status/1635366323227353088")</f>
        <v>https://twitter.com/pgsconsultingg/status/1635366323227353088</v>
      </c>
      <c r="AF1519" s="79">
        <v>44998.822789351849</v>
      </c>
      <c r="AG1519" s="85">
        <v>44998</v>
      </c>
      <c r="AH1519" s="81" t="s">
        <v>7169</v>
      </c>
      <c r="AI1519" s="77"/>
      <c r="AJ1519" s="77"/>
      <c r="AK1519" s="77"/>
      <c r="AL1519" s="77"/>
      <c r="AM1519" s="77"/>
      <c r="AN1519" s="77"/>
      <c r="AO1519" s="77"/>
      <c r="AP1519" s="77"/>
      <c r="AQ1519" s="77"/>
      <c r="AR1519" s="77"/>
      <c r="AS1519" s="77"/>
      <c r="AT1519" s="77"/>
      <c r="AU1519" s="77"/>
      <c r="AV1519" s="83" t="str">
        <f>HYPERLINK("https://pbs.twimg.com/profile_images/1547625032506961921/09sIS7Qa_normal.jpg")</f>
        <v>https://pbs.twimg.com/profile_images/1547625032506961921/09sIS7Qa_normal.jpg</v>
      </c>
      <c r="AW1519" s="81" t="s">
        <v>10639</v>
      </c>
      <c r="AX1519" s="81" t="s">
        <v>11293</v>
      </c>
      <c r="AY1519" s="81" t="s">
        <v>11339</v>
      </c>
      <c r="AZ1519" s="81" t="s">
        <v>11383</v>
      </c>
      <c r="BA1519" s="81" t="s">
        <v>11359</v>
      </c>
      <c r="BB1519" s="81" t="s">
        <v>11359</v>
      </c>
      <c r="BC1519" s="81" t="s">
        <v>11383</v>
      </c>
      <c r="BD1519" s="81" t="s">
        <v>11339</v>
      </c>
      <c r="BE1519" s="77"/>
      <c r="BF1519" s="77"/>
      <c r="BG1519" s="77"/>
      <c r="BH1519" s="77"/>
      <c r="BI1519" s="77"/>
    </row>
    <row r="1520" spans="1:61" x14ac:dyDescent="0.25">
      <c r="A1520" s="62" t="s">
        <v>563</v>
      </c>
      <c r="B1520" s="62" t="s">
        <v>563</v>
      </c>
      <c r="C1520" s="63"/>
      <c r="D1520" s="64"/>
      <c r="E1520" s="65"/>
      <c r="F1520" s="66"/>
      <c r="G1520" s="63"/>
      <c r="H1520" s="67"/>
      <c r="I1520" s="68"/>
      <c r="J1520" s="68"/>
      <c r="K1520" s="32"/>
      <c r="L1520" s="75">
        <v>1520</v>
      </c>
      <c r="M1520" s="75"/>
      <c r="N1520" s="70"/>
      <c r="O1520" s="77" t="s">
        <v>179</v>
      </c>
      <c r="P1520" s="79">
        <v>45126.749363425923</v>
      </c>
      <c r="Q1520" s="77" t="s">
        <v>2314</v>
      </c>
      <c r="R1520" s="77">
        <v>0</v>
      </c>
      <c r="S1520" s="77">
        <v>1</v>
      </c>
      <c r="T1520" s="77">
        <v>0</v>
      </c>
      <c r="U1520" s="77">
        <v>0</v>
      </c>
      <c r="V1520" s="77">
        <v>11</v>
      </c>
      <c r="W1520" s="81" t="s">
        <v>3691</v>
      </c>
      <c r="X1520" s="83" t="str">
        <f>HYPERLINK("https://www.youtube.com/watch?v=bNjh4DEPnis")</f>
        <v>https://www.youtube.com/watch?v=bNjh4DEPnis</v>
      </c>
      <c r="Y1520" s="77" t="s">
        <v>4225</v>
      </c>
      <c r="Z1520" s="77"/>
      <c r="AA1520" s="77"/>
      <c r="AB1520" s="77"/>
      <c r="AC1520" s="81" t="s">
        <v>5805</v>
      </c>
      <c r="AD1520" s="77" t="s">
        <v>5850</v>
      </c>
      <c r="AE1520" s="83" t="str">
        <f>HYPERLINK("https://twitter.com/pgsconsultingg/status/1681725358519795716")</f>
        <v>https://twitter.com/pgsconsultingg/status/1681725358519795716</v>
      </c>
      <c r="AF1520" s="79">
        <v>45126.749363425923</v>
      </c>
      <c r="AG1520" s="85">
        <v>45126</v>
      </c>
      <c r="AH1520" s="81" t="s">
        <v>7170</v>
      </c>
      <c r="AI1520" s="77" t="b">
        <v>0</v>
      </c>
      <c r="AJ1520" s="77"/>
      <c r="AK1520" s="77"/>
      <c r="AL1520" s="77"/>
      <c r="AM1520" s="77"/>
      <c r="AN1520" s="77"/>
      <c r="AO1520" s="77"/>
      <c r="AP1520" s="77"/>
      <c r="AQ1520" s="77"/>
      <c r="AR1520" s="77"/>
      <c r="AS1520" s="77"/>
      <c r="AT1520" s="77"/>
      <c r="AU1520" s="77"/>
      <c r="AV1520" s="83" t="str">
        <f>HYPERLINK("https://pbs.twimg.com/profile_images/1547625032506961921/09sIS7Qa_normal.jpg")</f>
        <v>https://pbs.twimg.com/profile_images/1547625032506961921/09sIS7Qa_normal.jpg</v>
      </c>
      <c r="AW1520" s="81" t="s">
        <v>10640</v>
      </c>
      <c r="AX1520" s="81" t="s">
        <v>10640</v>
      </c>
      <c r="AY1520" s="77"/>
      <c r="AZ1520" s="81" t="s">
        <v>11359</v>
      </c>
      <c r="BA1520" s="81" t="s">
        <v>11359</v>
      </c>
      <c r="BB1520" s="81" t="s">
        <v>11359</v>
      </c>
      <c r="BC1520" s="81" t="s">
        <v>10640</v>
      </c>
      <c r="BD1520" s="81" t="s">
        <v>11339</v>
      </c>
      <c r="BE1520" s="77"/>
      <c r="BF1520" s="77"/>
      <c r="BG1520" s="77"/>
      <c r="BH1520" s="77"/>
      <c r="BI1520" s="77"/>
    </row>
    <row r="1521" spans="1:61" x14ac:dyDescent="0.25">
      <c r="A1521" s="62" t="s">
        <v>564</v>
      </c>
      <c r="B1521" s="62" t="s">
        <v>564</v>
      </c>
      <c r="C1521" s="63"/>
      <c r="D1521" s="64"/>
      <c r="E1521" s="65"/>
      <c r="F1521" s="66"/>
      <c r="G1521" s="63"/>
      <c r="H1521" s="67"/>
      <c r="I1521" s="68"/>
      <c r="J1521" s="68"/>
      <c r="K1521" s="32"/>
      <c r="L1521" s="75">
        <v>1521</v>
      </c>
      <c r="M1521" s="75"/>
      <c r="N1521" s="70"/>
      <c r="O1521" s="77" t="s">
        <v>179</v>
      </c>
      <c r="P1521" s="79">
        <v>45022.655497685184</v>
      </c>
      <c r="Q1521" s="77" t="s">
        <v>2315</v>
      </c>
      <c r="R1521" s="77">
        <v>0</v>
      </c>
      <c r="S1521" s="77">
        <v>0</v>
      </c>
      <c r="T1521" s="77">
        <v>0</v>
      </c>
      <c r="U1521" s="77">
        <v>0</v>
      </c>
      <c r="V1521" s="77">
        <v>15</v>
      </c>
      <c r="W1521" s="81" t="s">
        <v>3692</v>
      </c>
      <c r="X1521" s="77"/>
      <c r="Y1521" s="77"/>
      <c r="Z1521" s="77"/>
      <c r="AA1521" s="77" t="s">
        <v>5403</v>
      </c>
      <c r="AB1521" s="77" t="s">
        <v>5794</v>
      </c>
      <c r="AC1521" s="81" t="s">
        <v>5805</v>
      </c>
      <c r="AD1521" s="77" t="s">
        <v>5851</v>
      </c>
      <c r="AE1521" s="83" t="str">
        <f>HYPERLINK("https://twitter.com/academyeducacao/status/1644003004918517761")</f>
        <v>https://twitter.com/academyeducacao/status/1644003004918517761</v>
      </c>
      <c r="AF1521" s="79">
        <v>45022.655497685184</v>
      </c>
      <c r="AG1521" s="85">
        <v>45022</v>
      </c>
      <c r="AH1521" s="81" t="s">
        <v>7171</v>
      </c>
      <c r="AI1521" s="77" t="b">
        <v>0</v>
      </c>
      <c r="AJ1521" s="77"/>
      <c r="AK1521" s="77"/>
      <c r="AL1521" s="77"/>
      <c r="AM1521" s="77"/>
      <c r="AN1521" s="77"/>
      <c r="AO1521" s="77"/>
      <c r="AP1521" s="77"/>
      <c r="AQ1521" s="77" t="s">
        <v>8906</v>
      </c>
      <c r="AR1521" s="77"/>
      <c r="AS1521" s="77"/>
      <c r="AT1521" s="77"/>
      <c r="AU1521" s="77"/>
      <c r="AV1521" s="83" t="str">
        <f>HYPERLINK("https://pbs.twimg.com/media/FtCr7uGWYAAbiBy.jpg")</f>
        <v>https://pbs.twimg.com/media/FtCr7uGWYAAbiBy.jpg</v>
      </c>
      <c r="AW1521" s="81" t="s">
        <v>10641</v>
      </c>
      <c r="AX1521" s="81" t="s">
        <v>10641</v>
      </c>
      <c r="AY1521" s="77"/>
      <c r="AZ1521" s="81" t="s">
        <v>11359</v>
      </c>
      <c r="BA1521" s="81" t="s">
        <v>11359</v>
      </c>
      <c r="BB1521" s="81" t="s">
        <v>11359</v>
      </c>
      <c r="BC1521" s="81" t="s">
        <v>10641</v>
      </c>
      <c r="BD1521" s="81" t="s">
        <v>11574</v>
      </c>
      <c r="BE1521" s="77"/>
      <c r="BF1521" s="77"/>
      <c r="BG1521" s="77"/>
      <c r="BH1521" s="77"/>
      <c r="BI1521" s="77"/>
    </row>
    <row r="1522" spans="1:61" x14ac:dyDescent="0.25">
      <c r="A1522" s="62" t="s">
        <v>565</v>
      </c>
      <c r="B1522" s="62" t="s">
        <v>565</v>
      </c>
      <c r="C1522" s="63"/>
      <c r="D1522" s="64"/>
      <c r="E1522" s="65"/>
      <c r="F1522" s="66"/>
      <c r="G1522" s="63"/>
      <c r="H1522" s="67"/>
      <c r="I1522" s="68"/>
      <c r="J1522" s="68"/>
      <c r="K1522" s="32"/>
      <c r="L1522" s="75">
        <v>1522</v>
      </c>
      <c r="M1522" s="75"/>
      <c r="N1522" s="70"/>
      <c r="O1522" s="77" t="s">
        <v>179</v>
      </c>
      <c r="P1522" s="79">
        <v>44928.82309027778</v>
      </c>
      <c r="Q1522" s="77" t="s">
        <v>2316</v>
      </c>
      <c r="R1522" s="77">
        <v>0</v>
      </c>
      <c r="S1522" s="77">
        <v>0</v>
      </c>
      <c r="T1522" s="77">
        <v>0</v>
      </c>
      <c r="U1522" s="77">
        <v>0</v>
      </c>
      <c r="V1522" s="77">
        <v>32</v>
      </c>
      <c r="W1522" s="81" t="s">
        <v>3693</v>
      </c>
      <c r="X1522" s="77"/>
      <c r="Y1522" s="77"/>
      <c r="Z1522" s="77"/>
      <c r="AA1522" s="77"/>
      <c r="AB1522" s="77"/>
      <c r="AC1522" s="81" t="s">
        <v>5801</v>
      </c>
      <c r="AD1522" s="77" t="s">
        <v>5850</v>
      </c>
      <c r="AE1522" s="83" t="str">
        <f>HYPERLINK("https://twitter.com/eliotello23/status/1609999282194771970")</f>
        <v>https://twitter.com/eliotello23/status/1609999282194771970</v>
      </c>
      <c r="AF1522" s="79">
        <v>44928.82309027778</v>
      </c>
      <c r="AG1522" s="85">
        <v>44928</v>
      </c>
      <c r="AH1522" s="81" t="s">
        <v>7172</v>
      </c>
      <c r="AI1522" s="77"/>
      <c r="AJ1522" s="77"/>
      <c r="AK1522" s="77"/>
      <c r="AL1522" s="77"/>
      <c r="AM1522" s="77"/>
      <c r="AN1522" s="77"/>
      <c r="AO1522" s="77"/>
      <c r="AP1522" s="77"/>
      <c r="AQ1522" s="77"/>
      <c r="AR1522" s="77"/>
      <c r="AS1522" s="77"/>
      <c r="AT1522" s="77"/>
      <c r="AU1522" s="77"/>
      <c r="AV1522" s="83" t="str">
        <f>HYPERLINK("https://pbs.twimg.com/profile_images/1582475696852508672/R9pIVS0k_normal.jpg")</f>
        <v>https://pbs.twimg.com/profile_images/1582475696852508672/R9pIVS0k_normal.jpg</v>
      </c>
      <c r="AW1522" s="81" t="s">
        <v>10642</v>
      </c>
      <c r="AX1522" s="81" t="s">
        <v>10642</v>
      </c>
      <c r="AY1522" s="77"/>
      <c r="AZ1522" s="81" t="s">
        <v>11359</v>
      </c>
      <c r="BA1522" s="81" t="s">
        <v>11359</v>
      </c>
      <c r="BB1522" s="81" t="s">
        <v>11359</v>
      </c>
      <c r="BC1522" s="81" t="s">
        <v>10642</v>
      </c>
      <c r="BD1522" s="81" t="s">
        <v>11575</v>
      </c>
      <c r="BE1522" s="77"/>
      <c r="BF1522" s="77"/>
      <c r="BG1522" s="77"/>
      <c r="BH1522" s="77"/>
      <c r="BI1522" s="77"/>
    </row>
    <row r="1523" spans="1:61" x14ac:dyDescent="0.25">
      <c r="A1523" s="62" t="s">
        <v>566</v>
      </c>
      <c r="B1523" s="62" t="s">
        <v>566</v>
      </c>
      <c r="C1523" s="63"/>
      <c r="D1523" s="64"/>
      <c r="E1523" s="65"/>
      <c r="F1523" s="66"/>
      <c r="G1523" s="63"/>
      <c r="H1523" s="67"/>
      <c r="I1523" s="68"/>
      <c r="J1523" s="68"/>
      <c r="K1523" s="32"/>
      <c r="L1523" s="75">
        <v>1523</v>
      </c>
      <c r="M1523" s="75"/>
      <c r="N1523" s="70"/>
      <c r="O1523" s="77" t="s">
        <v>179</v>
      </c>
      <c r="P1523" s="79">
        <v>45091.623310185183</v>
      </c>
      <c r="Q1523" s="77" t="s">
        <v>2317</v>
      </c>
      <c r="R1523" s="77">
        <v>0</v>
      </c>
      <c r="S1523" s="77">
        <v>0</v>
      </c>
      <c r="T1523" s="77">
        <v>0</v>
      </c>
      <c r="U1523" s="77">
        <v>1</v>
      </c>
      <c r="V1523" s="77">
        <v>118</v>
      </c>
      <c r="W1523" s="81" t="s">
        <v>3694</v>
      </c>
      <c r="X1523" s="77" t="s">
        <v>4190</v>
      </c>
      <c r="Y1523" s="77" t="s">
        <v>4302</v>
      </c>
      <c r="Z1523" s="77"/>
      <c r="AA1523" s="77" t="s">
        <v>5404</v>
      </c>
      <c r="AB1523" s="77" t="s">
        <v>5794</v>
      </c>
      <c r="AC1523" s="81" t="s">
        <v>5805</v>
      </c>
      <c r="AD1523" s="77" t="s">
        <v>5850</v>
      </c>
      <c r="AE1523" s="83" t="str">
        <f>HYPERLINK("https://twitter.com/menschmx/status/1668996106624090113")</f>
        <v>https://twitter.com/menschmx/status/1668996106624090113</v>
      </c>
      <c r="AF1523" s="79">
        <v>45091.623310185183</v>
      </c>
      <c r="AG1523" s="85">
        <v>45091</v>
      </c>
      <c r="AH1523" s="81" t="s">
        <v>7173</v>
      </c>
      <c r="AI1523" s="77" t="b">
        <v>0</v>
      </c>
      <c r="AJ1523" s="77"/>
      <c r="AK1523" s="77"/>
      <c r="AL1523" s="77"/>
      <c r="AM1523" s="77"/>
      <c r="AN1523" s="77"/>
      <c r="AO1523" s="77"/>
      <c r="AP1523" s="77"/>
      <c r="AQ1523" s="77" t="s">
        <v>8907</v>
      </c>
      <c r="AR1523" s="77"/>
      <c r="AS1523" s="77"/>
      <c r="AT1523" s="77"/>
      <c r="AU1523" s="77"/>
      <c r="AV1523" s="83" t="str">
        <f>HYPERLINK("https://pbs.twimg.com/media/Fyl3GlTXsAI5ioC.png")</f>
        <v>https://pbs.twimg.com/media/Fyl3GlTXsAI5ioC.png</v>
      </c>
      <c r="AW1523" s="81" t="s">
        <v>10643</v>
      </c>
      <c r="AX1523" s="81" t="s">
        <v>10643</v>
      </c>
      <c r="AY1523" s="77"/>
      <c r="AZ1523" s="81" t="s">
        <v>11359</v>
      </c>
      <c r="BA1523" s="81" t="s">
        <v>11359</v>
      </c>
      <c r="BB1523" s="81" t="s">
        <v>11359</v>
      </c>
      <c r="BC1523" s="81" t="s">
        <v>10643</v>
      </c>
      <c r="BD1523" s="77">
        <v>3234862012</v>
      </c>
      <c r="BE1523" s="77"/>
      <c r="BF1523" s="77"/>
      <c r="BG1523" s="77"/>
      <c r="BH1523" s="77"/>
      <c r="BI1523" s="77"/>
    </row>
    <row r="1524" spans="1:61" x14ac:dyDescent="0.25">
      <c r="A1524" s="62" t="s">
        <v>567</v>
      </c>
      <c r="B1524" s="62" t="s">
        <v>567</v>
      </c>
      <c r="C1524" s="63"/>
      <c r="D1524" s="64"/>
      <c r="E1524" s="65"/>
      <c r="F1524" s="66"/>
      <c r="G1524" s="63"/>
      <c r="H1524" s="67"/>
      <c r="I1524" s="68"/>
      <c r="J1524" s="68"/>
      <c r="K1524" s="32"/>
      <c r="L1524" s="75">
        <v>1524</v>
      </c>
      <c r="M1524" s="75"/>
      <c r="N1524" s="70"/>
      <c r="O1524" s="77" t="s">
        <v>179</v>
      </c>
      <c r="P1524" s="79">
        <v>44930.605555555558</v>
      </c>
      <c r="Q1524" s="77" t="s">
        <v>2318</v>
      </c>
      <c r="R1524" s="77">
        <v>19</v>
      </c>
      <c r="S1524" s="77">
        <v>151</v>
      </c>
      <c r="T1524" s="77">
        <v>2</v>
      </c>
      <c r="U1524" s="77">
        <v>1</v>
      </c>
      <c r="V1524" s="77">
        <v>3008</v>
      </c>
      <c r="W1524" s="81" t="s">
        <v>3695</v>
      </c>
      <c r="X1524" s="77"/>
      <c r="Y1524" s="77"/>
      <c r="Z1524" s="77"/>
      <c r="AA1524" s="77" t="s">
        <v>5405</v>
      </c>
      <c r="AB1524" s="77" t="s">
        <v>5794</v>
      </c>
      <c r="AC1524" s="81" t="s">
        <v>5805</v>
      </c>
      <c r="AD1524" s="77" t="s">
        <v>5851</v>
      </c>
      <c r="AE1524" s="83" t="str">
        <f>HYPERLINK("https://twitter.com/chavesechapolin/status/1610645223498973185")</f>
        <v>https://twitter.com/chavesechapolin/status/1610645223498973185</v>
      </c>
      <c r="AF1524" s="79">
        <v>44930.605555555558</v>
      </c>
      <c r="AG1524" s="85">
        <v>44930</v>
      </c>
      <c r="AH1524" s="81" t="s">
        <v>7174</v>
      </c>
      <c r="AI1524" s="77" t="b">
        <v>0</v>
      </c>
      <c r="AJ1524" s="77"/>
      <c r="AK1524" s="77"/>
      <c r="AL1524" s="77"/>
      <c r="AM1524" s="77"/>
      <c r="AN1524" s="77"/>
      <c r="AO1524" s="77"/>
      <c r="AP1524" s="77"/>
      <c r="AQ1524" s="77" t="s">
        <v>8908</v>
      </c>
      <c r="AR1524" s="77"/>
      <c r="AS1524" s="77"/>
      <c r="AT1524" s="77"/>
      <c r="AU1524" s="77"/>
      <c r="AV1524" s="83" t="str">
        <f>HYPERLINK("https://pbs.twimg.com/media/FlgqZaQXwAAPAKN.jpg")</f>
        <v>https://pbs.twimg.com/media/FlgqZaQXwAAPAKN.jpg</v>
      </c>
      <c r="AW1524" s="81" t="s">
        <v>10644</v>
      </c>
      <c r="AX1524" s="81" t="s">
        <v>10644</v>
      </c>
      <c r="AY1524" s="77"/>
      <c r="AZ1524" s="81" t="s">
        <v>11359</v>
      </c>
      <c r="BA1524" s="81" t="s">
        <v>11359</v>
      </c>
      <c r="BB1524" s="81" t="s">
        <v>11359</v>
      </c>
      <c r="BC1524" s="81" t="s">
        <v>10644</v>
      </c>
      <c r="BD1524" s="77">
        <v>565777137</v>
      </c>
      <c r="BE1524" s="77"/>
      <c r="BF1524" s="77"/>
      <c r="BG1524" s="77"/>
      <c r="BH1524" s="77"/>
      <c r="BI1524" s="77"/>
    </row>
    <row r="1525" spans="1:61" x14ac:dyDescent="0.25">
      <c r="A1525" s="62" t="s">
        <v>567</v>
      </c>
      <c r="B1525" s="62" t="s">
        <v>567</v>
      </c>
      <c r="C1525" s="63"/>
      <c r="D1525" s="64"/>
      <c r="E1525" s="65"/>
      <c r="F1525" s="66"/>
      <c r="G1525" s="63"/>
      <c r="H1525" s="67"/>
      <c r="I1525" s="68"/>
      <c r="J1525" s="68"/>
      <c r="K1525" s="32"/>
      <c r="L1525" s="75">
        <v>1525</v>
      </c>
      <c r="M1525" s="75"/>
      <c r="N1525" s="70"/>
      <c r="O1525" s="77" t="s">
        <v>179</v>
      </c>
      <c r="P1525" s="79">
        <v>45142.606249999997</v>
      </c>
      <c r="Q1525" s="77" t="s">
        <v>2319</v>
      </c>
      <c r="R1525" s="77">
        <v>12</v>
      </c>
      <c r="S1525" s="77">
        <v>143</v>
      </c>
      <c r="T1525" s="77">
        <v>2</v>
      </c>
      <c r="U1525" s="77">
        <v>0</v>
      </c>
      <c r="V1525" s="77">
        <v>1799</v>
      </c>
      <c r="W1525" s="81" t="s">
        <v>3696</v>
      </c>
      <c r="X1525" s="77"/>
      <c r="Y1525" s="77"/>
      <c r="Z1525" s="77"/>
      <c r="AA1525" s="77" t="s">
        <v>5406</v>
      </c>
      <c r="AB1525" s="77" t="s">
        <v>5794</v>
      </c>
      <c r="AC1525" s="81" t="s">
        <v>5805</v>
      </c>
      <c r="AD1525" s="77" t="s">
        <v>5851</v>
      </c>
      <c r="AE1525" s="83" t="str">
        <f>HYPERLINK("https://twitter.com/chavesechapolin/status/1687471702706429952")</f>
        <v>https://twitter.com/chavesechapolin/status/1687471702706429952</v>
      </c>
      <c r="AF1525" s="79">
        <v>45142.606249999997</v>
      </c>
      <c r="AG1525" s="85">
        <v>45142</v>
      </c>
      <c r="AH1525" s="81" t="s">
        <v>7175</v>
      </c>
      <c r="AI1525" s="77" t="b">
        <v>0</v>
      </c>
      <c r="AJ1525" s="77"/>
      <c r="AK1525" s="77"/>
      <c r="AL1525" s="77"/>
      <c r="AM1525" s="77"/>
      <c r="AN1525" s="77"/>
      <c r="AO1525" s="77"/>
      <c r="AP1525" s="77"/>
      <c r="AQ1525" s="77" t="s">
        <v>8909</v>
      </c>
      <c r="AR1525" s="77"/>
      <c r="AS1525" s="77"/>
      <c r="AT1525" s="77"/>
      <c r="AU1525" s="77"/>
      <c r="AV1525" s="83" t="str">
        <f>HYPERLINK("https://pbs.twimg.com/media/F2kC_fuXoAExl6f.jpg")</f>
        <v>https://pbs.twimg.com/media/F2kC_fuXoAExl6f.jpg</v>
      </c>
      <c r="AW1525" s="81" t="s">
        <v>10645</v>
      </c>
      <c r="AX1525" s="81" t="s">
        <v>10645</v>
      </c>
      <c r="AY1525" s="77"/>
      <c r="AZ1525" s="81" t="s">
        <v>11359</v>
      </c>
      <c r="BA1525" s="81" t="s">
        <v>11359</v>
      </c>
      <c r="BB1525" s="81" t="s">
        <v>11359</v>
      </c>
      <c r="BC1525" s="81" t="s">
        <v>10645</v>
      </c>
      <c r="BD1525" s="77">
        <v>565777137</v>
      </c>
      <c r="BE1525" s="77"/>
      <c r="BF1525" s="77"/>
      <c r="BG1525" s="77"/>
      <c r="BH1525" s="77"/>
      <c r="BI1525" s="77"/>
    </row>
    <row r="1526" spans="1:61" x14ac:dyDescent="0.25">
      <c r="A1526" s="62" t="s">
        <v>567</v>
      </c>
      <c r="B1526" s="62" t="s">
        <v>567</v>
      </c>
      <c r="C1526" s="63"/>
      <c r="D1526" s="64"/>
      <c r="E1526" s="65"/>
      <c r="F1526" s="66"/>
      <c r="G1526" s="63"/>
      <c r="H1526" s="67"/>
      <c r="I1526" s="68"/>
      <c r="J1526" s="68"/>
      <c r="K1526" s="32"/>
      <c r="L1526" s="75">
        <v>1526</v>
      </c>
      <c r="M1526" s="75"/>
      <c r="N1526" s="70"/>
      <c r="O1526" s="77" t="s">
        <v>179</v>
      </c>
      <c r="P1526" s="79">
        <v>45134.604166666664</v>
      </c>
      <c r="Q1526" s="77" t="s">
        <v>2320</v>
      </c>
      <c r="R1526" s="77">
        <v>16</v>
      </c>
      <c r="S1526" s="77">
        <v>177</v>
      </c>
      <c r="T1526" s="77">
        <v>2</v>
      </c>
      <c r="U1526" s="77">
        <v>0</v>
      </c>
      <c r="V1526" s="77">
        <v>2189</v>
      </c>
      <c r="W1526" s="81" t="s">
        <v>3697</v>
      </c>
      <c r="X1526" s="77"/>
      <c r="Y1526" s="77"/>
      <c r="Z1526" s="77"/>
      <c r="AA1526" s="77" t="s">
        <v>5407</v>
      </c>
      <c r="AB1526" s="77" t="s">
        <v>5794</v>
      </c>
      <c r="AC1526" s="81" t="s">
        <v>5805</v>
      </c>
      <c r="AD1526" s="77" t="s">
        <v>5851</v>
      </c>
      <c r="AE1526" s="83" t="str">
        <f>HYPERLINK("https://twitter.com/chavesechapolin/status/1684571845310251008")</f>
        <v>https://twitter.com/chavesechapolin/status/1684571845310251008</v>
      </c>
      <c r="AF1526" s="79">
        <v>45134.604166666664</v>
      </c>
      <c r="AG1526" s="85">
        <v>45134</v>
      </c>
      <c r="AH1526" s="81" t="s">
        <v>7176</v>
      </c>
      <c r="AI1526" s="77" t="b">
        <v>0</v>
      </c>
      <c r="AJ1526" s="77"/>
      <c r="AK1526" s="77"/>
      <c r="AL1526" s="77"/>
      <c r="AM1526" s="77"/>
      <c r="AN1526" s="77"/>
      <c r="AO1526" s="77"/>
      <c r="AP1526" s="77"/>
      <c r="AQ1526" s="77" t="s">
        <v>8910</v>
      </c>
      <c r="AR1526" s="77"/>
      <c r="AS1526" s="77"/>
      <c r="AT1526" s="77"/>
      <c r="AU1526" s="77"/>
      <c r="AV1526" s="83" t="str">
        <f>HYPERLINK("https://pbs.twimg.com/media/F1hsUyoXgAIGTQq.jpg")</f>
        <v>https://pbs.twimg.com/media/F1hsUyoXgAIGTQq.jpg</v>
      </c>
      <c r="AW1526" s="81" t="s">
        <v>10646</v>
      </c>
      <c r="AX1526" s="81" t="s">
        <v>10646</v>
      </c>
      <c r="AY1526" s="77"/>
      <c r="AZ1526" s="81" t="s">
        <v>11359</v>
      </c>
      <c r="BA1526" s="81" t="s">
        <v>11359</v>
      </c>
      <c r="BB1526" s="81" t="s">
        <v>11359</v>
      </c>
      <c r="BC1526" s="81" t="s">
        <v>10646</v>
      </c>
      <c r="BD1526" s="77">
        <v>565777137</v>
      </c>
      <c r="BE1526" s="77"/>
      <c r="BF1526" s="77"/>
      <c r="BG1526" s="77"/>
      <c r="BH1526" s="77"/>
      <c r="BI1526" s="77"/>
    </row>
    <row r="1527" spans="1:61" x14ac:dyDescent="0.25">
      <c r="A1527" s="62" t="s">
        <v>568</v>
      </c>
      <c r="B1527" s="62" t="s">
        <v>568</v>
      </c>
      <c r="C1527" s="63"/>
      <c r="D1527" s="64"/>
      <c r="E1527" s="65"/>
      <c r="F1527" s="66"/>
      <c r="G1527" s="63"/>
      <c r="H1527" s="67"/>
      <c r="I1527" s="68"/>
      <c r="J1527" s="68"/>
      <c r="K1527" s="32"/>
      <c r="L1527" s="75">
        <v>1527</v>
      </c>
      <c r="M1527" s="75"/>
      <c r="N1527" s="70"/>
      <c r="O1527" s="77" t="s">
        <v>179</v>
      </c>
      <c r="P1527" s="79">
        <v>45098.564143518517</v>
      </c>
      <c r="Q1527" s="77" t="s">
        <v>2321</v>
      </c>
      <c r="R1527" s="77">
        <v>0</v>
      </c>
      <c r="S1527" s="77">
        <v>0</v>
      </c>
      <c r="T1527" s="77">
        <v>0</v>
      </c>
      <c r="U1527" s="77">
        <v>0</v>
      </c>
      <c r="V1527" s="77">
        <v>15</v>
      </c>
      <c r="W1527" s="81" t="s">
        <v>2947</v>
      </c>
      <c r="X1527" s="77"/>
      <c r="Y1527" s="77"/>
      <c r="Z1527" s="77"/>
      <c r="AA1527" s="77" t="s">
        <v>5408</v>
      </c>
      <c r="AB1527" s="77" t="s">
        <v>5794</v>
      </c>
      <c r="AC1527" s="81" t="s">
        <v>5801</v>
      </c>
      <c r="AD1527" s="77" t="s">
        <v>5853</v>
      </c>
      <c r="AE1527" s="83" t="str">
        <f>HYPERLINK("https://twitter.com/teslatemis007/status/1671511378111365120")</f>
        <v>https://twitter.com/teslatemis007/status/1671511378111365120</v>
      </c>
      <c r="AF1527" s="79">
        <v>45098.564143518517</v>
      </c>
      <c r="AG1527" s="85">
        <v>45098</v>
      </c>
      <c r="AH1527" s="81" t="s">
        <v>7177</v>
      </c>
      <c r="AI1527" s="77" t="b">
        <v>0</v>
      </c>
      <c r="AJ1527" s="77"/>
      <c r="AK1527" s="77"/>
      <c r="AL1527" s="77"/>
      <c r="AM1527" s="77"/>
      <c r="AN1527" s="77"/>
      <c r="AO1527" s="77"/>
      <c r="AP1527" s="77"/>
      <c r="AQ1527" s="77" t="s">
        <v>8911</v>
      </c>
      <c r="AR1527" s="77"/>
      <c r="AS1527" s="77"/>
      <c r="AT1527" s="77"/>
      <c r="AU1527" s="77"/>
      <c r="AV1527" s="83" t="str">
        <f>HYPERLINK("https://pbs.twimg.com/media/FzJmvHvacAAzLvH.jpg")</f>
        <v>https://pbs.twimg.com/media/FzJmvHvacAAzLvH.jpg</v>
      </c>
      <c r="AW1527" s="81" t="s">
        <v>10647</v>
      </c>
      <c r="AX1527" s="81" t="s">
        <v>10647</v>
      </c>
      <c r="AY1527" s="77"/>
      <c r="AZ1527" s="81" t="s">
        <v>11359</v>
      </c>
      <c r="BA1527" s="81" t="s">
        <v>11359</v>
      </c>
      <c r="BB1527" s="81" t="s">
        <v>11359</v>
      </c>
      <c r="BC1527" s="81" t="s">
        <v>10647</v>
      </c>
      <c r="BD1527" s="77">
        <v>1319347568</v>
      </c>
      <c r="BE1527" s="77"/>
      <c r="BF1527" s="77"/>
      <c r="BG1527" s="77"/>
      <c r="BH1527" s="77"/>
      <c r="BI1527" s="77"/>
    </row>
    <row r="1528" spans="1:61" x14ac:dyDescent="0.25">
      <c r="A1528" s="62" t="s">
        <v>569</v>
      </c>
      <c r="B1528" s="62" t="s">
        <v>929</v>
      </c>
      <c r="C1528" s="63"/>
      <c r="D1528" s="64"/>
      <c r="E1528" s="65"/>
      <c r="F1528" s="66"/>
      <c r="G1528" s="63"/>
      <c r="H1528" s="67"/>
      <c r="I1528" s="68"/>
      <c r="J1528" s="68"/>
      <c r="K1528" s="32"/>
      <c r="L1528" s="75">
        <v>1528</v>
      </c>
      <c r="M1528" s="75"/>
      <c r="N1528" s="70"/>
      <c r="O1528" s="77" t="s">
        <v>967</v>
      </c>
      <c r="P1528" s="79">
        <v>45026.792523148149</v>
      </c>
      <c r="Q1528" s="77" t="s">
        <v>2322</v>
      </c>
      <c r="R1528" s="77">
        <v>1</v>
      </c>
      <c r="S1528" s="77">
        <v>3</v>
      </c>
      <c r="T1528" s="77">
        <v>0</v>
      </c>
      <c r="U1528" s="77">
        <v>0</v>
      </c>
      <c r="V1528" s="77">
        <v>256</v>
      </c>
      <c r="W1528" s="81" t="s">
        <v>3698</v>
      </c>
      <c r="X1528" s="77"/>
      <c r="Y1528" s="77"/>
      <c r="Z1528" s="77" t="s">
        <v>929</v>
      </c>
      <c r="AA1528" s="77" t="s">
        <v>5409</v>
      </c>
      <c r="AB1528" s="77" t="s">
        <v>5794</v>
      </c>
      <c r="AC1528" s="81" t="s">
        <v>5803</v>
      </c>
      <c r="AD1528" s="77" t="s">
        <v>5850</v>
      </c>
      <c r="AE1528" s="83" t="str">
        <f>HYPERLINK("https://twitter.com/snesanluis/status/1645502214922805267")</f>
        <v>https://twitter.com/snesanluis/status/1645502214922805267</v>
      </c>
      <c r="AF1528" s="79">
        <v>45026.792523148149</v>
      </c>
      <c r="AG1528" s="85">
        <v>45026</v>
      </c>
      <c r="AH1528" s="81" t="s">
        <v>7178</v>
      </c>
      <c r="AI1528" s="77" t="b">
        <v>0</v>
      </c>
      <c r="AJ1528" s="77" t="s">
        <v>7745</v>
      </c>
      <c r="AK1528" s="77" t="s">
        <v>7767</v>
      </c>
      <c r="AL1528" s="77" t="s">
        <v>7776</v>
      </c>
      <c r="AM1528" s="77" t="s">
        <v>7799</v>
      </c>
      <c r="AN1528" s="77" t="s">
        <v>7835</v>
      </c>
      <c r="AO1528" s="77" t="s">
        <v>7871</v>
      </c>
      <c r="AP1528" s="77" t="s">
        <v>7889</v>
      </c>
      <c r="AQ1528" s="77" t="s">
        <v>8912</v>
      </c>
      <c r="AR1528" s="77"/>
      <c r="AS1528" s="77"/>
      <c r="AT1528" s="77"/>
      <c r="AU1528" s="77"/>
      <c r="AV1528" s="83" t="str">
        <f>HYPERLINK("https://pbs.twimg.com/media/FtX_hkoXoBUDfmZ.jpg")</f>
        <v>https://pbs.twimg.com/media/FtX_hkoXoBUDfmZ.jpg</v>
      </c>
      <c r="AW1528" s="81" t="s">
        <v>10648</v>
      </c>
      <c r="AX1528" s="81" t="s">
        <v>10648</v>
      </c>
      <c r="AY1528" s="77"/>
      <c r="AZ1528" s="81" t="s">
        <v>11359</v>
      </c>
      <c r="BA1528" s="81" t="s">
        <v>11359</v>
      </c>
      <c r="BB1528" s="81" t="s">
        <v>11359</v>
      </c>
      <c r="BC1528" s="81" t="s">
        <v>10648</v>
      </c>
      <c r="BD1528" s="81" t="s">
        <v>11576</v>
      </c>
      <c r="BE1528" s="77"/>
      <c r="BF1528" s="77"/>
      <c r="BG1528" s="77"/>
      <c r="BH1528" s="77"/>
      <c r="BI1528" s="77"/>
    </row>
    <row r="1529" spans="1:61" x14ac:dyDescent="0.25">
      <c r="A1529" s="62" t="s">
        <v>570</v>
      </c>
      <c r="B1529" s="62" t="s">
        <v>570</v>
      </c>
      <c r="C1529" s="63"/>
      <c r="D1529" s="64"/>
      <c r="E1529" s="65"/>
      <c r="F1529" s="66"/>
      <c r="G1529" s="63"/>
      <c r="H1529" s="67"/>
      <c r="I1529" s="68"/>
      <c r="J1529" s="68"/>
      <c r="K1529" s="32"/>
      <c r="L1529" s="75">
        <v>1529</v>
      </c>
      <c r="M1529" s="75"/>
      <c r="N1529" s="70"/>
      <c r="O1529" s="77" t="s">
        <v>179</v>
      </c>
      <c r="P1529" s="79">
        <v>45178.838368055556</v>
      </c>
      <c r="Q1529" s="77" t="s">
        <v>2323</v>
      </c>
      <c r="R1529" s="77">
        <v>948</v>
      </c>
      <c r="S1529" s="77">
        <v>2394</v>
      </c>
      <c r="T1529" s="77">
        <v>490</v>
      </c>
      <c r="U1529" s="77">
        <v>35</v>
      </c>
      <c r="V1529" s="77">
        <v>1196311</v>
      </c>
      <c r="W1529" s="81" t="s">
        <v>3699</v>
      </c>
      <c r="X1529" s="77"/>
      <c r="Y1529" s="77"/>
      <c r="Z1529" s="77"/>
      <c r="AA1529" s="77" t="s">
        <v>5410</v>
      </c>
      <c r="AB1529" s="77" t="s">
        <v>5800</v>
      </c>
      <c r="AC1529" s="81" t="s">
        <v>5801</v>
      </c>
      <c r="AD1529" s="77" t="s">
        <v>5850</v>
      </c>
      <c r="AE1529" s="83" t="str">
        <f>HYPERLINK("https://twitter.com/cuartodemillamx/status/1700601782307598351")</f>
        <v>https://twitter.com/cuartodemillamx/status/1700601782307598351</v>
      </c>
      <c r="AF1529" s="79">
        <v>45178.838368055556</v>
      </c>
      <c r="AG1529" s="85">
        <v>45178</v>
      </c>
      <c r="AH1529" s="81" t="s">
        <v>7179</v>
      </c>
      <c r="AI1529" s="77" t="b">
        <v>0</v>
      </c>
      <c r="AJ1529" s="77"/>
      <c r="AK1529" s="77"/>
      <c r="AL1529" s="77"/>
      <c r="AM1529" s="77"/>
      <c r="AN1529" s="77"/>
      <c r="AO1529" s="77"/>
      <c r="AP1529" s="77"/>
      <c r="AQ1529" s="77" t="s">
        <v>8913</v>
      </c>
      <c r="AR1529" s="77">
        <v>95529</v>
      </c>
      <c r="AS1529" s="77"/>
      <c r="AT1529" s="77"/>
      <c r="AU1529" s="77"/>
      <c r="AV1529" s="83" t="str">
        <f>HYPERLINK("https://pbs.twimg.com/ext_tw_video_thumb/1700601687327510528/pu/img/IXe4OknvKuabcuyh.jpg")</f>
        <v>https://pbs.twimg.com/ext_tw_video_thumb/1700601687327510528/pu/img/IXe4OknvKuabcuyh.jpg</v>
      </c>
      <c r="AW1529" s="81" t="s">
        <v>10649</v>
      </c>
      <c r="AX1529" s="81" t="s">
        <v>10649</v>
      </c>
      <c r="AY1529" s="77"/>
      <c r="AZ1529" s="81" t="s">
        <v>11359</v>
      </c>
      <c r="BA1529" s="81" t="s">
        <v>11359</v>
      </c>
      <c r="BB1529" s="81" t="s">
        <v>11359</v>
      </c>
      <c r="BC1529" s="81" t="s">
        <v>10649</v>
      </c>
      <c r="BD1529" s="81" t="s">
        <v>11577</v>
      </c>
      <c r="BE1529" s="77"/>
      <c r="BF1529" s="77"/>
      <c r="BG1529" s="77"/>
      <c r="BH1529" s="77"/>
      <c r="BI1529" s="77"/>
    </row>
    <row r="1530" spans="1:61" x14ac:dyDescent="0.25">
      <c r="A1530" s="62" t="s">
        <v>571</v>
      </c>
      <c r="B1530" s="62" t="s">
        <v>570</v>
      </c>
      <c r="C1530" s="63"/>
      <c r="D1530" s="64"/>
      <c r="E1530" s="65"/>
      <c r="F1530" s="66"/>
      <c r="G1530" s="63"/>
      <c r="H1530" s="67"/>
      <c r="I1530" s="68"/>
      <c r="J1530" s="68"/>
      <c r="K1530" s="32"/>
      <c r="L1530" s="75">
        <v>1530</v>
      </c>
      <c r="M1530" s="75"/>
      <c r="N1530" s="70"/>
      <c r="O1530" s="77" t="s">
        <v>968</v>
      </c>
      <c r="P1530" s="79">
        <v>45189.315891203703</v>
      </c>
      <c r="Q1530" s="77" t="s">
        <v>2324</v>
      </c>
      <c r="R1530" s="77">
        <v>948</v>
      </c>
      <c r="S1530" s="77">
        <v>0</v>
      </c>
      <c r="T1530" s="77">
        <v>0</v>
      </c>
      <c r="U1530" s="77">
        <v>0</v>
      </c>
      <c r="V1530" s="77"/>
      <c r="W1530" s="81" t="s">
        <v>3700</v>
      </c>
      <c r="X1530" s="77"/>
      <c r="Y1530" s="77"/>
      <c r="Z1530" s="77" t="s">
        <v>570</v>
      </c>
      <c r="AA1530" s="77"/>
      <c r="AB1530" s="77"/>
      <c r="AC1530" s="81" t="s">
        <v>5836</v>
      </c>
      <c r="AD1530" s="77" t="s">
        <v>5850</v>
      </c>
      <c r="AE1530" s="83" t="str">
        <f>HYPERLINK("https://twitter.com/ingodwetrustja7/status/1704398709327319184")</f>
        <v>https://twitter.com/ingodwetrustja7/status/1704398709327319184</v>
      </c>
      <c r="AF1530" s="79">
        <v>45189.315891203703</v>
      </c>
      <c r="AG1530" s="85">
        <v>45189</v>
      </c>
      <c r="AH1530" s="81" t="s">
        <v>7180</v>
      </c>
      <c r="AI1530" s="77"/>
      <c r="AJ1530" s="77"/>
      <c r="AK1530" s="77"/>
      <c r="AL1530" s="77"/>
      <c r="AM1530" s="77"/>
      <c r="AN1530" s="77"/>
      <c r="AO1530" s="77"/>
      <c r="AP1530" s="77"/>
      <c r="AQ1530" s="77"/>
      <c r="AR1530" s="77"/>
      <c r="AS1530" s="77"/>
      <c r="AT1530" s="77"/>
      <c r="AU1530" s="77"/>
      <c r="AV1530" s="83" t="str">
        <f>HYPERLINK("https://pbs.twimg.com/profile_images/1698021216613736448/d0f0fZE4_normal.jpg")</f>
        <v>https://pbs.twimg.com/profile_images/1698021216613736448/d0f0fZE4_normal.jpg</v>
      </c>
      <c r="AW1530" s="81" t="s">
        <v>10650</v>
      </c>
      <c r="AX1530" s="81" t="s">
        <v>10650</v>
      </c>
      <c r="AY1530" s="77"/>
      <c r="AZ1530" s="81" t="s">
        <v>11359</v>
      </c>
      <c r="BA1530" s="81" t="s">
        <v>11359</v>
      </c>
      <c r="BB1530" s="81" t="s">
        <v>10649</v>
      </c>
      <c r="BC1530" s="81" t="s">
        <v>10649</v>
      </c>
      <c r="BD1530" s="81" t="s">
        <v>11578</v>
      </c>
      <c r="BE1530" s="77"/>
      <c r="BF1530" s="77"/>
      <c r="BG1530" s="77"/>
      <c r="BH1530" s="77"/>
      <c r="BI1530" s="77"/>
    </row>
    <row r="1531" spans="1:61" x14ac:dyDescent="0.25">
      <c r="A1531" s="62" t="s">
        <v>572</v>
      </c>
      <c r="B1531" s="62" t="s">
        <v>930</v>
      </c>
      <c r="C1531" s="63"/>
      <c r="D1531" s="64"/>
      <c r="E1531" s="65"/>
      <c r="F1531" s="66"/>
      <c r="G1531" s="63"/>
      <c r="H1531" s="67"/>
      <c r="I1531" s="68"/>
      <c r="J1531" s="68"/>
      <c r="K1531" s="32"/>
      <c r="L1531" s="75">
        <v>1531</v>
      </c>
      <c r="M1531" s="75"/>
      <c r="N1531" s="70"/>
      <c r="O1531" s="77" t="s">
        <v>967</v>
      </c>
      <c r="P1531" s="79">
        <v>44937.151736111111</v>
      </c>
      <c r="Q1531" s="77" t="s">
        <v>2325</v>
      </c>
      <c r="R1531" s="77">
        <v>0</v>
      </c>
      <c r="S1531" s="77">
        <v>1</v>
      </c>
      <c r="T1531" s="77">
        <v>0</v>
      </c>
      <c r="U1531" s="77">
        <v>0</v>
      </c>
      <c r="V1531" s="77">
        <v>179</v>
      </c>
      <c r="W1531" s="81" t="s">
        <v>3701</v>
      </c>
      <c r="X1531" s="77"/>
      <c r="Y1531" s="77"/>
      <c r="Z1531" s="77" t="s">
        <v>930</v>
      </c>
      <c r="AA1531" s="77" t="s">
        <v>5411</v>
      </c>
      <c r="AB1531" s="77" t="s">
        <v>5795</v>
      </c>
      <c r="AC1531" s="81" t="s">
        <v>5818</v>
      </c>
      <c r="AD1531" s="77" t="s">
        <v>5850</v>
      </c>
      <c r="AE1531" s="83" t="str">
        <f>HYPERLINK("https://twitter.com/aztecachihuahua/status/1613017479776714753")</f>
        <v>https://twitter.com/aztecachihuahua/status/1613017479776714753</v>
      </c>
      <c r="AF1531" s="79">
        <v>44937.151736111111</v>
      </c>
      <c r="AG1531" s="85">
        <v>44937</v>
      </c>
      <c r="AH1531" s="81" t="s">
        <v>7181</v>
      </c>
      <c r="AI1531" s="77" t="b">
        <v>0</v>
      </c>
      <c r="AJ1531" s="77"/>
      <c r="AK1531" s="77"/>
      <c r="AL1531" s="77"/>
      <c r="AM1531" s="77"/>
      <c r="AN1531" s="77"/>
      <c r="AO1531" s="77"/>
      <c r="AP1531" s="77"/>
      <c r="AQ1531" s="77" t="s">
        <v>8914</v>
      </c>
      <c r="AR1531" s="77">
        <v>77510</v>
      </c>
      <c r="AS1531" s="77"/>
      <c r="AT1531" s="77"/>
      <c r="AU1531" s="77"/>
      <c r="AV1531" s="83" t="str">
        <f>HYPERLINK("https://pbs.twimg.com/media/FmJX1bBagAAhF7M.jpg")</f>
        <v>https://pbs.twimg.com/media/FmJX1bBagAAhF7M.jpg</v>
      </c>
      <c r="AW1531" s="81" t="s">
        <v>10651</v>
      </c>
      <c r="AX1531" s="81" t="s">
        <v>10651</v>
      </c>
      <c r="AY1531" s="77"/>
      <c r="AZ1531" s="81" t="s">
        <v>11359</v>
      </c>
      <c r="BA1531" s="81" t="s">
        <v>11359</v>
      </c>
      <c r="BB1531" s="81" t="s">
        <v>11359</v>
      </c>
      <c r="BC1531" s="81" t="s">
        <v>10651</v>
      </c>
      <c r="BD1531" s="77">
        <v>257684066</v>
      </c>
      <c r="BE1531" s="77"/>
      <c r="BF1531" s="77"/>
      <c r="BG1531" s="77"/>
      <c r="BH1531" s="77"/>
      <c r="BI1531" s="77"/>
    </row>
    <row r="1532" spans="1:61" x14ac:dyDescent="0.25">
      <c r="A1532" s="62" t="s">
        <v>573</v>
      </c>
      <c r="B1532" s="62" t="s">
        <v>573</v>
      </c>
      <c r="C1532" s="63"/>
      <c r="D1532" s="64"/>
      <c r="E1532" s="65"/>
      <c r="F1532" s="66"/>
      <c r="G1532" s="63"/>
      <c r="H1532" s="67"/>
      <c r="I1532" s="68"/>
      <c r="J1532" s="68"/>
      <c r="K1532" s="32"/>
      <c r="L1532" s="75">
        <v>1532</v>
      </c>
      <c r="M1532" s="75"/>
      <c r="N1532" s="70"/>
      <c r="O1532" s="77" t="s">
        <v>179</v>
      </c>
      <c r="P1532" s="79">
        <v>45126.458460648151</v>
      </c>
      <c r="Q1532" s="77" t="s">
        <v>2326</v>
      </c>
      <c r="R1532" s="77">
        <v>0</v>
      </c>
      <c r="S1532" s="77">
        <v>0</v>
      </c>
      <c r="T1532" s="77">
        <v>1</v>
      </c>
      <c r="U1532" s="77">
        <v>0</v>
      </c>
      <c r="V1532" s="77">
        <v>21</v>
      </c>
      <c r="W1532" s="81" t="s">
        <v>3702</v>
      </c>
      <c r="X1532" s="77"/>
      <c r="Y1532" s="77"/>
      <c r="Z1532" s="77"/>
      <c r="AA1532" s="77" t="s">
        <v>5412</v>
      </c>
      <c r="AB1532" s="77" t="s">
        <v>5794</v>
      </c>
      <c r="AC1532" s="81" t="s">
        <v>5805</v>
      </c>
      <c r="AD1532" s="77" t="s">
        <v>5851</v>
      </c>
      <c r="AE1532" s="83" t="str">
        <f>HYPERLINK("https://twitter.com/awebmor/status/1681619940732698626")</f>
        <v>https://twitter.com/awebmor/status/1681619940732698626</v>
      </c>
      <c r="AF1532" s="79">
        <v>45126.458460648151</v>
      </c>
      <c r="AG1532" s="85">
        <v>45126</v>
      </c>
      <c r="AH1532" s="81" t="s">
        <v>7182</v>
      </c>
      <c r="AI1532" s="77" t="b">
        <v>0</v>
      </c>
      <c r="AJ1532" s="77"/>
      <c r="AK1532" s="77"/>
      <c r="AL1532" s="77"/>
      <c r="AM1532" s="77"/>
      <c r="AN1532" s="77"/>
      <c r="AO1532" s="77"/>
      <c r="AP1532" s="77"/>
      <c r="AQ1532" s="77" t="s">
        <v>8915</v>
      </c>
      <c r="AR1532" s="77"/>
      <c r="AS1532" s="77"/>
      <c r="AT1532" s="77"/>
      <c r="AU1532" s="77"/>
      <c r="AV1532" s="83" t="str">
        <f>HYPERLINK("https://pbs.twimg.com/media/F1ZP69iWAAALHgo.jpg")</f>
        <v>https://pbs.twimg.com/media/F1ZP69iWAAALHgo.jpg</v>
      </c>
      <c r="AW1532" s="81" t="s">
        <v>10652</v>
      </c>
      <c r="AX1532" s="81" t="s">
        <v>10652</v>
      </c>
      <c r="AY1532" s="77"/>
      <c r="AZ1532" s="81" t="s">
        <v>11359</v>
      </c>
      <c r="BA1532" s="81" t="s">
        <v>11359</v>
      </c>
      <c r="BB1532" s="81" t="s">
        <v>11359</v>
      </c>
      <c r="BC1532" s="81" t="s">
        <v>10652</v>
      </c>
      <c r="BD1532" s="81" t="s">
        <v>11579</v>
      </c>
      <c r="BE1532" s="77"/>
      <c r="BF1532" s="77"/>
      <c r="BG1532" s="77"/>
      <c r="BH1532" s="77"/>
      <c r="BI1532" s="77"/>
    </row>
    <row r="1533" spans="1:61" x14ac:dyDescent="0.25">
      <c r="A1533" s="62" t="s">
        <v>574</v>
      </c>
      <c r="B1533" s="62" t="s">
        <v>574</v>
      </c>
      <c r="C1533" s="63"/>
      <c r="D1533" s="64"/>
      <c r="E1533" s="65"/>
      <c r="F1533" s="66"/>
      <c r="G1533" s="63"/>
      <c r="H1533" s="67"/>
      <c r="I1533" s="68"/>
      <c r="J1533" s="68"/>
      <c r="K1533" s="32"/>
      <c r="L1533" s="75">
        <v>1533</v>
      </c>
      <c r="M1533" s="75"/>
      <c r="N1533" s="70"/>
      <c r="O1533" s="77" t="s">
        <v>179</v>
      </c>
      <c r="P1533" s="79">
        <v>45043.866875</v>
      </c>
      <c r="Q1533" s="77" t="s">
        <v>2327</v>
      </c>
      <c r="R1533" s="77">
        <v>0</v>
      </c>
      <c r="S1533" s="77">
        <v>0</v>
      </c>
      <c r="T1533" s="77">
        <v>0</v>
      </c>
      <c r="U1533" s="77">
        <v>0</v>
      </c>
      <c r="V1533" s="77">
        <v>15</v>
      </c>
      <c r="W1533" s="81" t="s">
        <v>3703</v>
      </c>
      <c r="X1533" s="83" t="str">
        <f>HYPERLINK("https://lnkd.in/d8NYYBYD")</f>
        <v>https://lnkd.in/d8NYYBYD</v>
      </c>
      <c r="Y1533" s="77" t="s">
        <v>4221</v>
      </c>
      <c r="Z1533" s="77"/>
      <c r="AA1533" s="77"/>
      <c r="AB1533" s="77"/>
      <c r="AC1533" s="81" t="s">
        <v>5810</v>
      </c>
      <c r="AD1533" s="77" t="s">
        <v>5850</v>
      </c>
      <c r="AE1533" s="83" t="str">
        <f>HYPERLINK("https://twitter.com/mysteryproject2/status/1651689754151247872")</f>
        <v>https://twitter.com/mysteryproject2/status/1651689754151247872</v>
      </c>
      <c r="AF1533" s="79">
        <v>45043.866875</v>
      </c>
      <c r="AG1533" s="85">
        <v>45043</v>
      </c>
      <c r="AH1533" s="81" t="s">
        <v>7183</v>
      </c>
      <c r="AI1533" s="77" t="b">
        <v>0</v>
      </c>
      <c r="AJ1533" s="77"/>
      <c r="AK1533" s="77"/>
      <c r="AL1533" s="77"/>
      <c r="AM1533" s="77"/>
      <c r="AN1533" s="77"/>
      <c r="AO1533" s="77"/>
      <c r="AP1533" s="77"/>
      <c r="AQ1533" s="77"/>
      <c r="AR1533" s="77"/>
      <c r="AS1533" s="77"/>
      <c r="AT1533" s="77"/>
      <c r="AU1533" s="77"/>
      <c r="AV1533" s="83" t="str">
        <f>HYPERLINK("https://pbs.twimg.com/profile_images/1207579136652447744/lM0Cr2iO_normal.jpg")</f>
        <v>https://pbs.twimg.com/profile_images/1207579136652447744/lM0Cr2iO_normal.jpg</v>
      </c>
      <c r="AW1533" s="81" t="s">
        <v>10653</v>
      </c>
      <c r="AX1533" s="81" t="s">
        <v>10653</v>
      </c>
      <c r="AY1533" s="77"/>
      <c r="AZ1533" s="81" t="s">
        <v>11359</v>
      </c>
      <c r="BA1533" s="81" t="s">
        <v>11359</v>
      </c>
      <c r="BB1533" s="81" t="s">
        <v>11359</v>
      </c>
      <c r="BC1533" s="81" t="s">
        <v>10653</v>
      </c>
      <c r="BD1533" s="81" t="s">
        <v>11580</v>
      </c>
      <c r="BE1533" s="77"/>
      <c r="BF1533" s="77"/>
      <c r="BG1533" s="77"/>
      <c r="BH1533" s="77"/>
      <c r="BI1533" s="77"/>
    </row>
    <row r="1534" spans="1:61" x14ac:dyDescent="0.25">
      <c r="A1534" s="62" t="s">
        <v>575</v>
      </c>
      <c r="B1534" s="62" t="s">
        <v>575</v>
      </c>
      <c r="C1534" s="63"/>
      <c r="D1534" s="64"/>
      <c r="E1534" s="65"/>
      <c r="F1534" s="66"/>
      <c r="G1534" s="63"/>
      <c r="H1534" s="67"/>
      <c r="I1534" s="68"/>
      <c r="J1534" s="68"/>
      <c r="K1534" s="32"/>
      <c r="L1534" s="75">
        <v>1534</v>
      </c>
      <c r="M1534" s="75"/>
      <c r="N1534" s="70"/>
      <c r="O1534" s="77" t="s">
        <v>179</v>
      </c>
      <c r="P1534" s="79">
        <v>44971.883402777778</v>
      </c>
      <c r="Q1534" s="77" t="s">
        <v>2328</v>
      </c>
      <c r="R1534" s="77">
        <v>0</v>
      </c>
      <c r="S1534" s="77">
        <v>0</v>
      </c>
      <c r="T1534" s="77">
        <v>0</v>
      </c>
      <c r="U1534" s="77">
        <v>0</v>
      </c>
      <c r="V1534" s="77">
        <v>25</v>
      </c>
      <c r="W1534" s="81" t="s">
        <v>3704</v>
      </c>
      <c r="X1534" s="83" t="str">
        <f>HYPERLINK("https://amzn.to/3IpMXEk")</f>
        <v>https://amzn.to/3IpMXEk</v>
      </c>
      <c r="Y1534" s="77" t="s">
        <v>4273</v>
      </c>
      <c r="Z1534" s="77"/>
      <c r="AA1534" s="77" t="s">
        <v>5413</v>
      </c>
      <c r="AB1534" s="77" t="s">
        <v>5794</v>
      </c>
      <c r="AC1534" s="81" t="s">
        <v>5837</v>
      </c>
      <c r="AD1534" s="77" t="s">
        <v>5850</v>
      </c>
      <c r="AE1534" s="83" t="str">
        <f>HYPERLINK("https://twitter.com/ofertapremium/status/1625603816874774529")</f>
        <v>https://twitter.com/ofertapremium/status/1625603816874774529</v>
      </c>
      <c r="AF1534" s="79">
        <v>44971.883402777778</v>
      </c>
      <c r="AG1534" s="85">
        <v>44971</v>
      </c>
      <c r="AH1534" s="81" t="s">
        <v>7184</v>
      </c>
      <c r="AI1534" s="77" t="b">
        <v>0</v>
      </c>
      <c r="AJ1534" s="77"/>
      <c r="AK1534" s="77"/>
      <c r="AL1534" s="77"/>
      <c r="AM1534" s="77"/>
      <c r="AN1534" s="77"/>
      <c r="AO1534" s="77"/>
      <c r="AP1534" s="77"/>
      <c r="AQ1534" s="77" t="s">
        <v>8916</v>
      </c>
      <c r="AR1534" s="77"/>
      <c r="AS1534" s="77"/>
      <c r="AT1534" s="77"/>
      <c r="AU1534" s="77"/>
      <c r="AV1534" s="83" t="str">
        <f>HYPERLINK("https://pbs.twimg.com/media/Fo9ODpQWYAMZhub.jpg")</f>
        <v>https://pbs.twimg.com/media/Fo9ODpQWYAMZhub.jpg</v>
      </c>
      <c r="AW1534" s="81" t="s">
        <v>10654</v>
      </c>
      <c r="AX1534" s="81" t="s">
        <v>10654</v>
      </c>
      <c r="AY1534" s="77"/>
      <c r="AZ1534" s="81" t="s">
        <v>11359</v>
      </c>
      <c r="BA1534" s="81" t="s">
        <v>11359</v>
      </c>
      <c r="BB1534" s="81" t="s">
        <v>11359</v>
      </c>
      <c r="BC1534" s="81" t="s">
        <v>10654</v>
      </c>
      <c r="BD1534" s="81" t="s">
        <v>11581</v>
      </c>
      <c r="BE1534" s="77"/>
      <c r="BF1534" s="77"/>
      <c r="BG1534" s="77"/>
      <c r="BH1534" s="77"/>
      <c r="BI1534" s="77"/>
    </row>
    <row r="1535" spans="1:61" x14ac:dyDescent="0.25">
      <c r="A1535" s="62" t="s">
        <v>575</v>
      </c>
      <c r="B1535" s="62" t="s">
        <v>575</v>
      </c>
      <c r="C1535" s="63"/>
      <c r="D1535" s="64"/>
      <c r="E1535" s="65"/>
      <c r="F1535" s="66"/>
      <c r="G1535" s="63"/>
      <c r="H1535" s="67"/>
      <c r="I1535" s="68"/>
      <c r="J1535" s="68"/>
      <c r="K1535" s="32"/>
      <c r="L1535" s="75">
        <v>1535</v>
      </c>
      <c r="M1535" s="75"/>
      <c r="N1535" s="70"/>
      <c r="O1535" s="77" t="s">
        <v>179</v>
      </c>
      <c r="P1535" s="79">
        <v>44971.667071759257</v>
      </c>
      <c r="Q1535" s="77" t="s">
        <v>2329</v>
      </c>
      <c r="R1535" s="77">
        <v>0</v>
      </c>
      <c r="S1535" s="77">
        <v>0</v>
      </c>
      <c r="T1535" s="77">
        <v>0</v>
      </c>
      <c r="U1535" s="77">
        <v>0</v>
      </c>
      <c r="V1535" s="77">
        <v>38</v>
      </c>
      <c r="W1535" s="81" t="s">
        <v>3705</v>
      </c>
      <c r="X1535" s="83" t="str">
        <f>HYPERLINK("https://amzn.to/3K6HBPJ")</f>
        <v>https://amzn.to/3K6HBPJ</v>
      </c>
      <c r="Y1535" s="77" t="s">
        <v>4273</v>
      </c>
      <c r="Z1535" s="77"/>
      <c r="AA1535" s="77" t="s">
        <v>5414</v>
      </c>
      <c r="AB1535" s="77" t="s">
        <v>5794</v>
      </c>
      <c r="AC1535" s="81" t="s">
        <v>5837</v>
      </c>
      <c r="AD1535" s="77" t="s">
        <v>5850</v>
      </c>
      <c r="AE1535" s="83" t="str">
        <f>HYPERLINK("https://twitter.com/ofertapremium/status/1625525420618645505")</f>
        <v>https://twitter.com/ofertapremium/status/1625525420618645505</v>
      </c>
      <c r="AF1535" s="79">
        <v>44971.667071759257</v>
      </c>
      <c r="AG1535" s="85">
        <v>44971</v>
      </c>
      <c r="AH1535" s="81" t="s">
        <v>7185</v>
      </c>
      <c r="AI1535" s="77" t="b">
        <v>0</v>
      </c>
      <c r="AJ1535" s="77"/>
      <c r="AK1535" s="77"/>
      <c r="AL1535" s="77"/>
      <c r="AM1535" s="77"/>
      <c r="AN1535" s="77"/>
      <c r="AO1535" s="77"/>
      <c r="AP1535" s="77"/>
      <c r="AQ1535" s="77" t="s">
        <v>8917</v>
      </c>
      <c r="AR1535" s="77"/>
      <c r="AS1535" s="77"/>
      <c r="AT1535" s="77"/>
      <c r="AU1535" s="77"/>
      <c r="AV1535" s="83" t="str">
        <f>HYPERLINK("https://pbs.twimg.com/media/Fo8GwZrWcAAfuCX.jpg")</f>
        <v>https://pbs.twimg.com/media/Fo8GwZrWcAAfuCX.jpg</v>
      </c>
      <c r="AW1535" s="81" t="s">
        <v>10655</v>
      </c>
      <c r="AX1535" s="81" t="s">
        <v>10655</v>
      </c>
      <c r="AY1535" s="77"/>
      <c r="AZ1535" s="81" t="s">
        <v>11359</v>
      </c>
      <c r="BA1535" s="81" t="s">
        <v>11359</v>
      </c>
      <c r="BB1535" s="81" t="s">
        <v>11359</v>
      </c>
      <c r="BC1535" s="81" t="s">
        <v>10655</v>
      </c>
      <c r="BD1535" s="81" t="s">
        <v>11581</v>
      </c>
      <c r="BE1535" s="77"/>
      <c r="BF1535" s="77"/>
      <c r="BG1535" s="77"/>
      <c r="BH1535" s="77"/>
      <c r="BI1535" s="77"/>
    </row>
    <row r="1536" spans="1:61" x14ac:dyDescent="0.25">
      <c r="A1536" s="62" t="s">
        <v>576</v>
      </c>
      <c r="B1536" s="62" t="s">
        <v>576</v>
      </c>
      <c r="C1536" s="63"/>
      <c r="D1536" s="64"/>
      <c r="E1536" s="65"/>
      <c r="F1536" s="66"/>
      <c r="G1536" s="63"/>
      <c r="H1536" s="67"/>
      <c r="I1536" s="68"/>
      <c r="J1536" s="68"/>
      <c r="K1536" s="32"/>
      <c r="L1536" s="75">
        <v>1536</v>
      </c>
      <c r="M1536" s="75"/>
      <c r="N1536" s="70"/>
      <c r="O1536" s="77" t="s">
        <v>179</v>
      </c>
      <c r="P1536" s="79">
        <v>45005.725312499999</v>
      </c>
      <c r="Q1536" s="77" t="s">
        <v>2330</v>
      </c>
      <c r="R1536" s="77">
        <v>0</v>
      </c>
      <c r="S1536" s="77">
        <v>0</v>
      </c>
      <c r="T1536" s="77">
        <v>0</v>
      </c>
      <c r="U1536" s="77">
        <v>0</v>
      </c>
      <c r="V1536" s="77">
        <v>569</v>
      </c>
      <c r="W1536" s="81" t="s">
        <v>3706</v>
      </c>
      <c r="X1536" s="83" t="str">
        <f>HYPERLINK("https://bit.ly/3JxCg1R")</f>
        <v>https://bit.ly/3JxCg1R</v>
      </c>
      <c r="Y1536" s="77" t="s">
        <v>4213</v>
      </c>
      <c r="Z1536" s="77"/>
      <c r="AA1536" s="77"/>
      <c r="AB1536" s="77"/>
      <c r="AC1536" s="81" t="s">
        <v>5811</v>
      </c>
      <c r="AD1536" s="77" t="s">
        <v>5850</v>
      </c>
      <c r="AE1536" s="83" t="str">
        <f>HYPERLINK("https://twitter.com/canales3y7/status/1637867714701058079")</f>
        <v>https://twitter.com/canales3y7/status/1637867714701058079</v>
      </c>
      <c r="AF1536" s="79">
        <v>45005.725312499999</v>
      </c>
      <c r="AG1536" s="85">
        <v>45005</v>
      </c>
      <c r="AH1536" s="81" t="s">
        <v>7186</v>
      </c>
      <c r="AI1536" s="77" t="b">
        <v>0</v>
      </c>
      <c r="AJ1536" s="77"/>
      <c r="AK1536" s="77"/>
      <c r="AL1536" s="77"/>
      <c r="AM1536" s="77"/>
      <c r="AN1536" s="77"/>
      <c r="AO1536" s="77"/>
      <c r="AP1536" s="77"/>
      <c r="AQ1536" s="77"/>
      <c r="AR1536" s="77"/>
      <c r="AS1536" s="77"/>
      <c r="AT1536" s="77"/>
      <c r="AU1536" s="77"/>
      <c r="AV1536" s="83" t="str">
        <f>HYPERLINK("https://pbs.twimg.com/profile_images/1591484415313690624/d__T3r46_normal.jpg")</f>
        <v>https://pbs.twimg.com/profile_images/1591484415313690624/d__T3r46_normal.jpg</v>
      </c>
      <c r="AW1536" s="81" t="s">
        <v>10656</v>
      </c>
      <c r="AX1536" s="81" t="s">
        <v>10656</v>
      </c>
      <c r="AY1536" s="77"/>
      <c r="AZ1536" s="81" t="s">
        <v>11359</v>
      </c>
      <c r="BA1536" s="81" t="s">
        <v>11359</v>
      </c>
      <c r="BB1536" s="81" t="s">
        <v>11359</v>
      </c>
      <c r="BC1536" s="81" t="s">
        <v>10656</v>
      </c>
      <c r="BD1536" s="77">
        <v>335604919</v>
      </c>
      <c r="BE1536" s="77"/>
      <c r="BF1536" s="77"/>
      <c r="BG1536" s="77"/>
      <c r="BH1536" s="77"/>
      <c r="BI1536" s="77"/>
    </row>
    <row r="1537" spans="1:61" x14ac:dyDescent="0.25">
      <c r="A1537" s="62" t="s">
        <v>577</v>
      </c>
      <c r="B1537" s="62" t="s">
        <v>577</v>
      </c>
      <c r="C1537" s="63"/>
      <c r="D1537" s="64"/>
      <c r="E1537" s="65"/>
      <c r="F1537" s="66"/>
      <c r="G1537" s="63"/>
      <c r="H1537" s="67"/>
      <c r="I1537" s="68"/>
      <c r="J1537" s="68"/>
      <c r="K1537" s="32"/>
      <c r="L1537" s="75">
        <v>1537</v>
      </c>
      <c r="M1537" s="75"/>
      <c r="N1537" s="70"/>
      <c r="O1537" s="77" t="s">
        <v>179</v>
      </c>
      <c r="P1537" s="79">
        <v>44944.574490740742</v>
      </c>
      <c r="Q1537" s="77" t="s">
        <v>2331</v>
      </c>
      <c r="R1537" s="77">
        <v>0</v>
      </c>
      <c r="S1537" s="77">
        <v>0</v>
      </c>
      <c r="T1537" s="77">
        <v>0</v>
      </c>
      <c r="U1537" s="77">
        <v>0</v>
      </c>
      <c r="V1537" s="77">
        <v>15</v>
      </c>
      <c r="W1537" s="81" t="s">
        <v>3707</v>
      </c>
      <c r="X1537" s="77"/>
      <c r="Y1537" s="77"/>
      <c r="Z1537" s="77"/>
      <c r="AA1537" s="77"/>
      <c r="AB1537" s="77"/>
      <c r="AC1537" s="81" t="s">
        <v>5801</v>
      </c>
      <c r="AD1537" s="77" t="s">
        <v>5851</v>
      </c>
      <c r="AE1537" s="83" t="str">
        <f>HYPERLINK("https://twitter.com/andresilva1206/status/1615707398685048832")</f>
        <v>https://twitter.com/andresilva1206/status/1615707398685048832</v>
      </c>
      <c r="AF1537" s="79">
        <v>44944.574490740742</v>
      </c>
      <c r="AG1537" s="85">
        <v>44944</v>
      </c>
      <c r="AH1537" s="81" t="s">
        <v>7187</v>
      </c>
      <c r="AI1537" s="77"/>
      <c r="AJ1537" s="77"/>
      <c r="AK1537" s="77"/>
      <c r="AL1537" s="77"/>
      <c r="AM1537" s="77"/>
      <c r="AN1537" s="77"/>
      <c r="AO1537" s="77"/>
      <c r="AP1537" s="77"/>
      <c r="AQ1537" s="77"/>
      <c r="AR1537" s="77"/>
      <c r="AS1537" s="77"/>
      <c r="AT1537" s="77"/>
      <c r="AU1537" s="77"/>
      <c r="AV1537" s="83" t="str">
        <f>HYPERLINK("https://pbs.twimg.com/profile_images/1615703641360404487/TaM-8hqG_normal.jpg")</f>
        <v>https://pbs.twimg.com/profile_images/1615703641360404487/TaM-8hqG_normal.jpg</v>
      </c>
      <c r="AW1537" s="81" t="s">
        <v>10657</v>
      </c>
      <c r="AX1537" s="81" t="s">
        <v>10657</v>
      </c>
      <c r="AY1537" s="77"/>
      <c r="AZ1537" s="81" t="s">
        <v>11359</v>
      </c>
      <c r="BA1537" s="81" t="s">
        <v>11359</v>
      </c>
      <c r="BB1537" s="81" t="s">
        <v>11359</v>
      </c>
      <c r="BC1537" s="81" t="s">
        <v>10657</v>
      </c>
      <c r="BD1537" s="81" t="s">
        <v>11582</v>
      </c>
      <c r="BE1537" s="77"/>
      <c r="BF1537" s="77"/>
      <c r="BG1537" s="77"/>
      <c r="BH1537" s="77"/>
      <c r="BI1537" s="77"/>
    </row>
    <row r="1538" spans="1:61" x14ac:dyDescent="0.25">
      <c r="A1538" s="62" t="s">
        <v>577</v>
      </c>
      <c r="B1538" s="62" t="s">
        <v>577</v>
      </c>
      <c r="C1538" s="63"/>
      <c r="D1538" s="64"/>
      <c r="E1538" s="65"/>
      <c r="F1538" s="66"/>
      <c r="G1538" s="63"/>
      <c r="H1538" s="67"/>
      <c r="I1538" s="68"/>
      <c r="J1538" s="68"/>
      <c r="K1538" s="32"/>
      <c r="L1538" s="75">
        <v>1538</v>
      </c>
      <c r="M1538" s="75"/>
      <c r="N1538" s="70"/>
      <c r="O1538" s="77" t="s">
        <v>179</v>
      </c>
      <c r="P1538" s="79">
        <v>44944.573483796295</v>
      </c>
      <c r="Q1538" s="77" t="s">
        <v>2332</v>
      </c>
      <c r="R1538" s="77">
        <v>0</v>
      </c>
      <c r="S1538" s="77">
        <v>0</v>
      </c>
      <c r="T1538" s="77">
        <v>0</v>
      </c>
      <c r="U1538" s="77">
        <v>0</v>
      </c>
      <c r="V1538" s="77">
        <v>8</v>
      </c>
      <c r="W1538" s="81" t="s">
        <v>3708</v>
      </c>
      <c r="X1538" s="77"/>
      <c r="Y1538" s="77"/>
      <c r="Z1538" s="77"/>
      <c r="AA1538" s="77"/>
      <c r="AB1538" s="77"/>
      <c r="AC1538" s="81" t="s">
        <v>5801</v>
      </c>
      <c r="AD1538" s="77" t="s">
        <v>5851</v>
      </c>
      <c r="AE1538" s="83" t="str">
        <f>HYPERLINK("https://twitter.com/andresilva1206/status/1615707032228610048")</f>
        <v>https://twitter.com/andresilva1206/status/1615707032228610048</v>
      </c>
      <c r="AF1538" s="79">
        <v>44944.573483796295</v>
      </c>
      <c r="AG1538" s="85">
        <v>44944</v>
      </c>
      <c r="AH1538" s="81" t="s">
        <v>7188</v>
      </c>
      <c r="AI1538" s="77"/>
      <c r="AJ1538" s="77"/>
      <c r="AK1538" s="77"/>
      <c r="AL1538" s="77"/>
      <c r="AM1538" s="77"/>
      <c r="AN1538" s="77"/>
      <c r="AO1538" s="77"/>
      <c r="AP1538" s="77"/>
      <c r="AQ1538" s="77"/>
      <c r="AR1538" s="77"/>
      <c r="AS1538" s="77"/>
      <c r="AT1538" s="77"/>
      <c r="AU1538" s="77"/>
      <c r="AV1538" s="83" t="str">
        <f>HYPERLINK("https://pbs.twimg.com/profile_images/1615703641360404487/TaM-8hqG_normal.jpg")</f>
        <v>https://pbs.twimg.com/profile_images/1615703641360404487/TaM-8hqG_normal.jpg</v>
      </c>
      <c r="AW1538" s="81" t="s">
        <v>10658</v>
      </c>
      <c r="AX1538" s="81" t="s">
        <v>10658</v>
      </c>
      <c r="AY1538" s="77"/>
      <c r="AZ1538" s="81" t="s">
        <v>11359</v>
      </c>
      <c r="BA1538" s="81" t="s">
        <v>11359</v>
      </c>
      <c r="BB1538" s="81" t="s">
        <v>11359</v>
      </c>
      <c r="BC1538" s="81" t="s">
        <v>10658</v>
      </c>
      <c r="BD1538" s="81" t="s">
        <v>11582</v>
      </c>
      <c r="BE1538" s="77"/>
      <c r="BF1538" s="77"/>
      <c r="BG1538" s="77"/>
      <c r="BH1538" s="77"/>
      <c r="BI1538" s="77"/>
    </row>
    <row r="1539" spans="1:61" x14ac:dyDescent="0.25">
      <c r="A1539" s="62" t="s">
        <v>578</v>
      </c>
      <c r="B1539" s="62" t="s">
        <v>578</v>
      </c>
      <c r="C1539" s="63"/>
      <c r="D1539" s="64"/>
      <c r="E1539" s="65"/>
      <c r="F1539" s="66"/>
      <c r="G1539" s="63"/>
      <c r="H1539" s="67"/>
      <c r="I1539" s="68"/>
      <c r="J1539" s="68"/>
      <c r="K1539" s="32"/>
      <c r="L1539" s="75">
        <v>1539</v>
      </c>
      <c r="M1539" s="75"/>
      <c r="N1539" s="70"/>
      <c r="O1539" s="77" t="s">
        <v>179</v>
      </c>
      <c r="P1539" s="79">
        <v>45195.501354166663</v>
      </c>
      <c r="Q1539" s="77" t="s">
        <v>2333</v>
      </c>
      <c r="R1539" s="77">
        <v>1</v>
      </c>
      <c r="S1539" s="77">
        <v>0</v>
      </c>
      <c r="T1539" s="77">
        <v>1</v>
      </c>
      <c r="U1539" s="77">
        <v>0</v>
      </c>
      <c r="V1539" s="77">
        <v>774</v>
      </c>
      <c r="W1539" s="81" t="s">
        <v>3709</v>
      </c>
      <c r="X1539" s="83" t="str">
        <f>HYPERLINK("http://bit.ly/3ZcD8PX")</f>
        <v>http://bit.ly/3ZcD8PX</v>
      </c>
      <c r="Y1539" s="77" t="s">
        <v>4213</v>
      </c>
      <c r="Z1539" s="77"/>
      <c r="AA1539" s="77" t="s">
        <v>5415</v>
      </c>
      <c r="AB1539" s="77" t="s">
        <v>5794</v>
      </c>
      <c r="AC1539" s="81" t="s">
        <v>5812</v>
      </c>
      <c r="AD1539" s="77" t="s">
        <v>5850</v>
      </c>
      <c r="AE1539" s="83" t="str">
        <f>HYPERLINK("https://twitter.com/empleo_na/status/1706640246614491220")</f>
        <v>https://twitter.com/empleo_na/status/1706640246614491220</v>
      </c>
      <c r="AF1539" s="79">
        <v>45195.501354166663</v>
      </c>
      <c r="AG1539" s="85">
        <v>45195</v>
      </c>
      <c r="AH1539" s="81" t="s">
        <v>7189</v>
      </c>
      <c r="AI1539" s="77" t="b">
        <v>0</v>
      </c>
      <c r="AJ1539" s="77"/>
      <c r="AK1539" s="77"/>
      <c r="AL1539" s="77"/>
      <c r="AM1539" s="77"/>
      <c r="AN1539" s="77"/>
      <c r="AO1539" s="77"/>
      <c r="AP1539" s="77"/>
      <c r="AQ1539" s="77" t="s">
        <v>8918</v>
      </c>
      <c r="AR1539" s="77"/>
      <c r="AS1539" s="77"/>
      <c r="AT1539" s="77"/>
      <c r="AU1539" s="77"/>
      <c r="AV1539" s="83" t="str">
        <f>HYPERLINK("https://pbs.twimg.com/media/F680Qj3W4AE-Ydo.png")</f>
        <v>https://pbs.twimg.com/media/F680Qj3W4AE-Ydo.png</v>
      </c>
      <c r="AW1539" s="81" t="s">
        <v>10659</v>
      </c>
      <c r="AX1539" s="81" t="s">
        <v>10659</v>
      </c>
      <c r="AY1539" s="77"/>
      <c r="AZ1539" s="81" t="s">
        <v>11359</v>
      </c>
      <c r="BA1539" s="81" t="s">
        <v>11359</v>
      </c>
      <c r="BB1539" s="81" t="s">
        <v>11359</v>
      </c>
      <c r="BC1539" s="81" t="s">
        <v>10659</v>
      </c>
      <c r="BD1539" s="77">
        <v>491321457</v>
      </c>
      <c r="BE1539" s="77"/>
      <c r="BF1539" s="77"/>
      <c r="BG1539" s="77"/>
      <c r="BH1539" s="77"/>
      <c r="BI1539" s="77"/>
    </row>
    <row r="1540" spans="1:61" x14ac:dyDescent="0.25">
      <c r="A1540" s="62" t="s">
        <v>579</v>
      </c>
      <c r="B1540" s="62" t="s">
        <v>579</v>
      </c>
      <c r="C1540" s="63"/>
      <c r="D1540" s="64"/>
      <c r="E1540" s="65"/>
      <c r="F1540" s="66"/>
      <c r="G1540" s="63"/>
      <c r="H1540" s="67"/>
      <c r="I1540" s="68"/>
      <c r="J1540" s="68"/>
      <c r="K1540" s="32"/>
      <c r="L1540" s="75">
        <v>1540</v>
      </c>
      <c r="M1540" s="75"/>
      <c r="N1540" s="70"/>
      <c r="O1540" s="77" t="s">
        <v>179</v>
      </c>
      <c r="P1540" s="79">
        <v>45156.856724537036</v>
      </c>
      <c r="Q1540" s="77" t="s">
        <v>2334</v>
      </c>
      <c r="R1540" s="77">
        <v>1</v>
      </c>
      <c r="S1540" s="77">
        <v>1</v>
      </c>
      <c r="T1540" s="77">
        <v>0</v>
      </c>
      <c r="U1540" s="77">
        <v>0</v>
      </c>
      <c r="V1540" s="77">
        <v>49</v>
      </c>
      <c r="W1540" s="81" t="s">
        <v>3710</v>
      </c>
      <c r="X1540" s="77"/>
      <c r="Y1540" s="77"/>
      <c r="Z1540" s="77"/>
      <c r="AA1540" s="77" t="s">
        <v>5416</v>
      </c>
      <c r="AB1540" s="77" t="s">
        <v>5794</v>
      </c>
      <c r="AC1540" s="81" t="s">
        <v>5805</v>
      </c>
      <c r="AD1540" s="77" t="s">
        <v>5850</v>
      </c>
      <c r="AE1540" s="83" t="str">
        <f>HYPERLINK("https://twitter.com/erlan_dgm/status/1692635900675842486")</f>
        <v>https://twitter.com/erlan_dgm/status/1692635900675842486</v>
      </c>
      <c r="AF1540" s="79">
        <v>45156.856724537036</v>
      </c>
      <c r="AG1540" s="85">
        <v>45156</v>
      </c>
      <c r="AH1540" s="81" t="s">
        <v>7190</v>
      </c>
      <c r="AI1540" s="77" t="b">
        <v>0</v>
      </c>
      <c r="AJ1540" s="77"/>
      <c r="AK1540" s="77"/>
      <c r="AL1540" s="77"/>
      <c r="AM1540" s="77"/>
      <c r="AN1540" s="77"/>
      <c r="AO1540" s="77"/>
      <c r="AP1540" s="77"/>
      <c r="AQ1540" s="77" t="s">
        <v>8919</v>
      </c>
      <c r="AR1540" s="77"/>
      <c r="AS1540" s="77"/>
      <c r="AT1540" s="77"/>
      <c r="AU1540" s="77"/>
      <c r="AV1540" s="83" t="str">
        <f>HYPERLINK("https://pbs.twimg.com/media/F31zVrkWIAET67h.jpg")</f>
        <v>https://pbs.twimg.com/media/F31zVrkWIAET67h.jpg</v>
      </c>
      <c r="AW1540" s="81" t="s">
        <v>10660</v>
      </c>
      <c r="AX1540" s="81" t="s">
        <v>10660</v>
      </c>
      <c r="AY1540" s="77"/>
      <c r="AZ1540" s="81" t="s">
        <v>11359</v>
      </c>
      <c r="BA1540" s="81" t="s">
        <v>11359</v>
      </c>
      <c r="BB1540" s="81" t="s">
        <v>11359</v>
      </c>
      <c r="BC1540" s="81" t="s">
        <v>10660</v>
      </c>
      <c r="BD1540" s="77">
        <v>2394731286</v>
      </c>
      <c r="BE1540" s="77"/>
      <c r="BF1540" s="77"/>
      <c r="BG1540" s="77"/>
      <c r="BH1540" s="77"/>
      <c r="BI1540" s="77"/>
    </row>
    <row r="1541" spans="1:61" x14ac:dyDescent="0.25">
      <c r="A1541" s="62" t="s">
        <v>580</v>
      </c>
      <c r="B1541" s="62" t="s">
        <v>580</v>
      </c>
      <c r="C1541" s="63"/>
      <c r="D1541" s="64"/>
      <c r="E1541" s="65"/>
      <c r="F1541" s="66"/>
      <c r="G1541" s="63"/>
      <c r="H1541" s="67"/>
      <c r="I1541" s="68"/>
      <c r="J1541" s="68"/>
      <c r="K1541" s="32"/>
      <c r="L1541" s="75">
        <v>1541</v>
      </c>
      <c r="M1541" s="75"/>
      <c r="N1541" s="70"/>
      <c r="O1541" s="77" t="s">
        <v>179</v>
      </c>
      <c r="P1541" s="79">
        <v>45049.787604166668</v>
      </c>
      <c r="Q1541" s="77" t="s">
        <v>2335</v>
      </c>
      <c r="R1541" s="77">
        <v>0</v>
      </c>
      <c r="S1541" s="77">
        <v>0</v>
      </c>
      <c r="T1541" s="77">
        <v>0</v>
      </c>
      <c r="U1541" s="77">
        <v>0</v>
      </c>
      <c r="V1541" s="77">
        <v>17</v>
      </c>
      <c r="W1541" s="81" t="s">
        <v>3711</v>
      </c>
      <c r="X1541" s="77"/>
      <c r="Y1541" s="77"/>
      <c r="Z1541" s="77"/>
      <c r="AA1541" s="77" t="s">
        <v>5417</v>
      </c>
      <c r="AB1541" s="77" t="s">
        <v>5794</v>
      </c>
      <c r="AC1541" s="81" t="s">
        <v>5808</v>
      </c>
      <c r="AD1541" s="77" t="s">
        <v>5851</v>
      </c>
      <c r="AE1541" s="83" t="str">
        <f>HYPERLINK("https://twitter.com/meucrediario/status/1653835351184515087")</f>
        <v>https://twitter.com/meucrediario/status/1653835351184515087</v>
      </c>
      <c r="AF1541" s="79">
        <v>45049.787604166668</v>
      </c>
      <c r="AG1541" s="85">
        <v>45049</v>
      </c>
      <c r="AH1541" s="81" t="s">
        <v>7191</v>
      </c>
      <c r="AI1541" s="77" t="b">
        <v>0</v>
      </c>
      <c r="AJ1541" s="77"/>
      <c r="AK1541" s="77"/>
      <c r="AL1541" s="77"/>
      <c r="AM1541" s="77"/>
      <c r="AN1541" s="77"/>
      <c r="AO1541" s="77"/>
      <c r="AP1541" s="77"/>
      <c r="AQ1541" s="77" t="s">
        <v>8920</v>
      </c>
      <c r="AR1541" s="77"/>
      <c r="AS1541" s="77"/>
      <c r="AT1541" s="77"/>
      <c r="AU1541" s="77"/>
      <c r="AV1541" s="83" t="str">
        <f>HYPERLINK("https://pbs.twimg.com/media/FvOafFnWIBkua3n.jpg")</f>
        <v>https://pbs.twimg.com/media/FvOafFnWIBkua3n.jpg</v>
      </c>
      <c r="AW1541" s="81" t="s">
        <v>10661</v>
      </c>
      <c r="AX1541" s="81" t="s">
        <v>10661</v>
      </c>
      <c r="AY1541" s="77"/>
      <c r="AZ1541" s="81" t="s">
        <v>11359</v>
      </c>
      <c r="BA1541" s="81" t="s">
        <v>11359</v>
      </c>
      <c r="BB1541" s="81" t="s">
        <v>11359</v>
      </c>
      <c r="BC1541" s="81" t="s">
        <v>10661</v>
      </c>
      <c r="BD1541" s="81" t="s">
        <v>11583</v>
      </c>
      <c r="BE1541" s="77"/>
      <c r="BF1541" s="77"/>
      <c r="BG1541" s="77"/>
      <c r="BH1541" s="77"/>
      <c r="BI1541" s="77"/>
    </row>
    <row r="1542" spans="1:61" x14ac:dyDescent="0.25">
      <c r="A1542" s="62" t="s">
        <v>581</v>
      </c>
      <c r="B1542" s="62" t="s">
        <v>581</v>
      </c>
      <c r="C1542" s="63"/>
      <c r="D1542" s="64"/>
      <c r="E1542" s="65"/>
      <c r="F1542" s="66"/>
      <c r="G1542" s="63"/>
      <c r="H1542" s="67"/>
      <c r="I1542" s="68"/>
      <c r="J1542" s="68"/>
      <c r="K1542" s="32"/>
      <c r="L1542" s="75">
        <v>1542</v>
      </c>
      <c r="M1542" s="75"/>
      <c r="N1542" s="70"/>
      <c r="O1542" s="77" t="s">
        <v>969</v>
      </c>
      <c r="P1542" s="79">
        <v>45009.970636574071</v>
      </c>
      <c r="Q1542" s="77" t="s">
        <v>2336</v>
      </c>
      <c r="R1542" s="77">
        <v>0</v>
      </c>
      <c r="S1542" s="77">
        <v>0</v>
      </c>
      <c r="T1542" s="77">
        <v>0</v>
      </c>
      <c r="U1542" s="77">
        <v>0</v>
      </c>
      <c r="V1542" s="77">
        <v>6</v>
      </c>
      <c r="W1542" s="81" t="s">
        <v>3712</v>
      </c>
      <c r="X1542" s="77"/>
      <c r="Y1542" s="77"/>
      <c r="Z1542" s="77"/>
      <c r="AA1542" s="77" t="s">
        <v>5418</v>
      </c>
      <c r="AB1542" s="77" t="s">
        <v>5799</v>
      </c>
      <c r="AC1542" s="81" t="s">
        <v>5801</v>
      </c>
      <c r="AD1542" s="77" t="s">
        <v>5853</v>
      </c>
      <c r="AE1542" s="83" t="str">
        <f>HYPERLINK("https://twitter.com/ipforce_telecom/status/1639406168060702721")</f>
        <v>https://twitter.com/ipforce_telecom/status/1639406168060702721</v>
      </c>
      <c r="AF1542" s="79">
        <v>45009.970636574071</v>
      </c>
      <c r="AG1542" s="85">
        <v>45009</v>
      </c>
      <c r="AH1542" s="81" t="s">
        <v>7192</v>
      </c>
      <c r="AI1542" s="77" t="b">
        <v>0</v>
      </c>
      <c r="AJ1542" s="77"/>
      <c r="AK1542" s="77"/>
      <c r="AL1542" s="77"/>
      <c r="AM1542" s="77"/>
      <c r="AN1542" s="77"/>
      <c r="AO1542" s="77"/>
      <c r="AP1542" s="77"/>
      <c r="AQ1542" s="77" t="s">
        <v>8921</v>
      </c>
      <c r="AR1542" s="77"/>
      <c r="AS1542" s="77"/>
      <c r="AT1542" s="77"/>
      <c r="AU1542" s="77"/>
      <c r="AV1542" s="83" t="str">
        <f>HYPERLINK("https://pbs.twimg.com/media/FsBXN3DWYAEY65l.jpg")</f>
        <v>https://pbs.twimg.com/media/FsBXN3DWYAEY65l.jpg</v>
      </c>
      <c r="AW1542" s="81" t="s">
        <v>10662</v>
      </c>
      <c r="AX1542" s="81" t="s">
        <v>11294</v>
      </c>
      <c r="AY1542" s="81" t="s">
        <v>11340</v>
      </c>
      <c r="AZ1542" s="81" t="s">
        <v>11294</v>
      </c>
      <c r="BA1542" s="81" t="s">
        <v>11359</v>
      </c>
      <c r="BB1542" s="81" t="s">
        <v>11359</v>
      </c>
      <c r="BC1542" s="81" t="s">
        <v>11294</v>
      </c>
      <c r="BD1542" s="77">
        <v>3588952461</v>
      </c>
      <c r="BE1542" s="77"/>
      <c r="BF1542" s="77"/>
      <c r="BG1542" s="77"/>
      <c r="BH1542" s="77"/>
      <c r="BI1542" s="77"/>
    </row>
    <row r="1543" spans="1:61" x14ac:dyDescent="0.25">
      <c r="A1543" s="62" t="s">
        <v>582</v>
      </c>
      <c r="B1543" s="62" t="s">
        <v>582</v>
      </c>
      <c r="C1543" s="63"/>
      <c r="D1543" s="64"/>
      <c r="E1543" s="65"/>
      <c r="F1543" s="66"/>
      <c r="G1543" s="63"/>
      <c r="H1543" s="67"/>
      <c r="I1543" s="68"/>
      <c r="J1543" s="68"/>
      <c r="K1543" s="32"/>
      <c r="L1543" s="75">
        <v>1543</v>
      </c>
      <c r="M1543" s="75"/>
      <c r="N1543" s="70"/>
      <c r="O1543" s="77" t="s">
        <v>179</v>
      </c>
      <c r="P1543" s="79">
        <v>45031.689710648148</v>
      </c>
      <c r="Q1543" s="77" t="s">
        <v>2337</v>
      </c>
      <c r="R1543" s="77">
        <v>0</v>
      </c>
      <c r="S1543" s="77">
        <v>0</v>
      </c>
      <c r="T1543" s="77">
        <v>0</v>
      </c>
      <c r="U1543" s="77">
        <v>0</v>
      </c>
      <c r="V1543" s="77">
        <v>278</v>
      </c>
      <c r="W1543" s="81" t="s">
        <v>3713</v>
      </c>
      <c r="X1543" s="83" t="str">
        <f>HYPERLINK("https://radio3cadenapatagonia.com.ar/asalto-a-mano-armada-a-un-vendedor-ambulante-de-muebles/")</f>
        <v>https://radio3cadenapatagonia.com.ar/asalto-a-mano-armada-a-un-vendedor-ambulante-de-muebles/</v>
      </c>
      <c r="Y1543" s="77" t="s">
        <v>4231</v>
      </c>
      <c r="Z1543" s="77"/>
      <c r="AA1543" s="77"/>
      <c r="AB1543" s="77"/>
      <c r="AC1543" s="81" t="s">
        <v>5805</v>
      </c>
      <c r="AD1543" s="77" t="s">
        <v>5850</v>
      </c>
      <c r="AE1543" s="83" t="str">
        <f>HYPERLINK("https://twitter.com/radio3trelew/status/1647276894520311808")</f>
        <v>https://twitter.com/radio3trelew/status/1647276894520311808</v>
      </c>
      <c r="AF1543" s="79">
        <v>45031.689710648148</v>
      </c>
      <c r="AG1543" s="85">
        <v>45031</v>
      </c>
      <c r="AH1543" s="81" t="s">
        <v>7193</v>
      </c>
      <c r="AI1543" s="77" t="b">
        <v>0</v>
      </c>
      <c r="AJ1543" s="77"/>
      <c r="AK1543" s="77"/>
      <c r="AL1543" s="77"/>
      <c r="AM1543" s="77"/>
      <c r="AN1543" s="77"/>
      <c r="AO1543" s="77"/>
      <c r="AP1543" s="77"/>
      <c r="AQ1543" s="77"/>
      <c r="AR1543" s="77"/>
      <c r="AS1543" s="77"/>
      <c r="AT1543" s="77"/>
      <c r="AU1543" s="77"/>
      <c r="AV1543" s="83" t="str">
        <f>HYPERLINK("https://pbs.twimg.com/profile_images/1349494197506727942/FOcIJhSB_normal.jpg")</f>
        <v>https://pbs.twimg.com/profile_images/1349494197506727942/FOcIJhSB_normal.jpg</v>
      </c>
      <c r="AW1543" s="81" t="s">
        <v>10663</v>
      </c>
      <c r="AX1543" s="81" t="s">
        <v>10663</v>
      </c>
      <c r="AY1543" s="77"/>
      <c r="AZ1543" s="81" t="s">
        <v>11359</v>
      </c>
      <c r="BA1543" s="81" t="s">
        <v>11359</v>
      </c>
      <c r="BB1543" s="81" t="s">
        <v>11359</v>
      </c>
      <c r="BC1543" s="81" t="s">
        <v>10663</v>
      </c>
      <c r="BD1543" s="77">
        <v>2333499318</v>
      </c>
      <c r="BE1543" s="77"/>
      <c r="BF1543" s="77"/>
      <c r="BG1543" s="77"/>
      <c r="BH1543" s="77"/>
      <c r="BI1543" s="77"/>
    </row>
    <row r="1544" spans="1:61" x14ac:dyDescent="0.25">
      <c r="A1544" s="62" t="s">
        <v>583</v>
      </c>
      <c r="B1544" s="62" t="s">
        <v>583</v>
      </c>
      <c r="C1544" s="63"/>
      <c r="D1544" s="64"/>
      <c r="E1544" s="65"/>
      <c r="F1544" s="66"/>
      <c r="G1544" s="63"/>
      <c r="H1544" s="67"/>
      <c r="I1544" s="68"/>
      <c r="J1544" s="68"/>
      <c r="K1544" s="32"/>
      <c r="L1544" s="75">
        <v>1544</v>
      </c>
      <c r="M1544" s="75"/>
      <c r="N1544" s="70"/>
      <c r="O1544" s="77" t="s">
        <v>179</v>
      </c>
      <c r="P1544" s="79">
        <v>45083.11515046296</v>
      </c>
      <c r="Q1544" s="77" t="s">
        <v>2338</v>
      </c>
      <c r="R1544" s="77">
        <v>0</v>
      </c>
      <c r="S1544" s="77">
        <v>0</v>
      </c>
      <c r="T1544" s="77">
        <v>0</v>
      </c>
      <c r="U1544" s="77">
        <v>0</v>
      </c>
      <c r="V1544" s="77">
        <v>186</v>
      </c>
      <c r="W1544" s="81" t="s">
        <v>3714</v>
      </c>
      <c r="X1544" s="77"/>
      <c r="Y1544" s="77"/>
      <c r="Z1544" s="77"/>
      <c r="AA1544" s="77" t="s">
        <v>5419</v>
      </c>
      <c r="AB1544" s="77" t="s">
        <v>5795</v>
      </c>
      <c r="AC1544" s="81" t="s">
        <v>5803</v>
      </c>
      <c r="AD1544" s="77" t="s">
        <v>5850</v>
      </c>
      <c r="AE1544" s="83" t="str">
        <f>HYPERLINK("https://twitter.com/jacklupio/status/1665912850991181829")</f>
        <v>https://twitter.com/jacklupio/status/1665912850991181829</v>
      </c>
      <c r="AF1544" s="79">
        <v>45083.11515046296</v>
      </c>
      <c r="AG1544" s="85">
        <v>45083</v>
      </c>
      <c r="AH1544" s="81" t="s">
        <v>7194</v>
      </c>
      <c r="AI1544" s="77" t="b">
        <v>0</v>
      </c>
      <c r="AJ1544" s="77"/>
      <c r="AK1544" s="77"/>
      <c r="AL1544" s="77"/>
      <c r="AM1544" s="77"/>
      <c r="AN1544" s="77"/>
      <c r="AO1544" s="77"/>
      <c r="AP1544" s="77"/>
      <c r="AQ1544" s="77" t="s">
        <v>8922</v>
      </c>
      <c r="AR1544" s="77">
        <v>67766</v>
      </c>
      <c r="AS1544" s="77"/>
      <c r="AT1544" s="77"/>
      <c r="AU1544" s="77"/>
      <c r="AV1544" s="83" t="str">
        <f>HYPERLINK("https://pbs.twimg.com/ext_tw_video_thumb/1665912726219022338/pu/img/81DQpCp7Ikr88qrt.jpg")</f>
        <v>https://pbs.twimg.com/ext_tw_video_thumb/1665912726219022338/pu/img/81DQpCp7Ikr88qrt.jpg</v>
      </c>
      <c r="AW1544" s="81" t="s">
        <v>10664</v>
      </c>
      <c r="AX1544" s="81" t="s">
        <v>10664</v>
      </c>
      <c r="AY1544" s="77"/>
      <c r="AZ1544" s="81" t="s">
        <v>11359</v>
      </c>
      <c r="BA1544" s="81" t="s">
        <v>11359</v>
      </c>
      <c r="BB1544" s="81" t="s">
        <v>11359</v>
      </c>
      <c r="BC1544" s="81" t="s">
        <v>10664</v>
      </c>
      <c r="BD1544" s="77">
        <v>1697948995</v>
      </c>
      <c r="BE1544" s="77"/>
      <c r="BF1544" s="77"/>
      <c r="BG1544" s="77"/>
      <c r="BH1544" s="77"/>
      <c r="BI1544" s="77"/>
    </row>
    <row r="1545" spans="1:61" x14ac:dyDescent="0.25">
      <c r="A1545" s="62" t="s">
        <v>584</v>
      </c>
      <c r="B1545" s="62" t="s">
        <v>584</v>
      </c>
      <c r="C1545" s="63"/>
      <c r="D1545" s="64"/>
      <c r="E1545" s="65"/>
      <c r="F1545" s="66"/>
      <c r="G1545" s="63"/>
      <c r="H1545" s="67"/>
      <c r="I1545" s="68"/>
      <c r="J1545" s="68"/>
      <c r="K1545" s="32"/>
      <c r="L1545" s="75">
        <v>1545</v>
      </c>
      <c r="M1545" s="75"/>
      <c r="N1545" s="70"/>
      <c r="O1545" s="77" t="s">
        <v>179</v>
      </c>
      <c r="P1545" s="79">
        <v>45075.758657407408</v>
      </c>
      <c r="Q1545" s="77" t="s">
        <v>2339</v>
      </c>
      <c r="R1545" s="77">
        <v>0</v>
      </c>
      <c r="S1545" s="77">
        <v>1</v>
      </c>
      <c r="T1545" s="77">
        <v>0</v>
      </c>
      <c r="U1545" s="77">
        <v>0</v>
      </c>
      <c r="V1545" s="77">
        <v>247</v>
      </c>
      <c r="W1545" s="81" t="s">
        <v>3715</v>
      </c>
      <c r="X1545" s="77"/>
      <c r="Y1545" s="77"/>
      <c r="Z1545" s="77"/>
      <c r="AA1545" s="77" t="s">
        <v>5420</v>
      </c>
      <c r="AB1545" s="77" t="s">
        <v>5794</v>
      </c>
      <c r="AC1545" s="81" t="s">
        <v>5801</v>
      </c>
      <c r="AD1545" s="77" t="s">
        <v>5851</v>
      </c>
      <c r="AE1545" s="83" t="str">
        <f>HYPERLINK("https://twitter.com/arthuroliveirad/status/1663246948529209365")</f>
        <v>https://twitter.com/arthuroliveirad/status/1663246948529209365</v>
      </c>
      <c r="AF1545" s="79">
        <v>45075.758657407408</v>
      </c>
      <c r="AG1545" s="85">
        <v>45075</v>
      </c>
      <c r="AH1545" s="81" t="s">
        <v>7195</v>
      </c>
      <c r="AI1545" s="77" t="b">
        <v>0</v>
      </c>
      <c r="AJ1545" s="77"/>
      <c r="AK1545" s="77"/>
      <c r="AL1545" s="77"/>
      <c r="AM1545" s="77"/>
      <c r="AN1545" s="77"/>
      <c r="AO1545" s="77"/>
      <c r="AP1545" s="77"/>
      <c r="AQ1545" s="77" t="s">
        <v>8923</v>
      </c>
      <c r="AR1545" s="77"/>
      <c r="AS1545" s="77"/>
      <c r="AT1545" s="77"/>
      <c r="AU1545" s="77"/>
      <c r="AV1545" s="83" t="str">
        <f>HYPERLINK("https://pbs.twimg.com/media/FxUKSOwWABIv7jZ.jpg")</f>
        <v>https://pbs.twimg.com/media/FxUKSOwWABIv7jZ.jpg</v>
      </c>
      <c r="AW1545" s="81" t="s">
        <v>10665</v>
      </c>
      <c r="AX1545" s="81" t="s">
        <v>10665</v>
      </c>
      <c r="AY1545" s="77"/>
      <c r="AZ1545" s="81" t="s">
        <v>11359</v>
      </c>
      <c r="BA1545" s="81" t="s">
        <v>11359</v>
      </c>
      <c r="BB1545" s="81" t="s">
        <v>11359</v>
      </c>
      <c r="BC1545" s="81" t="s">
        <v>10665</v>
      </c>
      <c r="BD1545" s="77">
        <v>185211456</v>
      </c>
      <c r="BE1545" s="77"/>
      <c r="BF1545" s="77"/>
      <c r="BG1545" s="77"/>
      <c r="BH1545" s="77"/>
      <c r="BI1545" s="77"/>
    </row>
    <row r="1546" spans="1:61" x14ac:dyDescent="0.25">
      <c r="A1546" s="62" t="s">
        <v>584</v>
      </c>
      <c r="B1546" s="62" t="s">
        <v>584</v>
      </c>
      <c r="C1546" s="63"/>
      <c r="D1546" s="64"/>
      <c r="E1546" s="65"/>
      <c r="F1546" s="66"/>
      <c r="G1546" s="63"/>
      <c r="H1546" s="67"/>
      <c r="I1546" s="68"/>
      <c r="J1546" s="68"/>
      <c r="K1546" s="32"/>
      <c r="L1546" s="75">
        <v>1546</v>
      </c>
      <c r="M1546" s="75"/>
      <c r="N1546" s="70"/>
      <c r="O1546" s="77" t="s">
        <v>179</v>
      </c>
      <c r="P1546" s="79">
        <v>45084.097812499997</v>
      </c>
      <c r="Q1546" s="77" t="s">
        <v>2340</v>
      </c>
      <c r="R1546" s="77">
        <v>0</v>
      </c>
      <c r="S1546" s="77">
        <v>0</v>
      </c>
      <c r="T1546" s="77">
        <v>0</v>
      </c>
      <c r="U1546" s="77">
        <v>0</v>
      </c>
      <c r="V1546" s="77">
        <v>225</v>
      </c>
      <c r="W1546" s="81" t="s">
        <v>3716</v>
      </c>
      <c r="X1546" s="83" t="str">
        <f>HYPERLINK("http://bawclothing.com.br/sale")</f>
        <v>http://bawclothing.com.br/sale</v>
      </c>
      <c r="Y1546" s="77" t="s">
        <v>4223</v>
      </c>
      <c r="Z1546" s="77"/>
      <c r="AA1546" s="77" t="s">
        <v>5421</v>
      </c>
      <c r="AB1546" s="77" t="s">
        <v>5795</v>
      </c>
      <c r="AC1546" s="81" t="s">
        <v>5801</v>
      </c>
      <c r="AD1546" s="77" t="s">
        <v>5851</v>
      </c>
      <c r="AE1546" s="83" t="str">
        <f>HYPERLINK("https://twitter.com/arthuroliveirad/status/1666268957890818048")</f>
        <v>https://twitter.com/arthuroliveirad/status/1666268957890818048</v>
      </c>
      <c r="AF1546" s="79">
        <v>45084.097812499997</v>
      </c>
      <c r="AG1546" s="85">
        <v>45084</v>
      </c>
      <c r="AH1546" s="81" t="s">
        <v>7196</v>
      </c>
      <c r="AI1546" s="77" t="b">
        <v>0</v>
      </c>
      <c r="AJ1546" s="77"/>
      <c r="AK1546" s="77"/>
      <c r="AL1546" s="77"/>
      <c r="AM1546" s="77"/>
      <c r="AN1546" s="77"/>
      <c r="AO1546" s="77"/>
      <c r="AP1546" s="77"/>
      <c r="AQ1546" s="77" t="s">
        <v>8924</v>
      </c>
      <c r="AR1546" s="77">
        <v>5800</v>
      </c>
      <c r="AS1546" s="77"/>
      <c r="AT1546" s="77"/>
      <c r="AU1546" s="77"/>
      <c r="AV1546" s="83" t="str">
        <f>HYPERLINK("https://pbs.twimg.com/ext_tw_video_thumb/1666268935820308480/pu/img/Hkq2J9iOF-Rq6W_X.jpg")</f>
        <v>https://pbs.twimg.com/ext_tw_video_thumb/1666268935820308480/pu/img/Hkq2J9iOF-Rq6W_X.jpg</v>
      </c>
      <c r="AW1546" s="81" t="s">
        <v>10666</v>
      </c>
      <c r="AX1546" s="81" t="s">
        <v>10666</v>
      </c>
      <c r="AY1546" s="77"/>
      <c r="AZ1546" s="81" t="s">
        <v>11359</v>
      </c>
      <c r="BA1546" s="81" t="s">
        <v>11359</v>
      </c>
      <c r="BB1546" s="81" t="s">
        <v>11359</v>
      </c>
      <c r="BC1546" s="81" t="s">
        <v>10666</v>
      </c>
      <c r="BD1546" s="77">
        <v>185211456</v>
      </c>
      <c r="BE1546" s="77"/>
      <c r="BF1546" s="77"/>
      <c r="BG1546" s="77"/>
      <c r="BH1546" s="77"/>
      <c r="BI1546" s="77"/>
    </row>
    <row r="1547" spans="1:61" x14ac:dyDescent="0.25">
      <c r="A1547" s="62" t="s">
        <v>584</v>
      </c>
      <c r="B1547" s="62" t="s">
        <v>584</v>
      </c>
      <c r="C1547" s="63"/>
      <c r="D1547" s="64"/>
      <c r="E1547" s="65"/>
      <c r="F1547" s="66"/>
      <c r="G1547" s="63"/>
      <c r="H1547" s="67"/>
      <c r="I1547" s="68"/>
      <c r="J1547" s="68"/>
      <c r="K1547" s="32"/>
      <c r="L1547" s="75">
        <v>1547</v>
      </c>
      <c r="M1547" s="75"/>
      <c r="N1547" s="70"/>
      <c r="O1547" s="77" t="s">
        <v>179</v>
      </c>
      <c r="P1547" s="79">
        <v>45079.93172453704</v>
      </c>
      <c r="Q1547" s="77" t="s">
        <v>2341</v>
      </c>
      <c r="R1547" s="77">
        <v>0</v>
      </c>
      <c r="S1547" s="77">
        <v>0</v>
      </c>
      <c r="T1547" s="77">
        <v>0</v>
      </c>
      <c r="U1547" s="77">
        <v>0</v>
      </c>
      <c r="V1547" s="77">
        <v>174</v>
      </c>
      <c r="W1547" s="81" t="s">
        <v>3716</v>
      </c>
      <c r="X1547" s="83" t="str">
        <f>HYPERLINK("https://www.bawclothing.com.br/sale")</f>
        <v>https://www.bawclothing.com.br/sale</v>
      </c>
      <c r="Y1547" s="77" t="s">
        <v>4223</v>
      </c>
      <c r="Z1547" s="77"/>
      <c r="AA1547" s="77" t="s">
        <v>5422</v>
      </c>
      <c r="AB1547" s="77" t="s">
        <v>5795</v>
      </c>
      <c r="AC1547" s="81" t="s">
        <v>5801</v>
      </c>
      <c r="AD1547" s="77" t="s">
        <v>5851</v>
      </c>
      <c r="AE1547" s="83" t="str">
        <f>HYPERLINK("https://twitter.com/arthuroliveirad/status/1664759216765128711")</f>
        <v>https://twitter.com/arthuroliveirad/status/1664759216765128711</v>
      </c>
      <c r="AF1547" s="79">
        <v>45079.93172453704</v>
      </c>
      <c r="AG1547" s="85">
        <v>45079</v>
      </c>
      <c r="AH1547" s="81" t="s">
        <v>7197</v>
      </c>
      <c r="AI1547" s="77" t="b">
        <v>0</v>
      </c>
      <c r="AJ1547" s="77"/>
      <c r="AK1547" s="77"/>
      <c r="AL1547" s="77"/>
      <c r="AM1547" s="77"/>
      <c r="AN1547" s="77"/>
      <c r="AO1547" s="77"/>
      <c r="AP1547" s="77"/>
      <c r="AQ1547" s="77" t="s">
        <v>8925</v>
      </c>
      <c r="AR1547" s="77">
        <v>6375</v>
      </c>
      <c r="AS1547" s="77"/>
      <c r="AT1547" s="77"/>
      <c r="AU1547" s="77"/>
      <c r="AV1547" s="83" t="str">
        <f>HYPERLINK("https://pbs.twimg.com/ext_tw_video_thumb/1664759198536679425/pu/img/1cWaZ6V-Kc1R_hBp.jpg")</f>
        <v>https://pbs.twimg.com/ext_tw_video_thumb/1664759198536679425/pu/img/1cWaZ6V-Kc1R_hBp.jpg</v>
      </c>
      <c r="AW1547" s="81" t="s">
        <v>10667</v>
      </c>
      <c r="AX1547" s="81" t="s">
        <v>10667</v>
      </c>
      <c r="AY1547" s="77"/>
      <c r="AZ1547" s="81" t="s">
        <v>11359</v>
      </c>
      <c r="BA1547" s="81" t="s">
        <v>11359</v>
      </c>
      <c r="BB1547" s="81" t="s">
        <v>11359</v>
      </c>
      <c r="BC1547" s="81" t="s">
        <v>10667</v>
      </c>
      <c r="BD1547" s="77">
        <v>185211456</v>
      </c>
      <c r="BE1547" s="77"/>
      <c r="BF1547" s="77"/>
      <c r="BG1547" s="77"/>
      <c r="BH1547" s="77"/>
      <c r="BI1547" s="77"/>
    </row>
    <row r="1548" spans="1:61" x14ac:dyDescent="0.25">
      <c r="A1548" s="62" t="s">
        <v>584</v>
      </c>
      <c r="B1548" s="62" t="s">
        <v>584</v>
      </c>
      <c r="C1548" s="63"/>
      <c r="D1548" s="64"/>
      <c r="E1548" s="65"/>
      <c r="F1548" s="66"/>
      <c r="G1548" s="63"/>
      <c r="H1548" s="67"/>
      <c r="I1548" s="68"/>
      <c r="J1548" s="68"/>
      <c r="K1548" s="32"/>
      <c r="L1548" s="75">
        <v>1548</v>
      </c>
      <c r="M1548" s="75"/>
      <c r="N1548" s="70"/>
      <c r="O1548" s="77" t="s">
        <v>179</v>
      </c>
      <c r="P1548" s="79">
        <v>45079.88858796296</v>
      </c>
      <c r="Q1548" s="77" t="s">
        <v>2342</v>
      </c>
      <c r="R1548" s="77">
        <v>0</v>
      </c>
      <c r="S1548" s="77">
        <v>0</v>
      </c>
      <c r="T1548" s="77">
        <v>0</v>
      </c>
      <c r="U1548" s="77">
        <v>0</v>
      </c>
      <c r="V1548" s="77">
        <v>93</v>
      </c>
      <c r="W1548" s="81" t="s">
        <v>3717</v>
      </c>
      <c r="X1548" s="77"/>
      <c r="Y1548" s="77"/>
      <c r="Z1548" s="77"/>
      <c r="AA1548" s="77" t="s">
        <v>5423</v>
      </c>
      <c r="AB1548" s="77" t="s">
        <v>5794</v>
      </c>
      <c r="AC1548" s="81" t="s">
        <v>5801</v>
      </c>
      <c r="AD1548" s="77" t="s">
        <v>5851</v>
      </c>
      <c r="AE1548" s="83" t="str">
        <f>HYPERLINK("https://twitter.com/arthuroliveirad/status/1664743584661225472")</f>
        <v>https://twitter.com/arthuroliveirad/status/1664743584661225472</v>
      </c>
      <c r="AF1548" s="79">
        <v>45079.88858796296</v>
      </c>
      <c r="AG1548" s="85">
        <v>45079</v>
      </c>
      <c r="AH1548" s="81" t="s">
        <v>7198</v>
      </c>
      <c r="AI1548" s="77" t="b">
        <v>0</v>
      </c>
      <c r="AJ1548" s="77"/>
      <c r="AK1548" s="77"/>
      <c r="AL1548" s="77"/>
      <c r="AM1548" s="77"/>
      <c r="AN1548" s="77"/>
      <c r="AO1548" s="77"/>
      <c r="AP1548" s="77"/>
      <c r="AQ1548" s="77" t="s">
        <v>8926</v>
      </c>
      <c r="AR1548" s="77"/>
      <c r="AS1548" s="77"/>
      <c r="AT1548" s="77"/>
      <c r="AU1548" s="77"/>
      <c r="AV1548" s="83" t="str">
        <f>HYPERLINK("https://pbs.twimg.com/media/Fxpbd7kWcAUO5VD.jpg")</f>
        <v>https://pbs.twimg.com/media/Fxpbd7kWcAUO5VD.jpg</v>
      </c>
      <c r="AW1548" s="81" t="s">
        <v>10668</v>
      </c>
      <c r="AX1548" s="81" t="s">
        <v>10668</v>
      </c>
      <c r="AY1548" s="77"/>
      <c r="AZ1548" s="81" t="s">
        <v>11359</v>
      </c>
      <c r="BA1548" s="81" t="s">
        <v>11359</v>
      </c>
      <c r="BB1548" s="81" t="s">
        <v>11359</v>
      </c>
      <c r="BC1548" s="81" t="s">
        <v>10668</v>
      </c>
      <c r="BD1548" s="77">
        <v>185211456</v>
      </c>
      <c r="BE1548" s="77"/>
      <c r="BF1548" s="77"/>
      <c r="BG1548" s="77"/>
      <c r="BH1548" s="77"/>
      <c r="BI1548" s="77"/>
    </row>
    <row r="1549" spans="1:61" x14ac:dyDescent="0.25">
      <c r="A1549" s="62" t="s">
        <v>585</v>
      </c>
      <c r="B1549" s="62" t="s">
        <v>585</v>
      </c>
      <c r="C1549" s="63"/>
      <c r="D1549" s="64"/>
      <c r="E1549" s="65"/>
      <c r="F1549" s="66"/>
      <c r="G1549" s="63"/>
      <c r="H1549" s="67"/>
      <c r="I1549" s="68"/>
      <c r="J1549" s="68"/>
      <c r="K1549" s="32"/>
      <c r="L1549" s="75">
        <v>1549</v>
      </c>
      <c r="M1549" s="75"/>
      <c r="N1549" s="70"/>
      <c r="O1549" s="77" t="s">
        <v>179</v>
      </c>
      <c r="P1549" s="79">
        <v>45113.057013888887</v>
      </c>
      <c r="Q1549" s="77" t="s">
        <v>2343</v>
      </c>
      <c r="R1549" s="77">
        <v>0</v>
      </c>
      <c r="S1549" s="77">
        <v>0</v>
      </c>
      <c r="T1549" s="77">
        <v>0</v>
      </c>
      <c r="U1549" s="77">
        <v>0</v>
      </c>
      <c r="V1549" s="77">
        <v>20</v>
      </c>
      <c r="W1549" s="81" t="s">
        <v>3718</v>
      </c>
      <c r="X1549" s="77"/>
      <c r="Y1549" s="77"/>
      <c r="Z1549" s="77"/>
      <c r="AA1549" s="77"/>
      <c r="AB1549" s="77"/>
      <c r="AC1549" s="81" t="s">
        <v>5805</v>
      </c>
      <c r="AD1549" s="77" t="s">
        <v>5850</v>
      </c>
      <c r="AE1549" s="83" t="str">
        <f>HYPERLINK("https://twitter.com/dole_one/status/1676763420836655104")</f>
        <v>https://twitter.com/dole_one/status/1676763420836655104</v>
      </c>
      <c r="AF1549" s="79">
        <v>45113.057013888887</v>
      </c>
      <c r="AG1549" s="85">
        <v>45113</v>
      </c>
      <c r="AH1549" s="81" t="s">
        <v>7199</v>
      </c>
      <c r="AI1549" s="77"/>
      <c r="AJ1549" s="77"/>
      <c r="AK1549" s="77"/>
      <c r="AL1549" s="77"/>
      <c r="AM1549" s="77"/>
      <c r="AN1549" s="77"/>
      <c r="AO1549" s="77"/>
      <c r="AP1549" s="77"/>
      <c r="AQ1549" s="77"/>
      <c r="AR1549" s="77"/>
      <c r="AS1549" s="77"/>
      <c r="AT1549" s="77"/>
      <c r="AU1549" s="77"/>
      <c r="AV1549" s="83" t="str">
        <f>HYPERLINK("https://pbs.twimg.com/profile_images/1015455807499128832/UTiPPaQP_normal.jpg")</f>
        <v>https://pbs.twimg.com/profile_images/1015455807499128832/UTiPPaQP_normal.jpg</v>
      </c>
      <c r="AW1549" s="81" t="s">
        <v>10669</v>
      </c>
      <c r="AX1549" s="81" t="s">
        <v>10669</v>
      </c>
      <c r="AY1549" s="77"/>
      <c r="AZ1549" s="81" t="s">
        <v>11359</v>
      </c>
      <c r="BA1549" s="81" t="s">
        <v>11359</v>
      </c>
      <c r="BB1549" s="81" t="s">
        <v>11359</v>
      </c>
      <c r="BC1549" s="81" t="s">
        <v>10669</v>
      </c>
      <c r="BD1549" s="77">
        <v>215475724</v>
      </c>
      <c r="BE1549" s="77"/>
      <c r="BF1549" s="77"/>
      <c r="BG1549" s="77"/>
      <c r="BH1549" s="77"/>
      <c r="BI1549" s="77"/>
    </row>
    <row r="1550" spans="1:61" x14ac:dyDescent="0.25">
      <c r="A1550" s="62" t="s">
        <v>586</v>
      </c>
      <c r="B1550" s="62" t="s">
        <v>586</v>
      </c>
      <c r="C1550" s="63"/>
      <c r="D1550" s="64"/>
      <c r="E1550" s="65"/>
      <c r="F1550" s="66"/>
      <c r="G1550" s="63"/>
      <c r="H1550" s="67"/>
      <c r="I1550" s="68"/>
      <c r="J1550" s="68"/>
      <c r="K1550" s="32"/>
      <c r="L1550" s="75">
        <v>1550</v>
      </c>
      <c r="M1550" s="75"/>
      <c r="N1550" s="70"/>
      <c r="O1550" s="77" t="s">
        <v>179</v>
      </c>
      <c r="P1550" s="79">
        <v>45029.508321759262</v>
      </c>
      <c r="Q1550" s="77" t="s">
        <v>2344</v>
      </c>
      <c r="R1550" s="77">
        <v>0</v>
      </c>
      <c r="S1550" s="77">
        <v>0</v>
      </c>
      <c r="T1550" s="77">
        <v>0</v>
      </c>
      <c r="U1550" s="77">
        <v>0</v>
      </c>
      <c r="V1550" s="77">
        <v>5</v>
      </c>
      <c r="W1550" s="81" t="s">
        <v>3620</v>
      </c>
      <c r="X1550" s="83" t="str">
        <f>HYPERLINK("https://academiaformate.com/estas-5-competencias-son-basicas-para-trabajar-de-comercial/")</f>
        <v>https://academiaformate.com/estas-5-competencias-son-basicas-para-trabajar-de-comercial/</v>
      </c>
      <c r="Y1550" s="77" t="s">
        <v>4292</v>
      </c>
      <c r="Z1550" s="77"/>
      <c r="AA1550" s="77"/>
      <c r="AB1550" s="77"/>
      <c r="AC1550" s="81" t="s">
        <v>5805</v>
      </c>
      <c r="AD1550" s="77" t="s">
        <v>5850</v>
      </c>
      <c r="AE1550" s="83" t="str">
        <f>HYPERLINK("https://twitter.com/formate_oficial/status/1646486386969542656")</f>
        <v>https://twitter.com/formate_oficial/status/1646486386969542656</v>
      </c>
      <c r="AF1550" s="79">
        <v>45029.508321759262</v>
      </c>
      <c r="AG1550" s="85">
        <v>45029</v>
      </c>
      <c r="AH1550" s="81" t="s">
        <v>7200</v>
      </c>
      <c r="AI1550" s="77" t="b">
        <v>0</v>
      </c>
      <c r="AJ1550" s="77"/>
      <c r="AK1550" s="77"/>
      <c r="AL1550" s="77"/>
      <c r="AM1550" s="77"/>
      <c r="AN1550" s="77"/>
      <c r="AO1550" s="77"/>
      <c r="AP1550" s="77"/>
      <c r="AQ1550" s="77"/>
      <c r="AR1550" s="77"/>
      <c r="AS1550" s="77"/>
      <c r="AT1550" s="77"/>
      <c r="AU1550" s="77"/>
      <c r="AV1550" s="83" t="str">
        <f>HYPERLINK("https://pbs.twimg.com/profile_images/1496206579485626371/2r9ZHN3B_normal.jpg")</f>
        <v>https://pbs.twimg.com/profile_images/1496206579485626371/2r9ZHN3B_normal.jpg</v>
      </c>
      <c r="AW1550" s="81" t="s">
        <v>10670</v>
      </c>
      <c r="AX1550" s="81" t="s">
        <v>10670</v>
      </c>
      <c r="AY1550" s="77"/>
      <c r="AZ1550" s="81" t="s">
        <v>11359</v>
      </c>
      <c r="BA1550" s="81" t="s">
        <v>11359</v>
      </c>
      <c r="BB1550" s="81" t="s">
        <v>11359</v>
      </c>
      <c r="BC1550" s="81" t="s">
        <v>10670</v>
      </c>
      <c r="BD1550" s="81" t="s">
        <v>11584</v>
      </c>
      <c r="BE1550" s="77"/>
      <c r="BF1550" s="77"/>
      <c r="BG1550" s="77"/>
      <c r="BH1550" s="77"/>
      <c r="BI1550" s="77"/>
    </row>
    <row r="1551" spans="1:61" x14ac:dyDescent="0.25">
      <c r="A1551" s="62" t="s">
        <v>587</v>
      </c>
      <c r="B1551" s="62" t="s">
        <v>587</v>
      </c>
      <c r="C1551" s="63"/>
      <c r="D1551" s="64"/>
      <c r="E1551" s="65"/>
      <c r="F1551" s="66"/>
      <c r="G1551" s="63"/>
      <c r="H1551" s="67"/>
      <c r="I1551" s="68"/>
      <c r="J1551" s="68"/>
      <c r="K1551" s="32"/>
      <c r="L1551" s="75">
        <v>1551</v>
      </c>
      <c r="M1551" s="75"/>
      <c r="N1551" s="70"/>
      <c r="O1551" s="77" t="s">
        <v>179</v>
      </c>
      <c r="P1551" s="79">
        <v>44951.543020833335</v>
      </c>
      <c r="Q1551" s="77" t="s">
        <v>2345</v>
      </c>
      <c r="R1551" s="77">
        <v>0</v>
      </c>
      <c r="S1551" s="77">
        <v>0</v>
      </c>
      <c r="T1551" s="77">
        <v>0</v>
      </c>
      <c r="U1551" s="77">
        <v>0</v>
      </c>
      <c r="V1551" s="77">
        <v>6</v>
      </c>
      <c r="W1551" s="81" t="s">
        <v>3719</v>
      </c>
      <c r="X1551" s="83" t="str">
        <f>HYPERLINK("https://www.jeimage.com/novedades/conoce-cuatro-consejos-para-contratar-a-un-buen-vendedor")</f>
        <v>https://www.jeimage.com/novedades/conoce-cuatro-consejos-para-contratar-a-un-buen-vendedor</v>
      </c>
      <c r="Y1551" s="77" t="s">
        <v>4303</v>
      </c>
      <c r="Z1551" s="77"/>
      <c r="AA1551" s="77"/>
      <c r="AB1551" s="77"/>
      <c r="AC1551" s="81" t="s">
        <v>5827</v>
      </c>
      <c r="AD1551" s="77" t="s">
        <v>5850</v>
      </c>
      <c r="AE1551" s="83" t="str">
        <f>HYPERLINK("https://twitter.com/jeimage/status/1618232708768964609")</f>
        <v>https://twitter.com/jeimage/status/1618232708768964609</v>
      </c>
      <c r="AF1551" s="79">
        <v>44951.543020833335</v>
      </c>
      <c r="AG1551" s="85">
        <v>44951</v>
      </c>
      <c r="AH1551" s="81" t="s">
        <v>7201</v>
      </c>
      <c r="AI1551" s="77" t="b">
        <v>0</v>
      </c>
      <c r="AJ1551" s="77"/>
      <c r="AK1551" s="77"/>
      <c r="AL1551" s="77"/>
      <c r="AM1551" s="77"/>
      <c r="AN1551" s="77"/>
      <c r="AO1551" s="77"/>
      <c r="AP1551" s="77"/>
      <c r="AQ1551" s="77"/>
      <c r="AR1551" s="77"/>
      <c r="AS1551" s="77"/>
      <c r="AT1551" s="77"/>
      <c r="AU1551" s="77"/>
      <c r="AV1551" s="83" t="str">
        <f>HYPERLINK("https://pbs.twimg.com/profile_images/1261760099317579778/JaSebqaP_normal.jpg")</f>
        <v>https://pbs.twimg.com/profile_images/1261760099317579778/JaSebqaP_normal.jpg</v>
      </c>
      <c r="AW1551" s="81" t="s">
        <v>10671</v>
      </c>
      <c r="AX1551" s="81" t="s">
        <v>10671</v>
      </c>
      <c r="AY1551" s="77"/>
      <c r="AZ1551" s="81" t="s">
        <v>11359</v>
      </c>
      <c r="BA1551" s="81" t="s">
        <v>11359</v>
      </c>
      <c r="BB1551" s="81" t="s">
        <v>11359</v>
      </c>
      <c r="BC1551" s="81" t="s">
        <v>10671</v>
      </c>
      <c r="BD1551" s="77">
        <v>272584806</v>
      </c>
      <c r="BE1551" s="77"/>
      <c r="BF1551" s="77"/>
      <c r="BG1551" s="77"/>
      <c r="BH1551" s="77"/>
      <c r="BI1551" s="77"/>
    </row>
    <row r="1552" spans="1:61" x14ac:dyDescent="0.25">
      <c r="A1552" s="62" t="s">
        <v>588</v>
      </c>
      <c r="B1552" s="62" t="s">
        <v>588</v>
      </c>
      <c r="C1552" s="63"/>
      <c r="D1552" s="64"/>
      <c r="E1552" s="65"/>
      <c r="F1552" s="66"/>
      <c r="G1552" s="63"/>
      <c r="H1552" s="67"/>
      <c r="I1552" s="68"/>
      <c r="J1552" s="68"/>
      <c r="K1552" s="32"/>
      <c r="L1552" s="75">
        <v>1552</v>
      </c>
      <c r="M1552" s="75"/>
      <c r="N1552" s="70"/>
      <c r="O1552" s="77" t="s">
        <v>179</v>
      </c>
      <c r="P1552" s="79">
        <v>45074.669050925928</v>
      </c>
      <c r="Q1552" s="77" t="s">
        <v>2346</v>
      </c>
      <c r="R1552" s="77">
        <v>0</v>
      </c>
      <c r="S1552" s="77">
        <v>1</v>
      </c>
      <c r="T1552" s="77">
        <v>0</v>
      </c>
      <c r="U1552" s="77">
        <v>0</v>
      </c>
      <c r="V1552" s="77">
        <v>93</v>
      </c>
      <c r="W1552" s="81" t="s">
        <v>3720</v>
      </c>
      <c r="X1552" s="83" t="str">
        <f>HYPERLINK("https://www.marcrixnoticias.com.mx/enfermera-del-imss-atropella-a-vendedor-de-chicles-en-cancun/")</f>
        <v>https://www.marcrixnoticias.com.mx/enfermera-del-imss-atropella-a-vendedor-de-chicles-en-cancun/</v>
      </c>
      <c r="Y1552" s="77" t="s">
        <v>4222</v>
      </c>
      <c r="Z1552" s="77"/>
      <c r="AA1552" s="77"/>
      <c r="AB1552" s="77"/>
      <c r="AC1552" s="81" t="s">
        <v>5811</v>
      </c>
      <c r="AD1552" s="77" t="s">
        <v>5850</v>
      </c>
      <c r="AE1552" s="83" t="str">
        <f>HYPERLINK("https://twitter.com/marcrixnoticias/status/1662852088647352323")</f>
        <v>https://twitter.com/marcrixnoticias/status/1662852088647352323</v>
      </c>
      <c r="AF1552" s="79">
        <v>45074.669050925928</v>
      </c>
      <c r="AG1552" s="85">
        <v>45074</v>
      </c>
      <c r="AH1552" s="81" t="s">
        <v>7202</v>
      </c>
      <c r="AI1552" s="77" t="b">
        <v>1</v>
      </c>
      <c r="AJ1552" s="77"/>
      <c r="AK1552" s="77"/>
      <c r="AL1552" s="77"/>
      <c r="AM1552" s="77"/>
      <c r="AN1552" s="77"/>
      <c r="AO1552" s="77"/>
      <c r="AP1552" s="77"/>
      <c r="AQ1552" s="77"/>
      <c r="AR1552" s="77"/>
      <c r="AS1552" s="77"/>
      <c r="AT1552" s="77"/>
      <c r="AU1552" s="77"/>
      <c r="AV1552" s="83" t="str">
        <f>HYPERLINK("https://pbs.twimg.com/profile_images/1648042407806529563/_hYvv6Ih_normal.jpg")</f>
        <v>https://pbs.twimg.com/profile_images/1648042407806529563/_hYvv6Ih_normal.jpg</v>
      </c>
      <c r="AW1552" s="81" t="s">
        <v>10672</v>
      </c>
      <c r="AX1552" s="81" t="s">
        <v>10672</v>
      </c>
      <c r="AY1552" s="77"/>
      <c r="AZ1552" s="81" t="s">
        <v>11359</v>
      </c>
      <c r="BA1552" s="81" t="s">
        <v>11359</v>
      </c>
      <c r="BB1552" s="81" t="s">
        <v>11359</v>
      </c>
      <c r="BC1552" s="81" t="s">
        <v>10672</v>
      </c>
      <c r="BD1552" s="77">
        <v>1653727837</v>
      </c>
      <c r="BE1552" s="77"/>
      <c r="BF1552" s="77"/>
      <c r="BG1552" s="77"/>
      <c r="BH1552" s="77"/>
      <c r="BI1552" s="77"/>
    </row>
    <row r="1553" spans="1:61" x14ac:dyDescent="0.25">
      <c r="A1553" s="62" t="s">
        <v>589</v>
      </c>
      <c r="B1553" s="62" t="s">
        <v>589</v>
      </c>
      <c r="C1553" s="63"/>
      <c r="D1553" s="64"/>
      <c r="E1553" s="65"/>
      <c r="F1553" s="66"/>
      <c r="G1553" s="63"/>
      <c r="H1553" s="67"/>
      <c r="I1553" s="68"/>
      <c r="J1553" s="68"/>
      <c r="K1553" s="32"/>
      <c r="L1553" s="75">
        <v>1553</v>
      </c>
      <c r="M1553" s="75"/>
      <c r="N1553" s="70"/>
      <c r="O1553" s="77" t="s">
        <v>179</v>
      </c>
      <c r="P1553" s="79">
        <v>45168.629965277774</v>
      </c>
      <c r="Q1553" s="77" t="s">
        <v>2347</v>
      </c>
      <c r="R1553" s="77">
        <v>0</v>
      </c>
      <c r="S1553" s="77">
        <v>0</v>
      </c>
      <c r="T1553" s="77">
        <v>0</v>
      </c>
      <c r="U1553" s="77">
        <v>0</v>
      </c>
      <c r="V1553" s="77">
        <v>12</v>
      </c>
      <c r="W1553" s="81" t="s">
        <v>3721</v>
      </c>
      <c r="X1553" s="77"/>
      <c r="Y1553" s="77"/>
      <c r="Z1553" s="77"/>
      <c r="AA1553" s="77" t="s">
        <v>5424</v>
      </c>
      <c r="AB1553" s="77" t="s">
        <v>5794</v>
      </c>
      <c r="AC1553" s="81" t="s">
        <v>5805</v>
      </c>
      <c r="AD1553" s="77" t="s">
        <v>5850</v>
      </c>
      <c r="AE1553" s="83" t="str">
        <f>HYPERLINK("https://twitter.com/yakuconsultora/status/1696902383983272409")</f>
        <v>https://twitter.com/yakuconsultora/status/1696902383983272409</v>
      </c>
      <c r="AF1553" s="79">
        <v>45168.629965277774</v>
      </c>
      <c r="AG1553" s="85">
        <v>45168</v>
      </c>
      <c r="AH1553" s="81" t="s">
        <v>7203</v>
      </c>
      <c r="AI1553" s="77" t="b">
        <v>0</v>
      </c>
      <c r="AJ1553" s="77"/>
      <c r="AK1553" s="77"/>
      <c r="AL1553" s="77"/>
      <c r="AM1553" s="77"/>
      <c r="AN1553" s="77"/>
      <c r="AO1553" s="77"/>
      <c r="AP1553" s="77"/>
      <c r="AQ1553" s="77" t="s">
        <v>8927</v>
      </c>
      <c r="AR1553" s="77"/>
      <c r="AS1553" s="77"/>
      <c r="AT1553" s="77"/>
      <c r="AU1553" s="77"/>
      <c r="AV1553" s="83" t="str">
        <f>HYPERLINK("https://pbs.twimg.com/media/F4ybpTEXIAAw6sF.jpg")</f>
        <v>https://pbs.twimg.com/media/F4ybpTEXIAAw6sF.jpg</v>
      </c>
      <c r="AW1553" s="81" t="s">
        <v>10673</v>
      </c>
      <c r="AX1553" s="81" t="s">
        <v>10673</v>
      </c>
      <c r="AY1553" s="77"/>
      <c r="AZ1553" s="81" t="s">
        <v>11359</v>
      </c>
      <c r="BA1553" s="81" t="s">
        <v>11359</v>
      </c>
      <c r="BB1553" s="81" t="s">
        <v>11359</v>
      </c>
      <c r="BC1553" s="81" t="s">
        <v>10673</v>
      </c>
      <c r="BD1553" s="81" t="s">
        <v>11585</v>
      </c>
      <c r="BE1553" s="77"/>
      <c r="BF1553" s="77"/>
      <c r="BG1553" s="77"/>
      <c r="BH1553" s="77"/>
      <c r="BI1553" s="77"/>
    </row>
    <row r="1554" spans="1:61" x14ac:dyDescent="0.25">
      <c r="A1554" s="62" t="s">
        <v>589</v>
      </c>
      <c r="B1554" s="62" t="s">
        <v>589</v>
      </c>
      <c r="C1554" s="63"/>
      <c r="D1554" s="64"/>
      <c r="E1554" s="65"/>
      <c r="F1554" s="66"/>
      <c r="G1554" s="63"/>
      <c r="H1554" s="67"/>
      <c r="I1554" s="68"/>
      <c r="J1554" s="68"/>
      <c r="K1554" s="32"/>
      <c r="L1554" s="75">
        <v>1554</v>
      </c>
      <c r="M1554" s="75"/>
      <c r="N1554" s="70"/>
      <c r="O1554" s="77" t="s">
        <v>179</v>
      </c>
      <c r="P1554" s="79">
        <v>45177.703634259262</v>
      </c>
      <c r="Q1554" s="77" t="s">
        <v>2348</v>
      </c>
      <c r="R1554" s="77">
        <v>0</v>
      </c>
      <c r="S1554" s="77">
        <v>0</v>
      </c>
      <c r="T1554" s="77">
        <v>0</v>
      </c>
      <c r="U1554" s="77">
        <v>0</v>
      </c>
      <c r="V1554" s="77">
        <v>68</v>
      </c>
      <c r="W1554" s="81" t="s">
        <v>3721</v>
      </c>
      <c r="X1554" s="77"/>
      <c r="Y1554" s="77"/>
      <c r="Z1554" s="77"/>
      <c r="AA1554" s="77" t="s">
        <v>5425</v>
      </c>
      <c r="AB1554" s="77" t="s">
        <v>5794</v>
      </c>
      <c r="AC1554" s="81" t="s">
        <v>5805</v>
      </c>
      <c r="AD1554" s="77" t="s">
        <v>5850</v>
      </c>
      <c r="AE1554" s="83" t="str">
        <f>HYPERLINK("https://twitter.com/yakuconsultora/status/1700190569949979098")</f>
        <v>https://twitter.com/yakuconsultora/status/1700190569949979098</v>
      </c>
      <c r="AF1554" s="79">
        <v>45177.703634259262</v>
      </c>
      <c r="AG1554" s="85">
        <v>45177</v>
      </c>
      <c r="AH1554" s="81" t="s">
        <v>7204</v>
      </c>
      <c r="AI1554" s="77" t="b">
        <v>0</v>
      </c>
      <c r="AJ1554" s="77"/>
      <c r="AK1554" s="77"/>
      <c r="AL1554" s="77"/>
      <c r="AM1554" s="77"/>
      <c r="AN1554" s="77"/>
      <c r="AO1554" s="77"/>
      <c r="AP1554" s="77"/>
      <c r="AQ1554" s="77" t="s">
        <v>8928</v>
      </c>
      <c r="AR1554" s="77"/>
      <c r="AS1554" s="77"/>
      <c r="AT1554" s="77"/>
      <c r="AU1554" s="77"/>
      <c r="AV1554" s="83" t="str">
        <f>HYPERLINK("https://pbs.twimg.com/media/F5hKT0tWQAAkG_R.jpg")</f>
        <v>https://pbs.twimg.com/media/F5hKT0tWQAAkG_R.jpg</v>
      </c>
      <c r="AW1554" s="81" t="s">
        <v>10674</v>
      </c>
      <c r="AX1554" s="81" t="s">
        <v>10674</v>
      </c>
      <c r="AY1554" s="77"/>
      <c r="AZ1554" s="81" t="s">
        <v>11359</v>
      </c>
      <c r="BA1554" s="81" t="s">
        <v>11359</v>
      </c>
      <c r="BB1554" s="81" t="s">
        <v>11359</v>
      </c>
      <c r="BC1554" s="81" t="s">
        <v>10674</v>
      </c>
      <c r="BD1554" s="81" t="s">
        <v>11585</v>
      </c>
      <c r="BE1554" s="77"/>
      <c r="BF1554" s="77"/>
      <c r="BG1554" s="77"/>
      <c r="BH1554" s="77"/>
      <c r="BI1554" s="77"/>
    </row>
    <row r="1555" spans="1:61" x14ac:dyDescent="0.25">
      <c r="A1555" s="62" t="s">
        <v>590</v>
      </c>
      <c r="B1555" s="62" t="s">
        <v>590</v>
      </c>
      <c r="C1555" s="63"/>
      <c r="D1555" s="64"/>
      <c r="E1555" s="65"/>
      <c r="F1555" s="66"/>
      <c r="G1555" s="63"/>
      <c r="H1555" s="67"/>
      <c r="I1555" s="68"/>
      <c r="J1555" s="68"/>
      <c r="K1555" s="32"/>
      <c r="L1555" s="75">
        <v>1555</v>
      </c>
      <c r="M1555" s="75"/>
      <c r="N1555" s="70"/>
      <c r="O1555" s="77" t="s">
        <v>179</v>
      </c>
      <c r="P1555" s="79">
        <v>45055.431481481479</v>
      </c>
      <c r="Q1555" s="77" t="s">
        <v>2349</v>
      </c>
      <c r="R1555" s="77">
        <v>1</v>
      </c>
      <c r="S1555" s="77">
        <v>1</v>
      </c>
      <c r="T1555" s="77">
        <v>0</v>
      </c>
      <c r="U1555" s="77">
        <v>0</v>
      </c>
      <c r="V1555" s="77">
        <v>22</v>
      </c>
      <c r="W1555" s="81" t="s">
        <v>3722</v>
      </c>
      <c r="X1555" s="83" t="str">
        <f>HYPERLINK("https://mtr.cool/ofavhtwbhk")</f>
        <v>https://mtr.cool/ofavhtwbhk</v>
      </c>
      <c r="Y1555" s="77" t="s">
        <v>4289</v>
      </c>
      <c r="Z1555" s="77"/>
      <c r="AA1555" s="77"/>
      <c r="AB1555" s="77"/>
      <c r="AC1555" s="81" t="s">
        <v>5812</v>
      </c>
      <c r="AD1555" s="77" t="s">
        <v>5850</v>
      </c>
      <c r="AE1555" s="83" t="str">
        <f>HYPERLINK("https://twitter.com/adapta_tech/status/1655880623989350402")</f>
        <v>https://twitter.com/adapta_tech/status/1655880623989350402</v>
      </c>
      <c r="AF1555" s="79">
        <v>45055.431481481479</v>
      </c>
      <c r="AG1555" s="85">
        <v>45055</v>
      </c>
      <c r="AH1555" s="81" t="s">
        <v>7205</v>
      </c>
      <c r="AI1555" s="77" t="b">
        <v>0</v>
      </c>
      <c r="AJ1555" s="77"/>
      <c r="AK1555" s="77"/>
      <c r="AL1555" s="77"/>
      <c r="AM1555" s="77"/>
      <c r="AN1555" s="77"/>
      <c r="AO1555" s="77"/>
      <c r="AP1555" s="77"/>
      <c r="AQ1555" s="77"/>
      <c r="AR1555" s="77"/>
      <c r="AS1555" s="77"/>
      <c r="AT1555" s="77"/>
      <c r="AU1555" s="77"/>
      <c r="AV1555" s="83" t="str">
        <f>HYPERLINK("https://pbs.twimg.com/profile_images/1594423299735429128/-O-rjCVS_normal.jpg")</f>
        <v>https://pbs.twimg.com/profile_images/1594423299735429128/-O-rjCVS_normal.jpg</v>
      </c>
      <c r="AW1555" s="81" t="s">
        <v>10675</v>
      </c>
      <c r="AX1555" s="81" t="s">
        <v>10675</v>
      </c>
      <c r="AY1555" s="77"/>
      <c r="AZ1555" s="81" t="s">
        <v>11359</v>
      </c>
      <c r="BA1555" s="81" t="s">
        <v>11359</v>
      </c>
      <c r="BB1555" s="81" t="s">
        <v>11359</v>
      </c>
      <c r="BC1555" s="81" t="s">
        <v>10675</v>
      </c>
      <c r="BD1555" s="81" t="s">
        <v>11586</v>
      </c>
      <c r="BE1555" s="77"/>
      <c r="BF1555" s="77"/>
      <c r="BG1555" s="77"/>
      <c r="BH1555" s="77"/>
      <c r="BI1555" s="77"/>
    </row>
    <row r="1556" spans="1:61" x14ac:dyDescent="0.25">
      <c r="A1556" s="62" t="s">
        <v>591</v>
      </c>
      <c r="B1556" s="62" t="s">
        <v>591</v>
      </c>
      <c r="C1556" s="63"/>
      <c r="D1556" s="64"/>
      <c r="E1556" s="65"/>
      <c r="F1556" s="66"/>
      <c r="G1556" s="63"/>
      <c r="H1556" s="67"/>
      <c r="I1556" s="68"/>
      <c r="J1556" s="68"/>
      <c r="K1556" s="32"/>
      <c r="L1556" s="75">
        <v>1556</v>
      </c>
      <c r="M1556" s="75"/>
      <c r="N1556" s="70"/>
      <c r="O1556" s="77" t="s">
        <v>179</v>
      </c>
      <c r="P1556" s="79">
        <v>45044.065532407411</v>
      </c>
      <c r="Q1556" s="77" t="s">
        <v>2350</v>
      </c>
      <c r="R1556" s="77">
        <v>0</v>
      </c>
      <c r="S1556" s="77">
        <v>0</v>
      </c>
      <c r="T1556" s="77">
        <v>0</v>
      </c>
      <c r="U1556" s="77">
        <v>0</v>
      </c>
      <c r="V1556" s="77">
        <v>36</v>
      </c>
      <c r="W1556" s="81" t="s">
        <v>3723</v>
      </c>
      <c r="X1556" s="83" t="str">
        <f>HYPERLINK("https://youtu.be/_lPNnzu6r40")</f>
        <v>https://youtu.be/_lPNnzu6r40</v>
      </c>
      <c r="Y1556" s="77" t="s">
        <v>4214</v>
      </c>
      <c r="Z1556" s="77"/>
      <c r="AA1556" s="77" t="s">
        <v>5426</v>
      </c>
      <c r="AB1556" s="77" t="s">
        <v>5795</v>
      </c>
      <c r="AC1556" s="81" t="s">
        <v>5805</v>
      </c>
      <c r="AD1556" s="77" t="s">
        <v>5851</v>
      </c>
      <c r="AE1556" s="83" t="str">
        <f>HYPERLINK("https://twitter.com/consult_report/status/1651761745252237312")</f>
        <v>https://twitter.com/consult_report/status/1651761745252237312</v>
      </c>
      <c r="AF1556" s="79">
        <v>45044.065532407411</v>
      </c>
      <c r="AG1556" s="85">
        <v>45044</v>
      </c>
      <c r="AH1556" s="81" t="s">
        <v>7206</v>
      </c>
      <c r="AI1556" s="77" t="b">
        <v>0</v>
      </c>
      <c r="AJ1556" s="77"/>
      <c r="AK1556" s="77"/>
      <c r="AL1556" s="77"/>
      <c r="AM1556" s="77"/>
      <c r="AN1556" s="77"/>
      <c r="AO1556" s="77"/>
      <c r="AP1556" s="77"/>
      <c r="AQ1556" s="77" t="s">
        <v>8929</v>
      </c>
      <c r="AR1556" s="77">
        <v>38150</v>
      </c>
      <c r="AS1556" s="77"/>
      <c r="AT1556" s="77"/>
      <c r="AU1556" s="77"/>
      <c r="AV1556" s="83" t="str">
        <f>HYPERLINK("https://pbs.twimg.com/ext_tw_video_thumb/1651761267755941888/pu/img/J75MVVRMt0gPjXlA.jpg")</f>
        <v>https://pbs.twimg.com/ext_tw_video_thumb/1651761267755941888/pu/img/J75MVVRMt0gPjXlA.jpg</v>
      </c>
      <c r="AW1556" s="81" t="s">
        <v>10676</v>
      </c>
      <c r="AX1556" s="81" t="s">
        <v>10676</v>
      </c>
      <c r="AY1556" s="77"/>
      <c r="AZ1556" s="81" t="s">
        <v>11359</v>
      </c>
      <c r="BA1556" s="81" t="s">
        <v>11359</v>
      </c>
      <c r="BB1556" s="81" t="s">
        <v>11359</v>
      </c>
      <c r="BC1556" s="81" t="s">
        <v>10676</v>
      </c>
      <c r="BD1556" s="81" t="s">
        <v>11587</v>
      </c>
      <c r="BE1556" s="77"/>
      <c r="BF1556" s="77"/>
      <c r="BG1556" s="77"/>
      <c r="BH1556" s="77"/>
      <c r="BI1556" s="77"/>
    </row>
    <row r="1557" spans="1:61" x14ac:dyDescent="0.25">
      <c r="A1557" s="62" t="s">
        <v>592</v>
      </c>
      <c r="B1557" s="62" t="s">
        <v>592</v>
      </c>
      <c r="C1557" s="63"/>
      <c r="D1557" s="64"/>
      <c r="E1557" s="65"/>
      <c r="F1557" s="66"/>
      <c r="G1557" s="63"/>
      <c r="H1557" s="67"/>
      <c r="I1557" s="68"/>
      <c r="J1557" s="68"/>
      <c r="K1557" s="32"/>
      <c r="L1557" s="75">
        <v>1557</v>
      </c>
      <c r="M1557" s="75"/>
      <c r="N1557" s="70"/>
      <c r="O1557" s="77" t="s">
        <v>179</v>
      </c>
      <c r="P1557" s="79">
        <v>45004.684247685182</v>
      </c>
      <c r="Q1557" s="77" t="s">
        <v>2351</v>
      </c>
      <c r="R1557" s="77">
        <v>0</v>
      </c>
      <c r="S1557" s="77">
        <v>3</v>
      </c>
      <c r="T1557" s="77">
        <v>0</v>
      </c>
      <c r="U1557" s="77">
        <v>0</v>
      </c>
      <c r="V1557" s="77">
        <v>57</v>
      </c>
      <c r="W1557" s="81" t="s">
        <v>3724</v>
      </c>
      <c r="X1557" s="77"/>
      <c r="Y1557" s="77"/>
      <c r="Z1557" s="77"/>
      <c r="AA1557" s="77" t="s">
        <v>5427</v>
      </c>
      <c r="AB1557" s="77" t="s">
        <v>5795</v>
      </c>
      <c r="AC1557" s="81" t="s">
        <v>5808</v>
      </c>
      <c r="AD1557" s="77" t="s">
        <v>5851</v>
      </c>
      <c r="AE1557" s="83" t="str">
        <f>HYPERLINK("https://twitter.com/raphael_cordova/status/1637490445033799681")</f>
        <v>https://twitter.com/raphael_cordova/status/1637490445033799681</v>
      </c>
      <c r="AF1557" s="79">
        <v>45004.684247685182</v>
      </c>
      <c r="AG1557" s="85">
        <v>45004</v>
      </c>
      <c r="AH1557" s="81" t="s">
        <v>7207</v>
      </c>
      <c r="AI1557" s="77" t="b">
        <v>0</v>
      </c>
      <c r="AJ1557" s="77"/>
      <c r="AK1557" s="77"/>
      <c r="AL1557" s="77"/>
      <c r="AM1557" s="77"/>
      <c r="AN1557" s="77"/>
      <c r="AO1557" s="77"/>
      <c r="AP1557" s="77"/>
      <c r="AQ1557" s="77" t="s">
        <v>8930</v>
      </c>
      <c r="AR1557" s="77">
        <v>118350</v>
      </c>
      <c r="AS1557" s="77"/>
      <c r="AT1557" s="77"/>
      <c r="AU1557" s="77"/>
      <c r="AV1557" s="83" t="str">
        <f>HYPERLINK("https://pbs.twimg.com/ext_tw_video_thumb/1637490369507074048/pu/img/oh_E9mmUqnYhf1vE.jpg")</f>
        <v>https://pbs.twimg.com/ext_tw_video_thumb/1637490369507074048/pu/img/oh_E9mmUqnYhf1vE.jpg</v>
      </c>
      <c r="AW1557" s="81" t="s">
        <v>10677</v>
      </c>
      <c r="AX1557" s="81" t="s">
        <v>10677</v>
      </c>
      <c r="AY1557" s="77"/>
      <c r="AZ1557" s="81" t="s">
        <v>11359</v>
      </c>
      <c r="BA1557" s="81" t="s">
        <v>11359</v>
      </c>
      <c r="BB1557" s="81" t="s">
        <v>11359</v>
      </c>
      <c r="BC1557" s="81" t="s">
        <v>10677</v>
      </c>
      <c r="BD1557" s="77">
        <v>89337149</v>
      </c>
      <c r="BE1557" s="77"/>
      <c r="BF1557" s="77"/>
      <c r="BG1557" s="77"/>
      <c r="BH1557" s="77"/>
      <c r="BI1557" s="77"/>
    </row>
    <row r="1558" spans="1:61" x14ac:dyDescent="0.25">
      <c r="A1558" s="62" t="s">
        <v>592</v>
      </c>
      <c r="B1558" s="62" t="s">
        <v>592</v>
      </c>
      <c r="C1558" s="63"/>
      <c r="D1558" s="64"/>
      <c r="E1558" s="65"/>
      <c r="F1558" s="66"/>
      <c r="G1558" s="63"/>
      <c r="H1558" s="67"/>
      <c r="I1558" s="68"/>
      <c r="J1558" s="68"/>
      <c r="K1558" s="32"/>
      <c r="L1558" s="75">
        <v>1558</v>
      </c>
      <c r="M1558" s="75"/>
      <c r="N1558" s="70"/>
      <c r="O1558" s="77" t="s">
        <v>179</v>
      </c>
      <c r="P1558" s="79">
        <v>45018.375486111108</v>
      </c>
      <c r="Q1558" s="77" t="s">
        <v>2352</v>
      </c>
      <c r="R1558" s="77">
        <v>0</v>
      </c>
      <c r="S1558" s="77">
        <v>0</v>
      </c>
      <c r="T1558" s="77">
        <v>0</v>
      </c>
      <c r="U1558" s="77">
        <v>0</v>
      </c>
      <c r="V1558" s="77">
        <v>31</v>
      </c>
      <c r="W1558" s="81" t="s">
        <v>3725</v>
      </c>
      <c r="X1558" s="77"/>
      <c r="Y1558" s="77"/>
      <c r="Z1558" s="77"/>
      <c r="AA1558" s="77" t="s">
        <v>5428</v>
      </c>
      <c r="AB1558" s="77" t="s">
        <v>5795</v>
      </c>
      <c r="AC1558" s="81" t="s">
        <v>5808</v>
      </c>
      <c r="AD1558" s="77" t="s">
        <v>5851</v>
      </c>
      <c r="AE1558" s="83" t="str">
        <f>HYPERLINK("https://twitter.com/raphael_cordova/status/1642451982936944640")</f>
        <v>https://twitter.com/raphael_cordova/status/1642451982936944640</v>
      </c>
      <c r="AF1558" s="79">
        <v>45018.375486111108</v>
      </c>
      <c r="AG1558" s="85">
        <v>45018</v>
      </c>
      <c r="AH1558" s="81" t="s">
        <v>7208</v>
      </c>
      <c r="AI1558" s="77" t="b">
        <v>0</v>
      </c>
      <c r="AJ1558" s="77"/>
      <c r="AK1558" s="77"/>
      <c r="AL1558" s="77"/>
      <c r="AM1558" s="77"/>
      <c r="AN1558" s="77"/>
      <c r="AO1558" s="77"/>
      <c r="AP1558" s="77"/>
      <c r="AQ1558" s="77" t="s">
        <v>8931</v>
      </c>
      <c r="AR1558" s="77">
        <v>67233</v>
      </c>
      <c r="AS1558" s="77"/>
      <c r="AT1558" s="77"/>
      <c r="AU1558" s="77"/>
      <c r="AV1558" s="83" t="str">
        <f>HYPERLINK("https://pbs.twimg.com/ext_tw_video_thumb/1642451955149684736/pu/img/SiRzh-W1otVL5pXh.jpg")</f>
        <v>https://pbs.twimg.com/ext_tw_video_thumb/1642451955149684736/pu/img/SiRzh-W1otVL5pXh.jpg</v>
      </c>
      <c r="AW1558" s="81" t="s">
        <v>10678</v>
      </c>
      <c r="AX1558" s="81" t="s">
        <v>10678</v>
      </c>
      <c r="AY1558" s="77"/>
      <c r="AZ1558" s="81" t="s">
        <v>11359</v>
      </c>
      <c r="BA1558" s="81" t="s">
        <v>11359</v>
      </c>
      <c r="BB1558" s="81" t="s">
        <v>11359</v>
      </c>
      <c r="BC1558" s="81" t="s">
        <v>10678</v>
      </c>
      <c r="BD1558" s="77">
        <v>89337149</v>
      </c>
      <c r="BE1558" s="77"/>
      <c r="BF1558" s="77"/>
      <c r="BG1558" s="77"/>
      <c r="BH1558" s="77"/>
      <c r="BI1558" s="77"/>
    </row>
    <row r="1559" spans="1:61" x14ac:dyDescent="0.25">
      <c r="A1559" s="62" t="s">
        <v>592</v>
      </c>
      <c r="B1559" s="62" t="s">
        <v>592</v>
      </c>
      <c r="C1559" s="63"/>
      <c r="D1559" s="64"/>
      <c r="E1559" s="65"/>
      <c r="F1559" s="66"/>
      <c r="G1559" s="63"/>
      <c r="H1559" s="67"/>
      <c r="I1559" s="68"/>
      <c r="J1559" s="68"/>
      <c r="K1559" s="32"/>
      <c r="L1559" s="75">
        <v>1559</v>
      </c>
      <c r="M1559" s="75"/>
      <c r="N1559" s="70"/>
      <c r="O1559" s="77" t="s">
        <v>179</v>
      </c>
      <c r="P1559" s="79">
        <v>45017.375509259262</v>
      </c>
      <c r="Q1559" s="77" t="s">
        <v>2353</v>
      </c>
      <c r="R1559" s="77">
        <v>0</v>
      </c>
      <c r="S1559" s="77">
        <v>0</v>
      </c>
      <c r="T1559" s="77">
        <v>0</v>
      </c>
      <c r="U1559" s="77">
        <v>0</v>
      </c>
      <c r="V1559" s="77">
        <v>22</v>
      </c>
      <c r="W1559" s="81" t="s">
        <v>3725</v>
      </c>
      <c r="X1559" s="77"/>
      <c r="Y1559" s="77"/>
      <c r="Z1559" s="77"/>
      <c r="AA1559" s="77" t="s">
        <v>5429</v>
      </c>
      <c r="AB1559" s="77" t="s">
        <v>5795</v>
      </c>
      <c r="AC1559" s="81" t="s">
        <v>5808</v>
      </c>
      <c r="AD1559" s="77" t="s">
        <v>5851</v>
      </c>
      <c r="AE1559" s="83" t="str">
        <f>HYPERLINK("https://twitter.com/raphael_cordova/status/1642089601375322113")</f>
        <v>https://twitter.com/raphael_cordova/status/1642089601375322113</v>
      </c>
      <c r="AF1559" s="79">
        <v>45017.375509259262</v>
      </c>
      <c r="AG1559" s="85">
        <v>45017</v>
      </c>
      <c r="AH1559" s="81" t="s">
        <v>7209</v>
      </c>
      <c r="AI1559" s="77" t="b">
        <v>0</v>
      </c>
      <c r="AJ1559" s="77"/>
      <c r="AK1559" s="77"/>
      <c r="AL1559" s="77"/>
      <c r="AM1559" s="77"/>
      <c r="AN1559" s="77"/>
      <c r="AO1559" s="77"/>
      <c r="AP1559" s="77"/>
      <c r="AQ1559" s="77" t="s">
        <v>8932</v>
      </c>
      <c r="AR1559" s="77">
        <v>52966</v>
      </c>
      <c r="AS1559" s="77"/>
      <c r="AT1559" s="77"/>
      <c r="AU1559" s="77"/>
      <c r="AV1559" s="83" t="str">
        <f>HYPERLINK("https://pbs.twimg.com/ext_tw_video_thumb/1642089574707998720/pu/img/f9c4cBwjB7ItMUG1.jpg")</f>
        <v>https://pbs.twimg.com/ext_tw_video_thumb/1642089574707998720/pu/img/f9c4cBwjB7ItMUG1.jpg</v>
      </c>
      <c r="AW1559" s="81" t="s">
        <v>10679</v>
      </c>
      <c r="AX1559" s="81" t="s">
        <v>10679</v>
      </c>
      <c r="AY1559" s="77"/>
      <c r="AZ1559" s="81" t="s">
        <v>11359</v>
      </c>
      <c r="BA1559" s="81" t="s">
        <v>11359</v>
      </c>
      <c r="BB1559" s="81" t="s">
        <v>11359</v>
      </c>
      <c r="BC1559" s="81" t="s">
        <v>10679</v>
      </c>
      <c r="BD1559" s="77">
        <v>89337149</v>
      </c>
      <c r="BE1559" s="77"/>
      <c r="BF1559" s="77"/>
      <c r="BG1559" s="77"/>
      <c r="BH1559" s="77"/>
      <c r="BI1559" s="77"/>
    </row>
    <row r="1560" spans="1:61" x14ac:dyDescent="0.25">
      <c r="A1560" s="62" t="s">
        <v>592</v>
      </c>
      <c r="B1560" s="62" t="s">
        <v>592</v>
      </c>
      <c r="C1560" s="63"/>
      <c r="D1560" s="64"/>
      <c r="E1560" s="65"/>
      <c r="F1560" s="66"/>
      <c r="G1560" s="63"/>
      <c r="H1560" s="67"/>
      <c r="I1560" s="68"/>
      <c r="J1560" s="68"/>
      <c r="K1560" s="32"/>
      <c r="L1560" s="75">
        <v>1560</v>
      </c>
      <c r="M1560" s="75"/>
      <c r="N1560" s="70"/>
      <c r="O1560" s="77" t="s">
        <v>179</v>
      </c>
      <c r="P1560" s="79">
        <v>45016.375613425924</v>
      </c>
      <c r="Q1560" s="77" t="s">
        <v>2354</v>
      </c>
      <c r="R1560" s="77">
        <v>0</v>
      </c>
      <c r="S1560" s="77">
        <v>0</v>
      </c>
      <c r="T1560" s="77">
        <v>0</v>
      </c>
      <c r="U1560" s="77">
        <v>0</v>
      </c>
      <c r="V1560" s="77">
        <v>23</v>
      </c>
      <c r="W1560" s="81" t="s">
        <v>3725</v>
      </c>
      <c r="X1560" s="77"/>
      <c r="Y1560" s="77"/>
      <c r="Z1560" s="77"/>
      <c r="AA1560" s="77" t="s">
        <v>5430</v>
      </c>
      <c r="AB1560" s="77" t="s">
        <v>5795</v>
      </c>
      <c r="AC1560" s="81" t="s">
        <v>5808</v>
      </c>
      <c r="AD1560" s="77" t="s">
        <v>5851</v>
      </c>
      <c r="AE1560" s="83" t="str">
        <f>HYPERLINK("https://twitter.com/raphael_cordova/status/1641727251606536193")</f>
        <v>https://twitter.com/raphael_cordova/status/1641727251606536193</v>
      </c>
      <c r="AF1560" s="79">
        <v>45016.375613425924</v>
      </c>
      <c r="AG1560" s="85">
        <v>45016</v>
      </c>
      <c r="AH1560" s="81" t="s">
        <v>7210</v>
      </c>
      <c r="AI1560" s="77" t="b">
        <v>0</v>
      </c>
      <c r="AJ1560" s="77"/>
      <c r="AK1560" s="77"/>
      <c r="AL1560" s="77"/>
      <c r="AM1560" s="77"/>
      <c r="AN1560" s="77"/>
      <c r="AO1560" s="77"/>
      <c r="AP1560" s="77"/>
      <c r="AQ1560" s="77" t="s">
        <v>8933</v>
      </c>
      <c r="AR1560" s="77">
        <v>127566</v>
      </c>
      <c r="AS1560" s="77"/>
      <c r="AT1560" s="77"/>
      <c r="AU1560" s="77"/>
      <c r="AV1560" s="83" t="str">
        <f>HYPERLINK("https://pbs.twimg.com/ext_tw_video_thumb/1641727212855459840/pu/img/46iVhWxHNqapkZE1.jpg")</f>
        <v>https://pbs.twimg.com/ext_tw_video_thumb/1641727212855459840/pu/img/46iVhWxHNqapkZE1.jpg</v>
      </c>
      <c r="AW1560" s="81" t="s">
        <v>10680</v>
      </c>
      <c r="AX1560" s="81" t="s">
        <v>10680</v>
      </c>
      <c r="AY1560" s="77"/>
      <c r="AZ1560" s="81" t="s">
        <v>11359</v>
      </c>
      <c r="BA1560" s="81" t="s">
        <v>11359</v>
      </c>
      <c r="BB1560" s="81" t="s">
        <v>11359</v>
      </c>
      <c r="BC1560" s="81" t="s">
        <v>10680</v>
      </c>
      <c r="BD1560" s="77">
        <v>89337149</v>
      </c>
      <c r="BE1560" s="77"/>
      <c r="BF1560" s="77"/>
      <c r="BG1560" s="77"/>
      <c r="BH1560" s="77"/>
      <c r="BI1560" s="77"/>
    </row>
    <row r="1561" spans="1:61" x14ac:dyDescent="0.25">
      <c r="A1561" s="62" t="s">
        <v>592</v>
      </c>
      <c r="B1561" s="62" t="s">
        <v>592</v>
      </c>
      <c r="C1561" s="63"/>
      <c r="D1561" s="64"/>
      <c r="E1561" s="65"/>
      <c r="F1561" s="66"/>
      <c r="G1561" s="63"/>
      <c r="H1561" s="67"/>
      <c r="I1561" s="68"/>
      <c r="J1561" s="68"/>
      <c r="K1561" s="32"/>
      <c r="L1561" s="75">
        <v>1561</v>
      </c>
      <c r="M1561" s="75"/>
      <c r="N1561" s="70"/>
      <c r="O1561" s="77" t="s">
        <v>179</v>
      </c>
      <c r="P1561" s="79">
        <v>45015.637754629628</v>
      </c>
      <c r="Q1561" s="77" t="s">
        <v>2355</v>
      </c>
      <c r="R1561" s="77">
        <v>0</v>
      </c>
      <c r="S1561" s="77">
        <v>1</v>
      </c>
      <c r="T1561" s="77">
        <v>0</v>
      </c>
      <c r="U1561" s="77">
        <v>0</v>
      </c>
      <c r="V1561" s="77">
        <v>18</v>
      </c>
      <c r="W1561" s="81" t="s">
        <v>3725</v>
      </c>
      <c r="X1561" s="77"/>
      <c r="Y1561" s="77"/>
      <c r="Z1561" s="77"/>
      <c r="AA1561" s="77" t="s">
        <v>5431</v>
      </c>
      <c r="AB1561" s="77" t="s">
        <v>5795</v>
      </c>
      <c r="AC1561" s="81" t="s">
        <v>5808</v>
      </c>
      <c r="AD1561" s="77" t="s">
        <v>5851</v>
      </c>
      <c r="AE1561" s="83" t="str">
        <f>HYPERLINK("https://twitter.com/raphael_cordova/status/1641459863258554369")</f>
        <v>https://twitter.com/raphael_cordova/status/1641459863258554369</v>
      </c>
      <c r="AF1561" s="79">
        <v>45015.637754629628</v>
      </c>
      <c r="AG1561" s="85">
        <v>45015</v>
      </c>
      <c r="AH1561" s="81" t="s">
        <v>7211</v>
      </c>
      <c r="AI1561" s="77" t="b">
        <v>0</v>
      </c>
      <c r="AJ1561" s="77"/>
      <c r="AK1561" s="77"/>
      <c r="AL1561" s="77"/>
      <c r="AM1561" s="77"/>
      <c r="AN1561" s="77"/>
      <c r="AO1561" s="77"/>
      <c r="AP1561" s="77"/>
      <c r="AQ1561" s="77" t="s">
        <v>8934</v>
      </c>
      <c r="AR1561" s="77">
        <v>113066</v>
      </c>
      <c r="AS1561" s="77"/>
      <c r="AT1561" s="77"/>
      <c r="AU1561" s="77"/>
      <c r="AV1561" s="83" t="str">
        <f>HYPERLINK("https://pbs.twimg.com/ext_tw_video_thumb/1641459811471507457/pu/img/OJGryQ2fTvQX-qdY.jpg")</f>
        <v>https://pbs.twimg.com/ext_tw_video_thumb/1641459811471507457/pu/img/OJGryQ2fTvQX-qdY.jpg</v>
      </c>
      <c r="AW1561" s="81" t="s">
        <v>10681</v>
      </c>
      <c r="AX1561" s="81" t="s">
        <v>10681</v>
      </c>
      <c r="AY1561" s="77"/>
      <c r="AZ1561" s="81" t="s">
        <v>11359</v>
      </c>
      <c r="BA1561" s="81" t="s">
        <v>11359</v>
      </c>
      <c r="BB1561" s="81" t="s">
        <v>11359</v>
      </c>
      <c r="BC1561" s="81" t="s">
        <v>10681</v>
      </c>
      <c r="BD1561" s="77">
        <v>89337149</v>
      </c>
      <c r="BE1561" s="77"/>
      <c r="BF1561" s="77"/>
      <c r="BG1561" s="77"/>
      <c r="BH1561" s="77"/>
      <c r="BI1561" s="77"/>
    </row>
    <row r="1562" spans="1:61" x14ac:dyDescent="0.25">
      <c r="A1562" s="62" t="s">
        <v>592</v>
      </c>
      <c r="B1562" s="62" t="s">
        <v>592</v>
      </c>
      <c r="C1562" s="63"/>
      <c r="D1562" s="64"/>
      <c r="E1562" s="65"/>
      <c r="F1562" s="66"/>
      <c r="G1562" s="63"/>
      <c r="H1562" s="67"/>
      <c r="I1562" s="68"/>
      <c r="J1562" s="68"/>
      <c r="K1562" s="32"/>
      <c r="L1562" s="75">
        <v>1562</v>
      </c>
      <c r="M1562" s="75"/>
      <c r="N1562" s="70"/>
      <c r="O1562" s="77" t="s">
        <v>179</v>
      </c>
      <c r="P1562" s="79">
        <v>45021.852013888885</v>
      </c>
      <c r="Q1562" s="77" t="s">
        <v>2356</v>
      </c>
      <c r="R1562" s="77">
        <v>0</v>
      </c>
      <c r="S1562" s="77">
        <v>0</v>
      </c>
      <c r="T1562" s="77">
        <v>0</v>
      </c>
      <c r="U1562" s="77">
        <v>0</v>
      </c>
      <c r="V1562" s="77">
        <v>23</v>
      </c>
      <c r="W1562" s="81" t="s">
        <v>3726</v>
      </c>
      <c r="X1562" s="77"/>
      <c r="Y1562" s="77"/>
      <c r="Z1562" s="77"/>
      <c r="AA1562" s="77" t="s">
        <v>5432</v>
      </c>
      <c r="AB1562" s="77" t="s">
        <v>5795</v>
      </c>
      <c r="AC1562" s="81" t="s">
        <v>5808</v>
      </c>
      <c r="AD1562" s="77" t="s">
        <v>5853</v>
      </c>
      <c r="AE1562" s="83" t="str">
        <f>HYPERLINK("https://twitter.com/raphael_cordova/status/1643711835361759233")</f>
        <v>https://twitter.com/raphael_cordova/status/1643711835361759233</v>
      </c>
      <c r="AF1562" s="79">
        <v>45021.852013888885</v>
      </c>
      <c r="AG1562" s="85">
        <v>45021</v>
      </c>
      <c r="AH1562" s="81" t="s">
        <v>7212</v>
      </c>
      <c r="AI1562" s="77" t="b">
        <v>0</v>
      </c>
      <c r="AJ1562" s="77"/>
      <c r="AK1562" s="77"/>
      <c r="AL1562" s="77"/>
      <c r="AM1562" s="77"/>
      <c r="AN1562" s="77"/>
      <c r="AO1562" s="77"/>
      <c r="AP1562" s="77"/>
      <c r="AQ1562" s="77" t="s">
        <v>8935</v>
      </c>
      <c r="AR1562" s="77">
        <v>33900</v>
      </c>
      <c r="AS1562" s="77"/>
      <c r="AT1562" s="77"/>
      <c r="AU1562" s="77"/>
      <c r="AV1562" s="83" t="str">
        <f>HYPERLINK("https://pbs.twimg.com/ext_tw_video_thumb/1643711779657089025/pu/img/Oaz6UK-K1fnRpZ2N.jpg")</f>
        <v>https://pbs.twimg.com/ext_tw_video_thumb/1643711779657089025/pu/img/Oaz6UK-K1fnRpZ2N.jpg</v>
      </c>
      <c r="AW1562" s="81" t="s">
        <v>10682</v>
      </c>
      <c r="AX1562" s="81" t="s">
        <v>10682</v>
      </c>
      <c r="AY1562" s="77"/>
      <c r="AZ1562" s="81" t="s">
        <v>11359</v>
      </c>
      <c r="BA1562" s="81" t="s">
        <v>11359</v>
      </c>
      <c r="BB1562" s="81" t="s">
        <v>11359</v>
      </c>
      <c r="BC1562" s="81" t="s">
        <v>10682</v>
      </c>
      <c r="BD1562" s="77">
        <v>89337149</v>
      </c>
      <c r="BE1562" s="77"/>
      <c r="BF1562" s="77"/>
      <c r="BG1562" s="77"/>
      <c r="BH1562" s="77"/>
      <c r="BI1562" s="77"/>
    </row>
    <row r="1563" spans="1:61" x14ac:dyDescent="0.25">
      <c r="A1563" s="62" t="s">
        <v>593</v>
      </c>
      <c r="B1563" s="62" t="s">
        <v>593</v>
      </c>
      <c r="C1563" s="63"/>
      <c r="D1563" s="64"/>
      <c r="E1563" s="65"/>
      <c r="F1563" s="66"/>
      <c r="G1563" s="63"/>
      <c r="H1563" s="67"/>
      <c r="I1563" s="68"/>
      <c r="J1563" s="68"/>
      <c r="K1563" s="32"/>
      <c r="L1563" s="75">
        <v>1563</v>
      </c>
      <c r="M1563" s="75"/>
      <c r="N1563" s="70"/>
      <c r="O1563" s="77" t="s">
        <v>179</v>
      </c>
      <c r="P1563" s="79">
        <v>44928.502754629626</v>
      </c>
      <c r="Q1563" s="77" t="s">
        <v>2357</v>
      </c>
      <c r="R1563" s="77">
        <v>3</v>
      </c>
      <c r="S1563" s="77">
        <v>4</v>
      </c>
      <c r="T1563" s="77">
        <v>0</v>
      </c>
      <c r="U1563" s="77">
        <v>2</v>
      </c>
      <c r="V1563" s="77">
        <v>341</v>
      </c>
      <c r="W1563" s="81" t="s">
        <v>3727</v>
      </c>
      <c r="X1563" s="83" t="str">
        <f>HYPERLINK("https://bit.ly/2RKKfSF")</f>
        <v>https://bit.ly/2RKKfSF</v>
      </c>
      <c r="Y1563" s="77" t="s">
        <v>4213</v>
      </c>
      <c r="Z1563" s="77"/>
      <c r="AA1563" s="77" t="s">
        <v>5433</v>
      </c>
      <c r="AB1563" s="77" t="s">
        <v>5794</v>
      </c>
      <c r="AC1563" s="81" t="s">
        <v>5805</v>
      </c>
      <c r="AD1563" s="77" t="s">
        <v>5850</v>
      </c>
      <c r="AE1563" s="83" t="str">
        <f>HYPERLINK("https://twitter.com/yosoyoriginal_/status/1609883195557691392")</f>
        <v>https://twitter.com/yosoyoriginal_/status/1609883195557691392</v>
      </c>
      <c r="AF1563" s="79">
        <v>44928.502754629626</v>
      </c>
      <c r="AG1563" s="85">
        <v>44928</v>
      </c>
      <c r="AH1563" s="81" t="s">
        <v>7213</v>
      </c>
      <c r="AI1563" s="77" t="b">
        <v>0</v>
      </c>
      <c r="AJ1563" s="77"/>
      <c r="AK1563" s="77"/>
      <c r="AL1563" s="77"/>
      <c r="AM1563" s="77"/>
      <c r="AN1563" s="77"/>
      <c r="AO1563" s="77"/>
      <c r="AP1563" s="77"/>
      <c r="AQ1563" s="77" t="s">
        <v>8936</v>
      </c>
      <c r="AR1563" s="77"/>
      <c r="AS1563" s="77"/>
      <c r="AT1563" s="77"/>
      <c r="AU1563" s="77"/>
      <c r="AV1563" s="83" t="str">
        <f>HYPERLINK("https://pbs.twimg.com/media/FldzPeCWQAAEpDp.jpg")</f>
        <v>https://pbs.twimg.com/media/FldzPeCWQAAEpDp.jpg</v>
      </c>
      <c r="AW1563" s="81" t="s">
        <v>10683</v>
      </c>
      <c r="AX1563" s="81" t="s">
        <v>10683</v>
      </c>
      <c r="AY1563" s="77"/>
      <c r="AZ1563" s="81" t="s">
        <v>11359</v>
      </c>
      <c r="BA1563" s="81" t="s">
        <v>11359</v>
      </c>
      <c r="BB1563" s="81" t="s">
        <v>11359</v>
      </c>
      <c r="BC1563" s="81" t="s">
        <v>10683</v>
      </c>
      <c r="BD1563" s="77">
        <v>480409304</v>
      </c>
      <c r="BE1563" s="77"/>
      <c r="BF1563" s="77"/>
      <c r="BG1563" s="77"/>
      <c r="BH1563" s="77"/>
      <c r="BI1563" s="77"/>
    </row>
    <row r="1564" spans="1:61" x14ac:dyDescent="0.25">
      <c r="A1564" s="62" t="s">
        <v>593</v>
      </c>
      <c r="B1564" s="62" t="s">
        <v>593</v>
      </c>
      <c r="C1564" s="63"/>
      <c r="D1564" s="64"/>
      <c r="E1564" s="65"/>
      <c r="F1564" s="66"/>
      <c r="G1564" s="63"/>
      <c r="H1564" s="67"/>
      <c r="I1564" s="68"/>
      <c r="J1564" s="68"/>
      <c r="K1564" s="32"/>
      <c r="L1564" s="75">
        <v>1564</v>
      </c>
      <c r="M1564" s="75"/>
      <c r="N1564" s="70"/>
      <c r="O1564" s="77" t="s">
        <v>179</v>
      </c>
      <c r="P1564" s="79">
        <v>45054.429895833331</v>
      </c>
      <c r="Q1564" s="77" t="s">
        <v>2358</v>
      </c>
      <c r="R1564" s="77">
        <v>2</v>
      </c>
      <c r="S1564" s="77">
        <v>5</v>
      </c>
      <c r="T1564" s="77">
        <v>0</v>
      </c>
      <c r="U1564" s="77">
        <v>1</v>
      </c>
      <c r="V1564" s="77">
        <v>160</v>
      </c>
      <c r="W1564" s="81" t="s">
        <v>3728</v>
      </c>
      <c r="X1564" s="77" t="s">
        <v>4191</v>
      </c>
      <c r="Y1564" s="77" t="s">
        <v>4304</v>
      </c>
      <c r="Z1564" s="77"/>
      <c r="AA1564" s="77" t="s">
        <v>5434</v>
      </c>
      <c r="AB1564" s="77" t="s">
        <v>5794</v>
      </c>
      <c r="AC1564" s="81" t="s">
        <v>5805</v>
      </c>
      <c r="AD1564" s="77" t="s">
        <v>5850</v>
      </c>
      <c r="AE1564" s="83" t="str">
        <f>HYPERLINK("https://twitter.com/yosoyoriginal_/status/1655517664096186369")</f>
        <v>https://twitter.com/yosoyoriginal_/status/1655517664096186369</v>
      </c>
      <c r="AF1564" s="79">
        <v>45054.429895833331</v>
      </c>
      <c r="AG1564" s="85">
        <v>45054</v>
      </c>
      <c r="AH1564" s="81" t="s">
        <v>7214</v>
      </c>
      <c r="AI1564" s="77" t="b">
        <v>0</v>
      </c>
      <c r="AJ1564" s="77"/>
      <c r="AK1564" s="77"/>
      <c r="AL1564" s="77"/>
      <c r="AM1564" s="77"/>
      <c r="AN1564" s="77"/>
      <c r="AO1564" s="77"/>
      <c r="AP1564" s="77"/>
      <c r="AQ1564" s="77" t="s">
        <v>8937</v>
      </c>
      <c r="AR1564" s="77"/>
      <c r="AS1564" s="77"/>
      <c r="AT1564" s="77"/>
      <c r="AU1564" s="77"/>
      <c r="AV1564" s="83" t="str">
        <f>HYPERLINK("https://pbs.twimg.com/media/FvmTzcKXwAEmt8p.jpg")</f>
        <v>https://pbs.twimg.com/media/FvmTzcKXwAEmt8p.jpg</v>
      </c>
      <c r="AW1564" s="81" t="s">
        <v>10684</v>
      </c>
      <c r="AX1564" s="81" t="s">
        <v>10684</v>
      </c>
      <c r="AY1564" s="77"/>
      <c r="AZ1564" s="81" t="s">
        <v>11359</v>
      </c>
      <c r="BA1564" s="81" t="s">
        <v>11359</v>
      </c>
      <c r="BB1564" s="81" t="s">
        <v>11359</v>
      </c>
      <c r="BC1564" s="81" t="s">
        <v>10684</v>
      </c>
      <c r="BD1564" s="77">
        <v>480409304</v>
      </c>
      <c r="BE1564" s="77"/>
      <c r="BF1564" s="77"/>
      <c r="BG1564" s="77"/>
      <c r="BH1564" s="77"/>
      <c r="BI1564" s="77"/>
    </row>
    <row r="1565" spans="1:61" x14ac:dyDescent="0.25">
      <c r="A1565" s="62" t="s">
        <v>593</v>
      </c>
      <c r="B1565" s="62" t="s">
        <v>593</v>
      </c>
      <c r="C1565" s="63"/>
      <c r="D1565" s="64"/>
      <c r="E1565" s="65"/>
      <c r="F1565" s="66"/>
      <c r="G1565" s="63"/>
      <c r="H1565" s="67"/>
      <c r="I1565" s="68"/>
      <c r="J1565" s="68"/>
      <c r="K1565" s="32"/>
      <c r="L1565" s="75">
        <v>1565</v>
      </c>
      <c r="M1565" s="75"/>
      <c r="N1565" s="70"/>
      <c r="O1565" s="77" t="s">
        <v>179</v>
      </c>
      <c r="P1565" s="79">
        <v>45110.4375462963</v>
      </c>
      <c r="Q1565" s="77" t="s">
        <v>2359</v>
      </c>
      <c r="R1565" s="77">
        <v>5</v>
      </c>
      <c r="S1565" s="77">
        <v>7</v>
      </c>
      <c r="T1565" s="77">
        <v>0</v>
      </c>
      <c r="U1565" s="77">
        <v>0</v>
      </c>
      <c r="V1565" s="77">
        <v>157</v>
      </c>
      <c r="W1565" s="81" t="s">
        <v>3729</v>
      </c>
      <c r="X1565" s="83" t="str">
        <f>HYPERLINK("https://bit.ly/2RKKfSF")</f>
        <v>https://bit.ly/2RKKfSF</v>
      </c>
      <c r="Y1565" s="77" t="s">
        <v>4213</v>
      </c>
      <c r="Z1565" s="77"/>
      <c r="AA1565" s="77" t="s">
        <v>5435</v>
      </c>
      <c r="AB1565" s="77" t="s">
        <v>5794</v>
      </c>
      <c r="AC1565" s="81" t="s">
        <v>5805</v>
      </c>
      <c r="AD1565" s="77" t="s">
        <v>5850</v>
      </c>
      <c r="AE1565" s="83" t="str">
        <f>HYPERLINK("https://twitter.com/yosoyoriginal_/status/1675814156715409408")</f>
        <v>https://twitter.com/yosoyoriginal_/status/1675814156715409408</v>
      </c>
      <c r="AF1565" s="79">
        <v>45110.4375462963</v>
      </c>
      <c r="AG1565" s="85">
        <v>45110</v>
      </c>
      <c r="AH1565" s="81" t="s">
        <v>7215</v>
      </c>
      <c r="AI1565" s="77" t="b">
        <v>0</v>
      </c>
      <c r="AJ1565" s="77"/>
      <c r="AK1565" s="77"/>
      <c r="AL1565" s="77"/>
      <c r="AM1565" s="77"/>
      <c r="AN1565" s="77"/>
      <c r="AO1565" s="77"/>
      <c r="AP1565" s="77"/>
      <c r="AQ1565" s="77" t="s">
        <v>8938</v>
      </c>
      <c r="AR1565" s="77"/>
      <c r="AS1565" s="77"/>
      <c r="AT1565" s="77"/>
      <c r="AU1565" s="77"/>
      <c r="AV1565" s="83" t="str">
        <f>HYPERLINK("https://pbs.twimg.com/media/F0GvlfDWwAEc8kI.jpg")</f>
        <v>https://pbs.twimg.com/media/F0GvlfDWwAEc8kI.jpg</v>
      </c>
      <c r="AW1565" s="81" t="s">
        <v>10685</v>
      </c>
      <c r="AX1565" s="81" t="s">
        <v>10685</v>
      </c>
      <c r="AY1565" s="77"/>
      <c r="AZ1565" s="81" t="s">
        <v>11359</v>
      </c>
      <c r="BA1565" s="81" t="s">
        <v>11359</v>
      </c>
      <c r="BB1565" s="81" t="s">
        <v>11359</v>
      </c>
      <c r="BC1565" s="81" t="s">
        <v>10685</v>
      </c>
      <c r="BD1565" s="77">
        <v>480409304</v>
      </c>
      <c r="BE1565" s="77"/>
      <c r="BF1565" s="77"/>
      <c r="BG1565" s="77"/>
      <c r="BH1565" s="77"/>
      <c r="BI1565" s="77"/>
    </row>
    <row r="1566" spans="1:61" x14ac:dyDescent="0.25">
      <c r="A1566" s="62" t="s">
        <v>593</v>
      </c>
      <c r="B1566" s="62" t="s">
        <v>593</v>
      </c>
      <c r="C1566" s="63"/>
      <c r="D1566" s="64"/>
      <c r="E1566" s="65"/>
      <c r="F1566" s="66"/>
      <c r="G1566" s="63"/>
      <c r="H1566" s="67"/>
      <c r="I1566" s="68"/>
      <c r="J1566" s="68"/>
      <c r="K1566" s="32"/>
      <c r="L1566" s="75">
        <v>1566</v>
      </c>
      <c r="M1566" s="75"/>
      <c r="N1566" s="70"/>
      <c r="O1566" s="77" t="s">
        <v>179</v>
      </c>
      <c r="P1566" s="79">
        <v>45195.440358796295</v>
      </c>
      <c r="Q1566" s="77" t="s">
        <v>2360</v>
      </c>
      <c r="R1566" s="77">
        <v>2</v>
      </c>
      <c r="S1566" s="77">
        <v>3</v>
      </c>
      <c r="T1566" s="77">
        <v>0</v>
      </c>
      <c r="U1566" s="77">
        <v>1</v>
      </c>
      <c r="V1566" s="77">
        <v>117</v>
      </c>
      <c r="W1566" s="81" t="s">
        <v>3730</v>
      </c>
      <c r="X1566" s="83" t="str">
        <f>HYPERLINK("http://www.yosoyoriginal.es")</f>
        <v>http://www.yosoyoriginal.es</v>
      </c>
      <c r="Y1566" s="77" t="s">
        <v>4305</v>
      </c>
      <c r="Z1566" s="77"/>
      <c r="AA1566" s="77" t="s">
        <v>5436</v>
      </c>
      <c r="AB1566" s="77" t="s">
        <v>5794</v>
      </c>
      <c r="AC1566" s="81" t="s">
        <v>5805</v>
      </c>
      <c r="AD1566" s="77" t="s">
        <v>5850</v>
      </c>
      <c r="AE1566" s="83" t="str">
        <f>HYPERLINK("https://twitter.com/yosoyoriginal_/status/1706618142447808690")</f>
        <v>https://twitter.com/yosoyoriginal_/status/1706618142447808690</v>
      </c>
      <c r="AF1566" s="79">
        <v>45195.440358796295</v>
      </c>
      <c r="AG1566" s="85">
        <v>45195</v>
      </c>
      <c r="AH1566" s="81" t="s">
        <v>7216</v>
      </c>
      <c r="AI1566" s="77" t="b">
        <v>0</v>
      </c>
      <c r="AJ1566" s="77"/>
      <c r="AK1566" s="77"/>
      <c r="AL1566" s="77"/>
      <c r="AM1566" s="77"/>
      <c r="AN1566" s="77"/>
      <c r="AO1566" s="77"/>
      <c r="AP1566" s="77"/>
      <c r="AQ1566" s="77" t="s">
        <v>8939</v>
      </c>
      <c r="AR1566" s="77"/>
      <c r="AS1566" s="77"/>
      <c r="AT1566" s="77"/>
      <c r="AU1566" s="77"/>
      <c r="AV1566" s="83" t="str">
        <f>HYPERLINK("https://pbs.twimg.com/media/F68fhNNW0AAO2ER.jpg")</f>
        <v>https://pbs.twimg.com/media/F68fhNNW0AAO2ER.jpg</v>
      </c>
      <c r="AW1566" s="81" t="s">
        <v>10686</v>
      </c>
      <c r="AX1566" s="81" t="s">
        <v>10686</v>
      </c>
      <c r="AY1566" s="77"/>
      <c r="AZ1566" s="81" t="s">
        <v>11359</v>
      </c>
      <c r="BA1566" s="81" t="s">
        <v>11359</v>
      </c>
      <c r="BB1566" s="81" t="s">
        <v>11359</v>
      </c>
      <c r="BC1566" s="81" t="s">
        <v>10686</v>
      </c>
      <c r="BD1566" s="77">
        <v>480409304</v>
      </c>
      <c r="BE1566" s="77"/>
      <c r="BF1566" s="77"/>
      <c r="BG1566" s="77"/>
      <c r="BH1566" s="77"/>
      <c r="BI1566" s="77"/>
    </row>
    <row r="1567" spans="1:61" x14ac:dyDescent="0.25">
      <c r="A1567" s="62" t="s">
        <v>594</v>
      </c>
      <c r="B1567" s="62" t="s">
        <v>593</v>
      </c>
      <c r="C1567" s="63"/>
      <c r="D1567" s="64"/>
      <c r="E1567" s="65"/>
      <c r="F1567" s="66"/>
      <c r="G1567" s="63"/>
      <c r="H1567" s="67"/>
      <c r="I1567" s="68"/>
      <c r="J1567" s="68"/>
      <c r="K1567" s="32"/>
      <c r="L1567" s="75">
        <v>1567</v>
      </c>
      <c r="M1567" s="75"/>
      <c r="N1567" s="70"/>
      <c r="O1567" s="77" t="s">
        <v>968</v>
      </c>
      <c r="P1567" s="79">
        <v>45195.444780092592</v>
      </c>
      <c r="Q1567" s="77" t="s">
        <v>1017</v>
      </c>
      <c r="R1567" s="77">
        <v>2</v>
      </c>
      <c r="S1567" s="77">
        <v>0</v>
      </c>
      <c r="T1567" s="77">
        <v>0</v>
      </c>
      <c r="U1567" s="77">
        <v>0</v>
      </c>
      <c r="V1567" s="77"/>
      <c r="W1567" s="81" t="s">
        <v>2954</v>
      </c>
      <c r="X1567" s="77"/>
      <c r="Y1567" s="77"/>
      <c r="Z1567" s="77" t="s">
        <v>593</v>
      </c>
      <c r="AA1567" s="77"/>
      <c r="AB1567" s="77"/>
      <c r="AC1567" s="81" t="s">
        <v>5805</v>
      </c>
      <c r="AD1567" s="77" t="s">
        <v>5850</v>
      </c>
      <c r="AE1567" s="83" t="str">
        <f>HYPERLINK("https://twitter.com/zaloalo/status/1706619746685243491")</f>
        <v>https://twitter.com/zaloalo/status/1706619746685243491</v>
      </c>
      <c r="AF1567" s="79">
        <v>45195.444780092592</v>
      </c>
      <c r="AG1567" s="85">
        <v>45195</v>
      </c>
      <c r="AH1567" s="81" t="s">
        <v>7217</v>
      </c>
      <c r="AI1567" s="77"/>
      <c r="AJ1567" s="77"/>
      <c r="AK1567" s="77"/>
      <c r="AL1567" s="77"/>
      <c r="AM1567" s="77"/>
      <c r="AN1567" s="77"/>
      <c r="AO1567" s="77"/>
      <c r="AP1567" s="77"/>
      <c r="AQ1567" s="77"/>
      <c r="AR1567" s="77"/>
      <c r="AS1567" s="77"/>
      <c r="AT1567" s="77"/>
      <c r="AU1567" s="77"/>
      <c r="AV1567" s="83" t="str">
        <f>HYPERLINK("https://pbs.twimg.com/profile_images/1569367480090431494/J-El1jFN_normal.jpg")</f>
        <v>https://pbs.twimg.com/profile_images/1569367480090431494/J-El1jFN_normal.jpg</v>
      </c>
      <c r="AW1567" s="81" t="s">
        <v>10687</v>
      </c>
      <c r="AX1567" s="81" t="s">
        <v>10687</v>
      </c>
      <c r="AY1567" s="77"/>
      <c r="AZ1567" s="81" t="s">
        <v>11359</v>
      </c>
      <c r="BA1567" s="81" t="s">
        <v>11359</v>
      </c>
      <c r="BB1567" s="81" t="s">
        <v>10686</v>
      </c>
      <c r="BC1567" s="81" t="s">
        <v>10686</v>
      </c>
      <c r="BD1567" s="77">
        <v>367024615</v>
      </c>
      <c r="BE1567" s="77"/>
      <c r="BF1567" s="77"/>
      <c r="BG1567" s="77"/>
      <c r="BH1567" s="77"/>
      <c r="BI1567" s="77"/>
    </row>
    <row r="1568" spans="1:61" x14ac:dyDescent="0.25">
      <c r="A1568" s="62" t="s">
        <v>595</v>
      </c>
      <c r="B1568" s="62" t="s">
        <v>595</v>
      </c>
      <c r="C1568" s="63"/>
      <c r="D1568" s="64"/>
      <c r="E1568" s="65"/>
      <c r="F1568" s="66"/>
      <c r="G1568" s="63"/>
      <c r="H1568" s="67"/>
      <c r="I1568" s="68"/>
      <c r="J1568" s="68"/>
      <c r="K1568" s="32"/>
      <c r="L1568" s="75">
        <v>1568</v>
      </c>
      <c r="M1568" s="75"/>
      <c r="N1568" s="70"/>
      <c r="O1568" s="77" t="s">
        <v>179</v>
      </c>
      <c r="P1568" s="79">
        <v>45000.812615740739</v>
      </c>
      <c r="Q1568" s="77" t="s">
        <v>2361</v>
      </c>
      <c r="R1568" s="77">
        <v>0</v>
      </c>
      <c r="S1568" s="77">
        <v>0</v>
      </c>
      <c r="T1568" s="77">
        <v>0</v>
      </c>
      <c r="U1568" s="77">
        <v>0</v>
      </c>
      <c r="V1568" s="77">
        <v>5</v>
      </c>
      <c r="W1568" s="81" t="s">
        <v>2947</v>
      </c>
      <c r="X1568" s="77"/>
      <c r="Y1568" s="77"/>
      <c r="Z1568" s="77"/>
      <c r="AA1568" s="77" t="s">
        <v>5437</v>
      </c>
      <c r="AB1568" s="77" t="s">
        <v>5794</v>
      </c>
      <c r="AC1568" s="81" t="s">
        <v>5801</v>
      </c>
      <c r="AD1568" s="77" t="s">
        <v>5850</v>
      </c>
      <c r="AE1568" s="83" t="str">
        <f>HYPERLINK("https://twitter.com/guardianaliento/status/1636087411091333120")</f>
        <v>https://twitter.com/guardianaliento/status/1636087411091333120</v>
      </c>
      <c r="AF1568" s="79">
        <v>45000.812615740739</v>
      </c>
      <c r="AG1568" s="85">
        <v>45000</v>
      </c>
      <c r="AH1568" s="81" t="s">
        <v>7218</v>
      </c>
      <c r="AI1568" s="77" t="b">
        <v>0</v>
      </c>
      <c r="AJ1568" s="77"/>
      <c r="AK1568" s="77"/>
      <c r="AL1568" s="77"/>
      <c r="AM1568" s="77"/>
      <c r="AN1568" s="77"/>
      <c r="AO1568" s="77"/>
      <c r="AP1568" s="77"/>
      <c r="AQ1568" s="77" t="s">
        <v>8940</v>
      </c>
      <c r="AR1568" s="77"/>
      <c r="AS1568" s="77"/>
      <c r="AT1568" s="77"/>
      <c r="AU1568" s="77"/>
      <c r="AV1568" s="83" t="str">
        <f>HYPERLINK("https://pbs.twimg.com/media/FrSM08tWwAAB5zK.jpg")</f>
        <v>https://pbs.twimg.com/media/FrSM08tWwAAB5zK.jpg</v>
      </c>
      <c r="AW1568" s="81" t="s">
        <v>10688</v>
      </c>
      <c r="AX1568" s="81" t="s">
        <v>10688</v>
      </c>
      <c r="AY1568" s="77"/>
      <c r="AZ1568" s="81" t="s">
        <v>11359</v>
      </c>
      <c r="BA1568" s="81" t="s">
        <v>11359</v>
      </c>
      <c r="BB1568" s="81" t="s">
        <v>11359</v>
      </c>
      <c r="BC1568" s="81" t="s">
        <v>10688</v>
      </c>
      <c r="BD1568" s="81" t="s">
        <v>11588</v>
      </c>
      <c r="BE1568" s="77"/>
      <c r="BF1568" s="77"/>
      <c r="BG1568" s="77"/>
      <c r="BH1568" s="77"/>
      <c r="BI1568" s="77"/>
    </row>
    <row r="1569" spans="1:61" x14ac:dyDescent="0.25">
      <c r="A1569" s="62" t="s">
        <v>596</v>
      </c>
      <c r="B1569" s="62" t="s">
        <v>596</v>
      </c>
      <c r="C1569" s="63"/>
      <c r="D1569" s="64"/>
      <c r="E1569" s="65"/>
      <c r="F1569" s="66"/>
      <c r="G1569" s="63"/>
      <c r="H1569" s="67"/>
      <c r="I1569" s="68"/>
      <c r="J1569" s="68"/>
      <c r="K1569" s="32"/>
      <c r="L1569" s="75">
        <v>1569</v>
      </c>
      <c r="M1569" s="75"/>
      <c r="N1569" s="70"/>
      <c r="O1569" s="77" t="s">
        <v>179</v>
      </c>
      <c r="P1569" s="79">
        <v>44958.433877314812</v>
      </c>
      <c r="Q1569" s="77" t="s">
        <v>2362</v>
      </c>
      <c r="R1569" s="77">
        <v>0</v>
      </c>
      <c r="S1569" s="77">
        <v>0</v>
      </c>
      <c r="T1569" s="77">
        <v>0</v>
      </c>
      <c r="U1569" s="77">
        <v>0</v>
      </c>
      <c r="V1569" s="77">
        <v>5</v>
      </c>
      <c r="W1569" s="81" t="s">
        <v>3731</v>
      </c>
      <c r="X1569" s="83" t="str">
        <f>HYPERLINK("https://radiostudiobr.com/noticia/1335462/procon-campos-orienta-fornecedores-a-nao-cairem-no-golpe-do-pix")</f>
        <v>https://radiostudiobr.com/noticia/1335462/procon-campos-orienta-fornecedores-a-nao-cairem-no-golpe-do-pix</v>
      </c>
      <c r="Y1569" s="77" t="s">
        <v>4306</v>
      </c>
      <c r="Z1569" s="77"/>
      <c r="AA1569" s="77"/>
      <c r="AB1569" s="77"/>
      <c r="AC1569" s="81" t="s">
        <v>5801</v>
      </c>
      <c r="AD1569" s="77" t="s">
        <v>5851</v>
      </c>
      <c r="AE1569" s="83" t="str">
        <f>HYPERLINK("https://twitter.com/rdiostudiobr1/status/1620729868467175424")</f>
        <v>https://twitter.com/rdiostudiobr1/status/1620729868467175424</v>
      </c>
      <c r="AF1569" s="79">
        <v>44958.433877314812</v>
      </c>
      <c r="AG1569" s="85">
        <v>44958</v>
      </c>
      <c r="AH1569" s="81" t="s">
        <v>7219</v>
      </c>
      <c r="AI1569" s="77" t="b">
        <v>0</v>
      </c>
      <c r="AJ1569" s="77"/>
      <c r="AK1569" s="77"/>
      <c r="AL1569" s="77"/>
      <c r="AM1569" s="77"/>
      <c r="AN1569" s="77"/>
      <c r="AO1569" s="77"/>
      <c r="AP1569" s="77"/>
      <c r="AQ1569" s="77"/>
      <c r="AR1569" s="77"/>
      <c r="AS1569" s="77"/>
      <c r="AT1569" s="77"/>
      <c r="AU1569" s="77"/>
      <c r="AV1569" s="83" t="str">
        <f>HYPERLINK("https://pbs.twimg.com/profile_images/1403442647252013061/Owz8y14S_normal.jpg")</f>
        <v>https://pbs.twimg.com/profile_images/1403442647252013061/Owz8y14S_normal.jpg</v>
      </c>
      <c r="AW1569" s="81" t="s">
        <v>10689</v>
      </c>
      <c r="AX1569" s="81" t="s">
        <v>10689</v>
      </c>
      <c r="AY1569" s="77"/>
      <c r="AZ1569" s="81" t="s">
        <v>11359</v>
      </c>
      <c r="BA1569" s="81" t="s">
        <v>11359</v>
      </c>
      <c r="BB1569" s="81" t="s">
        <v>11359</v>
      </c>
      <c r="BC1569" s="81" t="s">
        <v>10689</v>
      </c>
      <c r="BD1569" s="81" t="s">
        <v>11589</v>
      </c>
      <c r="BE1569" s="77"/>
      <c r="BF1569" s="77"/>
      <c r="BG1569" s="77"/>
      <c r="BH1569" s="77"/>
      <c r="BI1569" s="77"/>
    </row>
    <row r="1570" spans="1:61" x14ac:dyDescent="0.25">
      <c r="A1570" s="62" t="s">
        <v>597</v>
      </c>
      <c r="B1570" s="62" t="s">
        <v>597</v>
      </c>
      <c r="C1570" s="63"/>
      <c r="D1570" s="64"/>
      <c r="E1570" s="65"/>
      <c r="F1570" s="66"/>
      <c r="G1570" s="63"/>
      <c r="H1570" s="67"/>
      <c r="I1570" s="68"/>
      <c r="J1570" s="68"/>
      <c r="K1570" s="32"/>
      <c r="L1570" s="75">
        <v>1570</v>
      </c>
      <c r="M1570" s="75"/>
      <c r="N1570" s="70"/>
      <c r="O1570" s="77" t="s">
        <v>179</v>
      </c>
      <c r="P1570" s="79">
        <v>44988.024918981479</v>
      </c>
      <c r="Q1570" s="77" t="s">
        <v>2363</v>
      </c>
      <c r="R1570" s="77">
        <v>0</v>
      </c>
      <c r="S1570" s="77">
        <v>0</v>
      </c>
      <c r="T1570" s="77">
        <v>0</v>
      </c>
      <c r="U1570" s="77">
        <v>0</v>
      </c>
      <c r="V1570" s="77">
        <v>30</v>
      </c>
      <c r="W1570" s="81" t="s">
        <v>2947</v>
      </c>
      <c r="X1570" s="77"/>
      <c r="Y1570" s="77"/>
      <c r="Z1570" s="77"/>
      <c r="AA1570" s="77" t="s">
        <v>5438</v>
      </c>
      <c r="AB1570" s="77" t="s">
        <v>5799</v>
      </c>
      <c r="AC1570" s="81" t="s">
        <v>5805</v>
      </c>
      <c r="AD1570" s="77" t="s">
        <v>5850</v>
      </c>
      <c r="AE1570" s="83" t="str">
        <f>HYPERLINK("https://twitter.com/katherin8782818/status/1631453304629653508")</f>
        <v>https://twitter.com/katherin8782818/status/1631453304629653508</v>
      </c>
      <c r="AF1570" s="79">
        <v>44988.024918981479</v>
      </c>
      <c r="AG1570" s="85">
        <v>44988</v>
      </c>
      <c r="AH1570" s="81" t="s">
        <v>7220</v>
      </c>
      <c r="AI1570" s="77" t="b">
        <v>0</v>
      </c>
      <c r="AJ1570" s="77"/>
      <c r="AK1570" s="77"/>
      <c r="AL1570" s="77"/>
      <c r="AM1570" s="77"/>
      <c r="AN1570" s="77"/>
      <c r="AO1570" s="77"/>
      <c r="AP1570" s="77"/>
      <c r="AQ1570" s="77" t="s">
        <v>8941</v>
      </c>
      <c r="AR1570" s="77"/>
      <c r="AS1570" s="77"/>
      <c r="AT1570" s="77"/>
      <c r="AU1570" s="77"/>
      <c r="AV1570" s="83" t="str">
        <f>HYPERLINK("https://pbs.twimg.com/media/FqQWFH-WwAM2YuO.png")</f>
        <v>https://pbs.twimg.com/media/FqQWFH-WwAM2YuO.png</v>
      </c>
      <c r="AW1570" s="81" t="s">
        <v>10690</v>
      </c>
      <c r="AX1570" s="81" t="s">
        <v>10690</v>
      </c>
      <c r="AY1570" s="77"/>
      <c r="AZ1570" s="81" t="s">
        <v>11359</v>
      </c>
      <c r="BA1570" s="81" t="s">
        <v>11359</v>
      </c>
      <c r="BB1570" s="81" t="s">
        <v>11359</v>
      </c>
      <c r="BC1570" s="81" t="s">
        <v>10690</v>
      </c>
      <c r="BD1570" s="81" t="s">
        <v>11590</v>
      </c>
      <c r="BE1570" s="77"/>
      <c r="BF1570" s="77"/>
      <c r="BG1570" s="77"/>
      <c r="BH1570" s="77"/>
      <c r="BI1570" s="77"/>
    </row>
    <row r="1571" spans="1:61" x14ac:dyDescent="0.25">
      <c r="A1571" s="62" t="s">
        <v>598</v>
      </c>
      <c r="B1571" s="62" t="s">
        <v>598</v>
      </c>
      <c r="C1571" s="63"/>
      <c r="D1571" s="64"/>
      <c r="E1571" s="65"/>
      <c r="F1571" s="66"/>
      <c r="G1571" s="63"/>
      <c r="H1571" s="67"/>
      <c r="I1571" s="68"/>
      <c r="J1571" s="68"/>
      <c r="K1571" s="32"/>
      <c r="L1571" s="75">
        <v>1571</v>
      </c>
      <c r="M1571" s="75"/>
      <c r="N1571" s="70"/>
      <c r="O1571" s="77" t="s">
        <v>179</v>
      </c>
      <c r="P1571" s="79">
        <v>45056.557534722226</v>
      </c>
      <c r="Q1571" s="77" t="s">
        <v>2364</v>
      </c>
      <c r="R1571" s="77">
        <v>0</v>
      </c>
      <c r="S1571" s="77">
        <v>0</v>
      </c>
      <c r="T1571" s="77">
        <v>0</v>
      </c>
      <c r="U1571" s="77">
        <v>0</v>
      </c>
      <c r="V1571" s="77">
        <v>22</v>
      </c>
      <c r="W1571" s="81" t="s">
        <v>3732</v>
      </c>
      <c r="X1571" s="77"/>
      <c r="Y1571" s="77"/>
      <c r="Z1571" s="77"/>
      <c r="AA1571" s="77"/>
      <c r="AB1571" s="77"/>
      <c r="AC1571" s="81" t="s">
        <v>5805</v>
      </c>
      <c r="AD1571" s="77" t="s">
        <v>5850</v>
      </c>
      <c r="AE1571" s="83" t="str">
        <f>HYPERLINK("https://twitter.com/mnifstddreams/status/1656288693622124550")</f>
        <v>https://twitter.com/mnifstddreams/status/1656288693622124550</v>
      </c>
      <c r="AF1571" s="79">
        <v>45056.557534722226</v>
      </c>
      <c r="AG1571" s="85">
        <v>45056</v>
      </c>
      <c r="AH1571" s="81" t="s">
        <v>7221</v>
      </c>
      <c r="AI1571" s="77"/>
      <c r="AJ1571" s="77"/>
      <c r="AK1571" s="77"/>
      <c r="AL1571" s="77"/>
      <c r="AM1571" s="77"/>
      <c r="AN1571" s="77"/>
      <c r="AO1571" s="77"/>
      <c r="AP1571" s="77"/>
      <c r="AQ1571" s="77"/>
      <c r="AR1571" s="77"/>
      <c r="AS1571" s="77"/>
      <c r="AT1571" s="77"/>
      <c r="AU1571" s="77"/>
      <c r="AV1571" s="83" t="str">
        <f>HYPERLINK("https://pbs.twimg.com/profile_images/1648784647277498369/pds0kfYO_normal.jpg")</f>
        <v>https://pbs.twimg.com/profile_images/1648784647277498369/pds0kfYO_normal.jpg</v>
      </c>
      <c r="AW1571" s="81" t="s">
        <v>10691</v>
      </c>
      <c r="AX1571" s="81" t="s">
        <v>10691</v>
      </c>
      <c r="AY1571" s="77"/>
      <c r="AZ1571" s="81" t="s">
        <v>11359</v>
      </c>
      <c r="BA1571" s="81" t="s">
        <v>11359</v>
      </c>
      <c r="BB1571" s="81" t="s">
        <v>11359</v>
      </c>
      <c r="BC1571" s="81" t="s">
        <v>10691</v>
      </c>
      <c r="BD1571" s="81" t="s">
        <v>11591</v>
      </c>
      <c r="BE1571" s="77"/>
      <c r="BF1571" s="77"/>
      <c r="BG1571" s="77"/>
      <c r="BH1571" s="77"/>
      <c r="BI1571" s="77"/>
    </row>
    <row r="1572" spans="1:61" x14ac:dyDescent="0.25">
      <c r="A1572" s="62" t="s">
        <v>599</v>
      </c>
      <c r="B1572" s="62" t="s">
        <v>599</v>
      </c>
      <c r="C1572" s="63"/>
      <c r="D1572" s="64"/>
      <c r="E1572" s="65"/>
      <c r="F1572" s="66"/>
      <c r="G1572" s="63"/>
      <c r="H1572" s="67"/>
      <c r="I1572" s="68"/>
      <c r="J1572" s="68"/>
      <c r="K1572" s="32"/>
      <c r="L1572" s="75">
        <v>1572</v>
      </c>
      <c r="M1572" s="75"/>
      <c r="N1572" s="70"/>
      <c r="O1572" s="77" t="s">
        <v>179</v>
      </c>
      <c r="P1572" s="79">
        <v>44993.014548611114</v>
      </c>
      <c r="Q1572" s="77" t="s">
        <v>2365</v>
      </c>
      <c r="R1572" s="77">
        <v>0</v>
      </c>
      <c r="S1572" s="77">
        <v>1</v>
      </c>
      <c r="T1572" s="77">
        <v>0</v>
      </c>
      <c r="U1572" s="77">
        <v>0</v>
      </c>
      <c r="V1572" s="77">
        <v>17</v>
      </c>
      <c r="W1572" s="81" t="s">
        <v>3733</v>
      </c>
      <c r="X1572" s="77"/>
      <c r="Y1572" s="77"/>
      <c r="Z1572" s="77"/>
      <c r="AA1572" s="77"/>
      <c r="AB1572" s="77"/>
      <c r="AC1572" s="81" t="s">
        <v>5803</v>
      </c>
      <c r="AD1572" s="77" t="s">
        <v>5851</v>
      </c>
      <c r="AE1572" s="83" t="str">
        <f>HYPERLINK("https://twitter.com/viniciusdiferr1/status/1633261486830153733")</f>
        <v>https://twitter.com/viniciusdiferr1/status/1633261486830153733</v>
      </c>
      <c r="AF1572" s="79">
        <v>44993.014548611114</v>
      </c>
      <c r="AG1572" s="85">
        <v>44993</v>
      </c>
      <c r="AH1572" s="81" t="s">
        <v>7222</v>
      </c>
      <c r="AI1572" s="77"/>
      <c r="AJ1572" s="77"/>
      <c r="AK1572" s="77"/>
      <c r="AL1572" s="77"/>
      <c r="AM1572" s="77"/>
      <c r="AN1572" s="77"/>
      <c r="AO1572" s="77"/>
      <c r="AP1572" s="77"/>
      <c r="AQ1572" s="77"/>
      <c r="AR1572" s="77"/>
      <c r="AS1572" s="77"/>
      <c r="AT1572" s="77"/>
      <c r="AU1572" s="77"/>
      <c r="AV1572" s="83" t="str">
        <f>HYPERLINK("https://pbs.twimg.com/profile_images/1633264529722290176/Az__ADUD_normal.jpg")</f>
        <v>https://pbs.twimg.com/profile_images/1633264529722290176/Az__ADUD_normal.jpg</v>
      </c>
      <c r="AW1572" s="81" t="s">
        <v>10692</v>
      </c>
      <c r="AX1572" s="81" t="s">
        <v>10692</v>
      </c>
      <c r="AY1572" s="77"/>
      <c r="AZ1572" s="81" t="s">
        <v>11359</v>
      </c>
      <c r="BA1572" s="81" t="s">
        <v>11359</v>
      </c>
      <c r="BB1572" s="81" t="s">
        <v>11359</v>
      </c>
      <c r="BC1572" s="81" t="s">
        <v>10692</v>
      </c>
      <c r="BD1572" s="81" t="s">
        <v>11592</v>
      </c>
      <c r="BE1572" s="77"/>
      <c r="BF1572" s="77"/>
      <c r="BG1572" s="77"/>
      <c r="BH1572" s="77"/>
      <c r="BI1572" s="77"/>
    </row>
    <row r="1573" spans="1:61" x14ac:dyDescent="0.25">
      <c r="A1573" s="62" t="s">
        <v>600</v>
      </c>
      <c r="B1573" s="62" t="s">
        <v>842</v>
      </c>
      <c r="C1573" s="63"/>
      <c r="D1573" s="64"/>
      <c r="E1573" s="65"/>
      <c r="F1573" s="66"/>
      <c r="G1573" s="63"/>
      <c r="H1573" s="67"/>
      <c r="I1573" s="68"/>
      <c r="J1573" s="68"/>
      <c r="K1573" s="32"/>
      <c r="L1573" s="75">
        <v>1573</v>
      </c>
      <c r="M1573" s="75"/>
      <c r="N1573" s="70"/>
      <c r="O1573" s="77" t="s">
        <v>968</v>
      </c>
      <c r="P1573" s="79">
        <v>45195.740694444445</v>
      </c>
      <c r="Q1573" s="77" t="s">
        <v>1256</v>
      </c>
      <c r="R1573" s="77">
        <v>6</v>
      </c>
      <c r="S1573" s="77">
        <v>0</v>
      </c>
      <c r="T1573" s="77">
        <v>0</v>
      </c>
      <c r="U1573" s="77">
        <v>0</v>
      </c>
      <c r="V1573" s="77"/>
      <c r="W1573" s="81" t="s">
        <v>3131</v>
      </c>
      <c r="X1573" s="77"/>
      <c r="Y1573" s="77"/>
      <c r="Z1573" s="77" t="s">
        <v>842</v>
      </c>
      <c r="AA1573" s="77" t="s">
        <v>4557</v>
      </c>
      <c r="AB1573" s="77" t="s">
        <v>5794</v>
      </c>
      <c r="AC1573" s="81" t="s">
        <v>5801</v>
      </c>
      <c r="AD1573" s="77" t="s">
        <v>5850</v>
      </c>
      <c r="AE1573" s="83" t="str">
        <f>HYPERLINK("https://twitter.com/puschinni/status/1706726980354232418")</f>
        <v>https://twitter.com/puschinni/status/1706726980354232418</v>
      </c>
      <c r="AF1573" s="79">
        <v>45195.740694444445</v>
      </c>
      <c r="AG1573" s="85">
        <v>45195</v>
      </c>
      <c r="AH1573" s="81" t="s">
        <v>7223</v>
      </c>
      <c r="AI1573" s="77" t="b">
        <v>0</v>
      </c>
      <c r="AJ1573" s="77"/>
      <c r="AK1573" s="77"/>
      <c r="AL1573" s="77"/>
      <c r="AM1573" s="77"/>
      <c r="AN1573" s="77"/>
      <c r="AO1573" s="77"/>
      <c r="AP1573" s="77"/>
      <c r="AQ1573" s="77" t="s">
        <v>8060</v>
      </c>
      <c r="AR1573" s="77"/>
      <c r="AS1573" s="77"/>
      <c r="AT1573" s="77"/>
      <c r="AU1573" s="77"/>
      <c r="AV1573" s="83" t="str">
        <f>HYPERLINK("https://pbs.twimg.com/media/F6zNlOyWcAA7NH5.jpg")</f>
        <v>https://pbs.twimg.com/media/F6zNlOyWcAA7NH5.jpg</v>
      </c>
      <c r="AW1573" s="81" t="s">
        <v>10693</v>
      </c>
      <c r="AX1573" s="81" t="s">
        <v>10693</v>
      </c>
      <c r="AY1573" s="77"/>
      <c r="AZ1573" s="81" t="s">
        <v>11359</v>
      </c>
      <c r="BA1573" s="81" t="s">
        <v>11359</v>
      </c>
      <c r="BB1573" s="81" t="s">
        <v>11160</v>
      </c>
      <c r="BC1573" s="81" t="s">
        <v>11160</v>
      </c>
      <c r="BD1573" s="81" t="s">
        <v>11593</v>
      </c>
      <c r="BE1573" s="77"/>
      <c r="BF1573" s="77"/>
      <c r="BG1573" s="77"/>
      <c r="BH1573" s="77"/>
      <c r="BI1573" s="77"/>
    </row>
    <row r="1574" spans="1:61" x14ac:dyDescent="0.25">
      <c r="A1574" s="62" t="s">
        <v>601</v>
      </c>
      <c r="B1574" s="62" t="s">
        <v>931</v>
      </c>
      <c r="C1574" s="63"/>
      <c r="D1574" s="64"/>
      <c r="E1574" s="65"/>
      <c r="F1574" s="66"/>
      <c r="G1574" s="63"/>
      <c r="H1574" s="67"/>
      <c r="I1574" s="68"/>
      <c r="J1574" s="68"/>
      <c r="K1574" s="32"/>
      <c r="L1574" s="75">
        <v>1574</v>
      </c>
      <c r="M1574" s="75"/>
      <c r="N1574" s="70"/>
      <c r="O1574" s="77" t="s">
        <v>967</v>
      </c>
      <c r="P1574" s="79">
        <v>44991.857048611113</v>
      </c>
      <c r="Q1574" s="77" t="s">
        <v>2366</v>
      </c>
      <c r="R1574" s="77">
        <v>0</v>
      </c>
      <c r="S1574" s="77">
        <v>2</v>
      </c>
      <c r="T1574" s="77">
        <v>0</v>
      </c>
      <c r="U1574" s="77">
        <v>0</v>
      </c>
      <c r="V1574" s="77">
        <v>30</v>
      </c>
      <c r="W1574" s="81" t="s">
        <v>3734</v>
      </c>
      <c r="X1574" s="83" t="str">
        <f>HYPERLINK("https://youtube.com/shorts/aAMXx5s4CW8?feature=share")</f>
        <v>https://youtube.com/shorts/aAMXx5s4CW8?feature=share</v>
      </c>
      <c r="Y1574" s="77" t="s">
        <v>4225</v>
      </c>
      <c r="Z1574" s="77" t="s">
        <v>931</v>
      </c>
      <c r="AA1574" s="77"/>
      <c r="AB1574" s="77"/>
      <c r="AC1574" s="81" t="s">
        <v>5805</v>
      </c>
      <c r="AD1574" s="77" t="s">
        <v>5850</v>
      </c>
      <c r="AE1574" s="83" t="str">
        <f>HYPERLINK("https://twitter.com/rasinkavz/status/1632842023052120064")</f>
        <v>https://twitter.com/rasinkavz/status/1632842023052120064</v>
      </c>
      <c r="AF1574" s="79">
        <v>44991.857048611113</v>
      </c>
      <c r="AG1574" s="85">
        <v>44991</v>
      </c>
      <c r="AH1574" s="81" t="s">
        <v>7224</v>
      </c>
      <c r="AI1574" s="77" t="b">
        <v>0</v>
      </c>
      <c r="AJ1574" s="77"/>
      <c r="AK1574" s="77"/>
      <c r="AL1574" s="77"/>
      <c r="AM1574" s="77"/>
      <c r="AN1574" s="77"/>
      <c r="AO1574" s="77"/>
      <c r="AP1574" s="77"/>
      <c r="AQ1574" s="77"/>
      <c r="AR1574" s="77"/>
      <c r="AS1574" s="77"/>
      <c r="AT1574" s="77"/>
      <c r="AU1574" s="77"/>
      <c r="AV1574" s="83" t="str">
        <f>HYPERLINK("https://pbs.twimg.com/profile_images/1500950013442154508/1CVZH0CG_normal.jpg")</f>
        <v>https://pbs.twimg.com/profile_images/1500950013442154508/1CVZH0CG_normal.jpg</v>
      </c>
      <c r="AW1574" s="81" t="s">
        <v>10694</v>
      </c>
      <c r="AX1574" s="81" t="s">
        <v>10694</v>
      </c>
      <c r="AY1574" s="77"/>
      <c r="AZ1574" s="81" t="s">
        <v>11359</v>
      </c>
      <c r="BA1574" s="81" t="s">
        <v>11359</v>
      </c>
      <c r="BB1574" s="81" t="s">
        <v>11359</v>
      </c>
      <c r="BC1574" s="81" t="s">
        <v>10694</v>
      </c>
      <c r="BD1574" s="77">
        <v>2923557713</v>
      </c>
      <c r="BE1574" s="77"/>
      <c r="BF1574" s="77"/>
      <c r="BG1574" s="77"/>
      <c r="BH1574" s="77"/>
      <c r="BI1574" s="77"/>
    </row>
    <row r="1575" spans="1:61" x14ac:dyDescent="0.25">
      <c r="A1575" s="62" t="s">
        <v>602</v>
      </c>
      <c r="B1575" s="62" t="s">
        <v>602</v>
      </c>
      <c r="C1575" s="63"/>
      <c r="D1575" s="64"/>
      <c r="E1575" s="65"/>
      <c r="F1575" s="66"/>
      <c r="G1575" s="63"/>
      <c r="H1575" s="67"/>
      <c r="I1575" s="68"/>
      <c r="J1575" s="68"/>
      <c r="K1575" s="32"/>
      <c r="L1575" s="75">
        <v>1575</v>
      </c>
      <c r="M1575" s="75"/>
      <c r="N1575" s="70"/>
      <c r="O1575" s="77" t="s">
        <v>179</v>
      </c>
      <c r="P1575" s="79">
        <v>45111.896539351852</v>
      </c>
      <c r="Q1575" s="77" t="s">
        <v>2367</v>
      </c>
      <c r="R1575" s="77">
        <v>4</v>
      </c>
      <c r="S1575" s="77">
        <v>5</v>
      </c>
      <c r="T1575" s="77">
        <v>0</v>
      </c>
      <c r="U1575" s="77">
        <v>0</v>
      </c>
      <c r="V1575" s="77">
        <v>97</v>
      </c>
      <c r="W1575" s="81" t="s">
        <v>3735</v>
      </c>
      <c r="X1575" s="77"/>
      <c r="Y1575" s="77"/>
      <c r="Z1575" s="77"/>
      <c r="AA1575" s="77" t="s">
        <v>5439</v>
      </c>
      <c r="AB1575" s="77" t="s">
        <v>5797</v>
      </c>
      <c r="AC1575" s="81" t="s">
        <v>5805</v>
      </c>
      <c r="AD1575" s="77" t="s">
        <v>5850</v>
      </c>
      <c r="AE1575" s="83" t="str">
        <f>HYPERLINK("https://twitter.com/meeeegustarc5/status/1676342878790901761")</f>
        <v>https://twitter.com/meeeegustarc5/status/1676342878790901761</v>
      </c>
      <c r="AF1575" s="79">
        <v>45111.896539351852</v>
      </c>
      <c r="AG1575" s="85">
        <v>45111</v>
      </c>
      <c r="AH1575" s="81" t="s">
        <v>7225</v>
      </c>
      <c r="AI1575" s="77" t="b">
        <v>0</v>
      </c>
      <c r="AJ1575" s="77"/>
      <c r="AK1575" s="77"/>
      <c r="AL1575" s="77"/>
      <c r="AM1575" s="77"/>
      <c r="AN1575" s="77"/>
      <c r="AO1575" s="77"/>
      <c r="AP1575" s="77"/>
      <c r="AQ1575" s="77" t="s">
        <v>8942</v>
      </c>
      <c r="AR1575" s="77"/>
      <c r="AS1575" s="77"/>
      <c r="AT1575" s="77"/>
      <c r="AU1575" s="77"/>
      <c r="AV1575" s="83" t="str">
        <f>HYPERLINK("https://pbs.twimg.com/media/F0OQx7aXgAIdoLw.jpg")</f>
        <v>https://pbs.twimg.com/media/F0OQx7aXgAIdoLw.jpg</v>
      </c>
      <c r="AW1575" s="81" t="s">
        <v>10695</v>
      </c>
      <c r="AX1575" s="81" t="s">
        <v>10695</v>
      </c>
      <c r="AY1575" s="77"/>
      <c r="AZ1575" s="81" t="s">
        <v>11359</v>
      </c>
      <c r="BA1575" s="81" t="s">
        <v>11359</v>
      </c>
      <c r="BB1575" s="81" t="s">
        <v>11359</v>
      </c>
      <c r="BC1575" s="81" t="s">
        <v>10695</v>
      </c>
      <c r="BD1575" s="81" t="s">
        <v>11594</v>
      </c>
      <c r="BE1575" s="77"/>
      <c r="BF1575" s="77"/>
      <c r="BG1575" s="77"/>
      <c r="BH1575" s="77"/>
      <c r="BI1575" s="77"/>
    </row>
    <row r="1576" spans="1:61" x14ac:dyDescent="0.25">
      <c r="A1576" s="62" t="s">
        <v>603</v>
      </c>
      <c r="B1576" s="62" t="s">
        <v>603</v>
      </c>
      <c r="C1576" s="63"/>
      <c r="D1576" s="64"/>
      <c r="E1576" s="65"/>
      <c r="F1576" s="66"/>
      <c r="G1576" s="63"/>
      <c r="H1576" s="67"/>
      <c r="I1576" s="68"/>
      <c r="J1576" s="68"/>
      <c r="K1576" s="32"/>
      <c r="L1576" s="75">
        <v>1576</v>
      </c>
      <c r="M1576" s="75"/>
      <c r="N1576" s="70"/>
      <c r="O1576" s="77" t="s">
        <v>179</v>
      </c>
      <c r="P1576" s="79">
        <v>45054.202453703707</v>
      </c>
      <c r="Q1576" s="77" t="s">
        <v>2368</v>
      </c>
      <c r="R1576" s="77">
        <v>0</v>
      </c>
      <c r="S1576" s="77">
        <v>0</v>
      </c>
      <c r="T1576" s="77">
        <v>0</v>
      </c>
      <c r="U1576" s="77">
        <v>0</v>
      </c>
      <c r="V1576" s="77">
        <v>173</v>
      </c>
      <c r="W1576" s="81" t="s">
        <v>3736</v>
      </c>
      <c r="X1576" s="77"/>
      <c r="Y1576" s="77"/>
      <c r="Z1576" s="77"/>
      <c r="AA1576" s="77" t="s">
        <v>5440</v>
      </c>
      <c r="AB1576" s="77" t="s">
        <v>5794</v>
      </c>
      <c r="AC1576" s="81" t="s">
        <v>5801</v>
      </c>
      <c r="AD1576" s="77" t="s">
        <v>5850</v>
      </c>
      <c r="AE1576" s="83" t="str">
        <f>HYPERLINK("https://twitter.com/danisanchez454/status/1655435240762900481")</f>
        <v>https://twitter.com/danisanchez454/status/1655435240762900481</v>
      </c>
      <c r="AF1576" s="79">
        <v>45054.202453703707</v>
      </c>
      <c r="AG1576" s="85">
        <v>45054</v>
      </c>
      <c r="AH1576" s="81" t="s">
        <v>7226</v>
      </c>
      <c r="AI1576" s="77" t="b">
        <v>0</v>
      </c>
      <c r="AJ1576" s="77"/>
      <c r="AK1576" s="77"/>
      <c r="AL1576" s="77"/>
      <c r="AM1576" s="77"/>
      <c r="AN1576" s="77"/>
      <c r="AO1576" s="77"/>
      <c r="AP1576" s="77"/>
      <c r="AQ1576" s="77" t="s">
        <v>8943</v>
      </c>
      <c r="AR1576" s="77"/>
      <c r="AS1576" s="77"/>
      <c r="AT1576" s="77"/>
      <c r="AU1576" s="77"/>
      <c r="AV1576" s="83" t="str">
        <f>HYPERLINK("https://pbs.twimg.com/media/FvlJlBiXgAII1b_.jpg")</f>
        <v>https://pbs.twimg.com/media/FvlJlBiXgAII1b_.jpg</v>
      </c>
      <c r="AW1576" s="81" t="s">
        <v>10696</v>
      </c>
      <c r="AX1576" s="81" t="s">
        <v>10696</v>
      </c>
      <c r="AY1576" s="77"/>
      <c r="AZ1576" s="81" t="s">
        <v>11359</v>
      </c>
      <c r="BA1576" s="81" t="s">
        <v>11359</v>
      </c>
      <c r="BB1576" s="81" t="s">
        <v>11359</v>
      </c>
      <c r="BC1576" s="81" t="s">
        <v>10696</v>
      </c>
      <c r="BD1576" s="77">
        <v>331927614</v>
      </c>
      <c r="BE1576" s="77"/>
      <c r="BF1576" s="77"/>
      <c r="BG1576" s="77"/>
      <c r="BH1576" s="77"/>
      <c r="BI1576" s="77"/>
    </row>
    <row r="1577" spans="1:61" x14ac:dyDescent="0.25">
      <c r="A1577" s="62" t="s">
        <v>604</v>
      </c>
      <c r="B1577" s="62" t="s">
        <v>604</v>
      </c>
      <c r="C1577" s="63"/>
      <c r="D1577" s="64"/>
      <c r="E1577" s="65"/>
      <c r="F1577" s="66"/>
      <c r="G1577" s="63"/>
      <c r="H1577" s="67"/>
      <c r="I1577" s="68"/>
      <c r="J1577" s="68"/>
      <c r="K1577" s="32"/>
      <c r="L1577" s="75">
        <v>1577</v>
      </c>
      <c r="M1577" s="75"/>
      <c r="N1577" s="70"/>
      <c r="O1577" s="77" t="s">
        <v>179</v>
      </c>
      <c r="P1577" s="79">
        <v>44958.863576388889</v>
      </c>
      <c r="Q1577" s="77" t="s">
        <v>2369</v>
      </c>
      <c r="R1577" s="77">
        <v>0</v>
      </c>
      <c r="S1577" s="77">
        <v>0</v>
      </c>
      <c r="T1577" s="77">
        <v>0</v>
      </c>
      <c r="U1577" s="77">
        <v>0</v>
      </c>
      <c r="V1577" s="77">
        <v>1556</v>
      </c>
      <c r="W1577" s="81" t="s">
        <v>3737</v>
      </c>
      <c r="X1577" s="77"/>
      <c r="Y1577" s="77"/>
      <c r="Z1577" s="77"/>
      <c r="AA1577" s="77" t="s">
        <v>5441</v>
      </c>
      <c r="AB1577" s="77" t="s">
        <v>5795</v>
      </c>
      <c r="AC1577" s="81" t="s">
        <v>5801</v>
      </c>
      <c r="AD1577" s="77" t="s">
        <v>5850</v>
      </c>
      <c r="AE1577" s="83" t="str">
        <f>HYPERLINK("https://twitter.com/colombiavozavoz/status/1620885587749408768")</f>
        <v>https://twitter.com/colombiavozavoz/status/1620885587749408768</v>
      </c>
      <c r="AF1577" s="79">
        <v>44958.863576388889</v>
      </c>
      <c r="AG1577" s="85">
        <v>44958</v>
      </c>
      <c r="AH1577" s="81" t="s">
        <v>7227</v>
      </c>
      <c r="AI1577" s="77" t="b">
        <v>0</v>
      </c>
      <c r="AJ1577" s="77"/>
      <c r="AK1577" s="77"/>
      <c r="AL1577" s="77"/>
      <c r="AM1577" s="77"/>
      <c r="AN1577" s="77"/>
      <c r="AO1577" s="77"/>
      <c r="AP1577" s="77"/>
      <c r="AQ1577" s="77" t="s">
        <v>8944</v>
      </c>
      <c r="AR1577" s="77">
        <v>39941</v>
      </c>
      <c r="AS1577" s="77"/>
      <c r="AT1577" s="77"/>
      <c r="AU1577" s="77"/>
      <c r="AV1577" s="83" t="str">
        <f>HYPERLINK("https://pbs.twimg.com/ext_tw_video_thumb/1620885529599385605/pu/img/sAREy8wfM8vq0I7e.jpg")</f>
        <v>https://pbs.twimg.com/ext_tw_video_thumb/1620885529599385605/pu/img/sAREy8wfM8vq0I7e.jpg</v>
      </c>
      <c r="AW1577" s="81" t="s">
        <v>10697</v>
      </c>
      <c r="AX1577" s="81" t="s">
        <v>10697</v>
      </c>
      <c r="AY1577" s="77"/>
      <c r="AZ1577" s="81" t="s">
        <v>11359</v>
      </c>
      <c r="BA1577" s="81" t="s">
        <v>11359</v>
      </c>
      <c r="BB1577" s="81" t="s">
        <v>11359</v>
      </c>
      <c r="BC1577" s="81" t="s">
        <v>10697</v>
      </c>
      <c r="BD1577" s="81" t="s">
        <v>11595</v>
      </c>
      <c r="BE1577" s="77"/>
      <c r="BF1577" s="77"/>
      <c r="BG1577" s="77"/>
      <c r="BH1577" s="77"/>
      <c r="BI1577" s="77"/>
    </row>
    <row r="1578" spans="1:61" x14ac:dyDescent="0.25">
      <c r="A1578" s="62" t="s">
        <v>605</v>
      </c>
      <c r="B1578" s="62" t="s">
        <v>932</v>
      </c>
      <c r="C1578" s="63"/>
      <c r="D1578" s="64"/>
      <c r="E1578" s="65"/>
      <c r="F1578" s="66"/>
      <c r="G1578" s="63"/>
      <c r="H1578" s="67"/>
      <c r="I1578" s="68"/>
      <c r="J1578" s="68"/>
      <c r="K1578" s="32"/>
      <c r="L1578" s="75">
        <v>1578</v>
      </c>
      <c r="M1578" s="75"/>
      <c r="N1578" s="70"/>
      <c r="O1578" s="77" t="s">
        <v>967</v>
      </c>
      <c r="P1578" s="79">
        <v>45040.662627314814</v>
      </c>
      <c r="Q1578" s="77" t="s">
        <v>2370</v>
      </c>
      <c r="R1578" s="77">
        <v>0</v>
      </c>
      <c r="S1578" s="77">
        <v>0</v>
      </c>
      <c r="T1578" s="77">
        <v>0</v>
      </c>
      <c r="U1578" s="77">
        <v>0</v>
      </c>
      <c r="V1578" s="77">
        <v>22</v>
      </c>
      <c r="W1578" s="81" t="s">
        <v>3738</v>
      </c>
      <c r="X1578" s="77"/>
      <c r="Y1578" s="77"/>
      <c r="Z1578" s="77" t="s">
        <v>932</v>
      </c>
      <c r="AA1578" s="77" t="s">
        <v>5442</v>
      </c>
      <c r="AB1578" s="77" t="s">
        <v>5794</v>
      </c>
      <c r="AC1578" s="81" t="s">
        <v>5805</v>
      </c>
      <c r="AD1578" s="77" t="s">
        <v>5850</v>
      </c>
      <c r="AE1578" s="83" t="str">
        <f>HYPERLINK("https://twitter.com/michellenvarro/status/1650528573118197761")</f>
        <v>https://twitter.com/michellenvarro/status/1650528573118197761</v>
      </c>
      <c r="AF1578" s="79">
        <v>45040.662627314814</v>
      </c>
      <c r="AG1578" s="85">
        <v>45040</v>
      </c>
      <c r="AH1578" s="81" t="s">
        <v>7228</v>
      </c>
      <c r="AI1578" s="77" t="b">
        <v>0</v>
      </c>
      <c r="AJ1578" s="77"/>
      <c r="AK1578" s="77"/>
      <c r="AL1578" s="77"/>
      <c r="AM1578" s="77"/>
      <c r="AN1578" s="77"/>
      <c r="AO1578" s="77"/>
      <c r="AP1578" s="77"/>
      <c r="AQ1578" s="77" t="s">
        <v>8945</v>
      </c>
      <c r="AR1578" s="77"/>
      <c r="AS1578" s="77"/>
      <c r="AT1578" s="77"/>
      <c r="AU1578" s="77"/>
      <c r="AV1578" s="83" t="str">
        <f>HYPERLINK("https://pbs.twimg.com/media/FufatGjWIAAVQQ3.jpg")</f>
        <v>https://pbs.twimg.com/media/FufatGjWIAAVQQ3.jpg</v>
      </c>
      <c r="AW1578" s="81" t="s">
        <v>10698</v>
      </c>
      <c r="AX1578" s="81" t="s">
        <v>10698</v>
      </c>
      <c r="AY1578" s="81" t="s">
        <v>11341</v>
      </c>
      <c r="AZ1578" s="81" t="s">
        <v>11359</v>
      </c>
      <c r="BA1578" s="81" t="s">
        <v>11359</v>
      </c>
      <c r="BB1578" s="81" t="s">
        <v>11359</v>
      </c>
      <c r="BC1578" s="81" t="s">
        <v>10698</v>
      </c>
      <c r="BD1578" s="77">
        <v>82396150</v>
      </c>
      <c r="BE1578" s="77"/>
      <c r="BF1578" s="77"/>
      <c r="BG1578" s="77"/>
      <c r="BH1578" s="77"/>
      <c r="BI1578" s="77"/>
    </row>
    <row r="1579" spans="1:61" x14ac:dyDescent="0.25">
      <c r="A1579" s="62" t="s">
        <v>606</v>
      </c>
      <c r="B1579" s="62" t="s">
        <v>606</v>
      </c>
      <c r="C1579" s="63"/>
      <c r="D1579" s="64"/>
      <c r="E1579" s="65"/>
      <c r="F1579" s="66"/>
      <c r="G1579" s="63"/>
      <c r="H1579" s="67"/>
      <c r="I1579" s="68"/>
      <c r="J1579" s="68"/>
      <c r="K1579" s="32"/>
      <c r="L1579" s="75">
        <v>1579</v>
      </c>
      <c r="M1579" s="75"/>
      <c r="N1579" s="70"/>
      <c r="O1579" s="77" t="s">
        <v>179</v>
      </c>
      <c r="P1579" s="79">
        <v>45147.312395833331</v>
      </c>
      <c r="Q1579" s="77" t="s">
        <v>2371</v>
      </c>
      <c r="R1579" s="77">
        <v>0</v>
      </c>
      <c r="S1579" s="77">
        <v>0</v>
      </c>
      <c r="T1579" s="77">
        <v>0</v>
      </c>
      <c r="U1579" s="77">
        <v>0</v>
      </c>
      <c r="V1579" s="77">
        <v>23</v>
      </c>
      <c r="W1579" s="81" t="s">
        <v>3739</v>
      </c>
      <c r="X1579" s="83" t="str">
        <f>HYPERLINK("https://empleolandia.com/vacante-disponible-de-vendedor-a-en-mediamarkt-bilbao-zubiarte/")</f>
        <v>https://empleolandia.com/vacante-disponible-de-vendedor-a-en-mediamarkt-bilbao-zubiarte/</v>
      </c>
      <c r="Y1579" s="77" t="s">
        <v>4307</v>
      </c>
      <c r="Z1579" s="77"/>
      <c r="AA1579" s="77"/>
      <c r="AB1579" s="77"/>
      <c r="AC1579" s="81" t="s">
        <v>5805</v>
      </c>
      <c r="AD1579" s="77" t="s">
        <v>5850</v>
      </c>
      <c r="AE1579" s="83" t="str">
        <f>HYPERLINK("https://twitter.com/empleolandia/status/1689177152011337729")</f>
        <v>https://twitter.com/empleolandia/status/1689177152011337729</v>
      </c>
      <c r="AF1579" s="79">
        <v>45147.312395833331</v>
      </c>
      <c r="AG1579" s="85">
        <v>45147</v>
      </c>
      <c r="AH1579" s="81" t="s">
        <v>7229</v>
      </c>
      <c r="AI1579" s="77" t="b">
        <v>0</v>
      </c>
      <c r="AJ1579" s="77"/>
      <c r="AK1579" s="77"/>
      <c r="AL1579" s="77"/>
      <c r="AM1579" s="77"/>
      <c r="AN1579" s="77"/>
      <c r="AO1579" s="77"/>
      <c r="AP1579" s="77"/>
      <c r="AQ1579" s="77"/>
      <c r="AR1579" s="77"/>
      <c r="AS1579" s="77"/>
      <c r="AT1579" s="77"/>
      <c r="AU1579" s="77"/>
      <c r="AV1579" s="83" t="str">
        <f>HYPERLINK("https://pbs.twimg.com/profile_images/1682781796113559552/fSmurrhS_normal.jpg")</f>
        <v>https://pbs.twimg.com/profile_images/1682781796113559552/fSmurrhS_normal.jpg</v>
      </c>
      <c r="AW1579" s="81" t="s">
        <v>10699</v>
      </c>
      <c r="AX1579" s="81" t="s">
        <v>10699</v>
      </c>
      <c r="AY1579" s="77"/>
      <c r="AZ1579" s="81" t="s">
        <v>11359</v>
      </c>
      <c r="BA1579" s="81" t="s">
        <v>11359</v>
      </c>
      <c r="BB1579" s="81" t="s">
        <v>11359</v>
      </c>
      <c r="BC1579" s="81" t="s">
        <v>10699</v>
      </c>
      <c r="BD1579" s="81" t="s">
        <v>11596</v>
      </c>
      <c r="BE1579" s="77"/>
      <c r="BF1579" s="77"/>
      <c r="BG1579" s="77"/>
      <c r="BH1579" s="77"/>
      <c r="BI1579" s="77"/>
    </row>
    <row r="1580" spans="1:61" x14ac:dyDescent="0.25">
      <c r="A1580" s="62" t="s">
        <v>607</v>
      </c>
      <c r="B1580" s="62" t="s">
        <v>607</v>
      </c>
      <c r="C1580" s="63"/>
      <c r="D1580" s="64"/>
      <c r="E1580" s="65"/>
      <c r="F1580" s="66"/>
      <c r="G1580" s="63"/>
      <c r="H1580" s="67"/>
      <c r="I1580" s="68"/>
      <c r="J1580" s="68"/>
      <c r="K1580" s="32"/>
      <c r="L1580" s="75">
        <v>1580</v>
      </c>
      <c r="M1580" s="75"/>
      <c r="N1580" s="70"/>
      <c r="O1580" s="77" t="s">
        <v>179</v>
      </c>
      <c r="P1580" s="79">
        <v>44992.735034722224</v>
      </c>
      <c r="Q1580" s="77" t="s">
        <v>2372</v>
      </c>
      <c r="R1580" s="77">
        <v>0</v>
      </c>
      <c r="S1580" s="77">
        <v>0</v>
      </c>
      <c r="T1580" s="77">
        <v>0</v>
      </c>
      <c r="U1580" s="77">
        <v>0</v>
      </c>
      <c r="V1580" s="77">
        <v>36</v>
      </c>
      <c r="W1580" s="81" t="s">
        <v>3740</v>
      </c>
      <c r="X1580" s="77" t="s">
        <v>4192</v>
      </c>
      <c r="Y1580" s="77" t="s">
        <v>4282</v>
      </c>
      <c r="Z1580" s="77"/>
      <c r="AA1580" s="77"/>
      <c r="AB1580" s="77"/>
      <c r="AC1580" s="81" t="s">
        <v>5810</v>
      </c>
      <c r="AD1580" s="77" t="s">
        <v>5851</v>
      </c>
      <c r="AE1580" s="83" t="str">
        <f>HYPERLINK("https://twitter.com/dux284/status/1633160191876427776")</f>
        <v>https://twitter.com/dux284/status/1633160191876427776</v>
      </c>
      <c r="AF1580" s="79">
        <v>44992.735034722224</v>
      </c>
      <c r="AG1580" s="85">
        <v>44992</v>
      </c>
      <c r="AH1580" s="81" t="s">
        <v>7230</v>
      </c>
      <c r="AI1580" s="77" t="b">
        <v>0</v>
      </c>
      <c r="AJ1580" s="77"/>
      <c r="AK1580" s="77"/>
      <c r="AL1580" s="77"/>
      <c r="AM1580" s="77"/>
      <c r="AN1580" s="77"/>
      <c r="AO1580" s="77"/>
      <c r="AP1580" s="77"/>
      <c r="AQ1580" s="77"/>
      <c r="AR1580" s="77"/>
      <c r="AS1580" s="77"/>
      <c r="AT1580" s="77"/>
      <c r="AU1580" s="77"/>
      <c r="AV1580" s="83" t="str">
        <f>HYPERLINK("https://pbs.twimg.com/profile_images/973021273352794112/rAL06L8e_normal.jpg")</f>
        <v>https://pbs.twimg.com/profile_images/973021273352794112/rAL06L8e_normal.jpg</v>
      </c>
      <c r="AW1580" s="81" t="s">
        <v>10700</v>
      </c>
      <c r="AX1580" s="81" t="s">
        <v>10700</v>
      </c>
      <c r="AY1580" s="77"/>
      <c r="AZ1580" s="81" t="s">
        <v>11359</v>
      </c>
      <c r="BA1580" s="81" t="s">
        <v>11359</v>
      </c>
      <c r="BB1580" s="81" t="s">
        <v>11359</v>
      </c>
      <c r="BC1580" s="81" t="s">
        <v>10700</v>
      </c>
      <c r="BD1580" s="77">
        <v>1278333337</v>
      </c>
      <c r="BE1580" s="77"/>
      <c r="BF1580" s="77"/>
      <c r="BG1580" s="77"/>
      <c r="BH1580" s="77"/>
      <c r="BI1580" s="77"/>
    </row>
    <row r="1581" spans="1:61" x14ac:dyDescent="0.25">
      <c r="A1581" s="62" t="s">
        <v>607</v>
      </c>
      <c r="B1581" s="62" t="s">
        <v>607</v>
      </c>
      <c r="C1581" s="63"/>
      <c r="D1581" s="64"/>
      <c r="E1581" s="65"/>
      <c r="F1581" s="66"/>
      <c r="G1581" s="63"/>
      <c r="H1581" s="67"/>
      <c r="I1581" s="68"/>
      <c r="J1581" s="68"/>
      <c r="K1581" s="32"/>
      <c r="L1581" s="75">
        <v>1581</v>
      </c>
      <c r="M1581" s="75"/>
      <c r="N1581" s="70"/>
      <c r="O1581" s="77" t="s">
        <v>179</v>
      </c>
      <c r="P1581" s="79">
        <v>45007.623969907407</v>
      </c>
      <c r="Q1581" s="77" t="s">
        <v>2373</v>
      </c>
      <c r="R1581" s="77">
        <v>0</v>
      </c>
      <c r="S1581" s="77">
        <v>0</v>
      </c>
      <c r="T1581" s="77">
        <v>0</v>
      </c>
      <c r="U1581" s="77">
        <v>0</v>
      </c>
      <c r="V1581" s="77">
        <v>11</v>
      </c>
      <c r="W1581" s="81" t="s">
        <v>3741</v>
      </c>
      <c r="X1581" s="77" t="s">
        <v>4193</v>
      </c>
      <c r="Y1581" s="77" t="s">
        <v>4308</v>
      </c>
      <c r="Z1581" s="77"/>
      <c r="AA1581" s="77"/>
      <c r="AB1581" s="77"/>
      <c r="AC1581" s="81" t="s">
        <v>5810</v>
      </c>
      <c r="AD1581" s="77" t="s">
        <v>5851</v>
      </c>
      <c r="AE1581" s="83" t="str">
        <f>HYPERLINK("https://twitter.com/dux284/status/1638555764443824129")</f>
        <v>https://twitter.com/dux284/status/1638555764443824129</v>
      </c>
      <c r="AF1581" s="79">
        <v>45007.623969907407</v>
      </c>
      <c r="AG1581" s="85">
        <v>45007</v>
      </c>
      <c r="AH1581" s="81" t="s">
        <v>7231</v>
      </c>
      <c r="AI1581" s="77" t="b">
        <v>0</v>
      </c>
      <c r="AJ1581" s="77"/>
      <c r="AK1581" s="77"/>
      <c r="AL1581" s="77"/>
      <c r="AM1581" s="77"/>
      <c r="AN1581" s="77"/>
      <c r="AO1581" s="77"/>
      <c r="AP1581" s="77"/>
      <c r="AQ1581" s="77"/>
      <c r="AR1581" s="77"/>
      <c r="AS1581" s="77"/>
      <c r="AT1581" s="77"/>
      <c r="AU1581" s="77"/>
      <c r="AV1581" s="83" t="str">
        <f>HYPERLINK("https://pbs.twimg.com/profile_images/973021273352794112/rAL06L8e_normal.jpg")</f>
        <v>https://pbs.twimg.com/profile_images/973021273352794112/rAL06L8e_normal.jpg</v>
      </c>
      <c r="AW1581" s="81" t="s">
        <v>10701</v>
      </c>
      <c r="AX1581" s="81" t="s">
        <v>10701</v>
      </c>
      <c r="AY1581" s="77"/>
      <c r="AZ1581" s="81" t="s">
        <v>11359</v>
      </c>
      <c r="BA1581" s="81" t="s">
        <v>11359</v>
      </c>
      <c r="BB1581" s="81" t="s">
        <v>11359</v>
      </c>
      <c r="BC1581" s="81" t="s">
        <v>10701</v>
      </c>
      <c r="BD1581" s="77">
        <v>1278333337</v>
      </c>
      <c r="BE1581" s="77"/>
      <c r="BF1581" s="77"/>
      <c r="BG1581" s="77"/>
      <c r="BH1581" s="77"/>
      <c r="BI1581" s="77"/>
    </row>
    <row r="1582" spans="1:61" x14ac:dyDescent="0.25">
      <c r="A1582" s="62" t="s">
        <v>608</v>
      </c>
      <c r="B1582" s="62" t="s">
        <v>608</v>
      </c>
      <c r="C1582" s="63"/>
      <c r="D1582" s="64"/>
      <c r="E1582" s="65"/>
      <c r="F1582" s="66"/>
      <c r="G1582" s="63"/>
      <c r="H1582" s="67"/>
      <c r="I1582" s="68"/>
      <c r="J1582" s="68"/>
      <c r="K1582" s="32"/>
      <c r="L1582" s="75">
        <v>1582</v>
      </c>
      <c r="M1582" s="75"/>
      <c r="N1582" s="70"/>
      <c r="O1582" s="77" t="s">
        <v>179</v>
      </c>
      <c r="P1582" s="79">
        <v>45058.124618055554</v>
      </c>
      <c r="Q1582" s="77" t="s">
        <v>2374</v>
      </c>
      <c r="R1582" s="77">
        <v>0</v>
      </c>
      <c r="S1582" s="77">
        <v>0</v>
      </c>
      <c r="T1582" s="77">
        <v>0</v>
      </c>
      <c r="U1582" s="77">
        <v>0</v>
      </c>
      <c r="V1582" s="77">
        <v>20</v>
      </c>
      <c r="W1582" s="81" t="s">
        <v>3742</v>
      </c>
      <c r="X1582" s="77"/>
      <c r="Y1582" s="77"/>
      <c r="Z1582" s="77"/>
      <c r="AA1582" s="77" t="s">
        <v>5443</v>
      </c>
      <c r="AB1582" s="77" t="s">
        <v>5794</v>
      </c>
      <c r="AC1582" s="81" t="s">
        <v>5801</v>
      </c>
      <c r="AD1582" s="77" t="s">
        <v>5853</v>
      </c>
      <c r="AE1582" s="83" t="str">
        <f>HYPERLINK("https://twitter.com/memez_van/status/1656856584650104832")</f>
        <v>https://twitter.com/memez_van/status/1656856584650104832</v>
      </c>
      <c r="AF1582" s="79">
        <v>45058.124618055554</v>
      </c>
      <c r="AG1582" s="85">
        <v>45058</v>
      </c>
      <c r="AH1582" s="81" t="s">
        <v>7232</v>
      </c>
      <c r="AI1582" s="77" t="b">
        <v>0</v>
      </c>
      <c r="AJ1582" s="77"/>
      <c r="AK1582" s="77"/>
      <c r="AL1582" s="77"/>
      <c r="AM1582" s="77"/>
      <c r="AN1582" s="77"/>
      <c r="AO1582" s="77"/>
      <c r="AP1582" s="77"/>
      <c r="AQ1582" s="77" t="s">
        <v>8946</v>
      </c>
      <c r="AR1582" s="77"/>
      <c r="AS1582" s="77"/>
      <c r="AT1582" s="77"/>
      <c r="AU1582" s="77"/>
      <c r="AV1582" s="83" t="str">
        <f>HYPERLINK("https://pbs.twimg.com/media/Fv5WSJlWcAEH67c.jpg")</f>
        <v>https://pbs.twimg.com/media/Fv5WSJlWcAEH67c.jpg</v>
      </c>
      <c r="AW1582" s="81" t="s">
        <v>10702</v>
      </c>
      <c r="AX1582" s="81" t="s">
        <v>10702</v>
      </c>
      <c r="AY1582" s="77"/>
      <c r="AZ1582" s="81" t="s">
        <v>11359</v>
      </c>
      <c r="BA1582" s="81" t="s">
        <v>11359</v>
      </c>
      <c r="BB1582" s="81" t="s">
        <v>11359</v>
      </c>
      <c r="BC1582" s="81" t="s">
        <v>10702</v>
      </c>
      <c r="BD1582" s="81" t="s">
        <v>11597</v>
      </c>
      <c r="BE1582" s="77"/>
      <c r="BF1582" s="77"/>
      <c r="BG1582" s="77"/>
      <c r="BH1582" s="77"/>
      <c r="BI1582" s="77"/>
    </row>
    <row r="1583" spans="1:61" x14ac:dyDescent="0.25">
      <c r="A1583" s="62" t="s">
        <v>608</v>
      </c>
      <c r="B1583" s="62" t="s">
        <v>608</v>
      </c>
      <c r="C1583" s="63"/>
      <c r="D1583" s="64"/>
      <c r="E1583" s="65"/>
      <c r="F1583" s="66"/>
      <c r="G1583" s="63"/>
      <c r="H1583" s="67"/>
      <c r="I1583" s="68"/>
      <c r="J1583" s="68"/>
      <c r="K1583" s="32"/>
      <c r="L1583" s="75">
        <v>1583</v>
      </c>
      <c r="M1583" s="75"/>
      <c r="N1583" s="70"/>
      <c r="O1583" s="77" t="s">
        <v>179</v>
      </c>
      <c r="P1583" s="79">
        <v>45054.800104166665</v>
      </c>
      <c r="Q1583" s="77" t="s">
        <v>2375</v>
      </c>
      <c r="R1583" s="77">
        <v>0</v>
      </c>
      <c r="S1583" s="77">
        <v>0</v>
      </c>
      <c r="T1583" s="77">
        <v>0</v>
      </c>
      <c r="U1583" s="77">
        <v>0</v>
      </c>
      <c r="V1583" s="77">
        <v>90</v>
      </c>
      <c r="W1583" s="81" t="s">
        <v>3743</v>
      </c>
      <c r="X1583" s="77"/>
      <c r="Y1583" s="77"/>
      <c r="Z1583" s="77"/>
      <c r="AA1583" s="77" t="s">
        <v>5444</v>
      </c>
      <c r="AB1583" s="77" t="s">
        <v>5794</v>
      </c>
      <c r="AC1583" s="81" t="s">
        <v>5805</v>
      </c>
      <c r="AD1583" s="77" t="s">
        <v>5853</v>
      </c>
      <c r="AE1583" s="83" t="str">
        <f>HYPERLINK("https://twitter.com/memez_van/status/1655651823410110482")</f>
        <v>https://twitter.com/memez_van/status/1655651823410110482</v>
      </c>
      <c r="AF1583" s="79">
        <v>45054.800104166665</v>
      </c>
      <c r="AG1583" s="85">
        <v>45054</v>
      </c>
      <c r="AH1583" s="81" t="s">
        <v>7233</v>
      </c>
      <c r="AI1583" s="77" t="b">
        <v>0</v>
      </c>
      <c r="AJ1583" s="77"/>
      <c r="AK1583" s="77"/>
      <c r="AL1583" s="77"/>
      <c r="AM1583" s="77"/>
      <c r="AN1583" s="77"/>
      <c r="AO1583" s="77"/>
      <c r="AP1583" s="77"/>
      <c r="AQ1583" s="77" t="s">
        <v>8947</v>
      </c>
      <c r="AR1583" s="77"/>
      <c r="AS1583" s="77"/>
      <c r="AT1583" s="77"/>
      <c r="AU1583" s="77"/>
      <c r="AV1583" s="83" t="str">
        <f>HYPERLINK("https://pbs.twimg.com/media/FvoOjHgXgAA0nBv.jpg")</f>
        <v>https://pbs.twimg.com/media/FvoOjHgXgAA0nBv.jpg</v>
      </c>
      <c r="AW1583" s="81" t="s">
        <v>10703</v>
      </c>
      <c r="AX1583" s="81" t="s">
        <v>10703</v>
      </c>
      <c r="AY1583" s="77"/>
      <c r="AZ1583" s="81" t="s">
        <v>11359</v>
      </c>
      <c r="BA1583" s="81" t="s">
        <v>11359</v>
      </c>
      <c r="BB1583" s="81" t="s">
        <v>11359</v>
      </c>
      <c r="BC1583" s="81" t="s">
        <v>10703</v>
      </c>
      <c r="BD1583" s="81" t="s">
        <v>11597</v>
      </c>
      <c r="BE1583" s="77"/>
      <c r="BF1583" s="77"/>
      <c r="BG1583" s="77"/>
      <c r="BH1583" s="77"/>
      <c r="BI1583" s="77"/>
    </row>
    <row r="1584" spans="1:61" x14ac:dyDescent="0.25">
      <c r="A1584" s="62" t="s">
        <v>608</v>
      </c>
      <c r="B1584" s="62" t="s">
        <v>608</v>
      </c>
      <c r="C1584" s="63"/>
      <c r="D1584" s="64"/>
      <c r="E1584" s="65"/>
      <c r="F1584" s="66"/>
      <c r="G1584" s="63"/>
      <c r="H1584" s="67"/>
      <c r="I1584" s="68"/>
      <c r="J1584" s="68"/>
      <c r="K1584" s="32"/>
      <c r="L1584" s="75">
        <v>1584</v>
      </c>
      <c r="M1584" s="75"/>
      <c r="N1584" s="70"/>
      <c r="O1584" s="77" t="s">
        <v>179</v>
      </c>
      <c r="P1584" s="79">
        <v>45113.072581018518</v>
      </c>
      <c r="Q1584" s="77" t="s">
        <v>2376</v>
      </c>
      <c r="R1584" s="77">
        <v>0</v>
      </c>
      <c r="S1584" s="77">
        <v>0</v>
      </c>
      <c r="T1584" s="77">
        <v>0</v>
      </c>
      <c r="U1584" s="77">
        <v>0</v>
      </c>
      <c r="V1584" s="77">
        <v>18</v>
      </c>
      <c r="W1584" s="81" t="s">
        <v>3744</v>
      </c>
      <c r="X1584" s="77"/>
      <c r="Y1584" s="77"/>
      <c r="Z1584" s="77"/>
      <c r="AA1584" s="77" t="s">
        <v>5445</v>
      </c>
      <c r="AB1584" s="77" t="s">
        <v>5794</v>
      </c>
      <c r="AC1584" s="81" t="s">
        <v>5805</v>
      </c>
      <c r="AD1584" s="77" t="s">
        <v>5853</v>
      </c>
      <c r="AE1584" s="83" t="str">
        <f>HYPERLINK("https://twitter.com/memez_van/status/1676769059696791552")</f>
        <v>https://twitter.com/memez_van/status/1676769059696791552</v>
      </c>
      <c r="AF1584" s="79">
        <v>45113.072581018518</v>
      </c>
      <c r="AG1584" s="85">
        <v>45113</v>
      </c>
      <c r="AH1584" s="81" t="s">
        <v>7234</v>
      </c>
      <c r="AI1584" s="77" t="b">
        <v>0</v>
      </c>
      <c r="AJ1584" s="77"/>
      <c r="AK1584" s="77"/>
      <c r="AL1584" s="77"/>
      <c r="AM1584" s="77"/>
      <c r="AN1584" s="77"/>
      <c r="AO1584" s="77"/>
      <c r="AP1584" s="77"/>
      <c r="AQ1584" s="77" t="s">
        <v>8948</v>
      </c>
      <c r="AR1584" s="77"/>
      <c r="AS1584" s="77"/>
      <c r="AT1584" s="77"/>
      <c r="AU1584" s="77"/>
      <c r="AV1584" s="83" t="str">
        <f>HYPERLINK("https://pbs.twimg.com/media/F0UUkP7XoAExrnn.png")</f>
        <v>https://pbs.twimg.com/media/F0UUkP7XoAExrnn.png</v>
      </c>
      <c r="AW1584" s="81" t="s">
        <v>10704</v>
      </c>
      <c r="AX1584" s="81" t="s">
        <v>10704</v>
      </c>
      <c r="AY1584" s="77"/>
      <c r="AZ1584" s="81" t="s">
        <v>11359</v>
      </c>
      <c r="BA1584" s="81" t="s">
        <v>11359</v>
      </c>
      <c r="BB1584" s="81" t="s">
        <v>11359</v>
      </c>
      <c r="BC1584" s="81" t="s">
        <v>10704</v>
      </c>
      <c r="BD1584" s="81" t="s">
        <v>11597</v>
      </c>
      <c r="BE1584" s="77"/>
      <c r="BF1584" s="77"/>
      <c r="BG1584" s="77"/>
      <c r="BH1584" s="77"/>
      <c r="BI1584" s="77"/>
    </row>
    <row r="1585" spans="1:61" x14ac:dyDescent="0.25">
      <c r="A1585" s="62" t="s">
        <v>608</v>
      </c>
      <c r="B1585" s="62" t="s">
        <v>608</v>
      </c>
      <c r="C1585" s="63"/>
      <c r="D1585" s="64"/>
      <c r="E1585" s="65"/>
      <c r="F1585" s="66"/>
      <c r="G1585" s="63"/>
      <c r="H1585" s="67"/>
      <c r="I1585" s="68"/>
      <c r="J1585" s="68"/>
      <c r="K1585" s="32"/>
      <c r="L1585" s="75">
        <v>1585</v>
      </c>
      <c r="M1585" s="75"/>
      <c r="N1585" s="70"/>
      <c r="O1585" s="77" t="s">
        <v>179</v>
      </c>
      <c r="P1585" s="79">
        <v>45074.705925925926</v>
      </c>
      <c r="Q1585" s="77" t="s">
        <v>2377</v>
      </c>
      <c r="R1585" s="77">
        <v>0</v>
      </c>
      <c r="S1585" s="77">
        <v>0</v>
      </c>
      <c r="T1585" s="77">
        <v>0</v>
      </c>
      <c r="U1585" s="77">
        <v>0</v>
      </c>
      <c r="V1585" s="77">
        <v>42</v>
      </c>
      <c r="W1585" s="81" t="s">
        <v>3745</v>
      </c>
      <c r="X1585" s="77"/>
      <c r="Y1585" s="77"/>
      <c r="Z1585" s="77"/>
      <c r="AA1585" s="77" t="s">
        <v>5446</v>
      </c>
      <c r="AB1585" s="77" t="s">
        <v>5794</v>
      </c>
      <c r="AC1585" s="81" t="s">
        <v>5805</v>
      </c>
      <c r="AD1585" s="77" t="s">
        <v>5853</v>
      </c>
      <c r="AE1585" s="83" t="str">
        <f>HYPERLINK("https://twitter.com/memez_van/status/1662865448696684546")</f>
        <v>https://twitter.com/memez_van/status/1662865448696684546</v>
      </c>
      <c r="AF1585" s="79">
        <v>45074.705925925926</v>
      </c>
      <c r="AG1585" s="85">
        <v>45074</v>
      </c>
      <c r="AH1585" s="81" t="s">
        <v>7235</v>
      </c>
      <c r="AI1585" s="77" t="b">
        <v>0</v>
      </c>
      <c r="AJ1585" s="77"/>
      <c r="AK1585" s="77"/>
      <c r="AL1585" s="77"/>
      <c r="AM1585" s="77"/>
      <c r="AN1585" s="77"/>
      <c r="AO1585" s="77"/>
      <c r="AP1585" s="77"/>
      <c r="AQ1585" s="77" t="s">
        <v>8949</v>
      </c>
      <c r="AR1585" s="77"/>
      <c r="AS1585" s="77"/>
      <c r="AT1585" s="77"/>
      <c r="AU1585" s="77"/>
      <c r="AV1585" s="83" t="str">
        <f>HYPERLINK("https://pbs.twimg.com/media/FxOvTLGWAAAIMvz.png")</f>
        <v>https://pbs.twimg.com/media/FxOvTLGWAAAIMvz.png</v>
      </c>
      <c r="AW1585" s="81" t="s">
        <v>10705</v>
      </c>
      <c r="AX1585" s="81" t="s">
        <v>10705</v>
      </c>
      <c r="AY1585" s="77"/>
      <c r="AZ1585" s="81" t="s">
        <v>11359</v>
      </c>
      <c r="BA1585" s="81" t="s">
        <v>11359</v>
      </c>
      <c r="BB1585" s="81" t="s">
        <v>11359</v>
      </c>
      <c r="BC1585" s="81" t="s">
        <v>10705</v>
      </c>
      <c r="BD1585" s="81" t="s">
        <v>11597</v>
      </c>
      <c r="BE1585" s="77"/>
      <c r="BF1585" s="77"/>
      <c r="BG1585" s="77"/>
      <c r="BH1585" s="77"/>
      <c r="BI1585" s="77"/>
    </row>
    <row r="1586" spans="1:61" x14ac:dyDescent="0.25">
      <c r="A1586" s="62" t="s">
        <v>609</v>
      </c>
      <c r="B1586" s="62" t="s">
        <v>609</v>
      </c>
      <c r="C1586" s="63"/>
      <c r="D1586" s="64"/>
      <c r="E1586" s="65"/>
      <c r="F1586" s="66"/>
      <c r="G1586" s="63"/>
      <c r="H1586" s="67"/>
      <c r="I1586" s="68"/>
      <c r="J1586" s="68"/>
      <c r="K1586" s="32"/>
      <c r="L1586" s="75">
        <v>1586</v>
      </c>
      <c r="M1586" s="75"/>
      <c r="N1586" s="70"/>
      <c r="O1586" s="77" t="s">
        <v>179</v>
      </c>
      <c r="P1586" s="79">
        <v>45006.500324074077</v>
      </c>
      <c r="Q1586" s="77" t="s">
        <v>2378</v>
      </c>
      <c r="R1586" s="77">
        <v>0</v>
      </c>
      <c r="S1586" s="77">
        <v>1</v>
      </c>
      <c r="T1586" s="77">
        <v>0</v>
      </c>
      <c r="U1586" s="77">
        <v>0</v>
      </c>
      <c r="V1586" s="77">
        <v>19</v>
      </c>
      <c r="W1586" s="81" t="s">
        <v>3746</v>
      </c>
      <c r="X1586" s="77"/>
      <c r="Y1586" s="77"/>
      <c r="Z1586" s="77"/>
      <c r="AA1586" s="77" t="s">
        <v>5447</v>
      </c>
      <c r="AB1586" s="77" t="s">
        <v>5794</v>
      </c>
      <c r="AC1586" s="81" t="s">
        <v>5808</v>
      </c>
      <c r="AD1586" s="77" t="s">
        <v>5851</v>
      </c>
      <c r="AE1586" s="83" t="str">
        <f>HYPERLINK("https://twitter.com/chatguruoficial/status/1638148568664948736")</f>
        <v>https://twitter.com/chatguruoficial/status/1638148568664948736</v>
      </c>
      <c r="AF1586" s="79">
        <v>45006.500324074077</v>
      </c>
      <c r="AG1586" s="85">
        <v>45006</v>
      </c>
      <c r="AH1586" s="81" t="s">
        <v>7236</v>
      </c>
      <c r="AI1586" s="77" t="b">
        <v>0</v>
      </c>
      <c r="AJ1586" s="77"/>
      <c r="AK1586" s="77"/>
      <c r="AL1586" s="77"/>
      <c r="AM1586" s="77"/>
      <c r="AN1586" s="77"/>
      <c r="AO1586" s="77"/>
      <c r="AP1586" s="77"/>
      <c r="AQ1586" s="77" t="s">
        <v>8950</v>
      </c>
      <c r="AR1586" s="77"/>
      <c r="AS1586" s="77"/>
      <c r="AT1586" s="77"/>
      <c r="AU1586" s="77"/>
      <c r="AV1586" s="83" t="str">
        <f>HYPERLINK("https://pbs.twimg.com/media/FrvfcTKX0AAAUTE.jpg")</f>
        <v>https://pbs.twimg.com/media/FrvfcTKX0AAAUTE.jpg</v>
      </c>
      <c r="AW1586" s="81" t="s">
        <v>10706</v>
      </c>
      <c r="AX1586" s="81" t="s">
        <v>10706</v>
      </c>
      <c r="AY1586" s="77"/>
      <c r="AZ1586" s="81" t="s">
        <v>11359</v>
      </c>
      <c r="BA1586" s="81" t="s">
        <v>11359</v>
      </c>
      <c r="BB1586" s="81" t="s">
        <v>11359</v>
      </c>
      <c r="BC1586" s="81" t="s">
        <v>10706</v>
      </c>
      <c r="BD1586" s="81" t="s">
        <v>11598</v>
      </c>
      <c r="BE1586" s="77"/>
      <c r="BF1586" s="77"/>
      <c r="BG1586" s="77"/>
      <c r="BH1586" s="77"/>
      <c r="BI1586" s="77"/>
    </row>
    <row r="1587" spans="1:61" x14ac:dyDescent="0.25">
      <c r="A1587" s="62" t="s">
        <v>610</v>
      </c>
      <c r="B1587" s="62" t="s">
        <v>610</v>
      </c>
      <c r="C1587" s="63"/>
      <c r="D1587" s="64"/>
      <c r="E1587" s="65"/>
      <c r="F1587" s="66"/>
      <c r="G1587" s="63"/>
      <c r="H1587" s="67"/>
      <c r="I1587" s="68"/>
      <c r="J1587" s="68"/>
      <c r="K1587" s="32"/>
      <c r="L1587" s="75">
        <v>1587</v>
      </c>
      <c r="M1587" s="75"/>
      <c r="N1587" s="70"/>
      <c r="O1587" s="77" t="s">
        <v>179</v>
      </c>
      <c r="P1587" s="79">
        <v>44984.739594907405</v>
      </c>
      <c r="Q1587" s="77" t="s">
        <v>2379</v>
      </c>
      <c r="R1587" s="77">
        <v>0</v>
      </c>
      <c r="S1587" s="77">
        <v>0</v>
      </c>
      <c r="T1587" s="77">
        <v>0</v>
      </c>
      <c r="U1587" s="77">
        <v>0</v>
      </c>
      <c r="V1587" s="77">
        <v>30</v>
      </c>
      <c r="W1587" s="81" t="s">
        <v>3747</v>
      </c>
      <c r="X1587" s="77"/>
      <c r="Y1587" s="77"/>
      <c r="Z1587" s="77"/>
      <c r="AA1587" s="77" t="s">
        <v>5448</v>
      </c>
      <c r="AB1587" s="77" t="s">
        <v>5795</v>
      </c>
      <c r="AC1587" s="81" t="s">
        <v>5805</v>
      </c>
      <c r="AD1587" s="77" t="s">
        <v>5850</v>
      </c>
      <c r="AE1587" s="83" t="str">
        <f>HYPERLINK("https://twitter.com/century21goldt/status/1630262744350949379")</f>
        <v>https://twitter.com/century21goldt/status/1630262744350949379</v>
      </c>
      <c r="AF1587" s="79">
        <v>44984.739594907405</v>
      </c>
      <c r="AG1587" s="85">
        <v>44984</v>
      </c>
      <c r="AH1587" s="81" t="s">
        <v>7237</v>
      </c>
      <c r="AI1587" s="77" t="b">
        <v>0</v>
      </c>
      <c r="AJ1587" s="77"/>
      <c r="AK1587" s="77"/>
      <c r="AL1587" s="77"/>
      <c r="AM1587" s="77"/>
      <c r="AN1587" s="77"/>
      <c r="AO1587" s="77"/>
      <c r="AP1587" s="77"/>
      <c r="AQ1587" s="77" t="s">
        <v>8951</v>
      </c>
      <c r="AR1587" s="77">
        <v>24000</v>
      </c>
      <c r="AS1587" s="77"/>
      <c r="AT1587" s="77"/>
      <c r="AU1587" s="77"/>
      <c r="AV1587" s="83" t="str">
        <f>HYPERLINK("https://pbs.twimg.com/ext_tw_video_thumb/1630262542059569156/pu/img/8Py07he3m8g9wjVe.jpg")</f>
        <v>https://pbs.twimg.com/ext_tw_video_thumb/1630262542059569156/pu/img/8Py07he3m8g9wjVe.jpg</v>
      </c>
      <c r="AW1587" s="81" t="s">
        <v>10707</v>
      </c>
      <c r="AX1587" s="81" t="s">
        <v>10707</v>
      </c>
      <c r="AY1587" s="77"/>
      <c r="AZ1587" s="81" t="s">
        <v>11359</v>
      </c>
      <c r="BA1587" s="81" t="s">
        <v>11359</v>
      </c>
      <c r="BB1587" s="81" t="s">
        <v>11359</v>
      </c>
      <c r="BC1587" s="81" t="s">
        <v>10707</v>
      </c>
      <c r="BD1587" s="81" t="s">
        <v>11599</v>
      </c>
      <c r="BE1587" s="77"/>
      <c r="BF1587" s="77"/>
      <c r="BG1587" s="77"/>
      <c r="BH1587" s="77"/>
      <c r="BI1587" s="77"/>
    </row>
    <row r="1588" spans="1:61" x14ac:dyDescent="0.25">
      <c r="A1588" s="62" t="s">
        <v>611</v>
      </c>
      <c r="B1588" s="62" t="s">
        <v>611</v>
      </c>
      <c r="C1588" s="63"/>
      <c r="D1588" s="64"/>
      <c r="E1588" s="65"/>
      <c r="F1588" s="66"/>
      <c r="G1588" s="63"/>
      <c r="H1588" s="67"/>
      <c r="I1588" s="68"/>
      <c r="J1588" s="68"/>
      <c r="K1588" s="32"/>
      <c r="L1588" s="75">
        <v>1588</v>
      </c>
      <c r="M1588" s="75"/>
      <c r="N1588" s="70"/>
      <c r="O1588" s="77" t="s">
        <v>179</v>
      </c>
      <c r="P1588" s="79">
        <v>45193.858113425929</v>
      </c>
      <c r="Q1588" s="77" t="s">
        <v>2380</v>
      </c>
      <c r="R1588" s="77">
        <v>1</v>
      </c>
      <c r="S1588" s="77">
        <v>0</v>
      </c>
      <c r="T1588" s="77">
        <v>0</v>
      </c>
      <c r="U1588" s="77">
        <v>0</v>
      </c>
      <c r="V1588" s="77">
        <v>16</v>
      </c>
      <c r="W1588" s="81" t="s">
        <v>3748</v>
      </c>
      <c r="X1588" s="77"/>
      <c r="Y1588" s="77"/>
      <c r="Z1588" s="77"/>
      <c r="AA1588" s="77" t="s">
        <v>5449</v>
      </c>
      <c r="AB1588" s="77" t="s">
        <v>5794</v>
      </c>
      <c r="AC1588" s="81" t="s">
        <v>5801</v>
      </c>
      <c r="AD1588" s="77" t="s">
        <v>5851</v>
      </c>
      <c r="AE1588" s="83" t="str">
        <f>HYPERLINK("https://twitter.com/vinicius198547/status/1706044757217006049")</f>
        <v>https://twitter.com/vinicius198547/status/1706044757217006049</v>
      </c>
      <c r="AF1588" s="79">
        <v>45193.858113425929</v>
      </c>
      <c r="AG1588" s="85">
        <v>45193</v>
      </c>
      <c r="AH1588" s="81" t="s">
        <v>7238</v>
      </c>
      <c r="AI1588" s="77" t="b">
        <v>0</v>
      </c>
      <c r="AJ1588" s="77"/>
      <c r="AK1588" s="77"/>
      <c r="AL1588" s="77"/>
      <c r="AM1588" s="77"/>
      <c r="AN1588" s="77"/>
      <c r="AO1588" s="77"/>
      <c r="AP1588" s="77"/>
      <c r="AQ1588" s="77" t="s">
        <v>8952</v>
      </c>
      <c r="AR1588" s="77"/>
      <c r="AS1588" s="77"/>
      <c r="AT1588" s="77"/>
      <c r="AU1588" s="77"/>
      <c r="AV1588" s="83" t="str">
        <f>HYPERLINK("https://pbs.twimg.com/media/F60WqiNWsAAPnhj.jpg")</f>
        <v>https://pbs.twimg.com/media/F60WqiNWsAAPnhj.jpg</v>
      </c>
      <c r="AW1588" s="81" t="s">
        <v>10708</v>
      </c>
      <c r="AX1588" s="81" t="s">
        <v>10708</v>
      </c>
      <c r="AY1588" s="77"/>
      <c r="AZ1588" s="81" t="s">
        <v>11359</v>
      </c>
      <c r="BA1588" s="81" t="s">
        <v>11359</v>
      </c>
      <c r="BB1588" s="81" t="s">
        <v>11359</v>
      </c>
      <c r="BC1588" s="81" t="s">
        <v>10708</v>
      </c>
      <c r="BD1588" s="81" t="s">
        <v>11600</v>
      </c>
      <c r="BE1588" s="77"/>
      <c r="BF1588" s="77"/>
      <c r="BG1588" s="77"/>
      <c r="BH1588" s="77"/>
      <c r="BI1588" s="77"/>
    </row>
    <row r="1589" spans="1:61" x14ac:dyDescent="0.25">
      <c r="A1589" s="62" t="s">
        <v>612</v>
      </c>
      <c r="B1589" s="62" t="s">
        <v>611</v>
      </c>
      <c r="C1589" s="63"/>
      <c r="D1589" s="64"/>
      <c r="E1589" s="65"/>
      <c r="F1589" s="66"/>
      <c r="G1589" s="63"/>
      <c r="H1589" s="67"/>
      <c r="I1589" s="68"/>
      <c r="J1589" s="68"/>
      <c r="K1589" s="32"/>
      <c r="L1589" s="75">
        <v>1589</v>
      </c>
      <c r="M1589" s="75"/>
      <c r="N1589" s="70"/>
      <c r="O1589" s="77" t="s">
        <v>968</v>
      </c>
      <c r="P1589" s="79">
        <v>45196.034479166665</v>
      </c>
      <c r="Q1589" s="77" t="s">
        <v>2381</v>
      </c>
      <c r="R1589" s="77">
        <v>1</v>
      </c>
      <c r="S1589" s="77">
        <v>0</v>
      </c>
      <c r="T1589" s="77">
        <v>0</v>
      </c>
      <c r="U1589" s="77">
        <v>0</v>
      </c>
      <c r="V1589" s="77"/>
      <c r="W1589" s="81" t="s">
        <v>3748</v>
      </c>
      <c r="X1589" s="77"/>
      <c r="Y1589" s="77"/>
      <c r="Z1589" s="77" t="s">
        <v>611</v>
      </c>
      <c r="AA1589" s="77" t="s">
        <v>5449</v>
      </c>
      <c r="AB1589" s="77" t="s">
        <v>5794</v>
      </c>
      <c r="AC1589" s="81" t="s">
        <v>5803</v>
      </c>
      <c r="AD1589" s="77" t="s">
        <v>5851</v>
      </c>
      <c r="AE1589" s="83" t="str">
        <f>HYPERLINK("https://twitter.com/tatahsouza21/status/1706833447485153285")</f>
        <v>https://twitter.com/tatahsouza21/status/1706833447485153285</v>
      </c>
      <c r="AF1589" s="79">
        <v>45196.034479166665</v>
      </c>
      <c r="AG1589" s="85">
        <v>45196</v>
      </c>
      <c r="AH1589" s="81" t="s">
        <v>7239</v>
      </c>
      <c r="AI1589" s="77" t="b">
        <v>0</v>
      </c>
      <c r="AJ1589" s="77"/>
      <c r="AK1589" s="77"/>
      <c r="AL1589" s="77"/>
      <c r="AM1589" s="77"/>
      <c r="AN1589" s="77"/>
      <c r="AO1589" s="77"/>
      <c r="AP1589" s="77"/>
      <c r="AQ1589" s="77" t="s">
        <v>8952</v>
      </c>
      <c r="AR1589" s="77"/>
      <c r="AS1589" s="77"/>
      <c r="AT1589" s="77"/>
      <c r="AU1589" s="77"/>
      <c r="AV1589" s="83" t="str">
        <f>HYPERLINK("https://pbs.twimg.com/media/F60WqiNWsAAPnhj.jpg")</f>
        <v>https://pbs.twimg.com/media/F60WqiNWsAAPnhj.jpg</v>
      </c>
      <c r="AW1589" s="81" t="s">
        <v>10709</v>
      </c>
      <c r="AX1589" s="81" t="s">
        <v>10709</v>
      </c>
      <c r="AY1589" s="77"/>
      <c r="AZ1589" s="81" t="s">
        <v>11359</v>
      </c>
      <c r="BA1589" s="81" t="s">
        <v>11359</v>
      </c>
      <c r="BB1589" s="81" t="s">
        <v>10708</v>
      </c>
      <c r="BC1589" s="81" t="s">
        <v>10708</v>
      </c>
      <c r="BD1589" s="81" t="s">
        <v>11601</v>
      </c>
      <c r="BE1589" s="77"/>
      <c r="BF1589" s="77"/>
      <c r="BG1589" s="77"/>
      <c r="BH1589" s="77"/>
      <c r="BI1589" s="77"/>
    </row>
    <row r="1590" spans="1:61" x14ac:dyDescent="0.25">
      <c r="A1590" s="62" t="s">
        <v>613</v>
      </c>
      <c r="B1590" s="62" t="s">
        <v>613</v>
      </c>
      <c r="C1590" s="63"/>
      <c r="D1590" s="64"/>
      <c r="E1590" s="65"/>
      <c r="F1590" s="66"/>
      <c r="G1590" s="63"/>
      <c r="H1590" s="67"/>
      <c r="I1590" s="68"/>
      <c r="J1590" s="68"/>
      <c r="K1590" s="32"/>
      <c r="L1590" s="75">
        <v>1590</v>
      </c>
      <c r="M1590" s="75"/>
      <c r="N1590" s="70"/>
      <c r="O1590" s="77" t="s">
        <v>969</v>
      </c>
      <c r="P1590" s="79">
        <v>45018.667361111111</v>
      </c>
      <c r="Q1590" s="77" t="s">
        <v>2382</v>
      </c>
      <c r="R1590" s="77">
        <v>0</v>
      </c>
      <c r="S1590" s="77">
        <v>1</v>
      </c>
      <c r="T1590" s="77">
        <v>0</v>
      </c>
      <c r="U1590" s="77">
        <v>0</v>
      </c>
      <c r="V1590" s="77">
        <v>2179</v>
      </c>
      <c r="W1590" s="81" t="s">
        <v>3749</v>
      </c>
      <c r="X1590" s="77"/>
      <c r="Y1590" s="77"/>
      <c r="Z1590" s="77"/>
      <c r="AA1590" s="77"/>
      <c r="AB1590" s="77"/>
      <c r="AC1590" s="81" t="s">
        <v>5805</v>
      </c>
      <c r="AD1590" s="77" t="s">
        <v>5854</v>
      </c>
      <c r="AE1590" s="83" t="str">
        <f>HYPERLINK("https://twitter.com/cptm_oficial/status/1642557755490795520")</f>
        <v>https://twitter.com/cptm_oficial/status/1642557755490795520</v>
      </c>
      <c r="AF1590" s="79">
        <v>45018.667361111111</v>
      </c>
      <c r="AG1590" s="85">
        <v>45018</v>
      </c>
      <c r="AH1590" s="81" t="s">
        <v>7240</v>
      </c>
      <c r="AI1590" s="77"/>
      <c r="AJ1590" s="77"/>
      <c r="AK1590" s="77"/>
      <c r="AL1590" s="77"/>
      <c r="AM1590" s="77"/>
      <c r="AN1590" s="77"/>
      <c r="AO1590" s="77"/>
      <c r="AP1590" s="77"/>
      <c r="AQ1590" s="77"/>
      <c r="AR1590" s="77"/>
      <c r="AS1590" s="77"/>
      <c r="AT1590" s="77"/>
      <c r="AU1590" s="77"/>
      <c r="AV1590" s="83" t="str">
        <f>HYPERLINK("https://pbs.twimg.com/profile_images/1631720949522341891/Wv7JBC7c_normal.jpg")</f>
        <v>https://pbs.twimg.com/profile_images/1631720949522341891/Wv7JBC7c_normal.jpg</v>
      </c>
      <c r="AW1590" s="81" t="s">
        <v>10710</v>
      </c>
      <c r="AX1590" s="81" t="s">
        <v>11295</v>
      </c>
      <c r="AY1590" s="81" t="s">
        <v>11342</v>
      </c>
      <c r="AZ1590" s="81" t="s">
        <v>11384</v>
      </c>
      <c r="BA1590" s="81" t="s">
        <v>11359</v>
      </c>
      <c r="BB1590" s="81" t="s">
        <v>11359</v>
      </c>
      <c r="BC1590" s="81" t="s">
        <v>11384</v>
      </c>
      <c r="BD1590" s="77">
        <v>75281850</v>
      </c>
      <c r="BE1590" s="77"/>
      <c r="BF1590" s="77"/>
      <c r="BG1590" s="77"/>
      <c r="BH1590" s="77"/>
      <c r="BI1590" s="77"/>
    </row>
    <row r="1591" spans="1:61" x14ac:dyDescent="0.25">
      <c r="A1591" s="62" t="s">
        <v>613</v>
      </c>
      <c r="B1591" s="62" t="s">
        <v>613</v>
      </c>
      <c r="C1591" s="63"/>
      <c r="D1591" s="64"/>
      <c r="E1591" s="65"/>
      <c r="F1591" s="66"/>
      <c r="G1591" s="63"/>
      <c r="H1591" s="67"/>
      <c r="I1591" s="68"/>
      <c r="J1591" s="68"/>
      <c r="K1591" s="32"/>
      <c r="L1591" s="75">
        <v>1591</v>
      </c>
      <c r="M1591" s="75"/>
      <c r="N1591" s="70"/>
      <c r="O1591" s="77" t="s">
        <v>969</v>
      </c>
      <c r="P1591" s="79">
        <v>45017.84070601852</v>
      </c>
      <c r="Q1591" s="77" t="s">
        <v>2383</v>
      </c>
      <c r="R1591" s="77">
        <v>0</v>
      </c>
      <c r="S1591" s="77">
        <v>1</v>
      </c>
      <c r="T1591" s="77">
        <v>0</v>
      </c>
      <c r="U1591" s="77">
        <v>0</v>
      </c>
      <c r="V1591" s="77">
        <v>2080</v>
      </c>
      <c r="W1591" s="81" t="s">
        <v>3750</v>
      </c>
      <c r="X1591" s="77"/>
      <c r="Y1591" s="77"/>
      <c r="Z1591" s="77"/>
      <c r="AA1591" s="77"/>
      <c r="AB1591" s="77"/>
      <c r="AC1591" s="81" t="s">
        <v>5801</v>
      </c>
      <c r="AD1591" s="77" t="s">
        <v>5854</v>
      </c>
      <c r="AE1591" s="83" t="str">
        <f>HYPERLINK("https://twitter.com/cptm_oficial/status/1642258183363215360")</f>
        <v>https://twitter.com/cptm_oficial/status/1642258183363215360</v>
      </c>
      <c r="AF1591" s="79">
        <v>45017.84070601852</v>
      </c>
      <c r="AG1591" s="85">
        <v>45017</v>
      </c>
      <c r="AH1591" s="81" t="s">
        <v>7241</v>
      </c>
      <c r="AI1591" s="77"/>
      <c r="AJ1591" s="77"/>
      <c r="AK1591" s="77"/>
      <c r="AL1591" s="77"/>
      <c r="AM1591" s="77"/>
      <c r="AN1591" s="77"/>
      <c r="AO1591" s="77"/>
      <c r="AP1591" s="77"/>
      <c r="AQ1591" s="77"/>
      <c r="AR1591" s="77"/>
      <c r="AS1591" s="77"/>
      <c r="AT1591" s="77"/>
      <c r="AU1591" s="77"/>
      <c r="AV1591" s="83" t="str">
        <f>HYPERLINK("https://pbs.twimg.com/profile_images/1631720949522341891/Wv7JBC7c_normal.jpg")</f>
        <v>https://pbs.twimg.com/profile_images/1631720949522341891/Wv7JBC7c_normal.jpg</v>
      </c>
      <c r="AW1591" s="81" t="s">
        <v>10711</v>
      </c>
      <c r="AX1591" s="81" t="s">
        <v>11296</v>
      </c>
      <c r="AY1591" s="81" t="s">
        <v>11342</v>
      </c>
      <c r="AZ1591" s="81" t="s">
        <v>11385</v>
      </c>
      <c r="BA1591" s="81" t="s">
        <v>11359</v>
      </c>
      <c r="BB1591" s="81" t="s">
        <v>11359</v>
      </c>
      <c r="BC1591" s="81" t="s">
        <v>11385</v>
      </c>
      <c r="BD1591" s="77">
        <v>75281850</v>
      </c>
      <c r="BE1591" s="77"/>
      <c r="BF1591" s="77"/>
      <c r="BG1591" s="77"/>
      <c r="BH1591" s="77"/>
      <c r="BI1591" s="77"/>
    </row>
    <row r="1592" spans="1:61" x14ac:dyDescent="0.25">
      <c r="A1592" s="62" t="s">
        <v>613</v>
      </c>
      <c r="B1592" s="62" t="s">
        <v>613</v>
      </c>
      <c r="C1592" s="63"/>
      <c r="D1592" s="64"/>
      <c r="E1592" s="65"/>
      <c r="F1592" s="66"/>
      <c r="G1592" s="63"/>
      <c r="H1592" s="67"/>
      <c r="I1592" s="68"/>
      <c r="J1592" s="68"/>
      <c r="K1592" s="32"/>
      <c r="L1592" s="75">
        <v>1592</v>
      </c>
      <c r="M1592" s="75"/>
      <c r="N1592" s="70"/>
      <c r="O1592" s="77" t="s">
        <v>969</v>
      </c>
      <c r="P1592" s="79">
        <v>45016.703298611108</v>
      </c>
      <c r="Q1592" s="77" t="s">
        <v>2384</v>
      </c>
      <c r="R1592" s="77">
        <v>0</v>
      </c>
      <c r="S1592" s="77">
        <v>1</v>
      </c>
      <c r="T1592" s="77">
        <v>0</v>
      </c>
      <c r="U1592" s="77">
        <v>0</v>
      </c>
      <c r="V1592" s="77">
        <v>2091</v>
      </c>
      <c r="W1592" s="81" t="s">
        <v>3751</v>
      </c>
      <c r="X1592" s="77"/>
      <c r="Y1592" s="77"/>
      <c r="Z1592" s="77"/>
      <c r="AA1592" s="77"/>
      <c r="AB1592" s="77"/>
      <c r="AC1592" s="81" t="s">
        <v>5805</v>
      </c>
      <c r="AD1592" s="77" t="s">
        <v>5854</v>
      </c>
      <c r="AE1592" s="83" t="str">
        <f>HYPERLINK("https://twitter.com/cptm_oficial/status/1641846002121428995")</f>
        <v>https://twitter.com/cptm_oficial/status/1641846002121428995</v>
      </c>
      <c r="AF1592" s="79">
        <v>45016.703298611108</v>
      </c>
      <c r="AG1592" s="85">
        <v>45016</v>
      </c>
      <c r="AH1592" s="81" t="s">
        <v>7242</v>
      </c>
      <c r="AI1592" s="77"/>
      <c r="AJ1592" s="77"/>
      <c r="AK1592" s="77"/>
      <c r="AL1592" s="77"/>
      <c r="AM1592" s="77"/>
      <c r="AN1592" s="77"/>
      <c r="AO1592" s="77"/>
      <c r="AP1592" s="77"/>
      <c r="AQ1592" s="77"/>
      <c r="AR1592" s="77"/>
      <c r="AS1592" s="77"/>
      <c r="AT1592" s="77"/>
      <c r="AU1592" s="77"/>
      <c r="AV1592" s="83" t="str">
        <f>HYPERLINK("https://pbs.twimg.com/profile_images/1631720949522341891/Wv7JBC7c_normal.jpg")</f>
        <v>https://pbs.twimg.com/profile_images/1631720949522341891/Wv7JBC7c_normal.jpg</v>
      </c>
      <c r="AW1592" s="81" t="s">
        <v>10712</v>
      </c>
      <c r="AX1592" s="81" t="s">
        <v>11297</v>
      </c>
      <c r="AY1592" s="81" t="s">
        <v>11342</v>
      </c>
      <c r="AZ1592" s="81" t="s">
        <v>11386</v>
      </c>
      <c r="BA1592" s="81" t="s">
        <v>11359</v>
      </c>
      <c r="BB1592" s="81" t="s">
        <v>11359</v>
      </c>
      <c r="BC1592" s="81" t="s">
        <v>11386</v>
      </c>
      <c r="BD1592" s="77">
        <v>75281850</v>
      </c>
      <c r="BE1592" s="77"/>
      <c r="BF1592" s="77"/>
      <c r="BG1592" s="77"/>
      <c r="BH1592" s="77"/>
      <c r="BI1592" s="77"/>
    </row>
    <row r="1593" spans="1:61" x14ac:dyDescent="0.25">
      <c r="A1593" s="62" t="s">
        <v>613</v>
      </c>
      <c r="B1593" s="62" t="s">
        <v>613</v>
      </c>
      <c r="C1593" s="63"/>
      <c r="D1593" s="64"/>
      <c r="E1593" s="65"/>
      <c r="F1593" s="66"/>
      <c r="G1593" s="63"/>
      <c r="H1593" s="67"/>
      <c r="I1593" s="68"/>
      <c r="J1593" s="68"/>
      <c r="K1593" s="32"/>
      <c r="L1593" s="75">
        <v>1593</v>
      </c>
      <c r="M1593" s="75"/>
      <c r="N1593" s="70"/>
      <c r="O1593" s="77" t="s">
        <v>969</v>
      </c>
      <c r="P1593" s="79">
        <v>45014.832650462966</v>
      </c>
      <c r="Q1593" s="77" t="s">
        <v>2385</v>
      </c>
      <c r="R1593" s="77">
        <v>0</v>
      </c>
      <c r="S1593" s="77">
        <v>2</v>
      </c>
      <c r="T1593" s="77">
        <v>0</v>
      </c>
      <c r="U1593" s="77">
        <v>0</v>
      </c>
      <c r="V1593" s="77">
        <v>3967</v>
      </c>
      <c r="W1593" s="81" t="s">
        <v>3752</v>
      </c>
      <c r="X1593" s="77"/>
      <c r="Y1593" s="77"/>
      <c r="Z1593" s="77"/>
      <c r="AA1593" s="77"/>
      <c r="AB1593" s="77"/>
      <c r="AC1593" s="81" t="s">
        <v>5805</v>
      </c>
      <c r="AD1593" s="77" t="s">
        <v>5854</v>
      </c>
      <c r="AE1593" s="83" t="str">
        <f>HYPERLINK("https://twitter.com/cptm_oficial/status/1641168099981312001")</f>
        <v>https://twitter.com/cptm_oficial/status/1641168099981312001</v>
      </c>
      <c r="AF1593" s="79">
        <v>45014.832650462966</v>
      </c>
      <c r="AG1593" s="85">
        <v>45014</v>
      </c>
      <c r="AH1593" s="81" t="s">
        <v>7243</v>
      </c>
      <c r="AI1593" s="77"/>
      <c r="AJ1593" s="77"/>
      <c r="AK1593" s="77"/>
      <c r="AL1593" s="77"/>
      <c r="AM1593" s="77"/>
      <c r="AN1593" s="77"/>
      <c r="AO1593" s="77"/>
      <c r="AP1593" s="77"/>
      <c r="AQ1593" s="77"/>
      <c r="AR1593" s="77"/>
      <c r="AS1593" s="77"/>
      <c r="AT1593" s="77"/>
      <c r="AU1593" s="77"/>
      <c r="AV1593" s="83" t="str">
        <f>HYPERLINK("https://pbs.twimg.com/profile_images/1631720949522341891/Wv7JBC7c_normal.jpg")</f>
        <v>https://pbs.twimg.com/profile_images/1631720949522341891/Wv7JBC7c_normal.jpg</v>
      </c>
      <c r="AW1593" s="81" t="s">
        <v>10713</v>
      </c>
      <c r="AX1593" s="81" t="s">
        <v>11298</v>
      </c>
      <c r="AY1593" s="81" t="s">
        <v>11342</v>
      </c>
      <c r="AZ1593" s="81" t="s">
        <v>11387</v>
      </c>
      <c r="BA1593" s="81" t="s">
        <v>11359</v>
      </c>
      <c r="BB1593" s="81" t="s">
        <v>11359</v>
      </c>
      <c r="BC1593" s="81" t="s">
        <v>11387</v>
      </c>
      <c r="BD1593" s="77">
        <v>75281850</v>
      </c>
      <c r="BE1593" s="77"/>
      <c r="BF1593" s="77"/>
      <c r="BG1593" s="77"/>
      <c r="BH1593" s="77"/>
      <c r="BI1593" s="77"/>
    </row>
    <row r="1594" spans="1:61" x14ac:dyDescent="0.25">
      <c r="A1594" s="62" t="s">
        <v>613</v>
      </c>
      <c r="B1594" s="62" t="s">
        <v>613</v>
      </c>
      <c r="C1594" s="63"/>
      <c r="D1594" s="64"/>
      <c r="E1594" s="65"/>
      <c r="F1594" s="66"/>
      <c r="G1594" s="63"/>
      <c r="H1594" s="67"/>
      <c r="I1594" s="68"/>
      <c r="J1594" s="68"/>
      <c r="K1594" s="32"/>
      <c r="L1594" s="75">
        <v>1594</v>
      </c>
      <c r="M1594" s="75"/>
      <c r="N1594" s="70"/>
      <c r="O1594" s="77" t="s">
        <v>969</v>
      </c>
      <c r="P1594" s="79">
        <v>45013.835335648146</v>
      </c>
      <c r="Q1594" s="77" t="s">
        <v>2386</v>
      </c>
      <c r="R1594" s="77">
        <v>0</v>
      </c>
      <c r="S1594" s="77">
        <v>3</v>
      </c>
      <c r="T1594" s="77">
        <v>0</v>
      </c>
      <c r="U1594" s="77">
        <v>0</v>
      </c>
      <c r="V1594" s="77">
        <v>2514</v>
      </c>
      <c r="W1594" s="81" t="s">
        <v>3752</v>
      </c>
      <c r="X1594" s="83" t="str">
        <f>HYPERLINK("https://bit.ly/empreendarapidomulheres")</f>
        <v>https://bit.ly/empreendarapidomulheres</v>
      </c>
      <c r="Y1594" s="77" t="s">
        <v>4213</v>
      </c>
      <c r="Z1594" s="77"/>
      <c r="AA1594" s="77"/>
      <c r="AB1594" s="77"/>
      <c r="AC1594" s="81" t="s">
        <v>5805</v>
      </c>
      <c r="AD1594" s="77" t="s">
        <v>5851</v>
      </c>
      <c r="AE1594" s="83" t="str">
        <f>HYPERLINK("https://twitter.com/cptm_oficial/status/1640806684753907730")</f>
        <v>https://twitter.com/cptm_oficial/status/1640806684753907730</v>
      </c>
      <c r="AF1594" s="79">
        <v>45013.835335648146</v>
      </c>
      <c r="AG1594" s="85">
        <v>45013</v>
      </c>
      <c r="AH1594" s="81" t="s">
        <v>7244</v>
      </c>
      <c r="AI1594" s="77" t="b">
        <v>0</v>
      </c>
      <c r="AJ1594" s="77"/>
      <c r="AK1594" s="77"/>
      <c r="AL1594" s="77"/>
      <c r="AM1594" s="77"/>
      <c r="AN1594" s="77"/>
      <c r="AO1594" s="77"/>
      <c r="AP1594" s="77"/>
      <c r="AQ1594" s="77"/>
      <c r="AR1594" s="77"/>
      <c r="AS1594" s="77"/>
      <c r="AT1594" s="77"/>
      <c r="AU1594" s="77"/>
      <c r="AV1594" s="83" t="str">
        <f>HYPERLINK("https://pbs.twimg.com/profile_images/1631720949522341891/Wv7JBC7c_normal.jpg")</f>
        <v>https://pbs.twimg.com/profile_images/1631720949522341891/Wv7JBC7c_normal.jpg</v>
      </c>
      <c r="AW1594" s="81" t="s">
        <v>10714</v>
      </c>
      <c r="AX1594" s="81" t="s">
        <v>11299</v>
      </c>
      <c r="AY1594" s="81" t="s">
        <v>11342</v>
      </c>
      <c r="AZ1594" s="81" t="s">
        <v>11388</v>
      </c>
      <c r="BA1594" s="81" t="s">
        <v>11359</v>
      </c>
      <c r="BB1594" s="81" t="s">
        <v>11359</v>
      </c>
      <c r="BC1594" s="81" t="s">
        <v>11388</v>
      </c>
      <c r="BD1594" s="77">
        <v>75281850</v>
      </c>
      <c r="BE1594" s="77"/>
      <c r="BF1594" s="77"/>
      <c r="BG1594" s="77"/>
      <c r="BH1594" s="77"/>
      <c r="BI1594" s="77"/>
    </row>
    <row r="1595" spans="1:61" x14ac:dyDescent="0.25">
      <c r="A1595" s="62" t="s">
        <v>613</v>
      </c>
      <c r="B1595" s="62" t="s">
        <v>613</v>
      </c>
      <c r="C1595" s="63"/>
      <c r="D1595" s="64"/>
      <c r="E1595" s="65"/>
      <c r="F1595" s="66"/>
      <c r="G1595" s="63"/>
      <c r="H1595" s="67"/>
      <c r="I1595" s="68"/>
      <c r="J1595" s="68"/>
      <c r="K1595" s="32"/>
      <c r="L1595" s="75">
        <v>1595</v>
      </c>
      <c r="M1595" s="75"/>
      <c r="N1595" s="70"/>
      <c r="O1595" s="77" t="s">
        <v>969</v>
      </c>
      <c r="P1595" s="79">
        <v>45012.844108796293</v>
      </c>
      <c r="Q1595" s="77" t="s">
        <v>2385</v>
      </c>
      <c r="R1595" s="77">
        <v>0</v>
      </c>
      <c r="S1595" s="77">
        <v>2</v>
      </c>
      <c r="T1595" s="77">
        <v>0</v>
      </c>
      <c r="U1595" s="77">
        <v>0</v>
      </c>
      <c r="V1595" s="77">
        <v>2140</v>
      </c>
      <c r="W1595" s="81" t="s">
        <v>3752</v>
      </c>
      <c r="X1595" s="77"/>
      <c r="Y1595" s="77"/>
      <c r="Z1595" s="77"/>
      <c r="AA1595" s="77"/>
      <c r="AB1595" s="77"/>
      <c r="AC1595" s="81" t="s">
        <v>5805</v>
      </c>
      <c r="AD1595" s="77" t="s">
        <v>5854</v>
      </c>
      <c r="AE1595" s="83" t="str">
        <f>HYPERLINK("https://twitter.com/cptm_oficial/status/1640447479765147673")</f>
        <v>https://twitter.com/cptm_oficial/status/1640447479765147673</v>
      </c>
      <c r="AF1595" s="79">
        <v>45012.844108796293</v>
      </c>
      <c r="AG1595" s="85">
        <v>45012</v>
      </c>
      <c r="AH1595" s="81" t="s">
        <v>7245</v>
      </c>
      <c r="AI1595" s="77"/>
      <c r="AJ1595" s="77"/>
      <c r="AK1595" s="77"/>
      <c r="AL1595" s="77"/>
      <c r="AM1595" s="77"/>
      <c r="AN1595" s="77"/>
      <c r="AO1595" s="77"/>
      <c r="AP1595" s="77"/>
      <c r="AQ1595" s="77"/>
      <c r="AR1595" s="77"/>
      <c r="AS1595" s="77"/>
      <c r="AT1595" s="77"/>
      <c r="AU1595" s="77"/>
      <c r="AV1595" s="83" t="str">
        <f>HYPERLINK("https://pbs.twimg.com/profile_images/1631720949522341891/Wv7JBC7c_normal.jpg")</f>
        <v>https://pbs.twimg.com/profile_images/1631720949522341891/Wv7JBC7c_normal.jpg</v>
      </c>
      <c r="AW1595" s="81" t="s">
        <v>10715</v>
      </c>
      <c r="AX1595" s="81" t="s">
        <v>11300</v>
      </c>
      <c r="AY1595" s="81" t="s">
        <v>11342</v>
      </c>
      <c r="AZ1595" s="81" t="s">
        <v>11389</v>
      </c>
      <c r="BA1595" s="81" t="s">
        <v>11359</v>
      </c>
      <c r="BB1595" s="81" t="s">
        <v>11359</v>
      </c>
      <c r="BC1595" s="81" t="s">
        <v>11389</v>
      </c>
      <c r="BD1595" s="77">
        <v>75281850</v>
      </c>
      <c r="BE1595" s="77"/>
      <c r="BF1595" s="77"/>
      <c r="BG1595" s="77"/>
      <c r="BH1595" s="77"/>
      <c r="BI1595" s="77"/>
    </row>
    <row r="1596" spans="1:61" x14ac:dyDescent="0.25">
      <c r="A1596" s="62" t="s">
        <v>614</v>
      </c>
      <c r="B1596" s="62" t="s">
        <v>614</v>
      </c>
      <c r="C1596" s="63"/>
      <c r="D1596" s="64"/>
      <c r="E1596" s="65"/>
      <c r="F1596" s="66"/>
      <c r="G1596" s="63"/>
      <c r="H1596" s="67"/>
      <c r="I1596" s="68"/>
      <c r="J1596" s="68"/>
      <c r="K1596" s="32"/>
      <c r="L1596" s="75">
        <v>1596</v>
      </c>
      <c r="M1596" s="75"/>
      <c r="N1596" s="70"/>
      <c r="O1596" s="77" t="s">
        <v>179</v>
      </c>
      <c r="P1596" s="79">
        <v>44995.783518518518</v>
      </c>
      <c r="Q1596" s="77" t="s">
        <v>2387</v>
      </c>
      <c r="R1596" s="77">
        <v>0</v>
      </c>
      <c r="S1596" s="77">
        <v>0</v>
      </c>
      <c r="T1596" s="77">
        <v>0</v>
      </c>
      <c r="U1596" s="77">
        <v>0</v>
      </c>
      <c r="V1596" s="77">
        <v>28</v>
      </c>
      <c r="W1596" s="81" t="s">
        <v>3753</v>
      </c>
      <c r="X1596" s="77"/>
      <c r="Y1596" s="77"/>
      <c r="Z1596" s="77"/>
      <c r="AA1596" s="77" t="s">
        <v>5450</v>
      </c>
      <c r="AB1596" s="77" t="s">
        <v>5794</v>
      </c>
      <c r="AC1596" s="81" t="s">
        <v>5806</v>
      </c>
      <c r="AD1596" s="77" t="s">
        <v>5851</v>
      </c>
      <c r="AE1596" s="83" t="str">
        <f>HYPERLINK("https://twitter.com/thesauce_ag/status/1634264928381968409")</f>
        <v>https://twitter.com/thesauce_ag/status/1634264928381968409</v>
      </c>
      <c r="AF1596" s="79">
        <v>44995.783518518518</v>
      </c>
      <c r="AG1596" s="85">
        <v>44995</v>
      </c>
      <c r="AH1596" s="81" t="s">
        <v>7246</v>
      </c>
      <c r="AI1596" s="77" t="b">
        <v>0</v>
      </c>
      <c r="AJ1596" s="77"/>
      <c r="AK1596" s="77"/>
      <c r="AL1596" s="77"/>
      <c r="AM1596" s="77"/>
      <c r="AN1596" s="77"/>
      <c r="AO1596" s="77"/>
      <c r="AP1596" s="77"/>
      <c r="AQ1596" s="77" t="s">
        <v>8953</v>
      </c>
      <c r="AR1596" s="77"/>
      <c r="AS1596" s="77"/>
      <c r="AT1596" s="77"/>
      <c r="AU1596" s="77"/>
      <c r="AV1596" s="83" t="str">
        <f>HYPERLINK("https://pbs.twimg.com/media/Fq4TSrXWIAIMbnV.jpg")</f>
        <v>https://pbs.twimg.com/media/Fq4TSrXWIAIMbnV.jpg</v>
      </c>
      <c r="AW1596" s="81" t="s">
        <v>10716</v>
      </c>
      <c r="AX1596" s="81" t="s">
        <v>10716</v>
      </c>
      <c r="AY1596" s="77"/>
      <c r="AZ1596" s="81" t="s">
        <v>11359</v>
      </c>
      <c r="BA1596" s="81" t="s">
        <v>11359</v>
      </c>
      <c r="BB1596" s="81" t="s">
        <v>11359</v>
      </c>
      <c r="BC1596" s="81" t="s">
        <v>10716</v>
      </c>
      <c r="BD1596" s="81" t="s">
        <v>11602</v>
      </c>
      <c r="BE1596" s="77"/>
      <c r="BF1596" s="77"/>
      <c r="BG1596" s="77"/>
      <c r="BH1596" s="77"/>
      <c r="BI1596" s="77"/>
    </row>
    <row r="1597" spans="1:61" x14ac:dyDescent="0.25">
      <c r="A1597" s="62" t="s">
        <v>615</v>
      </c>
      <c r="B1597" s="62" t="s">
        <v>933</v>
      </c>
      <c r="C1597" s="63"/>
      <c r="D1597" s="64"/>
      <c r="E1597" s="65"/>
      <c r="F1597" s="66"/>
      <c r="G1597" s="63"/>
      <c r="H1597" s="67"/>
      <c r="I1597" s="68"/>
      <c r="J1597" s="68"/>
      <c r="K1597" s="32"/>
      <c r="L1597" s="75">
        <v>1597</v>
      </c>
      <c r="M1597" s="75"/>
      <c r="N1597" s="70"/>
      <c r="O1597" s="77" t="s">
        <v>967</v>
      </c>
      <c r="P1597" s="79">
        <v>45100.57439814815</v>
      </c>
      <c r="Q1597" s="77" t="s">
        <v>2388</v>
      </c>
      <c r="R1597" s="77">
        <v>1</v>
      </c>
      <c r="S1597" s="77">
        <v>1</v>
      </c>
      <c r="T1597" s="77">
        <v>0</v>
      </c>
      <c r="U1597" s="77">
        <v>0</v>
      </c>
      <c r="V1597" s="77">
        <v>54</v>
      </c>
      <c r="W1597" s="81" t="s">
        <v>3754</v>
      </c>
      <c r="X1597" s="77"/>
      <c r="Y1597" s="77"/>
      <c r="Z1597" s="77" t="s">
        <v>933</v>
      </c>
      <c r="AA1597" s="77" t="s">
        <v>5451</v>
      </c>
      <c r="AB1597" s="77" t="s">
        <v>5795</v>
      </c>
      <c r="AC1597" s="81" t="s">
        <v>5803</v>
      </c>
      <c r="AD1597" s="77" t="s">
        <v>5851</v>
      </c>
      <c r="AE1597" s="83" t="str">
        <f>HYPERLINK("https://twitter.com/papodevendedor/status/1672239868619923459")</f>
        <v>https://twitter.com/papodevendedor/status/1672239868619923459</v>
      </c>
      <c r="AF1597" s="79">
        <v>45100.57439814815</v>
      </c>
      <c r="AG1597" s="85">
        <v>45100</v>
      </c>
      <c r="AH1597" s="81" t="s">
        <v>7247</v>
      </c>
      <c r="AI1597" s="77" t="b">
        <v>0</v>
      </c>
      <c r="AJ1597" s="77"/>
      <c r="AK1597" s="77"/>
      <c r="AL1597" s="77"/>
      <c r="AM1597" s="77"/>
      <c r="AN1597" s="77"/>
      <c r="AO1597" s="77"/>
      <c r="AP1597" s="77"/>
      <c r="AQ1597" s="77" t="s">
        <v>8954</v>
      </c>
      <c r="AR1597" s="77">
        <v>45000</v>
      </c>
      <c r="AS1597" s="77"/>
      <c r="AT1597" s="77"/>
      <c r="AU1597" s="77"/>
      <c r="AV1597" s="83" t="str">
        <f>HYPERLINK("https://pbs.twimg.com/ext_tw_video_thumb/1672239775833628676/pu/img/BozyiVEKbxDiFWsK.jpg")</f>
        <v>https://pbs.twimg.com/ext_tw_video_thumb/1672239775833628676/pu/img/BozyiVEKbxDiFWsK.jpg</v>
      </c>
      <c r="AW1597" s="81" t="s">
        <v>10717</v>
      </c>
      <c r="AX1597" s="81" t="s">
        <v>10717</v>
      </c>
      <c r="AY1597" s="77"/>
      <c r="AZ1597" s="81" t="s">
        <v>11359</v>
      </c>
      <c r="BA1597" s="81" t="s">
        <v>11359</v>
      </c>
      <c r="BB1597" s="81" t="s">
        <v>11359</v>
      </c>
      <c r="BC1597" s="81" t="s">
        <v>10717</v>
      </c>
      <c r="BD1597" s="81" t="s">
        <v>11603</v>
      </c>
      <c r="BE1597" s="77"/>
      <c r="BF1597" s="77"/>
      <c r="BG1597" s="77"/>
      <c r="BH1597" s="77"/>
      <c r="BI1597" s="77"/>
    </row>
    <row r="1598" spans="1:61" x14ac:dyDescent="0.25">
      <c r="A1598" s="62" t="s">
        <v>616</v>
      </c>
      <c r="B1598" s="62" t="s">
        <v>616</v>
      </c>
      <c r="C1598" s="63"/>
      <c r="D1598" s="64"/>
      <c r="E1598" s="65"/>
      <c r="F1598" s="66"/>
      <c r="G1598" s="63"/>
      <c r="H1598" s="67"/>
      <c r="I1598" s="68"/>
      <c r="J1598" s="68"/>
      <c r="K1598" s="32"/>
      <c r="L1598" s="75">
        <v>1598</v>
      </c>
      <c r="M1598" s="75"/>
      <c r="N1598" s="70"/>
      <c r="O1598" s="77" t="s">
        <v>179</v>
      </c>
      <c r="P1598" s="79">
        <v>44985.875011574077</v>
      </c>
      <c r="Q1598" s="77" t="s">
        <v>2389</v>
      </c>
      <c r="R1598" s="77">
        <v>1</v>
      </c>
      <c r="S1598" s="77">
        <v>1</v>
      </c>
      <c r="T1598" s="77">
        <v>0</v>
      </c>
      <c r="U1598" s="77">
        <v>0</v>
      </c>
      <c r="V1598" s="77">
        <v>49</v>
      </c>
      <c r="W1598" s="81" t="s">
        <v>3755</v>
      </c>
      <c r="X1598" s="77"/>
      <c r="Y1598" s="77"/>
      <c r="Z1598" s="77"/>
      <c r="AA1598" s="77" t="s">
        <v>5452</v>
      </c>
      <c r="AB1598" s="77" t="s">
        <v>5794</v>
      </c>
      <c r="AC1598" s="81" t="s">
        <v>5811</v>
      </c>
      <c r="AD1598" s="77" t="s">
        <v>5850</v>
      </c>
      <c r="AE1598" s="83" t="str">
        <f>HYPERLINK("https://twitter.com/focushr_/status/1630674202968875022")</f>
        <v>https://twitter.com/focushr_/status/1630674202968875022</v>
      </c>
      <c r="AF1598" s="79">
        <v>44985.875011574077</v>
      </c>
      <c r="AG1598" s="85">
        <v>44985</v>
      </c>
      <c r="AH1598" s="81" t="s">
        <v>7248</v>
      </c>
      <c r="AI1598" s="77" t="b">
        <v>0</v>
      </c>
      <c r="AJ1598" s="77"/>
      <c r="AK1598" s="77"/>
      <c r="AL1598" s="77"/>
      <c r="AM1598" s="77"/>
      <c r="AN1598" s="77"/>
      <c r="AO1598" s="77"/>
      <c r="AP1598" s="77"/>
      <c r="AQ1598" s="77" t="s">
        <v>8955</v>
      </c>
      <c r="AR1598" s="77"/>
      <c r="AS1598" s="77"/>
      <c r="AT1598" s="77"/>
      <c r="AU1598" s="77"/>
      <c r="AV1598" s="83" t="str">
        <f>HYPERLINK("https://pbs.twimg.com/media/Fp_bnohWYAEuTDt.jpg")</f>
        <v>https://pbs.twimg.com/media/Fp_bnohWYAEuTDt.jpg</v>
      </c>
      <c r="AW1598" s="81" t="s">
        <v>10718</v>
      </c>
      <c r="AX1598" s="81" t="s">
        <v>10718</v>
      </c>
      <c r="AY1598" s="77"/>
      <c r="AZ1598" s="81" t="s">
        <v>11359</v>
      </c>
      <c r="BA1598" s="81" t="s">
        <v>11359</v>
      </c>
      <c r="BB1598" s="81" t="s">
        <v>11359</v>
      </c>
      <c r="BC1598" s="81" t="s">
        <v>10718</v>
      </c>
      <c r="BD1598" s="81" t="s">
        <v>11604</v>
      </c>
      <c r="BE1598" s="77"/>
      <c r="BF1598" s="77"/>
      <c r="BG1598" s="77"/>
      <c r="BH1598" s="77"/>
      <c r="BI1598" s="77"/>
    </row>
    <row r="1599" spans="1:61" x14ac:dyDescent="0.25">
      <c r="A1599" s="62" t="s">
        <v>617</v>
      </c>
      <c r="B1599" s="62" t="s">
        <v>617</v>
      </c>
      <c r="C1599" s="63"/>
      <c r="D1599" s="64"/>
      <c r="E1599" s="65"/>
      <c r="F1599" s="66"/>
      <c r="G1599" s="63"/>
      <c r="H1599" s="67"/>
      <c r="I1599" s="68"/>
      <c r="J1599" s="68"/>
      <c r="K1599" s="32"/>
      <c r="L1599" s="75">
        <v>1599</v>
      </c>
      <c r="M1599" s="75"/>
      <c r="N1599" s="70"/>
      <c r="O1599" s="77" t="s">
        <v>179</v>
      </c>
      <c r="P1599" s="79">
        <v>45101.681226851855</v>
      </c>
      <c r="Q1599" s="77" t="s">
        <v>2390</v>
      </c>
      <c r="R1599" s="77">
        <v>0</v>
      </c>
      <c r="S1599" s="77">
        <v>0</v>
      </c>
      <c r="T1599" s="77">
        <v>0</v>
      </c>
      <c r="U1599" s="77">
        <v>0</v>
      </c>
      <c r="V1599" s="77">
        <v>61</v>
      </c>
      <c r="W1599" s="81" t="s">
        <v>3756</v>
      </c>
      <c r="X1599" s="83" t="str">
        <f>HYPERLINK("https://lnkd.in/g7rvqQ3i")</f>
        <v>https://lnkd.in/g7rvqQ3i</v>
      </c>
      <c r="Y1599" s="77" t="s">
        <v>4221</v>
      </c>
      <c r="Z1599" s="77"/>
      <c r="AA1599" s="77" t="s">
        <v>5453</v>
      </c>
      <c r="AB1599" s="77" t="s">
        <v>5794</v>
      </c>
      <c r="AC1599" s="81" t="s">
        <v>5805</v>
      </c>
      <c r="AD1599" s="77" t="s">
        <v>5850</v>
      </c>
      <c r="AE1599" s="83" t="str">
        <f>HYPERLINK("https://twitter.com/consultores_dp/status/1672640970343473152")</f>
        <v>https://twitter.com/consultores_dp/status/1672640970343473152</v>
      </c>
      <c r="AF1599" s="79">
        <v>45101.681226851855</v>
      </c>
      <c r="AG1599" s="85">
        <v>45101</v>
      </c>
      <c r="AH1599" s="81" t="s">
        <v>7249</v>
      </c>
      <c r="AI1599" s="77" t="b">
        <v>0</v>
      </c>
      <c r="AJ1599" s="77"/>
      <c r="AK1599" s="77"/>
      <c r="AL1599" s="77"/>
      <c r="AM1599" s="77"/>
      <c r="AN1599" s="77"/>
      <c r="AO1599" s="77"/>
      <c r="AP1599" s="77"/>
      <c r="AQ1599" s="77" t="s">
        <v>8956</v>
      </c>
      <c r="AR1599" s="77"/>
      <c r="AS1599" s="77"/>
      <c r="AT1599" s="77"/>
      <c r="AU1599" s="77"/>
      <c r="AV1599" s="83" t="str">
        <f>HYPERLINK("https://pbs.twimg.com/media/FzZqENIXwAAeZdf.jpg")</f>
        <v>https://pbs.twimg.com/media/FzZqENIXwAAeZdf.jpg</v>
      </c>
      <c r="AW1599" s="81" t="s">
        <v>10719</v>
      </c>
      <c r="AX1599" s="81" t="s">
        <v>10719</v>
      </c>
      <c r="AY1599" s="77"/>
      <c r="AZ1599" s="81" t="s">
        <v>11359</v>
      </c>
      <c r="BA1599" s="81" t="s">
        <v>11359</v>
      </c>
      <c r="BB1599" s="81" t="s">
        <v>11359</v>
      </c>
      <c r="BC1599" s="81" t="s">
        <v>10719</v>
      </c>
      <c r="BD1599" s="77">
        <v>3050174172</v>
      </c>
      <c r="BE1599" s="77"/>
      <c r="BF1599" s="77"/>
      <c r="BG1599" s="77"/>
      <c r="BH1599" s="77"/>
      <c r="BI1599" s="77"/>
    </row>
    <row r="1600" spans="1:61" x14ac:dyDescent="0.25">
      <c r="A1600" s="62" t="s">
        <v>618</v>
      </c>
      <c r="B1600" s="62" t="s">
        <v>618</v>
      </c>
      <c r="C1600" s="63"/>
      <c r="D1600" s="64"/>
      <c r="E1600" s="65"/>
      <c r="F1600" s="66"/>
      <c r="G1600" s="63"/>
      <c r="H1600" s="67"/>
      <c r="I1600" s="68"/>
      <c r="J1600" s="68"/>
      <c r="K1600" s="32"/>
      <c r="L1600" s="75">
        <v>1600</v>
      </c>
      <c r="M1600" s="75"/>
      <c r="N1600" s="70"/>
      <c r="O1600" s="77" t="s">
        <v>179</v>
      </c>
      <c r="P1600" s="79">
        <v>45058.883703703701</v>
      </c>
      <c r="Q1600" s="77" t="s">
        <v>2391</v>
      </c>
      <c r="R1600" s="77">
        <v>0</v>
      </c>
      <c r="S1600" s="77">
        <v>1</v>
      </c>
      <c r="T1600" s="77">
        <v>0</v>
      </c>
      <c r="U1600" s="77">
        <v>0</v>
      </c>
      <c r="V1600" s="77">
        <v>38</v>
      </c>
      <c r="W1600" s="81" t="s">
        <v>3757</v>
      </c>
      <c r="X1600" s="77"/>
      <c r="Y1600" s="77"/>
      <c r="Z1600" s="77"/>
      <c r="AA1600" s="77" t="s">
        <v>5454</v>
      </c>
      <c r="AB1600" s="77" t="s">
        <v>5794</v>
      </c>
      <c r="AC1600" s="81" t="s">
        <v>5801</v>
      </c>
      <c r="AD1600" s="77" t="s">
        <v>5850</v>
      </c>
      <c r="AE1600" s="83" t="str">
        <f>HYPERLINK("https://twitter.com/m_garciaarranz/status/1657131666979028992")</f>
        <v>https://twitter.com/m_garciaarranz/status/1657131666979028992</v>
      </c>
      <c r="AF1600" s="79">
        <v>45058.883703703701</v>
      </c>
      <c r="AG1600" s="85">
        <v>45058</v>
      </c>
      <c r="AH1600" s="81" t="s">
        <v>7250</v>
      </c>
      <c r="AI1600" s="77" t="b">
        <v>0</v>
      </c>
      <c r="AJ1600" s="77"/>
      <c r="AK1600" s="77"/>
      <c r="AL1600" s="77"/>
      <c r="AM1600" s="77"/>
      <c r="AN1600" s="77"/>
      <c r="AO1600" s="77"/>
      <c r="AP1600" s="77"/>
      <c r="AQ1600" s="77" t="s">
        <v>8957</v>
      </c>
      <c r="AR1600" s="77"/>
      <c r="AS1600" s="77"/>
      <c r="AT1600" s="77"/>
      <c r="AU1600" s="77"/>
      <c r="AV1600" s="83" t="str">
        <f>HYPERLINK("https://pbs.twimg.com/media/Fv9Qd_pWcAMgy0B.jpg")</f>
        <v>https://pbs.twimg.com/media/Fv9Qd_pWcAMgy0B.jpg</v>
      </c>
      <c r="AW1600" s="81" t="s">
        <v>10720</v>
      </c>
      <c r="AX1600" s="81" t="s">
        <v>10720</v>
      </c>
      <c r="AY1600" s="77"/>
      <c r="AZ1600" s="81" t="s">
        <v>11359</v>
      </c>
      <c r="BA1600" s="81" t="s">
        <v>11359</v>
      </c>
      <c r="BB1600" s="81" t="s">
        <v>11359</v>
      </c>
      <c r="BC1600" s="81" t="s">
        <v>10720</v>
      </c>
      <c r="BD1600" s="77">
        <v>4217513265</v>
      </c>
      <c r="BE1600" s="77"/>
      <c r="BF1600" s="77"/>
      <c r="BG1600" s="77"/>
      <c r="BH1600" s="77"/>
      <c r="BI1600" s="77"/>
    </row>
    <row r="1601" spans="1:61" x14ac:dyDescent="0.25">
      <c r="A1601" s="62" t="s">
        <v>619</v>
      </c>
      <c r="B1601" s="62" t="s">
        <v>619</v>
      </c>
      <c r="C1601" s="63"/>
      <c r="D1601" s="64"/>
      <c r="E1601" s="65"/>
      <c r="F1601" s="66"/>
      <c r="G1601" s="63"/>
      <c r="H1601" s="67"/>
      <c r="I1601" s="68"/>
      <c r="J1601" s="68"/>
      <c r="K1601" s="32"/>
      <c r="L1601" s="75">
        <v>1601</v>
      </c>
      <c r="M1601" s="75"/>
      <c r="N1601" s="70"/>
      <c r="O1601" s="77" t="s">
        <v>179</v>
      </c>
      <c r="P1601" s="79">
        <v>45082.807523148149</v>
      </c>
      <c r="Q1601" s="77" t="s">
        <v>2392</v>
      </c>
      <c r="R1601" s="77">
        <v>0</v>
      </c>
      <c r="S1601" s="77">
        <v>1</v>
      </c>
      <c r="T1601" s="77">
        <v>0</v>
      </c>
      <c r="U1601" s="77">
        <v>0</v>
      </c>
      <c r="V1601" s="77">
        <v>7</v>
      </c>
      <c r="W1601" s="81" t="s">
        <v>3758</v>
      </c>
      <c r="X1601" s="77"/>
      <c r="Y1601" s="77"/>
      <c r="Z1601" s="77"/>
      <c r="AA1601" s="77" t="s">
        <v>5455</v>
      </c>
      <c r="AB1601" s="77" t="s">
        <v>5794</v>
      </c>
      <c r="AC1601" s="81" t="s">
        <v>5805</v>
      </c>
      <c r="AD1601" s="77" t="s">
        <v>5851</v>
      </c>
      <c r="AE1601" s="83" t="str">
        <f>HYPERLINK("https://twitter.com/yessagenciaweb/status/1665801371344334849")</f>
        <v>https://twitter.com/yessagenciaweb/status/1665801371344334849</v>
      </c>
      <c r="AF1601" s="79">
        <v>45082.807523148149</v>
      </c>
      <c r="AG1601" s="85">
        <v>45082</v>
      </c>
      <c r="AH1601" s="81" t="s">
        <v>7251</v>
      </c>
      <c r="AI1601" s="77" t="b">
        <v>0</v>
      </c>
      <c r="AJ1601" s="77"/>
      <c r="AK1601" s="77"/>
      <c r="AL1601" s="77"/>
      <c r="AM1601" s="77"/>
      <c r="AN1601" s="77"/>
      <c r="AO1601" s="77"/>
      <c r="AP1601" s="77"/>
      <c r="AQ1601" s="77" t="s">
        <v>8958</v>
      </c>
      <c r="AR1601" s="77"/>
      <c r="AS1601" s="77"/>
      <c r="AT1601" s="77"/>
      <c r="AU1601" s="77"/>
      <c r="AV1601" s="83" t="str">
        <f>HYPERLINK("https://pbs.twimg.com/media/Fx4b8FkWAAEHBVg.jpg")</f>
        <v>https://pbs.twimg.com/media/Fx4b8FkWAAEHBVg.jpg</v>
      </c>
      <c r="AW1601" s="81" t="s">
        <v>10721</v>
      </c>
      <c r="AX1601" s="81" t="s">
        <v>10721</v>
      </c>
      <c r="AY1601" s="77"/>
      <c r="AZ1601" s="81" t="s">
        <v>11359</v>
      </c>
      <c r="BA1601" s="81" t="s">
        <v>11359</v>
      </c>
      <c r="BB1601" s="81" t="s">
        <v>11359</v>
      </c>
      <c r="BC1601" s="81" t="s">
        <v>10721</v>
      </c>
      <c r="BD1601" s="77">
        <v>214195415</v>
      </c>
      <c r="BE1601" s="77"/>
      <c r="BF1601" s="77"/>
      <c r="BG1601" s="77"/>
      <c r="BH1601" s="77"/>
      <c r="BI1601" s="77"/>
    </row>
    <row r="1602" spans="1:61" x14ac:dyDescent="0.25">
      <c r="A1602" s="62" t="s">
        <v>620</v>
      </c>
      <c r="B1602" s="62" t="s">
        <v>620</v>
      </c>
      <c r="C1602" s="63"/>
      <c r="D1602" s="64"/>
      <c r="E1602" s="65"/>
      <c r="F1602" s="66"/>
      <c r="G1602" s="63"/>
      <c r="H1602" s="67"/>
      <c r="I1602" s="68"/>
      <c r="J1602" s="68"/>
      <c r="K1602" s="32"/>
      <c r="L1602" s="75">
        <v>1602</v>
      </c>
      <c r="M1602" s="75"/>
      <c r="N1602" s="70"/>
      <c r="O1602" s="77" t="s">
        <v>179</v>
      </c>
      <c r="P1602" s="79">
        <v>45128.682175925926</v>
      </c>
      <c r="Q1602" s="77" t="s">
        <v>2393</v>
      </c>
      <c r="R1602" s="77">
        <v>0</v>
      </c>
      <c r="S1602" s="77">
        <v>0</v>
      </c>
      <c r="T1602" s="77">
        <v>0</v>
      </c>
      <c r="U1602" s="77">
        <v>0</v>
      </c>
      <c r="V1602" s="77">
        <v>18</v>
      </c>
      <c r="W1602" s="81" t="s">
        <v>3759</v>
      </c>
      <c r="X1602" s="77"/>
      <c r="Y1602" s="77"/>
      <c r="Z1602" s="77"/>
      <c r="AA1602" s="77"/>
      <c r="AB1602" s="77"/>
      <c r="AC1602" s="81" t="s">
        <v>5801</v>
      </c>
      <c r="AD1602" s="77" t="s">
        <v>5850</v>
      </c>
      <c r="AE1602" s="83" t="str">
        <f>HYPERLINK("https://twitter.com/alimentadorweb/status/1682425789025755137")</f>
        <v>https://twitter.com/alimentadorweb/status/1682425789025755137</v>
      </c>
      <c r="AF1602" s="79">
        <v>45128.682175925926</v>
      </c>
      <c r="AG1602" s="85">
        <v>45128</v>
      </c>
      <c r="AH1602" s="81" t="s">
        <v>7252</v>
      </c>
      <c r="AI1602" s="77"/>
      <c r="AJ1602" s="77"/>
      <c r="AK1602" s="77"/>
      <c r="AL1602" s="77"/>
      <c r="AM1602" s="77"/>
      <c r="AN1602" s="77"/>
      <c r="AO1602" s="77"/>
      <c r="AP1602" s="77"/>
      <c r="AQ1602" s="77"/>
      <c r="AR1602" s="77"/>
      <c r="AS1602" s="77"/>
      <c r="AT1602" s="77"/>
      <c r="AU1602" s="77"/>
      <c r="AV1602" s="83" t="str">
        <f>HYPERLINK("https://pbs.twimg.com/profile_images/1674197390620864512/ZDXPCJBw_normal.jpg")</f>
        <v>https://pbs.twimg.com/profile_images/1674197390620864512/ZDXPCJBw_normal.jpg</v>
      </c>
      <c r="AW1602" s="81" t="s">
        <v>10722</v>
      </c>
      <c r="AX1602" s="81" t="s">
        <v>10722</v>
      </c>
      <c r="AY1602" s="77"/>
      <c r="AZ1602" s="81" t="s">
        <v>11359</v>
      </c>
      <c r="BA1602" s="81" t="s">
        <v>11359</v>
      </c>
      <c r="BB1602" s="81" t="s">
        <v>11359</v>
      </c>
      <c r="BC1602" s="81" t="s">
        <v>10722</v>
      </c>
      <c r="BD1602" s="81" t="s">
        <v>11605</v>
      </c>
      <c r="BE1602" s="77"/>
      <c r="BF1602" s="77"/>
      <c r="BG1602" s="77"/>
      <c r="BH1602" s="77"/>
      <c r="BI1602" s="77"/>
    </row>
    <row r="1603" spans="1:61" x14ac:dyDescent="0.25">
      <c r="A1603" s="62" t="s">
        <v>621</v>
      </c>
      <c r="B1603" s="62" t="s">
        <v>621</v>
      </c>
      <c r="C1603" s="63"/>
      <c r="D1603" s="64"/>
      <c r="E1603" s="65"/>
      <c r="F1603" s="66"/>
      <c r="G1603" s="63"/>
      <c r="H1603" s="67"/>
      <c r="I1603" s="68"/>
      <c r="J1603" s="68"/>
      <c r="K1603" s="32"/>
      <c r="L1603" s="75">
        <v>1603</v>
      </c>
      <c r="M1603" s="75"/>
      <c r="N1603" s="70"/>
      <c r="O1603" s="77" t="s">
        <v>179</v>
      </c>
      <c r="P1603" s="79">
        <v>45086.896678240744</v>
      </c>
      <c r="Q1603" s="77" t="s">
        <v>2394</v>
      </c>
      <c r="R1603" s="77">
        <v>0</v>
      </c>
      <c r="S1603" s="77">
        <v>0</v>
      </c>
      <c r="T1603" s="77">
        <v>0</v>
      </c>
      <c r="U1603" s="77">
        <v>0</v>
      </c>
      <c r="V1603" s="77">
        <v>15</v>
      </c>
      <c r="W1603" s="81" t="s">
        <v>3760</v>
      </c>
      <c r="X1603" s="83" t="str">
        <f>HYPERLINK("https://i.mtr.cool/jnynlbnvza")</f>
        <v>https://i.mtr.cool/jnynlbnvza</v>
      </c>
      <c r="Y1603" s="77" t="s">
        <v>4289</v>
      </c>
      <c r="Z1603" s="77"/>
      <c r="AA1603" s="77"/>
      <c r="AB1603" s="77"/>
      <c r="AC1603" s="81" t="s">
        <v>5812</v>
      </c>
      <c r="AD1603" s="77" t="s">
        <v>5850</v>
      </c>
      <c r="AE1603" s="83" t="str">
        <f>HYPERLINK("https://twitter.com/inteligencia999/status/1667283231073349634")</f>
        <v>https://twitter.com/inteligencia999/status/1667283231073349634</v>
      </c>
      <c r="AF1603" s="79">
        <v>45086.896678240744</v>
      </c>
      <c r="AG1603" s="85">
        <v>45086</v>
      </c>
      <c r="AH1603" s="81" t="s">
        <v>7253</v>
      </c>
      <c r="AI1603" s="77" t="b">
        <v>0</v>
      </c>
      <c r="AJ1603" s="77"/>
      <c r="AK1603" s="77"/>
      <c r="AL1603" s="77"/>
      <c r="AM1603" s="77"/>
      <c r="AN1603" s="77"/>
      <c r="AO1603" s="77"/>
      <c r="AP1603" s="77"/>
      <c r="AQ1603" s="77"/>
      <c r="AR1603" s="77"/>
      <c r="AS1603" s="77"/>
      <c r="AT1603" s="77"/>
      <c r="AU1603" s="77"/>
      <c r="AV1603" s="83" t="str">
        <f>HYPERLINK("https://pbs.twimg.com/profile_images/458876770234560512/35qYhvkm_normal.jpeg")</f>
        <v>https://pbs.twimg.com/profile_images/458876770234560512/35qYhvkm_normal.jpeg</v>
      </c>
      <c r="AW1603" s="81" t="s">
        <v>10723</v>
      </c>
      <c r="AX1603" s="81" t="s">
        <v>10723</v>
      </c>
      <c r="AY1603" s="77"/>
      <c r="AZ1603" s="81" t="s">
        <v>11359</v>
      </c>
      <c r="BA1603" s="81" t="s">
        <v>11359</v>
      </c>
      <c r="BB1603" s="81" t="s">
        <v>11359</v>
      </c>
      <c r="BC1603" s="81" t="s">
        <v>10723</v>
      </c>
      <c r="BD1603" s="77">
        <v>76388353</v>
      </c>
      <c r="BE1603" s="77"/>
      <c r="BF1603" s="77"/>
      <c r="BG1603" s="77"/>
      <c r="BH1603" s="77"/>
      <c r="BI1603" s="77"/>
    </row>
    <row r="1604" spans="1:61" x14ac:dyDescent="0.25">
      <c r="A1604" s="62" t="s">
        <v>621</v>
      </c>
      <c r="B1604" s="62" t="s">
        <v>621</v>
      </c>
      <c r="C1604" s="63"/>
      <c r="D1604" s="64"/>
      <c r="E1604" s="65"/>
      <c r="F1604" s="66"/>
      <c r="G1604" s="63"/>
      <c r="H1604" s="67"/>
      <c r="I1604" s="68"/>
      <c r="J1604" s="68"/>
      <c r="K1604" s="32"/>
      <c r="L1604" s="75">
        <v>1604</v>
      </c>
      <c r="M1604" s="75"/>
      <c r="N1604" s="70"/>
      <c r="O1604" s="77" t="s">
        <v>179</v>
      </c>
      <c r="P1604" s="79">
        <v>44987.605000000003</v>
      </c>
      <c r="Q1604" s="77" t="s">
        <v>2395</v>
      </c>
      <c r="R1604" s="77">
        <v>0</v>
      </c>
      <c r="S1604" s="77">
        <v>0</v>
      </c>
      <c r="T1604" s="77">
        <v>0</v>
      </c>
      <c r="U1604" s="77">
        <v>0</v>
      </c>
      <c r="V1604" s="77">
        <v>8</v>
      </c>
      <c r="W1604" s="81" t="s">
        <v>3760</v>
      </c>
      <c r="X1604" s="83" t="str">
        <f>HYPERLINK("https://i.mtr.cool/crnvbpheal")</f>
        <v>https://i.mtr.cool/crnvbpheal</v>
      </c>
      <c r="Y1604" s="77" t="s">
        <v>4289</v>
      </c>
      <c r="Z1604" s="77"/>
      <c r="AA1604" s="77"/>
      <c r="AB1604" s="77"/>
      <c r="AC1604" s="81" t="s">
        <v>5812</v>
      </c>
      <c r="AD1604" s="77" t="s">
        <v>5850</v>
      </c>
      <c r="AE1604" s="83" t="str">
        <f>HYPERLINK("https://twitter.com/inteligencia999/status/1631301132554326016")</f>
        <v>https://twitter.com/inteligencia999/status/1631301132554326016</v>
      </c>
      <c r="AF1604" s="79">
        <v>44987.605000000003</v>
      </c>
      <c r="AG1604" s="85">
        <v>44987</v>
      </c>
      <c r="AH1604" s="81" t="s">
        <v>7254</v>
      </c>
      <c r="AI1604" s="77" t="b">
        <v>0</v>
      </c>
      <c r="AJ1604" s="77"/>
      <c r="AK1604" s="77"/>
      <c r="AL1604" s="77"/>
      <c r="AM1604" s="77"/>
      <c r="AN1604" s="77"/>
      <c r="AO1604" s="77"/>
      <c r="AP1604" s="77"/>
      <c r="AQ1604" s="77"/>
      <c r="AR1604" s="77"/>
      <c r="AS1604" s="77"/>
      <c r="AT1604" s="77"/>
      <c r="AU1604" s="77"/>
      <c r="AV1604" s="83" t="str">
        <f>HYPERLINK("https://pbs.twimg.com/profile_images/458876770234560512/35qYhvkm_normal.jpeg")</f>
        <v>https://pbs.twimg.com/profile_images/458876770234560512/35qYhvkm_normal.jpeg</v>
      </c>
      <c r="AW1604" s="81" t="s">
        <v>10724</v>
      </c>
      <c r="AX1604" s="81" t="s">
        <v>10724</v>
      </c>
      <c r="AY1604" s="77"/>
      <c r="AZ1604" s="81" t="s">
        <v>11359</v>
      </c>
      <c r="BA1604" s="81" t="s">
        <v>11359</v>
      </c>
      <c r="BB1604" s="81" t="s">
        <v>11359</v>
      </c>
      <c r="BC1604" s="81" t="s">
        <v>10724</v>
      </c>
      <c r="BD1604" s="77">
        <v>76388353</v>
      </c>
      <c r="BE1604" s="77"/>
      <c r="BF1604" s="77"/>
      <c r="BG1604" s="77"/>
      <c r="BH1604" s="77"/>
      <c r="BI1604" s="77"/>
    </row>
    <row r="1605" spans="1:61" x14ac:dyDescent="0.25">
      <c r="A1605" s="62" t="s">
        <v>621</v>
      </c>
      <c r="B1605" s="62" t="s">
        <v>621</v>
      </c>
      <c r="C1605" s="63"/>
      <c r="D1605" s="64"/>
      <c r="E1605" s="65"/>
      <c r="F1605" s="66"/>
      <c r="G1605" s="63"/>
      <c r="H1605" s="67"/>
      <c r="I1605" s="68"/>
      <c r="J1605" s="68"/>
      <c r="K1605" s="32"/>
      <c r="L1605" s="75">
        <v>1605</v>
      </c>
      <c r="M1605" s="75"/>
      <c r="N1605" s="70"/>
      <c r="O1605" s="77" t="s">
        <v>179</v>
      </c>
      <c r="P1605" s="79">
        <v>45187.896782407406</v>
      </c>
      <c r="Q1605" s="77" t="s">
        <v>2396</v>
      </c>
      <c r="R1605" s="77">
        <v>0</v>
      </c>
      <c r="S1605" s="77">
        <v>0</v>
      </c>
      <c r="T1605" s="77">
        <v>0</v>
      </c>
      <c r="U1605" s="77">
        <v>0</v>
      </c>
      <c r="V1605" s="77">
        <v>7</v>
      </c>
      <c r="W1605" s="81" t="s">
        <v>3760</v>
      </c>
      <c r="X1605" s="83" t="str">
        <f>HYPERLINK("https://mtr.cool/rxlvsbpxwi")</f>
        <v>https://mtr.cool/rxlvsbpxwi</v>
      </c>
      <c r="Y1605" s="77" t="s">
        <v>4289</v>
      </c>
      <c r="Z1605" s="77"/>
      <c r="AA1605" s="77"/>
      <c r="AB1605" s="77"/>
      <c r="AC1605" s="81" t="s">
        <v>5812</v>
      </c>
      <c r="AD1605" s="77" t="s">
        <v>5850</v>
      </c>
      <c r="AE1605" s="83" t="str">
        <f>HYPERLINK("https://twitter.com/inteligencia999/status/1703884444082315521")</f>
        <v>https://twitter.com/inteligencia999/status/1703884444082315521</v>
      </c>
      <c r="AF1605" s="79">
        <v>45187.896782407406</v>
      </c>
      <c r="AG1605" s="85">
        <v>45187</v>
      </c>
      <c r="AH1605" s="81" t="s">
        <v>7255</v>
      </c>
      <c r="AI1605" s="77" t="b">
        <v>0</v>
      </c>
      <c r="AJ1605" s="77"/>
      <c r="AK1605" s="77"/>
      <c r="AL1605" s="77"/>
      <c r="AM1605" s="77"/>
      <c r="AN1605" s="77"/>
      <c r="AO1605" s="77"/>
      <c r="AP1605" s="77"/>
      <c r="AQ1605" s="77"/>
      <c r="AR1605" s="77"/>
      <c r="AS1605" s="77"/>
      <c r="AT1605" s="77"/>
      <c r="AU1605" s="77"/>
      <c r="AV1605" s="83" t="str">
        <f>HYPERLINK("https://pbs.twimg.com/profile_images/458876770234560512/35qYhvkm_normal.jpeg")</f>
        <v>https://pbs.twimg.com/profile_images/458876770234560512/35qYhvkm_normal.jpeg</v>
      </c>
      <c r="AW1605" s="81" t="s">
        <v>10725</v>
      </c>
      <c r="AX1605" s="81" t="s">
        <v>10725</v>
      </c>
      <c r="AY1605" s="77"/>
      <c r="AZ1605" s="81" t="s">
        <v>11359</v>
      </c>
      <c r="BA1605" s="81" t="s">
        <v>11359</v>
      </c>
      <c r="BB1605" s="81" t="s">
        <v>11359</v>
      </c>
      <c r="BC1605" s="81" t="s">
        <v>10725</v>
      </c>
      <c r="BD1605" s="77">
        <v>76388353</v>
      </c>
      <c r="BE1605" s="77"/>
      <c r="BF1605" s="77"/>
      <c r="BG1605" s="77"/>
      <c r="BH1605" s="77"/>
      <c r="BI1605" s="77"/>
    </row>
    <row r="1606" spans="1:61" x14ac:dyDescent="0.25">
      <c r="A1606" s="62" t="s">
        <v>622</v>
      </c>
      <c r="B1606" s="62" t="s">
        <v>622</v>
      </c>
      <c r="C1606" s="63"/>
      <c r="D1606" s="64"/>
      <c r="E1606" s="65"/>
      <c r="F1606" s="66"/>
      <c r="G1606" s="63"/>
      <c r="H1606" s="67"/>
      <c r="I1606" s="68"/>
      <c r="J1606" s="68"/>
      <c r="K1606" s="32"/>
      <c r="L1606" s="75">
        <v>1606</v>
      </c>
      <c r="M1606" s="75"/>
      <c r="N1606" s="70"/>
      <c r="O1606" s="77" t="s">
        <v>179</v>
      </c>
      <c r="P1606" s="79">
        <v>45027.448935185188</v>
      </c>
      <c r="Q1606" s="77" t="s">
        <v>2397</v>
      </c>
      <c r="R1606" s="77">
        <v>1</v>
      </c>
      <c r="S1606" s="77">
        <v>1</v>
      </c>
      <c r="T1606" s="77">
        <v>0</v>
      </c>
      <c r="U1606" s="77">
        <v>0</v>
      </c>
      <c r="V1606" s="77">
        <v>7</v>
      </c>
      <c r="W1606" s="81" t="s">
        <v>3761</v>
      </c>
      <c r="X1606" s="77"/>
      <c r="Y1606" s="77"/>
      <c r="Z1606" s="77"/>
      <c r="AA1606" s="77"/>
      <c r="AB1606" s="77"/>
      <c r="AC1606" s="81" t="s">
        <v>5801</v>
      </c>
      <c r="AD1606" s="77" t="s">
        <v>5851</v>
      </c>
      <c r="AE1606" s="83" t="str">
        <f>HYPERLINK("https://twitter.com/julioce81307211/status/1645740091204141061")</f>
        <v>https://twitter.com/julioce81307211/status/1645740091204141061</v>
      </c>
      <c r="AF1606" s="79">
        <v>45027.448935185188</v>
      </c>
      <c r="AG1606" s="85">
        <v>45027</v>
      </c>
      <c r="AH1606" s="81" t="s">
        <v>7256</v>
      </c>
      <c r="AI1606" s="77"/>
      <c r="AJ1606" s="77" t="s">
        <v>7737</v>
      </c>
      <c r="AK1606" s="77" t="s">
        <v>7763</v>
      </c>
      <c r="AL1606" s="77" t="s">
        <v>7772</v>
      </c>
      <c r="AM1606" s="77" t="s">
        <v>7791</v>
      </c>
      <c r="AN1606" s="77" t="s">
        <v>7827</v>
      </c>
      <c r="AO1606" s="77" t="s">
        <v>7863</v>
      </c>
      <c r="AP1606" s="77" t="s">
        <v>7889</v>
      </c>
      <c r="AQ1606" s="77"/>
      <c r="AR1606" s="77"/>
      <c r="AS1606" s="77"/>
      <c r="AT1606" s="77"/>
      <c r="AU1606" s="77"/>
      <c r="AV1606" s="83" t="str">
        <f>HYPERLINK("https://pbs.twimg.com/profile_images/1601251603406884864/aKiDQL9S_normal.jpg")</f>
        <v>https://pbs.twimg.com/profile_images/1601251603406884864/aKiDQL9S_normal.jpg</v>
      </c>
      <c r="AW1606" s="81" t="s">
        <v>10726</v>
      </c>
      <c r="AX1606" s="81" t="s">
        <v>10726</v>
      </c>
      <c r="AY1606" s="77"/>
      <c r="AZ1606" s="81" t="s">
        <v>11359</v>
      </c>
      <c r="BA1606" s="81" t="s">
        <v>11359</v>
      </c>
      <c r="BB1606" s="81" t="s">
        <v>11359</v>
      </c>
      <c r="BC1606" s="81" t="s">
        <v>10726</v>
      </c>
      <c r="BD1606" s="81" t="s">
        <v>11606</v>
      </c>
      <c r="BE1606" s="77"/>
      <c r="BF1606" s="77"/>
      <c r="BG1606" s="77"/>
      <c r="BH1606" s="77"/>
      <c r="BI1606" s="77"/>
    </row>
    <row r="1607" spans="1:61" x14ac:dyDescent="0.25">
      <c r="A1607" s="62" t="s">
        <v>623</v>
      </c>
      <c r="B1607" s="62" t="s">
        <v>623</v>
      </c>
      <c r="C1607" s="63"/>
      <c r="D1607" s="64"/>
      <c r="E1607" s="65"/>
      <c r="F1607" s="66"/>
      <c r="G1607" s="63"/>
      <c r="H1607" s="67"/>
      <c r="I1607" s="68"/>
      <c r="J1607" s="68"/>
      <c r="K1607" s="32"/>
      <c r="L1607" s="75">
        <v>1607</v>
      </c>
      <c r="M1607" s="75"/>
      <c r="N1607" s="70"/>
      <c r="O1607" s="77" t="s">
        <v>179</v>
      </c>
      <c r="P1607" s="79">
        <v>44932.8753125</v>
      </c>
      <c r="Q1607" s="77" t="s">
        <v>2398</v>
      </c>
      <c r="R1607" s="77">
        <v>0</v>
      </c>
      <c r="S1607" s="77">
        <v>0</v>
      </c>
      <c r="T1607" s="77">
        <v>0</v>
      </c>
      <c r="U1607" s="77">
        <v>0</v>
      </c>
      <c r="V1607" s="77">
        <v>9</v>
      </c>
      <c r="W1607" s="81" t="s">
        <v>3762</v>
      </c>
      <c r="X1607" s="77"/>
      <c r="Y1607" s="77"/>
      <c r="Z1607" s="77"/>
      <c r="AA1607" s="77" t="s">
        <v>5456</v>
      </c>
      <c r="AB1607" s="77" t="s">
        <v>5794</v>
      </c>
      <c r="AC1607" s="81" t="s">
        <v>5838</v>
      </c>
      <c r="AD1607" s="77" t="s">
        <v>5850</v>
      </c>
      <c r="AE1607" s="83" t="str">
        <f>HYPERLINK("https://twitter.com/mtzompantzi/status/1611467756569874434")</f>
        <v>https://twitter.com/mtzompantzi/status/1611467756569874434</v>
      </c>
      <c r="AF1607" s="79">
        <v>44932.8753125</v>
      </c>
      <c r="AG1607" s="85">
        <v>44932</v>
      </c>
      <c r="AH1607" s="81" t="s">
        <v>7257</v>
      </c>
      <c r="AI1607" s="77" t="b">
        <v>0</v>
      </c>
      <c r="AJ1607" s="77"/>
      <c r="AK1607" s="77"/>
      <c r="AL1607" s="77"/>
      <c r="AM1607" s="77"/>
      <c r="AN1607" s="77"/>
      <c r="AO1607" s="77"/>
      <c r="AP1607" s="77"/>
      <c r="AQ1607" s="77" t="s">
        <v>8959</v>
      </c>
      <c r="AR1607" s="77"/>
      <c r="AS1607" s="77"/>
      <c r="AT1607" s="77"/>
      <c r="AU1607" s="77"/>
      <c r="AV1607" s="83" t="str">
        <f>HYPERLINK("https://pbs.twimg.com/media/Fl0VYETX0A0Rig_.jpg")</f>
        <v>https://pbs.twimg.com/media/Fl0VYETX0A0Rig_.jpg</v>
      </c>
      <c r="AW1607" s="81" t="s">
        <v>10727</v>
      </c>
      <c r="AX1607" s="81" t="s">
        <v>10727</v>
      </c>
      <c r="AY1607" s="77"/>
      <c r="AZ1607" s="81" t="s">
        <v>11359</v>
      </c>
      <c r="BA1607" s="81" t="s">
        <v>11359</v>
      </c>
      <c r="BB1607" s="81" t="s">
        <v>11359</v>
      </c>
      <c r="BC1607" s="81" t="s">
        <v>10727</v>
      </c>
      <c r="BD1607" s="77">
        <v>164289162</v>
      </c>
      <c r="BE1607" s="77"/>
      <c r="BF1607" s="77"/>
      <c r="BG1607" s="77"/>
      <c r="BH1607" s="77"/>
      <c r="BI1607" s="77"/>
    </row>
    <row r="1608" spans="1:61" x14ac:dyDescent="0.25">
      <c r="A1608" s="62" t="s">
        <v>623</v>
      </c>
      <c r="B1608" s="62" t="s">
        <v>623</v>
      </c>
      <c r="C1608" s="63"/>
      <c r="D1608" s="64"/>
      <c r="E1608" s="65"/>
      <c r="F1608" s="66"/>
      <c r="G1608" s="63"/>
      <c r="H1608" s="67"/>
      <c r="I1608" s="68"/>
      <c r="J1608" s="68"/>
      <c r="K1608" s="32"/>
      <c r="L1608" s="75">
        <v>1608</v>
      </c>
      <c r="M1608" s="75"/>
      <c r="N1608" s="70"/>
      <c r="O1608" s="77" t="s">
        <v>179</v>
      </c>
      <c r="P1608" s="79">
        <v>44949.875613425924</v>
      </c>
      <c r="Q1608" s="77" t="s">
        <v>2399</v>
      </c>
      <c r="R1608" s="77">
        <v>0</v>
      </c>
      <c r="S1608" s="77">
        <v>0</v>
      </c>
      <c r="T1608" s="77">
        <v>0</v>
      </c>
      <c r="U1608" s="77">
        <v>0</v>
      </c>
      <c r="V1608" s="77">
        <v>6</v>
      </c>
      <c r="W1608" s="81" t="s">
        <v>3763</v>
      </c>
      <c r="X1608" s="77"/>
      <c r="Y1608" s="77"/>
      <c r="Z1608" s="77"/>
      <c r="AA1608" s="77" t="s">
        <v>5457</v>
      </c>
      <c r="AB1608" s="77" t="s">
        <v>5794</v>
      </c>
      <c r="AC1608" s="81" t="s">
        <v>5838</v>
      </c>
      <c r="AD1608" s="77" t="s">
        <v>5850</v>
      </c>
      <c r="AE1608" s="83" t="str">
        <f>HYPERLINK("https://twitter.com/mtzompantzi/status/1617628459722760195")</f>
        <v>https://twitter.com/mtzompantzi/status/1617628459722760195</v>
      </c>
      <c r="AF1608" s="79">
        <v>44949.875613425924</v>
      </c>
      <c r="AG1608" s="85">
        <v>44949</v>
      </c>
      <c r="AH1608" s="81" t="s">
        <v>7258</v>
      </c>
      <c r="AI1608" s="77" t="b">
        <v>0</v>
      </c>
      <c r="AJ1608" s="77"/>
      <c r="AK1608" s="77"/>
      <c r="AL1608" s="77"/>
      <c r="AM1608" s="77"/>
      <c r="AN1608" s="77"/>
      <c r="AO1608" s="77"/>
      <c r="AP1608" s="77"/>
      <c r="AQ1608" s="77" t="s">
        <v>8960</v>
      </c>
      <c r="AR1608" s="77"/>
      <c r="AS1608" s="77"/>
      <c r="AT1608" s="77"/>
      <c r="AU1608" s="77"/>
      <c r="AV1608" s="83" t="str">
        <f>HYPERLINK("https://pbs.twimg.com/media/FnL4gjQXkAAw72q.jpg")</f>
        <v>https://pbs.twimg.com/media/FnL4gjQXkAAw72q.jpg</v>
      </c>
      <c r="AW1608" s="81" t="s">
        <v>10728</v>
      </c>
      <c r="AX1608" s="81" t="s">
        <v>10728</v>
      </c>
      <c r="AY1608" s="77"/>
      <c r="AZ1608" s="81" t="s">
        <v>11359</v>
      </c>
      <c r="BA1608" s="81" t="s">
        <v>11359</v>
      </c>
      <c r="BB1608" s="81" t="s">
        <v>11359</v>
      </c>
      <c r="BC1608" s="81" t="s">
        <v>10728</v>
      </c>
      <c r="BD1608" s="77">
        <v>164289162</v>
      </c>
      <c r="BE1608" s="77"/>
      <c r="BF1608" s="77"/>
      <c r="BG1608" s="77"/>
      <c r="BH1608" s="77"/>
      <c r="BI1608" s="77"/>
    </row>
    <row r="1609" spans="1:61" x14ac:dyDescent="0.25">
      <c r="A1609" s="62" t="s">
        <v>624</v>
      </c>
      <c r="B1609" s="62" t="s">
        <v>934</v>
      </c>
      <c r="C1609" s="63"/>
      <c r="D1609" s="64"/>
      <c r="E1609" s="65"/>
      <c r="F1609" s="66"/>
      <c r="G1609" s="63"/>
      <c r="H1609" s="67"/>
      <c r="I1609" s="68"/>
      <c r="J1609" s="68"/>
      <c r="K1609" s="32"/>
      <c r="L1609" s="75">
        <v>1609</v>
      </c>
      <c r="M1609" s="75"/>
      <c r="N1609" s="70"/>
      <c r="O1609" s="77" t="s">
        <v>967</v>
      </c>
      <c r="P1609" s="79">
        <v>45085.605914351851</v>
      </c>
      <c r="Q1609" s="77" t="s">
        <v>2400</v>
      </c>
      <c r="R1609" s="77">
        <v>1</v>
      </c>
      <c r="S1609" s="77">
        <v>2</v>
      </c>
      <c r="T1609" s="77">
        <v>0</v>
      </c>
      <c r="U1609" s="77">
        <v>0</v>
      </c>
      <c r="V1609" s="77">
        <v>3101</v>
      </c>
      <c r="W1609" s="81" t="s">
        <v>3764</v>
      </c>
      <c r="X1609" s="77"/>
      <c r="Y1609" s="77"/>
      <c r="Z1609" s="77" t="s">
        <v>4380</v>
      </c>
      <c r="AA1609" s="77" t="s">
        <v>5458</v>
      </c>
      <c r="AB1609" s="77" t="s">
        <v>5795</v>
      </c>
      <c r="AC1609" s="81" t="s">
        <v>5805</v>
      </c>
      <c r="AD1609" s="77" t="s">
        <v>5850</v>
      </c>
      <c r="AE1609" s="83" t="str">
        <f>HYPERLINK("https://twitter.com/rhplanningmx/status/1666815472485146624")</f>
        <v>https://twitter.com/rhplanningmx/status/1666815472485146624</v>
      </c>
      <c r="AF1609" s="79">
        <v>45085.605914351851</v>
      </c>
      <c r="AG1609" s="85">
        <v>45085</v>
      </c>
      <c r="AH1609" s="81" t="s">
        <v>7259</v>
      </c>
      <c r="AI1609" s="77" t="b">
        <v>0</v>
      </c>
      <c r="AJ1609" s="77"/>
      <c r="AK1609" s="77"/>
      <c r="AL1609" s="77"/>
      <c r="AM1609" s="77"/>
      <c r="AN1609" s="77"/>
      <c r="AO1609" s="77"/>
      <c r="AP1609" s="77"/>
      <c r="AQ1609" s="77" t="s">
        <v>8961</v>
      </c>
      <c r="AR1609" s="77">
        <v>24120</v>
      </c>
      <c r="AS1609" s="77"/>
      <c r="AT1609" s="77"/>
      <c r="AU1609" s="77"/>
      <c r="AV1609" s="83" t="str">
        <f>HYPERLINK("https://pbs.twimg.com/ext_tw_video_thumb/1666813375538663434/pu/img/HSqnfhDfqUN1QvbN.jpg")</f>
        <v>https://pbs.twimg.com/ext_tw_video_thumb/1666813375538663434/pu/img/HSqnfhDfqUN1QvbN.jpg</v>
      </c>
      <c r="AW1609" s="81" t="s">
        <v>10729</v>
      </c>
      <c r="AX1609" s="81" t="s">
        <v>10729</v>
      </c>
      <c r="AY1609" s="77"/>
      <c r="AZ1609" s="81" t="s">
        <v>11359</v>
      </c>
      <c r="BA1609" s="81" t="s">
        <v>11359</v>
      </c>
      <c r="BB1609" s="81" t="s">
        <v>11359</v>
      </c>
      <c r="BC1609" s="81" t="s">
        <v>10729</v>
      </c>
      <c r="BD1609" s="81" t="s">
        <v>11607</v>
      </c>
      <c r="BE1609" s="77"/>
      <c r="BF1609" s="77"/>
      <c r="BG1609" s="77"/>
      <c r="BH1609" s="77"/>
      <c r="BI1609" s="77"/>
    </row>
    <row r="1610" spans="1:61" x14ac:dyDescent="0.25">
      <c r="A1610" s="62" t="s">
        <v>624</v>
      </c>
      <c r="B1610" s="62" t="s">
        <v>935</v>
      </c>
      <c r="C1610" s="63"/>
      <c r="D1610" s="64"/>
      <c r="E1610" s="65"/>
      <c r="F1610" s="66"/>
      <c r="G1610" s="63"/>
      <c r="H1610" s="67"/>
      <c r="I1610" s="68"/>
      <c r="J1610" s="68"/>
      <c r="K1610" s="32"/>
      <c r="L1610" s="75">
        <v>1610</v>
      </c>
      <c r="M1610" s="75"/>
      <c r="N1610" s="70"/>
      <c r="O1610" s="77" t="s">
        <v>967</v>
      </c>
      <c r="P1610" s="79">
        <v>45085.605914351851</v>
      </c>
      <c r="Q1610" s="77" t="s">
        <v>2400</v>
      </c>
      <c r="R1610" s="77">
        <v>1</v>
      </c>
      <c r="S1610" s="77">
        <v>2</v>
      </c>
      <c r="T1610" s="77">
        <v>0</v>
      </c>
      <c r="U1610" s="77">
        <v>0</v>
      </c>
      <c r="V1610" s="77">
        <v>3101</v>
      </c>
      <c r="W1610" s="81" t="s">
        <v>3764</v>
      </c>
      <c r="X1610" s="77"/>
      <c r="Y1610" s="77"/>
      <c r="Z1610" s="77" t="s">
        <v>4380</v>
      </c>
      <c r="AA1610" s="77" t="s">
        <v>5458</v>
      </c>
      <c r="AB1610" s="77" t="s">
        <v>5795</v>
      </c>
      <c r="AC1610" s="81" t="s">
        <v>5805</v>
      </c>
      <c r="AD1610" s="77" t="s">
        <v>5850</v>
      </c>
      <c r="AE1610" s="83" t="str">
        <f>HYPERLINK("https://twitter.com/rhplanningmx/status/1666815472485146624")</f>
        <v>https://twitter.com/rhplanningmx/status/1666815472485146624</v>
      </c>
      <c r="AF1610" s="79">
        <v>45085.605914351851</v>
      </c>
      <c r="AG1610" s="85">
        <v>45085</v>
      </c>
      <c r="AH1610" s="81" t="s">
        <v>7259</v>
      </c>
      <c r="AI1610" s="77" t="b">
        <v>0</v>
      </c>
      <c r="AJ1610" s="77"/>
      <c r="AK1610" s="77"/>
      <c r="AL1610" s="77"/>
      <c r="AM1610" s="77"/>
      <c r="AN1610" s="77"/>
      <c r="AO1610" s="77"/>
      <c r="AP1610" s="77"/>
      <c r="AQ1610" s="77" t="s">
        <v>8961</v>
      </c>
      <c r="AR1610" s="77">
        <v>24120</v>
      </c>
      <c r="AS1610" s="77"/>
      <c r="AT1610" s="77"/>
      <c r="AU1610" s="77"/>
      <c r="AV1610" s="83" t="str">
        <f>HYPERLINK("https://pbs.twimg.com/ext_tw_video_thumb/1666813375538663434/pu/img/HSqnfhDfqUN1QvbN.jpg")</f>
        <v>https://pbs.twimg.com/ext_tw_video_thumb/1666813375538663434/pu/img/HSqnfhDfqUN1QvbN.jpg</v>
      </c>
      <c r="AW1610" s="81" t="s">
        <v>10729</v>
      </c>
      <c r="AX1610" s="81" t="s">
        <v>10729</v>
      </c>
      <c r="AY1610" s="77"/>
      <c r="AZ1610" s="81" t="s">
        <v>11359</v>
      </c>
      <c r="BA1610" s="81" t="s">
        <v>11359</v>
      </c>
      <c r="BB1610" s="81" t="s">
        <v>11359</v>
      </c>
      <c r="BC1610" s="81" t="s">
        <v>10729</v>
      </c>
      <c r="BD1610" s="81" t="s">
        <v>11607</v>
      </c>
      <c r="BE1610" s="77"/>
      <c r="BF1610" s="77"/>
      <c r="BG1610" s="77"/>
      <c r="BH1610" s="77"/>
      <c r="BI1610" s="77"/>
    </row>
    <row r="1611" spans="1:61" x14ac:dyDescent="0.25">
      <c r="A1611" s="62" t="s">
        <v>624</v>
      </c>
      <c r="B1611" s="62" t="s">
        <v>936</v>
      </c>
      <c r="C1611" s="63"/>
      <c r="D1611" s="64"/>
      <c r="E1611" s="65"/>
      <c r="F1611" s="66"/>
      <c r="G1611" s="63"/>
      <c r="H1611" s="67"/>
      <c r="I1611" s="68"/>
      <c r="J1611" s="68"/>
      <c r="K1611" s="32"/>
      <c r="L1611" s="75">
        <v>1611</v>
      </c>
      <c r="M1611" s="75"/>
      <c r="N1611" s="70"/>
      <c r="O1611" s="77" t="s">
        <v>967</v>
      </c>
      <c r="P1611" s="79">
        <v>45085.605914351851</v>
      </c>
      <c r="Q1611" s="77" t="s">
        <v>2400</v>
      </c>
      <c r="R1611" s="77">
        <v>1</v>
      </c>
      <c r="S1611" s="77">
        <v>2</v>
      </c>
      <c r="T1611" s="77">
        <v>0</v>
      </c>
      <c r="U1611" s="77">
        <v>0</v>
      </c>
      <c r="V1611" s="77">
        <v>3101</v>
      </c>
      <c r="W1611" s="81" t="s">
        <v>3764</v>
      </c>
      <c r="X1611" s="77"/>
      <c r="Y1611" s="77"/>
      <c r="Z1611" s="77" t="s">
        <v>4380</v>
      </c>
      <c r="AA1611" s="77" t="s">
        <v>5458</v>
      </c>
      <c r="AB1611" s="77" t="s">
        <v>5795</v>
      </c>
      <c r="AC1611" s="81" t="s">
        <v>5805</v>
      </c>
      <c r="AD1611" s="77" t="s">
        <v>5850</v>
      </c>
      <c r="AE1611" s="83" t="str">
        <f>HYPERLINK("https://twitter.com/rhplanningmx/status/1666815472485146624")</f>
        <v>https://twitter.com/rhplanningmx/status/1666815472485146624</v>
      </c>
      <c r="AF1611" s="79">
        <v>45085.605914351851</v>
      </c>
      <c r="AG1611" s="85">
        <v>45085</v>
      </c>
      <c r="AH1611" s="81" t="s">
        <v>7259</v>
      </c>
      <c r="AI1611" s="77" t="b">
        <v>0</v>
      </c>
      <c r="AJ1611" s="77"/>
      <c r="AK1611" s="77"/>
      <c r="AL1611" s="77"/>
      <c r="AM1611" s="77"/>
      <c r="AN1611" s="77"/>
      <c r="AO1611" s="77"/>
      <c r="AP1611" s="77"/>
      <c r="AQ1611" s="77" t="s">
        <v>8961</v>
      </c>
      <c r="AR1611" s="77">
        <v>24120</v>
      </c>
      <c r="AS1611" s="77"/>
      <c r="AT1611" s="77"/>
      <c r="AU1611" s="77"/>
      <c r="AV1611" s="83" t="str">
        <f>HYPERLINK("https://pbs.twimg.com/ext_tw_video_thumb/1666813375538663434/pu/img/HSqnfhDfqUN1QvbN.jpg")</f>
        <v>https://pbs.twimg.com/ext_tw_video_thumb/1666813375538663434/pu/img/HSqnfhDfqUN1QvbN.jpg</v>
      </c>
      <c r="AW1611" s="81" t="s">
        <v>10729</v>
      </c>
      <c r="AX1611" s="81" t="s">
        <v>10729</v>
      </c>
      <c r="AY1611" s="77"/>
      <c r="AZ1611" s="81" t="s">
        <v>11359</v>
      </c>
      <c r="BA1611" s="81" t="s">
        <v>11359</v>
      </c>
      <c r="BB1611" s="81" t="s">
        <v>11359</v>
      </c>
      <c r="BC1611" s="81" t="s">
        <v>10729</v>
      </c>
      <c r="BD1611" s="81" t="s">
        <v>11607</v>
      </c>
      <c r="BE1611" s="77"/>
      <c r="BF1611" s="77"/>
      <c r="BG1611" s="77"/>
      <c r="BH1611" s="77"/>
      <c r="BI1611" s="77"/>
    </row>
    <row r="1612" spans="1:61" x14ac:dyDescent="0.25">
      <c r="A1612" s="62" t="s">
        <v>625</v>
      </c>
      <c r="B1612" s="62" t="s">
        <v>625</v>
      </c>
      <c r="C1612" s="63"/>
      <c r="D1612" s="64"/>
      <c r="E1612" s="65"/>
      <c r="F1612" s="66"/>
      <c r="G1612" s="63"/>
      <c r="H1612" s="67"/>
      <c r="I1612" s="68"/>
      <c r="J1612" s="68"/>
      <c r="K1612" s="32"/>
      <c r="L1612" s="75">
        <v>1612</v>
      </c>
      <c r="M1612" s="75"/>
      <c r="N1612" s="70"/>
      <c r="O1612" s="77" t="s">
        <v>179</v>
      </c>
      <c r="P1612" s="79">
        <v>44964.74858796296</v>
      </c>
      <c r="Q1612" s="77" t="s">
        <v>2401</v>
      </c>
      <c r="R1612" s="77">
        <v>2</v>
      </c>
      <c r="S1612" s="77">
        <v>1</v>
      </c>
      <c r="T1612" s="77">
        <v>1</v>
      </c>
      <c r="U1612" s="77">
        <v>1</v>
      </c>
      <c r="V1612" s="77">
        <v>1032</v>
      </c>
      <c r="W1612" s="81" t="s">
        <v>3765</v>
      </c>
      <c r="X1612" s="77"/>
      <c r="Y1612" s="77"/>
      <c r="Z1612" s="77"/>
      <c r="AA1612" s="77" t="s">
        <v>5459</v>
      </c>
      <c r="AB1612" s="77" t="s">
        <v>5795</v>
      </c>
      <c r="AC1612" s="81" t="s">
        <v>5805</v>
      </c>
      <c r="AD1612" s="77" t="s">
        <v>5850</v>
      </c>
      <c r="AE1612" s="83" t="str">
        <f>HYPERLINK("https://twitter.com/fatimavazquezdg/status/1623018242980683776")</f>
        <v>https://twitter.com/fatimavazquezdg/status/1623018242980683776</v>
      </c>
      <c r="AF1612" s="79">
        <v>44964.74858796296</v>
      </c>
      <c r="AG1612" s="85">
        <v>44964</v>
      </c>
      <c r="AH1612" s="81" t="s">
        <v>7260</v>
      </c>
      <c r="AI1612" s="77" t="b">
        <v>0</v>
      </c>
      <c r="AJ1612" s="77"/>
      <c r="AK1612" s="77"/>
      <c r="AL1612" s="77"/>
      <c r="AM1612" s="77"/>
      <c r="AN1612" s="77"/>
      <c r="AO1612" s="77"/>
      <c r="AP1612" s="77"/>
      <c r="AQ1612" s="77" t="s">
        <v>8962</v>
      </c>
      <c r="AR1612" s="77">
        <v>81266</v>
      </c>
      <c r="AS1612" s="77"/>
      <c r="AT1612" s="77"/>
      <c r="AU1612" s="77"/>
      <c r="AV1612" s="83" t="str">
        <f>HYPERLINK("https://pbs.twimg.com/ext_tw_video_thumb/1623017537142235139/pu/img/balOD4uo9BD-hh-b.jpg")</f>
        <v>https://pbs.twimg.com/ext_tw_video_thumb/1623017537142235139/pu/img/balOD4uo9BD-hh-b.jpg</v>
      </c>
      <c r="AW1612" s="81" t="s">
        <v>10730</v>
      </c>
      <c r="AX1612" s="81" t="s">
        <v>10730</v>
      </c>
      <c r="AY1612" s="77"/>
      <c r="AZ1612" s="81" t="s">
        <v>11359</v>
      </c>
      <c r="BA1612" s="81" t="s">
        <v>11359</v>
      </c>
      <c r="BB1612" s="81" t="s">
        <v>11359</v>
      </c>
      <c r="BC1612" s="81" t="s">
        <v>10730</v>
      </c>
      <c r="BD1612" s="77">
        <v>320827683</v>
      </c>
      <c r="BE1612" s="77"/>
      <c r="BF1612" s="77"/>
      <c r="BG1612" s="77"/>
      <c r="BH1612" s="77"/>
      <c r="BI1612" s="77"/>
    </row>
    <row r="1613" spans="1:61" x14ac:dyDescent="0.25">
      <c r="A1613" s="62" t="s">
        <v>626</v>
      </c>
      <c r="B1613" s="62" t="s">
        <v>626</v>
      </c>
      <c r="C1613" s="63"/>
      <c r="D1613" s="64"/>
      <c r="E1613" s="65"/>
      <c r="F1613" s="66"/>
      <c r="G1613" s="63"/>
      <c r="H1613" s="67"/>
      <c r="I1613" s="68"/>
      <c r="J1613" s="68"/>
      <c r="K1613" s="32"/>
      <c r="L1613" s="75">
        <v>1613</v>
      </c>
      <c r="M1613" s="75"/>
      <c r="N1613" s="70"/>
      <c r="O1613" s="77" t="s">
        <v>179</v>
      </c>
      <c r="P1613" s="79">
        <v>45027.751435185186</v>
      </c>
      <c r="Q1613" s="77" t="s">
        <v>2402</v>
      </c>
      <c r="R1613" s="77">
        <v>0</v>
      </c>
      <c r="S1613" s="77">
        <v>0</v>
      </c>
      <c r="T1613" s="77">
        <v>0</v>
      </c>
      <c r="U1613" s="77">
        <v>0</v>
      </c>
      <c r="V1613" s="77">
        <v>58</v>
      </c>
      <c r="W1613" s="81" t="s">
        <v>3766</v>
      </c>
      <c r="X1613" s="77"/>
      <c r="Y1613" s="77"/>
      <c r="Z1613" s="77"/>
      <c r="AA1613" s="77" t="s">
        <v>5460</v>
      </c>
      <c r="AB1613" s="77" t="s">
        <v>5794</v>
      </c>
      <c r="AC1613" s="81" t="s">
        <v>5835</v>
      </c>
      <c r="AD1613" s="77" t="s">
        <v>5850</v>
      </c>
      <c r="AE1613" s="83" t="str">
        <f>HYPERLINK("https://twitter.com/marielalivy/status/1645849711620833285")</f>
        <v>https://twitter.com/marielalivy/status/1645849711620833285</v>
      </c>
      <c r="AF1613" s="79">
        <v>45027.751435185186</v>
      </c>
      <c r="AG1613" s="85">
        <v>45027</v>
      </c>
      <c r="AH1613" s="81" t="s">
        <v>7261</v>
      </c>
      <c r="AI1613" s="77" t="b">
        <v>0</v>
      </c>
      <c r="AJ1613" s="77"/>
      <c r="AK1613" s="77"/>
      <c r="AL1613" s="77"/>
      <c r="AM1613" s="77"/>
      <c r="AN1613" s="77"/>
      <c r="AO1613" s="77"/>
      <c r="AP1613" s="77"/>
      <c r="AQ1613" s="77" t="s">
        <v>8963</v>
      </c>
      <c r="AR1613" s="77"/>
      <c r="AS1613" s="77"/>
      <c r="AT1613" s="77"/>
      <c r="AU1613" s="77"/>
      <c r="AV1613" s="83" t="str">
        <f>HYPERLINK("https://pbs.twimg.com/media/Ftc7lxRXwAE9eFI.jpg")</f>
        <v>https://pbs.twimg.com/media/Ftc7lxRXwAE9eFI.jpg</v>
      </c>
      <c r="AW1613" s="81" t="s">
        <v>10731</v>
      </c>
      <c r="AX1613" s="81" t="s">
        <v>10731</v>
      </c>
      <c r="AY1613" s="77"/>
      <c r="AZ1613" s="81" t="s">
        <v>11359</v>
      </c>
      <c r="BA1613" s="81" t="s">
        <v>11359</v>
      </c>
      <c r="BB1613" s="81" t="s">
        <v>11359</v>
      </c>
      <c r="BC1613" s="81" t="s">
        <v>10731</v>
      </c>
      <c r="BD1613" s="77">
        <v>4069638868</v>
      </c>
      <c r="BE1613" s="77"/>
      <c r="BF1613" s="77"/>
      <c r="BG1613" s="77"/>
      <c r="BH1613" s="77"/>
      <c r="BI1613" s="77"/>
    </row>
    <row r="1614" spans="1:61" x14ac:dyDescent="0.25">
      <c r="A1614" s="62" t="s">
        <v>627</v>
      </c>
      <c r="B1614" s="62" t="s">
        <v>627</v>
      </c>
      <c r="C1614" s="63"/>
      <c r="D1614" s="64"/>
      <c r="E1614" s="65"/>
      <c r="F1614" s="66"/>
      <c r="G1614" s="63"/>
      <c r="H1614" s="67"/>
      <c r="I1614" s="68"/>
      <c r="J1614" s="68"/>
      <c r="K1614" s="32"/>
      <c r="L1614" s="75">
        <v>1614</v>
      </c>
      <c r="M1614" s="75"/>
      <c r="N1614" s="70"/>
      <c r="O1614" s="77" t="s">
        <v>179</v>
      </c>
      <c r="P1614" s="79">
        <v>44988.583344907405</v>
      </c>
      <c r="Q1614" s="77" t="s">
        <v>2403</v>
      </c>
      <c r="R1614" s="77">
        <v>0</v>
      </c>
      <c r="S1614" s="77">
        <v>0</v>
      </c>
      <c r="T1614" s="77">
        <v>0</v>
      </c>
      <c r="U1614" s="77">
        <v>0</v>
      </c>
      <c r="V1614" s="77">
        <v>106</v>
      </c>
      <c r="W1614" s="81" t="s">
        <v>3450</v>
      </c>
      <c r="X1614" s="83" t="str">
        <f>HYPERLINK("https://cybersecuritynews.es/cuales-son-los-beneficios-de-la-debida-diligencia/")</f>
        <v>https://cybersecuritynews.es/cuales-son-los-beneficios-de-la-debida-diligencia/</v>
      </c>
      <c r="Y1614" s="77" t="s">
        <v>4265</v>
      </c>
      <c r="Z1614" s="77"/>
      <c r="AA1614" s="77"/>
      <c r="AB1614" s="77"/>
      <c r="AC1614" s="81" t="s">
        <v>5805</v>
      </c>
      <c r="AD1614" s="77" t="s">
        <v>5850</v>
      </c>
      <c r="AE1614" s="83" t="str">
        <f>HYPERLINK("https://twitter.com/cybersecurityes/status/1631655669819486209")</f>
        <v>https://twitter.com/cybersecurityes/status/1631655669819486209</v>
      </c>
      <c r="AF1614" s="79">
        <v>44988.583344907405</v>
      </c>
      <c r="AG1614" s="85">
        <v>44988</v>
      </c>
      <c r="AH1614" s="81" t="s">
        <v>7262</v>
      </c>
      <c r="AI1614" s="77" t="b">
        <v>0</v>
      </c>
      <c r="AJ1614" s="77"/>
      <c r="AK1614" s="77"/>
      <c r="AL1614" s="77"/>
      <c r="AM1614" s="77"/>
      <c r="AN1614" s="77"/>
      <c r="AO1614" s="77"/>
      <c r="AP1614" s="77"/>
      <c r="AQ1614" s="77"/>
      <c r="AR1614" s="77"/>
      <c r="AS1614" s="77"/>
      <c r="AT1614" s="77"/>
      <c r="AU1614" s="77"/>
      <c r="AV1614" s="83" t="str">
        <f>HYPERLINK("https://pbs.twimg.com/profile_images/1323552607441485824/T_0_FJ26_normal.jpg")</f>
        <v>https://pbs.twimg.com/profile_images/1323552607441485824/T_0_FJ26_normal.jpg</v>
      </c>
      <c r="AW1614" s="81" t="s">
        <v>10732</v>
      </c>
      <c r="AX1614" s="81" t="s">
        <v>10732</v>
      </c>
      <c r="AY1614" s="77"/>
      <c r="AZ1614" s="81" t="s">
        <v>11359</v>
      </c>
      <c r="BA1614" s="81" t="s">
        <v>11359</v>
      </c>
      <c r="BB1614" s="81" t="s">
        <v>11359</v>
      </c>
      <c r="BC1614" s="81" t="s">
        <v>10732</v>
      </c>
      <c r="BD1614" s="81" t="s">
        <v>11608</v>
      </c>
      <c r="BE1614" s="77"/>
      <c r="BF1614" s="77"/>
      <c r="BG1614" s="77"/>
      <c r="BH1614" s="77"/>
      <c r="BI1614" s="77"/>
    </row>
    <row r="1615" spans="1:61" x14ac:dyDescent="0.25">
      <c r="A1615" s="62" t="s">
        <v>628</v>
      </c>
      <c r="B1615" s="62" t="s">
        <v>628</v>
      </c>
      <c r="C1615" s="63"/>
      <c r="D1615" s="64"/>
      <c r="E1615" s="65"/>
      <c r="F1615" s="66"/>
      <c r="G1615" s="63"/>
      <c r="H1615" s="67"/>
      <c r="I1615" s="68"/>
      <c r="J1615" s="68"/>
      <c r="K1615" s="32"/>
      <c r="L1615" s="75">
        <v>1615</v>
      </c>
      <c r="M1615" s="75"/>
      <c r="N1615" s="70"/>
      <c r="O1615" s="77" t="s">
        <v>179</v>
      </c>
      <c r="P1615" s="79">
        <v>45039.984016203707</v>
      </c>
      <c r="Q1615" s="77" t="s">
        <v>2404</v>
      </c>
      <c r="R1615" s="77">
        <v>0</v>
      </c>
      <c r="S1615" s="77">
        <v>2</v>
      </c>
      <c r="T1615" s="77">
        <v>0</v>
      </c>
      <c r="U1615" s="77">
        <v>0</v>
      </c>
      <c r="V1615" s="77">
        <v>118</v>
      </c>
      <c r="W1615" s="81" t="s">
        <v>3767</v>
      </c>
      <c r="X1615" s="77"/>
      <c r="Y1615" s="77"/>
      <c r="Z1615" s="77"/>
      <c r="AA1615" s="77" t="s">
        <v>5461</v>
      </c>
      <c r="AB1615" s="77" t="s">
        <v>5794</v>
      </c>
      <c r="AC1615" s="81" t="s">
        <v>5805</v>
      </c>
      <c r="AD1615" s="77" t="s">
        <v>5850</v>
      </c>
      <c r="AE1615" s="83" t="str">
        <f>HYPERLINK("https://twitter.com/podermail_com/status/1650282649984937984")</f>
        <v>https://twitter.com/podermail_com/status/1650282649984937984</v>
      </c>
      <c r="AF1615" s="79">
        <v>45039.984016203707</v>
      </c>
      <c r="AG1615" s="85">
        <v>45039</v>
      </c>
      <c r="AH1615" s="81" t="s">
        <v>7263</v>
      </c>
      <c r="AI1615" s="77" t="b">
        <v>0</v>
      </c>
      <c r="AJ1615" s="77"/>
      <c r="AK1615" s="77"/>
      <c r="AL1615" s="77"/>
      <c r="AM1615" s="77"/>
      <c r="AN1615" s="77"/>
      <c r="AO1615" s="77"/>
      <c r="AP1615" s="77"/>
      <c r="AQ1615" s="77" t="s">
        <v>8964</v>
      </c>
      <c r="AR1615" s="77"/>
      <c r="AS1615" s="77"/>
      <c r="AT1615" s="77"/>
      <c r="AU1615" s="77"/>
      <c r="AV1615" s="83" t="str">
        <f>HYPERLINK("https://pbs.twimg.com/media/Fub6_hXWIAI1mXY.png")</f>
        <v>https://pbs.twimg.com/media/Fub6_hXWIAI1mXY.png</v>
      </c>
      <c r="AW1615" s="81" t="s">
        <v>10733</v>
      </c>
      <c r="AX1615" s="81" t="s">
        <v>10733</v>
      </c>
      <c r="AY1615" s="77"/>
      <c r="AZ1615" s="81" t="s">
        <v>11359</v>
      </c>
      <c r="BA1615" s="81" t="s">
        <v>11359</v>
      </c>
      <c r="BB1615" s="81" t="s">
        <v>11359</v>
      </c>
      <c r="BC1615" s="81" t="s">
        <v>10733</v>
      </c>
      <c r="BD1615" s="77">
        <v>51470700</v>
      </c>
      <c r="BE1615" s="77"/>
      <c r="BF1615" s="77"/>
      <c r="BG1615" s="77"/>
      <c r="BH1615" s="77"/>
      <c r="BI1615" s="77"/>
    </row>
    <row r="1616" spans="1:61" x14ac:dyDescent="0.25">
      <c r="A1616" s="62" t="s">
        <v>629</v>
      </c>
      <c r="B1616" s="62" t="s">
        <v>629</v>
      </c>
      <c r="C1616" s="63"/>
      <c r="D1616" s="64"/>
      <c r="E1616" s="65"/>
      <c r="F1616" s="66"/>
      <c r="G1616" s="63"/>
      <c r="H1616" s="67"/>
      <c r="I1616" s="68"/>
      <c r="J1616" s="68"/>
      <c r="K1616" s="32"/>
      <c r="L1616" s="75">
        <v>1616</v>
      </c>
      <c r="M1616" s="75"/>
      <c r="N1616" s="70"/>
      <c r="O1616" s="77" t="s">
        <v>179</v>
      </c>
      <c r="P1616" s="79">
        <v>45062.603576388887</v>
      </c>
      <c r="Q1616" s="77" t="s">
        <v>2405</v>
      </c>
      <c r="R1616" s="77">
        <v>0</v>
      </c>
      <c r="S1616" s="77">
        <v>0</v>
      </c>
      <c r="T1616" s="77">
        <v>0</v>
      </c>
      <c r="U1616" s="77">
        <v>0</v>
      </c>
      <c r="V1616" s="77">
        <v>27</v>
      </c>
      <c r="W1616" s="81" t="s">
        <v>3768</v>
      </c>
      <c r="X1616" s="77"/>
      <c r="Y1616" s="77"/>
      <c r="Z1616" s="77"/>
      <c r="AA1616" s="77" t="s">
        <v>5462</v>
      </c>
      <c r="AB1616" s="77" t="s">
        <v>5794</v>
      </c>
      <c r="AC1616" s="81" t="s">
        <v>5805</v>
      </c>
      <c r="AD1616" s="77" t="s">
        <v>5850</v>
      </c>
      <c r="AE1616" s="83" t="str">
        <f>HYPERLINK("https://twitter.com/josepoliticus/status/1658479703563595776")</f>
        <v>https://twitter.com/josepoliticus/status/1658479703563595776</v>
      </c>
      <c r="AF1616" s="79">
        <v>45062.603576388887</v>
      </c>
      <c r="AG1616" s="85">
        <v>45062</v>
      </c>
      <c r="AH1616" s="81" t="s">
        <v>7264</v>
      </c>
      <c r="AI1616" s="77" t="b">
        <v>0</v>
      </c>
      <c r="AJ1616" s="77"/>
      <c r="AK1616" s="77"/>
      <c r="AL1616" s="77"/>
      <c r="AM1616" s="77"/>
      <c r="AN1616" s="77"/>
      <c r="AO1616" s="77"/>
      <c r="AP1616" s="77"/>
      <c r="AQ1616" s="77" t="s">
        <v>8965</v>
      </c>
      <c r="AR1616" s="77"/>
      <c r="AS1616" s="77"/>
      <c r="AT1616" s="77"/>
      <c r="AU1616" s="77"/>
      <c r="AV1616" s="83" t="str">
        <f>HYPERLINK("https://pbs.twimg.com/media/FwQafyaaMAAdPfx.jpg")</f>
        <v>https://pbs.twimg.com/media/FwQafyaaMAAdPfx.jpg</v>
      </c>
      <c r="AW1616" s="81" t="s">
        <v>10734</v>
      </c>
      <c r="AX1616" s="81" t="s">
        <v>10734</v>
      </c>
      <c r="AY1616" s="77"/>
      <c r="AZ1616" s="81" t="s">
        <v>11359</v>
      </c>
      <c r="BA1616" s="81" t="s">
        <v>11359</v>
      </c>
      <c r="BB1616" s="81" t="s">
        <v>11359</v>
      </c>
      <c r="BC1616" s="81" t="s">
        <v>10734</v>
      </c>
      <c r="BD1616" s="81" t="s">
        <v>11609</v>
      </c>
      <c r="BE1616" s="77"/>
      <c r="BF1616" s="77"/>
      <c r="BG1616" s="77"/>
      <c r="BH1616" s="77"/>
      <c r="BI1616" s="77"/>
    </row>
    <row r="1617" spans="1:61" x14ac:dyDescent="0.25">
      <c r="A1617" s="62" t="s">
        <v>629</v>
      </c>
      <c r="B1617" s="62" t="s">
        <v>629</v>
      </c>
      <c r="C1617" s="63"/>
      <c r="D1617" s="64"/>
      <c r="E1617" s="65"/>
      <c r="F1617" s="66"/>
      <c r="G1617" s="63"/>
      <c r="H1617" s="67"/>
      <c r="I1617" s="68"/>
      <c r="J1617" s="68"/>
      <c r="K1617" s="32"/>
      <c r="L1617" s="75">
        <v>1617</v>
      </c>
      <c r="M1617" s="75"/>
      <c r="N1617" s="70"/>
      <c r="O1617" s="77" t="s">
        <v>179</v>
      </c>
      <c r="P1617" s="79">
        <v>45059.764606481483</v>
      </c>
      <c r="Q1617" s="77" t="s">
        <v>2406</v>
      </c>
      <c r="R1617" s="77">
        <v>0</v>
      </c>
      <c r="S1617" s="77">
        <v>0</v>
      </c>
      <c r="T1617" s="77">
        <v>0</v>
      </c>
      <c r="U1617" s="77">
        <v>0</v>
      </c>
      <c r="V1617" s="77">
        <v>12</v>
      </c>
      <c r="W1617" s="81" t="s">
        <v>3769</v>
      </c>
      <c r="X1617" s="83" t="str">
        <f>HYPERLINK("https://www.abc.es/gente/pedro-sanchez-vendedor-crecepelo-20230512135211-nt.html")</f>
        <v>https://www.abc.es/gente/pedro-sanchez-vendedor-crecepelo-20230512135211-nt.html</v>
      </c>
      <c r="Y1617" s="77" t="s">
        <v>4309</v>
      </c>
      <c r="Z1617" s="77"/>
      <c r="AA1617" s="77"/>
      <c r="AB1617" s="77"/>
      <c r="AC1617" s="81" t="s">
        <v>5805</v>
      </c>
      <c r="AD1617" s="77" t="s">
        <v>5850</v>
      </c>
      <c r="AE1617" s="83" t="str">
        <f>HYPERLINK("https://twitter.com/josepoliticus/status/1657450895121043456")</f>
        <v>https://twitter.com/josepoliticus/status/1657450895121043456</v>
      </c>
      <c r="AF1617" s="79">
        <v>45059.764606481483</v>
      </c>
      <c r="AG1617" s="85">
        <v>45059</v>
      </c>
      <c r="AH1617" s="81" t="s">
        <v>6082</v>
      </c>
      <c r="AI1617" s="77" t="b">
        <v>0</v>
      </c>
      <c r="AJ1617" s="77"/>
      <c r="AK1617" s="77"/>
      <c r="AL1617" s="77"/>
      <c r="AM1617" s="77"/>
      <c r="AN1617" s="77"/>
      <c r="AO1617" s="77"/>
      <c r="AP1617" s="77"/>
      <c r="AQ1617" s="77"/>
      <c r="AR1617" s="77"/>
      <c r="AS1617" s="77"/>
      <c r="AT1617" s="77"/>
      <c r="AU1617" s="77"/>
      <c r="AV1617" s="83" t="str">
        <f>HYPERLINK("https://pbs.twimg.com/profile_images/1603745575022825474/C0O7O3IP_normal.jpg")</f>
        <v>https://pbs.twimg.com/profile_images/1603745575022825474/C0O7O3IP_normal.jpg</v>
      </c>
      <c r="AW1617" s="81" t="s">
        <v>10735</v>
      </c>
      <c r="AX1617" s="81" t="s">
        <v>10735</v>
      </c>
      <c r="AY1617" s="77"/>
      <c r="AZ1617" s="81" t="s">
        <v>11359</v>
      </c>
      <c r="BA1617" s="81" t="s">
        <v>11359</v>
      </c>
      <c r="BB1617" s="81" t="s">
        <v>11359</v>
      </c>
      <c r="BC1617" s="81" t="s">
        <v>10735</v>
      </c>
      <c r="BD1617" s="81" t="s">
        <v>11609</v>
      </c>
      <c r="BE1617" s="77"/>
      <c r="BF1617" s="77"/>
      <c r="BG1617" s="77"/>
      <c r="BH1617" s="77"/>
      <c r="BI1617" s="77"/>
    </row>
    <row r="1618" spans="1:61" x14ac:dyDescent="0.25">
      <c r="A1618" s="62" t="s">
        <v>630</v>
      </c>
      <c r="B1618" s="62" t="s">
        <v>630</v>
      </c>
      <c r="C1618" s="63"/>
      <c r="D1618" s="64"/>
      <c r="E1618" s="65"/>
      <c r="F1618" s="66"/>
      <c r="G1618" s="63"/>
      <c r="H1618" s="67"/>
      <c r="I1618" s="68"/>
      <c r="J1618" s="68"/>
      <c r="K1618" s="32"/>
      <c r="L1618" s="75">
        <v>1618</v>
      </c>
      <c r="M1618" s="75"/>
      <c r="N1618" s="70"/>
      <c r="O1618" s="77" t="s">
        <v>179</v>
      </c>
      <c r="P1618" s="79">
        <v>45008.615115740744</v>
      </c>
      <c r="Q1618" s="77" t="s">
        <v>2407</v>
      </c>
      <c r="R1618" s="77">
        <v>0</v>
      </c>
      <c r="S1618" s="77">
        <v>0</v>
      </c>
      <c r="T1618" s="77">
        <v>0</v>
      </c>
      <c r="U1618" s="77">
        <v>0</v>
      </c>
      <c r="V1618" s="77">
        <v>16</v>
      </c>
      <c r="W1618" s="81" t="s">
        <v>3770</v>
      </c>
      <c r="X1618" s="77"/>
      <c r="Y1618" s="77"/>
      <c r="Z1618" s="77"/>
      <c r="AA1618" s="77" t="s">
        <v>5463</v>
      </c>
      <c r="AB1618" s="77" t="s">
        <v>5794</v>
      </c>
      <c r="AC1618" s="81" t="s">
        <v>5801</v>
      </c>
      <c r="AD1618" s="77" t="s">
        <v>5853</v>
      </c>
      <c r="AE1618" s="83" t="str">
        <f>HYPERLINK("https://twitter.com/grucaps/status/1638914942370824194")</f>
        <v>https://twitter.com/grucaps/status/1638914942370824194</v>
      </c>
      <c r="AF1618" s="79">
        <v>45008.615115740744</v>
      </c>
      <c r="AG1618" s="85">
        <v>45008</v>
      </c>
      <c r="AH1618" s="81" t="s">
        <v>7265</v>
      </c>
      <c r="AI1618" s="77" t="b">
        <v>0</v>
      </c>
      <c r="AJ1618" s="77"/>
      <c r="AK1618" s="77"/>
      <c r="AL1618" s="77"/>
      <c r="AM1618" s="77"/>
      <c r="AN1618" s="77"/>
      <c r="AO1618" s="77"/>
      <c r="AP1618" s="77"/>
      <c r="AQ1618" s="77" t="s">
        <v>8966</v>
      </c>
      <c r="AR1618" s="77"/>
      <c r="AS1618" s="77"/>
      <c r="AT1618" s="77"/>
      <c r="AU1618" s="77"/>
      <c r="AV1618" s="83" t="str">
        <f>HYPERLINK("https://pbs.twimg.com/media/Fr6YdJTX0AAlARk.jpg")</f>
        <v>https://pbs.twimg.com/media/Fr6YdJTX0AAlARk.jpg</v>
      </c>
      <c r="AW1618" s="81" t="s">
        <v>10736</v>
      </c>
      <c r="AX1618" s="81" t="s">
        <v>10736</v>
      </c>
      <c r="AY1618" s="77"/>
      <c r="AZ1618" s="81" t="s">
        <v>11359</v>
      </c>
      <c r="BA1618" s="81" t="s">
        <v>11359</v>
      </c>
      <c r="BB1618" s="81" t="s">
        <v>11359</v>
      </c>
      <c r="BC1618" s="81" t="s">
        <v>10736</v>
      </c>
      <c r="BD1618" s="81" t="s">
        <v>11610</v>
      </c>
      <c r="BE1618" s="77"/>
      <c r="BF1618" s="77"/>
      <c r="BG1618" s="77"/>
      <c r="BH1618" s="77"/>
      <c r="BI1618" s="77"/>
    </row>
    <row r="1619" spans="1:61" x14ac:dyDescent="0.25">
      <c r="A1619" s="62" t="s">
        <v>631</v>
      </c>
      <c r="B1619" s="62" t="s">
        <v>631</v>
      </c>
      <c r="C1619" s="63"/>
      <c r="D1619" s="64"/>
      <c r="E1619" s="65"/>
      <c r="F1619" s="66"/>
      <c r="G1619" s="63"/>
      <c r="H1619" s="67"/>
      <c r="I1619" s="68"/>
      <c r="J1619" s="68"/>
      <c r="K1619" s="32"/>
      <c r="L1619" s="75">
        <v>1619</v>
      </c>
      <c r="M1619" s="75"/>
      <c r="N1619" s="70"/>
      <c r="O1619" s="77" t="s">
        <v>179</v>
      </c>
      <c r="P1619" s="79">
        <v>45137.032858796294</v>
      </c>
      <c r="Q1619" s="77" t="s">
        <v>2408</v>
      </c>
      <c r="R1619" s="77">
        <v>0</v>
      </c>
      <c r="S1619" s="77">
        <v>0</v>
      </c>
      <c r="T1619" s="77">
        <v>0</v>
      </c>
      <c r="U1619" s="77">
        <v>0</v>
      </c>
      <c r="V1619" s="77">
        <v>19</v>
      </c>
      <c r="W1619" s="81" t="s">
        <v>3771</v>
      </c>
      <c r="X1619" s="77"/>
      <c r="Y1619" s="77"/>
      <c r="Z1619" s="77"/>
      <c r="AA1619" s="77" t="s">
        <v>5464</v>
      </c>
      <c r="AB1619" s="77" t="s">
        <v>5795</v>
      </c>
      <c r="AC1619" s="81" t="s">
        <v>5801</v>
      </c>
      <c r="AD1619" s="77" t="s">
        <v>5853</v>
      </c>
      <c r="AE1619" s="83" t="str">
        <f>HYPERLINK("https://twitter.com/bassilevandro/status/1685451975112978432")</f>
        <v>https://twitter.com/bassilevandro/status/1685451975112978432</v>
      </c>
      <c r="AF1619" s="79">
        <v>45137.032858796294</v>
      </c>
      <c r="AG1619" s="85">
        <v>45137</v>
      </c>
      <c r="AH1619" s="81" t="s">
        <v>7266</v>
      </c>
      <c r="AI1619" s="77" t="b">
        <v>0</v>
      </c>
      <c r="AJ1619" s="77"/>
      <c r="AK1619" s="77"/>
      <c r="AL1619" s="77"/>
      <c r="AM1619" s="77"/>
      <c r="AN1619" s="77"/>
      <c r="AO1619" s="77"/>
      <c r="AP1619" s="77"/>
      <c r="AQ1619" s="77" t="s">
        <v>8967</v>
      </c>
      <c r="AR1619" s="77">
        <v>26433</v>
      </c>
      <c r="AS1619" s="77"/>
      <c r="AT1619" s="77"/>
      <c r="AU1619" s="77"/>
      <c r="AV1619" s="83" t="str">
        <f>HYPERLINK("https://pbs.twimg.com/ext_tw_video_thumb/1685449925218189312/pu/img/N4EwLaUd-3A0pKuD.jpg")</f>
        <v>https://pbs.twimg.com/ext_tw_video_thumb/1685449925218189312/pu/img/N4EwLaUd-3A0pKuD.jpg</v>
      </c>
      <c r="AW1619" s="81" t="s">
        <v>10737</v>
      </c>
      <c r="AX1619" s="81" t="s">
        <v>10737</v>
      </c>
      <c r="AY1619" s="77"/>
      <c r="AZ1619" s="81" t="s">
        <v>11359</v>
      </c>
      <c r="BA1619" s="81" t="s">
        <v>11359</v>
      </c>
      <c r="BB1619" s="81" t="s">
        <v>11359</v>
      </c>
      <c r="BC1619" s="81" t="s">
        <v>10737</v>
      </c>
      <c r="BD1619" s="81" t="s">
        <v>11611</v>
      </c>
      <c r="BE1619" s="77"/>
      <c r="BF1619" s="77"/>
      <c r="BG1619" s="77"/>
      <c r="BH1619" s="77"/>
      <c r="BI1619" s="77"/>
    </row>
    <row r="1620" spans="1:61" x14ac:dyDescent="0.25">
      <c r="A1620" s="62" t="s">
        <v>631</v>
      </c>
      <c r="B1620" s="62" t="s">
        <v>631</v>
      </c>
      <c r="C1620" s="63"/>
      <c r="D1620" s="64"/>
      <c r="E1620" s="65"/>
      <c r="F1620" s="66"/>
      <c r="G1620" s="63"/>
      <c r="H1620" s="67"/>
      <c r="I1620" s="68"/>
      <c r="J1620" s="68"/>
      <c r="K1620" s="32"/>
      <c r="L1620" s="75">
        <v>1620</v>
      </c>
      <c r="M1620" s="75"/>
      <c r="N1620" s="70"/>
      <c r="O1620" s="77" t="s">
        <v>179</v>
      </c>
      <c r="P1620" s="79">
        <v>45141.519282407404</v>
      </c>
      <c r="Q1620" s="77" t="s">
        <v>2409</v>
      </c>
      <c r="R1620" s="77">
        <v>0</v>
      </c>
      <c r="S1620" s="77">
        <v>0</v>
      </c>
      <c r="T1620" s="77">
        <v>0</v>
      </c>
      <c r="U1620" s="77">
        <v>0</v>
      </c>
      <c r="V1620" s="77">
        <v>47</v>
      </c>
      <c r="W1620" s="81" t="s">
        <v>3772</v>
      </c>
      <c r="X1620" s="77"/>
      <c r="Y1620" s="77"/>
      <c r="Z1620" s="77"/>
      <c r="AA1620" s="77" t="s">
        <v>5465</v>
      </c>
      <c r="AB1620" s="77" t="s">
        <v>5795</v>
      </c>
      <c r="AC1620" s="81" t="s">
        <v>5801</v>
      </c>
      <c r="AD1620" s="77" t="s">
        <v>5851</v>
      </c>
      <c r="AE1620" s="83" t="str">
        <f>HYPERLINK("https://twitter.com/bassilevandro/status/1687077797917769728")</f>
        <v>https://twitter.com/bassilevandro/status/1687077797917769728</v>
      </c>
      <c r="AF1620" s="79">
        <v>45141.519282407404</v>
      </c>
      <c r="AG1620" s="85">
        <v>45141</v>
      </c>
      <c r="AH1620" s="81" t="s">
        <v>7267</v>
      </c>
      <c r="AI1620" s="77" t="b">
        <v>0</v>
      </c>
      <c r="AJ1620" s="77"/>
      <c r="AK1620" s="77"/>
      <c r="AL1620" s="77"/>
      <c r="AM1620" s="77"/>
      <c r="AN1620" s="77"/>
      <c r="AO1620" s="77"/>
      <c r="AP1620" s="77"/>
      <c r="AQ1620" s="77" t="s">
        <v>8968</v>
      </c>
      <c r="AR1620" s="77">
        <v>10471</v>
      </c>
      <c r="AS1620" s="77"/>
      <c r="AT1620" s="77"/>
      <c r="AU1620" s="77"/>
      <c r="AV1620" s="83" t="str">
        <f>HYPERLINK("https://pbs.twimg.com/ext_tw_video_thumb/1687077755597328384/pu/img/c1LOQez_oL7adfV2.jpg")</f>
        <v>https://pbs.twimg.com/ext_tw_video_thumb/1687077755597328384/pu/img/c1LOQez_oL7adfV2.jpg</v>
      </c>
      <c r="AW1620" s="81" t="s">
        <v>10738</v>
      </c>
      <c r="AX1620" s="81" t="s">
        <v>10738</v>
      </c>
      <c r="AY1620" s="77"/>
      <c r="AZ1620" s="81" t="s">
        <v>11359</v>
      </c>
      <c r="BA1620" s="81" t="s">
        <v>11359</v>
      </c>
      <c r="BB1620" s="81" t="s">
        <v>11359</v>
      </c>
      <c r="BC1620" s="81" t="s">
        <v>10738</v>
      </c>
      <c r="BD1620" s="81" t="s">
        <v>11611</v>
      </c>
      <c r="BE1620" s="77"/>
      <c r="BF1620" s="77"/>
      <c r="BG1620" s="77"/>
      <c r="BH1620" s="77"/>
      <c r="BI1620" s="77"/>
    </row>
    <row r="1621" spans="1:61" x14ac:dyDescent="0.25">
      <c r="A1621" s="62" t="s">
        <v>632</v>
      </c>
      <c r="B1621" s="62" t="s">
        <v>937</v>
      </c>
      <c r="C1621" s="63"/>
      <c r="D1621" s="64"/>
      <c r="E1621" s="65"/>
      <c r="F1621" s="66"/>
      <c r="G1621" s="63"/>
      <c r="H1621" s="67"/>
      <c r="I1621" s="68"/>
      <c r="J1621" s="68"/>
      <c r="K1621" s="32"/>
      <c r="L1621" s="75">
        <v>1621</v>
      </c>
      <c r="M1621" s="75"/>
      <c r="N1621" s="70"/>
      <c r="O1621" s="77" t="s">
        <v>967</v>
      </c>
      <c r="P1621" s="79">
        <v>45068.354247685187</v>
      </c>
      <c r="Q1621" s="77" t="s">
        <v>2410</v>
      </c>
      <c r="R1621" s="77">
        <v>0</v>
      </c>
      <c r="S1621" s="77">
        <v>2</v>
      </c>
      <c r="T1621" s="77">
        <v>0</v>
      </c>
      <c r="U1621" s="77">
        <v>0</v>
      </c>
      <c r="V1621" s="77">
        <v>113</v>
      </c>
      <c r="W1621" s="81" t="s">
        <v>3773</v>
      </c>
      <c r="X1621" s="77" t="s">
        <v>4194</v>
      </c>
      <c r="Y1621" s="77" t="s">
        <v>4310</v>
      </c>
      <c r="Z1621" s="77" t="s">
        <v>4381</v>
      </c>
      <c r="AA1621" s="77" t="s">
        <v>5466</v>
      </c>
      <c r="AB1621" s="77" t="s">
        <v>5794</v>
      </c>
      <c r="AC1621" s="81" t="s">
        <v>5805</v>
      </c>
      <c r="AD1621" s="77" t="s">
        <v>5850</v>
      </c>
      <c r="AE1621" s="83" t="str">
        <f>HYPERLINK("https://twitter.com/tierras_cid/status/1660563680751124480")</f>
        <v>https://twitter.com/tierras_cid/status/1660563680751124480</v>
      </c>
      <c r="AF1621" s="79">
        <v>45068.354247685187</v>
      </c>
      <c r="AG1621" s="85">
        <v>45068</v>
      </c>
      <c r="AH1621" s="81" t="s">
        <v>7268</v>
      </c>
      <c r="AI1621" s="77" t="b">
        <v>0</v>
      </c>
      <c r="AJ1621" s="77"/>
      <c r="AK1621" s="77"/>
      <c r="AL1621" s="77"/>
      <c r="AM1621" s="77"/>
      <c r="AN1621" s="77"/>
      <c r="AO1621" s="77"/>
      <c r="AP1621" s="77"/>
      <c r="AQ1621" s="77" t="s">
        <v>8969</v>
      </c>
      <c r="AR1621" s="77"/>
      <c r="AS1621" s="77"/>
      <c r="AT1621" s="77"/>
      <c r="AU1621" s="77"/>
      <c r="AV1621" s="83" t="str">
        <f>HYPERLINK("https://pbs.twimg.com/media/FwuAszXX0AIOS8A.jpg")</f>
        <v>https://pbs.twimg.com/media/FwuAszXX0AIOS8A.jpg</v>
      </c>
      <c r="AW1621" s="81" t="s">
        <v>10739</v>
      </c>
      <c r="AX1621" s="81" t="s">
        <v>10739</v>
      </c>
      <c r="AY1621" s="77"/>
      <c r="AZ1621" s="81" t="s">
        <v>11359</v>
      </c>
      <c r="BA1621" s="81" t="s">
        <v>11359</v>
      </c>
      <c r="BB1621" s="81" t="s">
        <v>11359</v>
      </c>
      <c r="BC1621" s="81" t="s">
        <v>10739</v>
      </c>
      <c r="BD1621" s="81" t="s">
        <v>11612</v>
      </c>
      <c r="BE1621" s="77"/>
      <c r="BF1621" s="77"/>
      <c r="BG1621" s="77"/>
      <c r="BH1621" s="77"/>
      <c r="BI1621" s="77"/>
    </row>
    <row r="1622" spans="1:61" x14ac:dyDescent="0.25">
      <c r="A1622" s="62" t="s">
        <v>632</v>
      </c>
      <c r="B1622" s="62" t="s">
        <v>938</v>
      </c>
      <c r="C1622" s="63"/>
      <c r="D1622" s="64"/>
      <c r="E1622" s="65"/>
      <c r="F1622" s="66"/>
      <c r="G1622" s="63"/>
      <c r="H1622" s="67"/>
      <c r="I1622" s="68"/>
      <c r="J1622" s="68"/>
      <c r="K1622" s="32"/>
      <c r="L1622" s="75">
        <v>1622</v>
      </c>
      <c r="M1622" s="75"/>
      <c r="N1622" s="70"/>
      <c r="O1622" s="77" t="s">
        <v>967</v>
      </c>
      <c r="P1622" s="79">
        <v>45068.354247685187</v>
      </c>
      <c r="Q1622" s="77" t="s">
        <v>2410</v>
      </c>
      <c r="R1622" s="77">
        <v>0</v>
      </c>
      <c r="S1622" s="77">
        <v>2</v>
      </c>
      <c r="T1622" s="77">
        <v>0</v>
      </c>
      <c r="U1622" s="77">
        <v>0</v>
      </c>
      <c r="V1622" s="77">
        <v>113</v>
      </c>
      <c r="W1622" s="81" t="s">
        <v>3773</v>
      </c>
      <c r="X1622" s="77" t="s">
        <v>4194</v>
      </c>
      <c r="Y1622" s="77" t="s">
        <v>4310</v>
      </c>
      <c r="Z1622" s="77" t="s">
        <v>4381</v>
      </c>
      <c r="AA1622" s="77" t="s">
        <v>5466</v>
      </c>
      <c r="AB1622" s="77" t="s">
        <v>5794</v>
      </c>
      <c r="AC1622" s="81" t="s">
        <v>5805</v>
      </c>
      <c r="AD1622" s="77" t="s">
        <v>5850</v>
      </c>
      <c r="AE1622" s="83" t="str">
        <f>HYPERLINK("https://twitter.com/tierras_cid/status/1660563680751124480")</f>
        <v>https://twitter.com/tierras_cid/status/1660563680751124480</v>
      </c>
      <c r="AF1622" s="79">
        <v>45068.354247685187</v>
      </c>
      <c r="AG1622" s="85">
        <v>45068</v>
      </c>
      <c r="AH1622" s="81" t="s">
        <v>7268</v>
      </c>
      <c r="AI1622" s="77" t="b">
        <v>0</v>
      </c>
      <c r="AJ1622" s="77"/>
      <c r="AK1622" s="77"/>
      <c r="AL1622" s="77"/>
      <c r="AM1622" s="77"/>
      <c r="AN1622" s="77"/>
      <c r="AO1622" s="77"/>
      <c r="AP1622" s="77"/>
      <c r="AQ1622" s="77" t="s">
        <v>8969</v>
      </c>
      <c r="AR1622" s="77"/>
      <c r="AS1622" s="77"/>
      <c r="AT1622" s="77"/>
      <c r="AU1622" s="77"/>
      <c r="AV1622" s="83" t="str">
        <f>HYPERLINK("https://pbs.twimg.com/media/FwuAszXX0AIOS8A.jpg")</f>
        <v>https://pbs.twimg.com/media/FwuAszXX0AIOS8A.jpg</v>
      </c>
      <c r="AW1622" s="81" t="s">
        <v>10739</v>
      </c>
      <c r="AX1622" s="81" t="s">
        <v>10739</v>
      </c>
      <c r="AY1622" s="77"/>
      <c r="AZ1622" s="81" t="s">
        <v>11359</v>
      </c>
      <c r="BA1622" s="81" t="s">
        <v>11359</v>
      </c>
      <c r="BB1622" s="81" t="s">
        <v>11359</v>
      </c>
      <c r="BC1622" s="81" t="s">
        <v>10739</v>
      </c>
      <c r="BD1622" s="81" t="s">
        <v>11612</v>
      </c>
      <c r="BE1622" s="77"/>
      <c r="BF1622" s="77"/>
      <c r="BG1622" s="77"/>
      <c r="BH1622" s="77"/>
      <c r="BI1622" s="77"/>
    </row>
    <row r="1623" spans="1:61" x14ac:dyDescent="0.25">
      <c r="A1623" s="62" t="s">
        <v>633</v>
      </c>
      <c r="B1623" s="62" t="s">
        <v>633</v>
      </c>
      <c r="C1623" s="63"/>
      <c r="D1623" s="64"/>
      <c r="E1623" s="65"/>
      <c r="F1623" s="66"/>
      <c r="G1623" s="63"/>
      <c r="H1623" s="67"/>
      <c r="I1623" s="68"/>
      <c r="J1623" s="68"/>
      <c r="K1623" s="32"/>
      <c r="L1623" s="75">
        <v>1623</v>
      </c>
      <c r="M1623" s="75"/>
      <c r="N1623" s="70"/>
      <c r="O1623" s="77" t="s">
        <v>179</v>
      </c>
      <c r="P1623" s="79">
        <v>45138.500011574077</v>
      </c>
      <c r="Q1623" s="77" t="s">
        <v>2411</v>
      </c>
      <c r="R1623" s="77">
        <v>0</v>
      </c>
      <c r="S1623" s="77">
        <v>0</v>
      </c>
      <c r="T1623" s="77">
        <v>0</v>
      </c>
      <c r="U1623" s="77">
        <v>0</v>
      </c>
      <c r="V1623" s="77">
        <v>14</v>
      </c>
      <c r="W1623" s="81" t="s">
        <v>3774</v>
      </c>
      <c r="X1623" s="83" t="str">
        <f>HYPERLINK("https://www.libreriacapitulos.com/products/el-milagro-mas-grande-del-mundo")</f>
        <v>https://www.libreriacapitulos.com/products/el-milagro-mas-grande-del-mundo</v>
      </c>
      <c r="Y1623" s="77" t="s">
        <v>4311</v>
      </c>
      <c r="Z1623" s="77"/>
      <c r="AA1623" s="77" t="s">
        <v>5467</v>
      </c>
      <c r="AB1623" s="77" t="s">
        <v>5794</v>
      </c>
      <c r="AC1623" s="81" t="s">
        <v>5805</v>
      </c>
      <c r="AD1623" s="77" t="s">
        <v>5850</v>
      </c>
      <c r="AE1623" s="83" t="str">
        <f>HYPERLINK("https://twitter.com/lib_capitulos/status/1685983652524498945")</f>
        <v>https://twitter.com/lib_capitulos/status/1685983652524498945</v>
      </c>
      <c r="AF1623" s="79">
        <v>45138.500011574077</v>
      </c>
      <c r="AG1623" s="85">
        <v>45138</v>
      </c>
      <c r="AH1623" s="81" t="s">
        <v>7269</v>
      </c>
      <c r="AI1623" s="77" t="b">
        <v>0</v>
      </c>
      <c r="AJ1623" s="77"/>
      <c r="AK1623" s="77"/>
      <c r="AL1623" s="77"/>
      <c r="AM1623" s="77"/>
      <c r="AN1623" s="77"/>
      <c r="AO1623" s="77"/>
      <c r="AP1623" s="77"/>
      <c r="AQ1623" s="77" t="s">
        <v>8970</v>
      </c>
      <c r="AR1623" s="77"/>
      <c r="AS1623" s="77"/>
      <c r="AT1623" s="77"/>
      <c r="AU1623" s="77"/>
      <c r="AV1623" s="83" t="str">
        <f>HYPERLINK("https://pbs.twimg.com/media/F15RA1FX0AQ5obJ.jpg")</f>
        <v>https://pbs.twimg.com/media/F15RA1FX0AQ5obJ.jpg</v>
      </c>
      <c r="AW1623" s="81" t="s">
        <v>10740</v>
      </c>
      <c r="AX1623" s="81" t="s">
        <v>10740</v>
      </c>
      <c r="AY1623" s="77"/>
      <c r="AZ1623" s="81" t="s">
        <v>11359</v>
      </c>
      <c r="BA1623" s="81" t="s">
        <v>11359</v>
      </c>
      <c r="BB1623" s="81" t="s">
        <v>11359</v>
      </c>
      <c r="BC1623" s="81" t="s">
        <v>10740</v>
      </c>
      <c r="BD1623" s="81" t="s">
        <v>11613</v>
      </c>
      <c r="BE1623" s="77"/>
      <c r="BF1623" s="77"/>
      <c r="BG1623" s="77"/>
      <c r="BH1623" s="77"/>
      <c r="BI1623" s="77"/>
    </row>
    <row r="1624" spans="1:61" x14ac:dyDescent="0.25">
      <c r="A1624" s="62" t="s">
        <v>633</v>
      </c>
      <c r="B1624" s="62" t="s">
        <v>633</v>
      </c>
      <c r="C1624" s="63"/>
      <c r="D1624" s="64"/>
      <c r="E1624" s="65"/>
      <c r="F1624" s="66"/>
      <c r="G1624" s="63"/>
      <c r="H1624" s="67"/>
      <c r="I1624" s="68"/>
      <c r="J1624" s="68"/>
      <c r="K1624" s="32"/>
      <c r="L1624" s="75">
        <v>1624</v>
      </c>
      <c r="M1624" s="75"/>
      <c r="N1624" s="70"/>
      <c r="O1624" s="77" t="s">
        <v>179</v>
      </c>
      <c r="P1624" s="79">
        <v>45140.500034722223</v>
      </c>
      <c r="Q1624" s="77" t="s">
        <v>2412</v>
      </c>
      <c r="R1624" s="77">
        <v>0</v>
      </c>
      <c r="S1624" s="77">
        <v>1</v>
      </c>
      <c r="T1624" s="77">
        <v>0</v>
      </c>
      <c r="U1624" s="77">
        <v>0</v>
      </c>
      <c r="V1624" s="77">
        <v>7</v>
      </c>
      <c r="W1624" s="81" t="s">
        <v>3775</v>
      </c>
      <c r="X1624" s="83" t="str">
        <f>HYPERLINK("https://www.libreriacapitulos.com/products/el-vendedor-mas-grande-del-mundo?_pos=1&amp;_sid=e36d43018&amp;_ss=r")</f>
        <v>https://www.libreriacapitulos.com/products/el-vendedor-mas-grande-del-mundo?_pos=1&amp;_sid=e36d43018&amp;_ss=r</v>
      </c>
      <c r="Y1624" s="77" t="s">
        <v>4311</v>
      </c>
      <c r="Z1624" s="77"/>
      <c r="AA1624" s="77" t="s">
        <v>5468</v>
      </c>
      <c r="AB1624" s="77" t="s">
        <v>5794</v>
      </c>
      <c r="AC1624" s="81" t="s">
        <v>5805</v>
      </c>
      <c r="AD1624" s="77" t="s">
        <v>5850</v>
      </c>
      <c r="AE1624" s="83" t="str">
        <f>HYPERLINK("https://twitter.com/lib_capitulos/status/1686708435180728321")</f>
        <v>https://twitter.com/lib_capitulos/status/1686708435180728321</v>
      </c>
      <c r="AF1624" s="79">
        <v>45140.500034722223</v>
      </c>
      <c r="AG1624" s="85">
        <v>45140</v>
      </c>
      <c r="AH1624" s="81" t="s">
        <v>7084</v>
      </c>
      <c r="AI1624" s="77" t="b">
        <v>0</v>
      </c>
      <c r="AJ1624" s="77"/>
      <c r="AK1624" s="77"/>
      <c r="AL1624" s="77"/>
      <c r="AM1624" s="77"/>
      <c r="AN1624" s="77"/>
      <c r="AO1624" s="77"/>
      <c r="AP1624" s="77"/>
      <c r="AQ1624" s="77" t="s">
        <v>8971</v>
      </c>
      <c r="AR1624" s="77"/>
      <c r="AS1624" s="77"/>
      <c r="AT1624" s="77"/>
      <c r="AU1624" s="77"/>
      <c r="AV1624" s="83" t="str">
        <f>HYPERLINK("https://pbs.twimg.com/media/F15Sm9qXsAAZ-ss.jpg")</f>
        <v>https://pbs.twimg.com/media/F15Sm9qXsAAZ-ss.jpg</v>
      </c>
      <c r="AW1624" s="81" t="s">
        <v>10741</v>
      </c>
      <c r="AX1624" s="81" t="s">
        <v>10741</v>
      </c>
      <c r="AY1624" s="77"/>
      <c r="AZ1624" s="81" t="s">
        <v>11359</v>
      </c>
      <c r="BA1624" s="81" t="s">
        <v>11359</v>
      </c>
      <c r="BB1624" s="81" t="s">
        <v>11359</v>
      </c>
      <c r="BC1624" s="81" t="s">
        <v>10741</v>
      </c>
      <c r="BD1624" s="81" t="s">
        <v>11613</v>
      </c>
      <c r="BE1624" s="77"/>
      <c r="BF1624" s="77"/>
      <c r="BG1624" s="77"/>
      <c r="BH1624" s="77"/>
      <c r="BI1624" s="77"/>
    </row>
    <row r="1625" spans="1:61" x14ac:dyDescent="0.25">
      <c r="A1625" s="62" t="s">
        <v>634</v>
      </c>
      <c r="B1625" s="62" t="s">
        <v>634</v>
      </c>
      <c r="C1625" s="63"/>
      <c r="D1625" s="64"/>
      <c r="E1625" s="65"/>
      <c r="F1625" s="66"/>
      <c r="G1625" s="63"/>
      <c r="H1625" s="67"/>
      <c r="I1625" s="68"/>
      <c r="J1625" s="68"/>
      <c r="K1625" s="32"/>
      <c r="L1625" s="75">
        <v>1625</v>
      </c>
      <c r="M1625" s="75"/>
      <c r="N1625" s="70"/>
      <c r="O1625" s="77" t="s">
        <v>179</v>
      </c>
      <c r="P1625" s="79">
        <v>45096.555428240739</v>
      </c>
      <c r="Q1625" s="77" t="s">
        <v>2413</v>
      </c>
      <c r="R1625" s="77">
        <v>0</v>
      </c>
      <c r="S1625" s="77">
        <v>2</v>
      </c>
      <c r="T1625" s="77">
        <v>0</v>
      </c>
      <c r="U1625" s="77">
        <v>0</v>
      </c>
      <c r="V1625" s="77">
        <v>39</v>
      </c>
      <c r="W1625" s="81" t="s">
        <v>3776</v>
      </c>
      <c r="X1625" s="77"/>
      <c r="Y1625" s="77"/>
      <c r="Z1625" s="77"/>
      <c r="AA1625" s="77" t="s">
        <v>5469</v>
      </c>
      <c r="AB1625" s="77" t="s">
        <v>5794</v>
      </c>
      <c r="AC1625" s="81" t="s">
        <v>5803</v>
      </c>
      <c r="AD1625" s="77" t="s">
        <v>5851</v>
      </c>
      <c r="AE1625" s="83" t="str">
        <f>HYPERLINK("https://twitter.com/oportoneto/status/1670783446124314626")</f>
        <v>https://twitter.com/oportoneto/status/1670783446124314626</v>
      </c>
      <c r="AF1625" s="79">
        <v>45096.555428240739</v>
      </c>
      <c r="AG1625" s="85">
        <v>45096</v>
      </c>
      <c r="AH1625" s="81" t="s">
        <v>7270</v>
      </c>
      <c r="AI1625" s="77" t="b">
        <v>0</v>
      </c>
      <c r="AJ1625" s="77"/>
      <c r="AK1625" s="77"/>
      <c r="AL1625" s="77"/>
      <c r="AM1625" s="77"/>
      <c r="AN1625" s="77"/>
      <c r="AO1625" s="77"/>
      <c r="AP1625" s="77"/>
      <c r="AQ1625" s="77" t="s">
        <v>8972</v>
      </c>
      <c r="AR1625" s="77"/>
      <c r="AS1625" s="77"/>
      <c r="AT1625" s="77"/>
      <c r="AU1625" s="77"/>
      <c r="AV1625" s="83" t="str">
        <f>HYPERLINK("https://pbs.twimg.com/media/Fy_QruxXoAAa1id.jpg")</f>
        <v>https://pbs.twimg.com/media/Fy_QruxXoAAa1id.jpg</v>
      </c>
      <c r="AW1625" s="81" t="s">
        <v>10742</v>
      </c>
      <c r="AX1625" s="81" t="s">
        <v>10742</v>
      </c>
      <c r="AY1625" s="77"/>
      <c r="AZ1625" s="81" t="s">
        <v>11359</v>
      </c>
      <c r="BA1625" s="81" t="s">
        <v>11359</v>
      </c>
      <c r="BB1625" s="81" t="s">
        <v>11359</v>
      </c>
      <c r="BC1625" s="81" t="s">
        <v>10742</v>
      </c>
      <c r="BD1625" s="77">
        <v>3893109381</v>
      </c>
      <c r="BE1625" s="77"/>
      <c r="BF1625" s="77"/>
      <c r="BG1625" s="77"/>
      <c r="BH1625" s="77"/>
      <c r="BI1625" s="77"/>
    </row>
    <row r="1626" spans="1:61" x14ac:dyDescent="0.25">
      <c r="A1626" s="62" t="s">
        <v>634</v>
      </c>
      <c r="B1626" s="62" t="s">
        <v>634</v>
      </c>
      <c r="C1626" s="63"/>
      <c r="D1626" s="64"/>
      <c r="E1626" s="65"/>
      <c r="F1626" s="66"/>
      <c r="G1626" s="63"/>
      <c r="H1626" s="67"/>
      <c r="I1626" s="68"/>
      <c r="J1626" s="68"/>
      <c r="K1626" s="32"/>
      <c r="L1626" s="75">
        <v>1626</v>
      </c>
      <c r="M1626" s="75"/>
      <c r="N1626" s="70"/>
      <c r="O1626" s="77" t="s">
        <v>179</v>
      </c>
      <c r="P1626" s="79">
        <v>45094.737986111111</v>
      </c>
      <c r="Q1626" s="77" t="s">
        <v>2414</v>
      </c>
      <c r="R1626" s="77">
        <v>0</v>
      </c>
      <c r="S1626" s="77">
        <v>1</v>
      </c>
      <c r="T1626" s="77">
        <v>0</v>
      </c>
      <c r="U1626" s="77">
        <v>0</v>
      </c>
      <c r="V1626" s="77">
        <v>31</v>
      </c>
      <c r="W1626" s="81" t="s">
        <v>3777</v>
      </c>
      <c r="X1626" s="77"/>
      <c r="Y1626" s="77"/>
      <c r="Z1626" s="77"/>
      <c r="AA1626" s="77" t="s">
        <v>5470</v>
      </c>
      <c r="AB1626" s="77" t="s">
        <v>5794</v>
      </c>
      <c r="AC1626" s="81" t="s">
        <v>5803</v>
      </c>
      <c r="AD1626" s="77" t="s">
        <v>5851</v>
      </c>
      <c r="AE1626" s="83" t="str">
        <f>HYPERLINK("https://twitter.com/oportoneto/status/1670124826441265152")</f>
        <v>https://twitter.com/oportoneto/status/1670124826441265152</v>
      </c>
      <c r="AF1626" s="79">
        <v>45094.737986111111</v>
      </c>
      <c r="AG1626" s="85">
        <v>45094</v>
      </c>
      <c r="AH1626" s="81" t="s">
        <v>7271</v>
      </c>
      <c r="AI1626" s="77" t="b">
        <v>0</v>
      </c>
      <c r="AJ1626" s="77"/>
      <c r="AK1626" s="77"/>
      <c r="AL1626" s="77"/>
      <c r="AM1626" s="77"/>
      <c r="AN1626" s="77"/>
      <c r="AO1626" s="77"/>
      <c r="AP1626" s="77"/>
      <c r="AQ1626" s="77" t="s">
        <v>8973</v>
      </c>
      <c r="AR1626" s="77"/>
      <c r="AS1626" s="77"/>
      <c r="AT1626" s="77"/>
      <c r="AU1626" s="77"/>
      <c r="AV1626" s="83" t="str">
        <f>HYPERLINK("https://pbs.twimg.com/media/Fy15rHjWAAAIIaJ.jpg")</f>
        <v>https://pbs.twimg.com/media/Fy15rHjWAAAIIaJ.jpg</v>
      </c>
      <c r="AW1626" s="81" t="s">
        <v>10743</v>
      </c>
      <c r="AX1626" s="81" t="s">
        <v>10743</v>
      </c>
      <c r="AY1626" s="77"/>
      <c r="AZ1626" s="81" t="s">
        <v>11359</v>
      </c>
      <c r="BA1626" s="81" t="s">
        <v>11359</v>
      </c>
      <c r="BB1626" s="81" t="s">
        <v>11359</v>
      </c>
      <c r="BC1626" s="81" t="s">
        <v>10743</v>
      </c>
      <c r="BD1626" s="77">
        <v>3893109381</v>
      </c>
      <c r="BE1626" s="77"/>
      <c r="BF1626" s="77"/>
      <c r="BG1626" s="77"/>
      <c r="BH1626" s="77"/>
      <c r="BI1626" s="77"/>
    </row>
    <row r="1627" spans="1:61" x14ac:dyDescent="0.25">
      <c r="A1627" s="62" t="s">
        <v>634</v>
      </c>
      <c r="B1627" s="62" t="s">
        <v>634</v>
      </c>
      <c r="C1627" s="63"/>
      <c r="D1627" s="64"/>
      <c r="E1627" s="65"/>
      <c r="F1627" s="66"/>
      <c r="G1627" s="63"/>
      <c r="H1627" s="67"/>
      <c r="I1627" s="68"/>
      <c r="J1627" s="68"/>
      <c r="K1627" s="32"/>
      <c r="L1627" s="75">
        <v>1627</v>
      </c>
      <c r="M1627" s="75"/>
      <c r="N1627" s="70"/>
      <c r="O1627" s="77" t="s">
        <v>179</v>
      </c>
      <c r="P1627" s="79">
        <v>45093.507210648146</v>
      </c>
      <c r="Q1627" s="77" t="s">
        <v>2415</v>
      </c>
      <c r="R1627" s="77">
        <v>0</v>
      </c>
      <c r="S1627" s="77">
        <v>0</v>
      </c>
      <c r="T1627" s="77">
        <v>0</v>
      </c>
      <c r="U1627" s="77">
        <v>0</v>
      </c>
      <c r="V1627" s="77">
        <v>78</v>
      </c>
      <c r="W1627" s="81" t="s">
        <v>3778</v>
      </c>
      <c r="X1627" s="77"/>
      <c r="Y1627" s="77"/>
      <c r="Z1627" s="77"/>
      <c r="AA1627" s="77" t="s">
        <v>5471</v>
      </c>
      <c r="AB1627" s="77" t="s">
        <v>5794</v>
      </c>
      <c r="AC1627" s="81" t="s">
        <v>5803</v>
      </c>
      <c r="AD1627" s="77" t="s">
        <v>5851</v>
      </c>
      <c r="AE1627" s="83" t="str">
        <f>HYPERLINK("https://twitter.com/oportoneto/status/1669678808880803840")</f>
        <v>https://twitter.com/oportoneto/status/1669678808880803840</v>
      </c>
      <c r="AF1627" s="79">
        <v>45093.507210648146</v>
      </c>
      <c r="AG1627" s="85">
        <v>45093</v>
      </c>
      <c r="AH1627" s="81" t="s">
        <v>7272</v>
      </c>
      <c r="AI1627" s="77" t="b">
        <v>0</v>
      </c>
      <c r="AJ1627" s="77" t="s">
        <v>7746</v>
      </c>
      <c r="AK1627" s="77" t="s">
        <v>7763</v>
      </c>
      <c r="AL1627" s="77" t="s">
        <v>7772</v>
      </c>
      <c r="AM1627" s="77" t="s">
        <v>7800</v>
      </c>
      <c r="AN1627" s="77" t="s">
        <v>7836</v>
      </c>
      <c r="AO1627" s="77" t="s">
        <v>7872</v>
      </c>
      <c r="AP1627" s="77" t="s">
        <v>7889</v>
      </c>
      <c r="AQ1627" s="77" t="s">
        <v>8974</v>
      </c>
      <c r="AR1627" s="77"/>
      <c r="AS1627" s="77"/>
      <c r="AT1627" s="77"/>
      <c r="AU1627" s="77"/>
      <c r="AV1627" s="83" t="str">
        <f>HYPERLINK("https://pbs.twimg.com/media/FyvkBqgWIAExdAb.jpg")</f>
        <v>https://pbs.twimg.com/media/FyvkBqgWIAExdAb.jpg</v>
      </c>
      <c r="AW1627" s="81" t="s">
        <v>10744</v>
      </c>
      <c r="AX1627" s="81" t="s">
        <v>10744</v>
      </c>
      <c r="AY1627" s="77"/>
      <c r="AZ1627" s="81" t="s">
        <v>11359</v>
      </c>
      <c r="BA1627" s="81" t="s">
        <v>11359</v>
      </c>
      <c r="BB1627" s="81" t="s">
        <v>11359</v>
      </c>
      <c r="BC1627" s="81" t="s">
        <v>10744</v>
      </c>
      <c r="BD1627" s="77">
        <v>3893109381</v>
      </c>
      <c r="BE1627" s="77"/>
      <c r="BF1627" s="77"/>
      <c r="BG1627" s="77"/>
      <c r="BH1627" s="77"/>
      <c r="BI1627" s="77"/>
    </row>
    <row r="1628" spans="1:61" x14ac:dyDescent="0.25">
      <c r="A1628" s="62" t="s">
        <v>634</v>
      </c>
      <c r="B1628" s="62" t="s">
        <v>634</v>
      </c>
      <c r="C1628" s="63"/>
      <c r="D1628" s="64"/>
      <c r="E1628" s="65"/>
      <c r="F1628" s="66"/>
      <c r="G1628" s="63"/>
      <c r="H1628" s="67"/>
      <c r="I1628" s="68"/>
      <c r="J1628" s="68"/>
      <c r="K1628" s="32"/>
      <c r="L1628" s="75">
        <v>1628</v>
      </c>
      <c r="M1628" s="75"/>
      <c r="N1628" s="70"/>
      <c r="O1628" s="77" t="s">
        <v>179</v>
      </c>
      <c r="P1628" s="79">
        <v>45098.594502314816</v>
      </c>
      <c r="Q1628" s="77" t="s">
        <v>2416</v>
      </c>
      <c r="R1628" s="77">
        <v>0</v>
      </c>
      <c r="S1628" s="77">
        <v>1</v>
      </c>
      <c r="T1628" s="77">
        <v>0</v>
      </c>
      <c r="U1628" s="77">
        <v>0</v>
      </c>
      <c r="V1628" s="77">
        <v>34</v>
      </c>
      <c r="W1628" s="81" t="s">
        <v>3779</v>
      </c>
      <c r="X1628" s="77"/>
      <c r="Y1628" s="77"/>
      <c r="Z1628" s="77"/>
      <c r="AA1628" s="77" t="s">
        <v>5472</v>
      </c>
      <c r="AB1628" s="77" t="s">
        <v>5794</v>
      </c>
      <c r="AC1628" s="81" t="s">
        <v>5803</v>
      </c>
      <c r="AD1628" s="77" t="s">
        <v>5851</v>
      </c>
      <c r="AE1628" s="83" t="str">
        <f>HYPERLINK("https://twitter.com/oportoneto/status/1671522380038930436")</f>
        <v>https://twitter.com/oportoneto/status/1671522380038930436</v>
      </c>
      <c r="AF1628" s="79">
        <v>45098.594502314816</v>
      </c>
      <c r="AG1628" s="85">
        <v>45098</v>
      </c>
      <c r="AH1628" s="81" t="s">
        <v>7273</v>
      </c>
      <c r="AI1628" s="77" t="b">
        <v>0</v>
      </c>
      <c r="AJ1628" s="77"/>
      <c r="AK1628" s="77"/>
      <c r="AL1628" s="77"/>
      <c r="AM1628" s="77"/>
      <c r="AN1628" s="77"/>
      <c r="AO1628" s="77"/>
      <c r="AP1628" s="77"/>
      <c r="AQ1628" s="77" t="s">
        <v>8975</v>
      </c>
      <c r="AR1628" s="77"/>
      <c r="AS1628" s="77"/>
      <c r="AT1628" s="77"/>
      <c r="AU1628" s="77"/>
      <c r="AV1628" s="83" t="str">
        <f>HYPERLINK("https://pbs.twimg.com/media/FzJwvmeXsAQr9-i.jpg")</f>
        <v>https://pbs.twimg.com/media/FzJwvmeXsAQr9-i.jpg</v>
      </c>
      <c r="AW1628" s="81" t="s">
        <v>10745</v>
      </c>
      <c r="AX1628" s="81" t="s">
        <v>10745</v>
      </c>
      <c r="AY1628" s="77"/>
      <c r="AZ1628" s="81" t="s">
        <v>11359</v>
      </c>
      <c r="BA1628" s="81" t="s">
        <v>11359</v>
      </c>
      <c r="BB1628" s="81" t="s">
        <v>11359</v>
      </c>
      <c r="BC1628" s="81" t="s">
        <v>10745</v>
      </c>
      <c r="BD1628" s="77">
        <v>3893109381</v>
      </c>
      <c r="BE1628" s="77"/>
      <c r="BF1628" s="77"/>
      <c r="BG1628" s="77"/>
      <c r="BH1628" s="77"/>
      <c r="BI1628" s="77"/>
    </row>
    <row r="1629" spans="1:61" x14ac:dyDescent="0.25">
      <c r="A1629" s="62" t="s">
        <v>634</v>
      </c>
      <c r="B1629" s="62" t="s">
        <v>634</v>
      </c>
      <c r="C1629" s="63"/>
      <c r="D1629" s="64"/>
      <c r="E1629" s="65"/>
      <c r="F1629" s="66"/>
      <c r="G1629" s="63"/>
      <c r="H1629" s="67"/>
      <c r="I1629" s="68"/>
      <c r="J1629" s="68"/>
      <c r="K1629" s="32"/>
      <c r="L1629" s="75">
        <v>1629</v>
      </c>
      <c r="M1629" s="75"/>
      <c r="N1629" s="70"/>
      <c r="O1629" s="77" t="s">
        <v>969</v>
      </c>
      <c r="P1629" s="79">
        <v>45099.598900462966</v>
      </c>
      <c r="Q1629" s="77" t="s">
        <v>2417</v>
      </c>
      <c r="R1629" s="77">
        <v>0</v>
      </c>
      <c r="S1629" s="77">
        <v>2</v>
      </c>
      <c r="T1629" s="77">
        <v>0</v>
      </c>
      <c r="U1629" s="77">
        <v>0</v>
      </c>
      <c r="V1629" s="77">
        <v>83</v>
      </c>
      <c r="W1629" s="81" t="s">
        <v>3780</v>
      </c>
      <c r="X1629" s="77"/>
      <c r="Y1629" s="77"/>
      <c r="Z1629" s="77"/>
      <c r="AA1629" s="77"/>
      <c r="AB1629" s="77"/>
      <c r="AC1629" s="81" t="s">
        <v>5803</v>
      </c>
      <c r="AD1629" s="77" t="s">
        <v>5851</v>
      </c>
      <c r="AE1629" s="83" t="str">
        <f>HYPERLINK("https://twitter.com/oportoneto/status/1671886363724226562")</f>
        <v>https://twitter.com/oportoneto/status/1671886363724226562</v>
      </c>
      <c r="AF1629" s="79">
        <v>45099.598900462966</v>
      </c>
      <c r="AG1629" s="85">
        <v>45099</v>
      </c>
      <c r="AH1629" s="81" t="s">
        <v>6972</v>
      </c>
      <c r="AI1629" s="77"/>
      <c r="AJ1629" s="77"/>
      <c r="AK1629" s="77"/>
      <c r="AL1629" s="77"/>
      <c r="AM1629" s="77"/>
      <c r="AN1629" s="77"/>
      <c r="AO1629" s="77"/>
      <c r="AP1629" s="77"/>
      <c r="AQ1629" s="77"/>
      <c r="AR1629" s="77"/>
      <c r="AS1629" s="77"/>
      <c r="AT1629" s="77"/>
      <c r="AU1629" s="77"/>
      <c r="AV1629" s="83" t="str">
        <f>HYPERLINK("https://pbs.twimg.com/profile_images/1694378237969747968/XtjezgvB_normal.jpg")</f>
        <v>https://pbs.twimg.com/profile_images/1694378237969747968/XtjezgvB_normal.jpg</v>
      </c>
      <c r="AW1629" s="81" t="s">
        <v>10746</v>
      </c>
      <c r="AX1629" s="81" t="s">
        <v>11301</v>
      </c>
      <c r="AY1629" s="81" t="s">
        <v>11343</v>
      </c>
      <c r="AZ1629" s="81" t="s">
        <v>11390</v>
      </c>
      <c r="BA1629" s="81" t="s">
        <v>11359</v>
      </c>
      <c r="BB1629" s="81" t="s">
        <v>11359</v>
      </c>
      <c r="BC1629" s="81" t="s">
        <v>11390</v>
      </c>
      <c r="BD1629" s="77">
        <v>3893109381</v>
      </c>
      <c r="BE1629" s="77"/>
      <c r="BF1629" s="77"/>
      <c r="BG1629" s="77"/>
      <c r="BH1629" s="77"/>
      <c r="BI1629" s="77"/>
    </row>
    <row r="1630" spans="1:61" x14ac:dyDescent="0.25">
      <c r="A1630" s="62" t="s">
        <v>634</v>
      </c>
      <c r="B1630" s="62" t="s">
        <v>634</v>
      </c>
      <c r="C1630" s="63"/>
      <c r="D1630" s="64"/>
      <c r="E1630" s="65"/>
      <c r="F1630" s="66"/>
      <c r="G1630" s="63"/>
      <c r="H1630" s="67"/>
      <c r="I1630" s="68"/>
      <c r="J1630" s="68"/>
      <c r="K1630" s="32"/>
      <c r="L1630" s="75">
        <v>1630</v>
      </c>
      <c r="M1630" s="75"/>
      <c r="N1630" s="70"/>
      <c r="O1630" s="77" t="s">
        <v>179</v>
      </c>
      <c r="P1630" s="79">
        <v>45104.517916666664</v>
      </c>
      <c r="Q1630" s="77" t="s">
        <v>2418</v>
      </c>
      <c r="R1630" s="77">
        <v>0</v>
      </c>
      <c r="S1630" s="77">
        <v>2</v>
      </c>
      <c r="T1630" s="77">
        <v>0</v>
      </c>
      <c r="U1630" s="77">
        <v>0</v>
      </c>
      <c r="V1630" s="77">
        <v>18</v>
      </c>
      <c r="W1630" s="81" t="s">
        <v>3781</v>
      </c>
      <c r="X1630" s="77"/>
      <c r="Y1630" s="77"/>
      <c r="Z1630" s="77"/>
      <c r="AA1630" s="77" t="s">
        <v>5473</v>
      </c>
      <c r="AB1630" s="77" t="s">
        <v>5794</v>
      </c>
      <c r="AC1630" s="81" t="s">
        <v>5803</v>
      </c>
      <c r="AD1630" s="77" t="s">
        <v>5851</v>
      </c>
      <c r="AE1630" s="83" t="str">
        <f>HYPERLINK("https://twitter.com/oportoneto/status/1673668955775303680")</f>
        <v>https://twitter.com/oportoneto/status/1673668955775303680</v>
      </c>
      <c r="AF1630" s="79">
        <v>45104.517916666664</v>
      </c>
      <c r="AG1630" s="85">
        <v>45104</v>
      </c>
      <c r="AH1630" s="81" t="s">
        <v>7274</v>
      </c>
      <c r="AI1630" s="77" t="b">
        <v>0</v>
      </c>
      <c r="AJ1630" s="77"/>
      <c r="AK1630" s="77"/>
      <c r="AL1630" s="77"/>
      <c r="AM1630" s="77"/>
      <c r="AN1630" s="77"/>
      <c r="AO1630" s="77"/>
      <c r="AP1630" s="77"/>
      <c r="AQ1630" s="77" t="s">
        <v>8976</v>
      </c>
      <c r="AR1630" s="77"/>
      <c r="AS1630" s="77"/>
      <c r="AT1630" s="77"/>
      <c r="AU1630" s="77"/>
      <c r="AV1630" s="83" t="str">
        <f>HYPERLINK("https://pbs.twimg.com/media/FzoRCxtXsAEIQWO.jpg")</f>
        <v>https://pbs.twimg.com/media/FzoRCxtXsAEIQWO.jpg</v>
      </c>
      <c r="AW1630" s="81" t="s">
        <v>10747</v>
      </c>
      <c r="AX1630" s="81" t="s">
        <v>10747</v>
      </c>
      <c r="AY1630" s="77"/>
      <c r="AZ1630" s="81" t="s">
        <v>11359</v>
      </c>
      <c r="BA1630" s="81" t="s">
        <v>11359</v>
      </c>
      <c r="BB1630" s="81" t="s">
        <v>11359</v>
      </c>
      <c r="BC1630" s="81" t="s">
        <v>10747</v>
      </c>
      <c r="BD1630" s="77">
        <v>3893109381</v>
      </c>
      <c r="BE1630" s="77"/>
      <c r="BF1630" s="77"/>
      <c r="BG1630" s="77"/>
      <c r="BH1630" s="77"/>
      <c r="BI1630" s="77"/>
    </row>
    <row r="1631" spans="1:61" x14ac:dyDescent="0.25">
      <c r="A1631" s="62" t="s">
        <v>634</v>
      </c>
      <c r="B1631" s="62" t="s">
        <v>634</v>
      </c>
      <c r="C1631" s="63"/>
      <c r="D1631" s="64"/>
      <c r="E1631" s="65"/>
      <c r="F1631" s="66"/>
      <c r="G1631" s="63"/>
      <c r="H1631" s="67"/>
      <c r="I1631" s="68"/>
      <c r="J1631" s="68"/>
      <c r="K1631" s="32"/>
      <c r="L1631" s="75">
        <v>1631</v>
      </c>
      <c r="M1631" s="75"/>
      <c r="N1631" s="70"/>
      <c r="O1631" s="77" t="s">
        <v>179</v>
      </c>
      <c r="P1631" s="79">
        <v>45106.501539351855</v>
      </c>
      <c r="Q1631" s="77" t="s">
        <v>2419</v>
      </c>
      <c r="R1631" s="77">
        <v>0</v>
      </c>
      <c r="S1631" s="77">
        <v>2</v>
      </c>
      <c r="T1631" s="77">
        <v>0</v>
      </c>
      <c r="U1631" s="77">
        <v>0</v>
      </c>
      <c r="V1631" s="77">
        <v>33</v>
      </c>
      <c r="W1631" s="81" t="s">
        <v>3782</v>
      </c>
      <c r="X1631" s="77"/>
      <c r="Y1631" s="77"/>
      <c r="Z1631" s="77"/>
      <c r="AA1631" s="77" t="s">
        <v>5474</v>
      </c>
      <c r="AB1631" s="77" t="s">
        <v>5794</v>
      </c>
      <c r="AC1631" s="81" t="s">
        <v>5803</v>
      </c>
      <c r="AD1631" s="77" t="s">
        <v>5851</v>
      </c>
      <c r="AE1631" s="83" t="str">
        <f>HYPERLINK("https://twitter.com/oportoneto/status/1674387795740065793")</f>
        <v>https://twitter.com/oportoneto/status/1674387795740065793</v>
      </c>
      <c r="AF1631" s="79">
        <v>45106.501539351855</v>
      </c>
      <c r="AG1631" s="85">
        <v>45106</v>
      </c>
      <c r="AH1631" s="81" t="s">
        <v>7275</v>
      </c>
      <c r="AI1631" s="77" t="b">
        <v>0</v>
      </c>
      <c r="AJ1631" s="77"/>
      <c r="AK1631" s="77"/>
      <c r="AL1631" s="77"/>
      <c r="AM1631" s="77"/>
      <c r="AN1631" s="77"/>
      <c r="AO1631" s="77"/>
      <c r="AP1631" s="77"/>
      <c r="AQ1631" s="77" t="s">
        <v>8977</v>
      </c>
      <c r="AR1631" s="77"/>
      <c r="AS1631" s="77"/>
      <c r="AT1631" s="77"/>
      <c r="AU1631" s="77"/>
      <c r="AV1631" s="83" t="str">
        <f>HYPERLINK("https://pbs.twimg.com/media/Fzye0v-X0AAYf_b.jpg")</f>
        <v>https://pbs.twimg.com/media/Fzye0v-X0AAYf_b.jpg</v>
      </c>
      <c r="AW1631" s="81" t="s">
        <v>10748</v>
      </c>
      <c r="AX1631" s="81" t="s">
        <v>10748</v>
      </c>
      <c r="AY1631" s="77"/>
      <c r="AZ1631" s="81" t="s">
        <v>11359</v>
      </c>
      <c r="BA1631" s="81" t="s">
        <v>11359</v>
      </c>
      <c r="BB1631" s="81" t="s">
        <v>11359</v>
      </c>
      <c r="BC1631" s="81" t="s">
        <v>10748</v>
      </c>
      <c r="BD1631" s="77">
        <v>3893109381</v>
      </c>
      <c r="BE1631" s="77"/>
      <c r="BF1631" s="77"/>
      <c r="BG1631" s="77"/>
      <c r="BH1631" s="77"/>
      <c r="BI1631" s="77"/>
    </row>
    <row r="1632" spans="1:61" x14ac:dyDescent="0.25">
      <c r="A1632" s="62" t="s">
        <v>634</v>
      </c>
      <c r="B1632" s="62" t="s">
        <v>634</v>
      </c>
      <c r="C1632" s="63"/>
      <c r="D1632" s="64"/>
      <c r="E1632" s="65"/>
      <c r="F1632" s="66"/>
      <c r="G1632" s="63"/>
      <c r="H1632" s="67"/>
      <c r="I1632" s="68"/>
      <c r="J1632" s="68"/>
      <c r="K1632" s="32"/>
      <c r="L1632" s="75">
        <v>1632</v>
      </c>
      <c r="M1632" s="75"/>
      <c r="N1632" s="70"/>
      <c r="O1632" s="77" t="s">
        <v>179</v>
      </c>
      <c r="P1632" s="79">
        <v>45161.496111111112</v>
      </c>
      <c r="Q1632" s="77" t="s">
        <v>2420</v>
      </c>
      <c r="R1632" s="77">
        <v>0</v>
      </c>
      <c r="S1632" s="77">
        <v>0</v>
      </c>
      <c r="T1632" s="77">
        <v>0</v>
      </c>
      <c r="U1632" s="77">
        <v>0</v>
      </c>
      <c r="V1632" s="77">
        <v>25</v>
      </c>
      <c r="W1632" s="81" t="s">
        <v>3783</v>
      </c>
      <c r="X1632" s="77"/>
      <c r="Y1632" s="77"/>
      <c r="Z1632" s="77"/>
      <c r="AA1632" s="77" t="s">
        <v>5475</v>
      </c>
      <c r="AB1632" s="77" t="s">
        <v>5794</v>
      </c>
      <c r="AC1632" s="81" t="s">
        <v>5803</v>
      </c>
      <c r="AD1632" s="77" t="s">
        <v>5851</v>
      </c>
      <c r="AE1632" s="83" t="str">
        <f>HYPERLINK("https://twitter.com/oportoneto/status/1694317158136697228")</f>
        <v>https://twitter.com/oportoneto/status/1694317158136697228</v>
      </c>
      <c r="AF1632" s="79">
        <v>45161.496111111112</v>
      </c>
      <c r="AG1632" s="85">
        <v>45161</v>
      </c>
      <c r="AH1632" s="81" t="s">
        <v>7276</v>
      </c>
      <c r="AI1632" s="77" t="b">
        <v>0</v>
      </c>
      <c r="AJ1632" s="77" t="s">
        <v>7746</v>
      </c>
      <c r="AK1632" s="77" t="s">
        <v>7763</v>
      </c>
      <c r="AL1632" s="77" t="s">
        <v>7772</v>
      </c>
      <c r="AM1632" s="77" t="s">
        <v>7800</v>
      </c>
      <c r="AN1632" s="77" t="s">
        <v>7836</v>
      </c>
      <c r="AO1632" s="77" t="s">
        <v>7872</v>
      </c>
      <c r="AP1632" s="77" t="s">
        <v>7889</v>
      </c>
      <c r="AQ1632" s="77" t="s">
        <v>8978</v>
      </c>
      <c r="AR1632" s="77"/>
      <c r="AS1632" s="77"/>
      <c r="AT1632" s="77"/>
      <c r="AU1632" s="77"/>
      <c r="AV1632" s="83" t="str">
        <f>HYPERLINK("https://pbs.twimg.com/media/F4NseY3WIAA8pMK.jpg")</f>
        <v>https://pbs.twimg.com/media/F4NseY3WIAA8pMK.jpg</v>
      </c>
      <c r="AW1632" s="81" t="s">
        <v>10749</v>
      </c>
      <c r="AX1632" s="81" t="s">
        <v>10749</v>
      </c>
      <c r="AY1632" s="77"/>
      <c r="AZ1632" s="81" t="s">
        <v>11359</v>
      </c>
      <c r="BA1632" s="81" t="s">
        <v>11359</v>
      </c>
      <c r="BB1632" s="81" t="s">
        <v>11359</v>
      </c>
      <c r="BC1632" s="81" t="s">
        <v>10749</v>
      </c>
      <c r="BD1632" s="77">
        <v>3893109381</v>
      </c>
      <c r="BE1632" s="77"/>
      <c r="BF1632" s="77"/>
      <c r="BG1632" s="77"/>
      <c r="BH1632" s="77"/>
      <c r="BI1632" s="77"/>
    </row>
    <row r="1633" spans="1:61" x14ac:dyDescent="0.25">
      <c r="A1633" s="62" t="s">
        <v>634</v>
      </c>
      <c r="B1633" s="62" t="s">
        <v>634</v>
      </c>
      <c r="C1633" s="63"/>
      <c r="D1633" s="64"/>
      <c r="E1633" s="65"/>
      <c r="F1633" s="66"/>
      <c r="G1633" s="63"/>
      <c r="H1633" s="67"/>
      <c r="I1633" s="68"/>
      <c r="J1633" s="68"/>
      <c r="K1633" s="32"/>
      <c r="L1633" s="75">
        <v>1633</v>
      </c>
      <c r="M1633" s="75"/>
      <c r="N1633" s="70"/>
      <c r="O1633" s="77" t="s">
        <v>179</v>
      </c>
      <c r="P1633" s="79">
        <v>45050.503020833334</v>
      </c>
      <c r="Q1633" s="77" t="s">
        <v>2421</v>
      </c>
      <c r="R1633" s="77">
        <v>0</v>
      </c>
      <c r="S1633" s="77">
        <v>1</v>
      </c>
      <c r="T1633" s="77">
        <v>0</v>
      </c>
      <c r="U1633" s="77">
        <v>0</v>
      </c>
      <c r="V1633" s="77">
        <v>12</v>
      </c>
      <c r="W1633" s="81" t="s">
        <v>3784</v>
      </c>
      <c r="X1633" s="83" t="str">
        <f>HYPERLINK("https://www.instagram.com/p/Cr0gUNyOiPC/?igshid=YmMyMTA2M2Y=")</f>
        <v>https://www.instagram.com/p/Cr0gUNyOiPC/?igshid=YmMyMTA2M2Y=</v>
      </c>
      <c r="Y1633" s="77" t="s">
        <v>4215</v>
      </c>
      <c r="Z1633" s="77"/>
      <c r="AA1633" s="77" t="s">
        <v>5476</v>
      </c>
      <c r="AB1633" s="77" t="s">
        <v>5794</v>
      </c>
      <c r="AC1633" s="81" t="s">
        <v>5803</v>
      </c>
      <c r="AD1633" s="77" t="s">
        <v>5851</v>
      </c>
      <c r="AE1633" s="83" t="str">
        <f>HYPERLINK("https://twitter.com/oportoneto/status/1654094611839631360")</f>
        <v>https://twitter.com/oportoneto/status/1654094611839631360</v>
      </c>
      <c r="AF1633" s="79">
        <v>45050.503020833334</v>
      </c>
      <c r="AG1633" s="85">
        <v>45050</v>
      </c>
      <c r="AH1633" s="81" t="s">
        <v>7277</v>
      </c>
      <c r="AI1633" s="77" t="b">
        <v>0</v>
      </c>
      <c r="AJ1633" s="77" t="s">
        <v>7746</v>
      </c>
      <c r="AK1633" s="77" t="s">
        <v>7763</v>
      </c>
      <c r="AL1633" s="77" t="s">
        <v>7772</v>
      </c>
      <c r="AM1633" s="77" t="s">
        <v>7800</v>
      </c>
      <c r="AN1633" s="77" t="s">
        <v>7836</v>
      </c>
      <c r="AO1633" s="77" t="s">
        <v>7872</v>
      </c>
      <c r="AP1633" s="77" t="s">
        <v>7889</v>
      </c>
      <c r="AQ1633" s="77" t="s">
        <v>8979</v>
      </c>
      <c r="AR1633" s="77"/>
      <c r="AS1633" s="77"/>
      <c r="AT1633" s="77"/>
      <c r="AU1633" s="77"/>
      <c r="AV1633" s="83" t="str">
        <f>HYPERLINK("https://pbs.twimg.com/media/FvSGR9aWwAU1I4Z.jpg")</f>
        <v>https://pbs.twimg.com/media/FvSGR9aWwAU1I4Z.jpg</v>
      </c>
      <c r="AW1633" s="81" t="s">
        <v>10750</v>
      </c>
      <c r="AX1633" s="81" t="s">
        <v>10750</v>
      </c>
      <c r="AY1633" s="77"/>
      <c r="AZ1633" s="81" t="s">
        <v>11359</v>
      </c>
      <c r="BA1633" s="81" t="s">
        <v>11359</v>
      </c>
      <c r="BB1633" s="81" t="s">
        <v>11359</v>
      </c>
      <c r="BC1633" s="81" t="s">
        <v>10750</v>
      </c>
      <c r="BD1633" s="77">
        <v>3893109381</v>
      </c>
      <c r="BE1633" s="77"/>
      <c r="BF1633" s="77"/>
      <c r="BG1633" s="77"/>
      <c r="BH1633" s="77"/>
      <c r="BI1633" s="77"/>
    </row>
    <row r="1634" spans="1:61" x14ac:dyDescent="0.25">
      <c r="A1634" s="62" t="s">
        <v>634</v>
      </c>
      <c r="B1634" s="62" t="s">
        <v>634</v>
      </c>
      <c r="C1634" s="63"/>
      <c r="D1634" s="64"/>
      <c r="E1634" s="65"/>
      <c r="F1634" s="66"/>
      <c r="G1634" s="63"/>
      <c r="H1634" s="67"/>
      <c r="I1634" s="68"/>
      <c r="J1634" s="68"/>
      <c r="K1634" s="32"/>
      <c r="L1634" s="75">
        <v>1634</v>
      </c>
      <c r="M1634" s="75"/>
      <c r="N1634" s="70"/>
      <c r="O1634" s="77" t="s">
        <v>179</v>
      </c>
      <c r="P1634" s="79">
        <v>45182.49728009259</v>
      </c>
      <c r="Q1634" s="77" t="s">
        <v>2422</v>
      </c>
      <c r="R1634" s="77">
        <v>0</v>
      </c>
      <c r="S1634" s="77">
        <v>0</v>
      </c>
      <c r="T1634" s="77">
        <v>0</v>
      </c>
      <c r="U1634" s="77">
        <v>0</v>
      </c>
      <c r="V1634" s="77">
        <v>10</v>
      </c>
      <c r="W1634" s="81" t="s">
        <v>3785</v>
      </c>
      <c r="X1634" s="83" t="str">
        <f>HYPERLINK("https://www.instagram.com/p/CxIYk7qLMTp/?igshid=MzRlODBiNWFlZA==")</f>
        <v>https://www.instagram.com/p/CxIYk7qLMTp/?igshid=MzRlODBiNWFlZA==</v>
      </c>
      <c r="Y1634" s="77" t="s">
        <v>4215</v>
      </c>
      <c r="Z1634" s="77"/>
      <c r="AA1634" s="77" t="s">
        <v>5477</v>
      </c>
      <c r="AB1634" s="77" t="s">
        <v>5794</v>
      </c>
      <c r="AC1634" s="81" t="s">
        <v>5803</v>
      </c>
      <c r="AD1634" s="77" t="s">
        <v>5851</v>
      </c>
      <c r="AE1634" s="83" t="str">
        <f>HYPERLINK("https://twitter.com/oportoneto/status/1701927730147709182")</f>
        <v>https://twitter.com/oportoneto/status/1701927730147709182</v>
      </c>
      <c r="AF1634" s="79">
        <v>45182.49728009259</v>
      </c>
      <c r="AG1634" s="85">
        <v>45182</v>
      </c>
      <c r="AH1634" s="81" t="s">
        <v>6293</v>
      </c>
      <c r="AI1634" s="77" t="b">
        <v>0</v>
      </c>
      <c r="AJ1634" s="77" t="s">
        <v>7746</v>
      </c>
      <c r="AK1634" s="77" t="s">
        <v>7763</v>
      </c>
      <c r="AL1634" s="77" t="s">
        <v>7772</v>
      </c>
      <c r="AM1634" s="77" t="s">
        <v>7800</v>
      </c>
      <c r="AN1634" s="77" t="s">
        <v>7836</v>
      </c>
      <c r="AO1634" s="77" t="s">
        <v>7872</v>
      </c>
      <c r="AP1634" s="77" t="s">
        <v>7889</v>
      </c>
      <c r="AQ1634" s="77" t="s">
        <v>8980</v>
      </c>
      <c r="AR1634" s="77"/>
      <c r="AS1634" s="77"/>
      <c r="AT1634" s="77"/>
      <c r="AU1634" s="77"/>
      <c r="AV1634" s="83" t="str">
        <f>HYPERLINK("https://pbs.twimg.com/media/F552P8DXMAAj7iG.jpg")</f>
        <v>https://pbs.twimg.com/media/F552P8DXMAAj7iG.jpg</v>
      </c>
      <c r="AW1634" s="81" t="s">
        <v>10751</v>
      </c>
      <c r="AX1634" s="81" t="s">
        <v>10751</v>
      </c>
      <c r="AY1634" s="77"/>
      <c r="AZ1634" s="81" t="s">
        <v>11359</v>
      </c>
      <c r="BA1634" s="81" t="s">
        <v>11359</v>
      </c>
      <c r="BB1634" s="81" t="s">
        <v>11359</v>
      </c>
      <c r="BC1634" s="81" t="s">
        <v>10751</v>
      </c>
      <c r="BD1634" s="77">
        <v>3893109381</v>
      </c>
      <c r="BE1634" s="77"/>
      <c r="BF1634" s="77"/>
      <c r="BG1634" s="77"/>
      <c r="BH1634" s="77"/>
      <c r="BI1634" s="77"/>
    </row>
    <row r="1635" spans="1:61" x14ac:dyDescent="0.25">
      <c r="A1635" s="62" t="s">
        <v>635</v>
      </c>
      <c r="B1635" s="62" t="s">
        <v>635</v>
      </c>
      <c r="C1635" s="63"/>
      <c r="D1635" s="64"/>
      <c r="E1635" s="65"/>
      <c r="F1635" s="66"/>
      <c r="G1635" s="63"/>
      <c r="H1635" s="67"/>
      <c r="I1635" s="68"/>
      <c r="J1635" s="68"/>
      <c r="K1635" s="32"/>
      <c r="L1635" s="75">
        <v>1635</v>
      </c>
      <c r="M1635" s="75"/>
      <c r="N1635" s="70"/>
      <c r="O1635" s="77" t="s">
        <v>179</v>
      </c>
      <c r="P1635" s="79">
        <v>45047.621770833335</v>
      </c>
      <c r="Q1635" s="77" t="s">
        <v>2423</v>
      </c>
      <c r="R1635" s="77">
        <v>0</v>
      </c>
      <c r="S1635" s="77">
        <v>0</v>
      </c>
      <c r="T1635" s="77">
        <v>0</v>
      </c>
      <c r="U1635" s="77">
        <v>0</v>
      </c>
      <c r="V1635" s="77">
        <v>6</v>
      </c>
      <c r="W1635" s="81" t="s">
        <v>3786</v>
      </c>
      <c r="X1635" s="77"/>
      <c r="Y1635" s="77"/>
      <c r="Z1635" s="77"/>
      <c r="AA1635" s="77" t="s">
        <v>5478</v>
      </c>
      <c r="AB1635" s="77" t="s">
        <v>5794</v>
      </c>
      <c r="AC1635" s="81" t="s">
        <v>5808</v>
      </c>
      <c r="AD1635" s="77" t="s">
        <v>5851</v>
      </c>
      <c r="AE1635" s="83" t="str">
        <f>HYPERLINK("https://twitter.com/juniorportare/status/1653050480296067072")</f>
        <v>https://twitter.com/juniorportare/status/1653050480296067072</v>
      </c>
      <c r="AF1635" s="79">
        <v>45047.621770833335</v>
      </c>
      <c r="AG1635" s="85">
        <v>45047</v>
      </c>
      <c r="AH1635" s="81" t="s">
        <v>7278</v>
      </c>
      <c r="AI1635" s="77" t="b">
        <v>0</v>
      </c>
      <c r="AJ1635" s="77"/>
      <c r="AK1635" s="77"/>
      <c r="AL1635" s="77"/>
      <c r="AM1635" s="77"/>
      <c r="AN1635" s="77"/>
      <c r="AO1635" s="77"/>
      <c r="AP1635" s="77"/>
      <c r="AQ1635" s="77" t="s">
        <v>8981</v>
      </c>
      <c r="AR1635" s="77"/>
      <c r="AS1635" s="77"/>
      <c r="AT1635" s="77"/>
      <c r="AU1635" s="77"/>
      <c r="AV1635" s="83" t="str">
        <f>HYPERLINK("https://pbs.twimg.com/media/FvDQptUXoAQEMKh.jpg")</f>
        <v>https://pbs.twimg.com/media/FvDQptUXoAQEMKh.jpg</v>
      </c>
      <c r="AW1635" s="81" t="s">
        <v>10752</v>
      </c>
      <c r="AX1635" s="81" t="s">
        <v>10752</v>
      </c>
      <c r="AY1635" s="77"/>
      <c r="AZ1635" s="81" t="s">
        <v>11359</v>
      </c>
      <c r="BA1635" s="81" t="s">
        <v>11359</v>
      </c>
      <c r="BB1635" s="81" t="s">
        <v>11359</v>
      </c>
      <c r="BC1635" s="81" t="s">
        <v>10752</v>
      </c>
      <c r="BD1635" s="77">
        <v>72296051</v>
      </c>
      <c r="BE1635" s="77"/>
      <c r="BF1635" s="77"/>
      <c r="BG1635" s="77"/>
      <c r="BH1635" s="77"/>
      <c r="BI1635" s="77"/>
    </row>
    <row r="1636" spans="1:61" x14ac:dyDescent="0.25">
      <c r="A1636" s="62" t="s">
        <v>636</v>
      </c>
      <c r="B1636" s="62" t="s">
        <v>636</v>
      </c>
      <c r="C1636" s="63"/>
      <c r="D1636" s="64"/>
      <c r="E1636" s="65"/>
      <c r="F1636" s="66"/>
      <c r="G1636" s="63"/>
      <c r="H1636" s="67"/>
      <c r="I1636" s="68"/>
      <c r="J1636" s="68"/>
      <c r="K1636" s="32"/>
      <c r="L1636" s="75">
        <v>1636</v>
      </c>
      <c r="M1636" s="75"/>
      <c r="N1636" s="70"/>
      <c r="O1636" s="77" t="s">
        <v>179</v>
      </c>
      <c r="P1636" s="79">
        <v>44951.676759259259</v>
      </c>
      <c r="Q1636" s="77" t="s">
        <v>2424</v>
      </c>
      <c r="R1636" s="77">
        <v>1</v>
      </c>
      <c r="S1636" s="77">
        <v>2</v>
      </c>
      <c r="T1636" s="77">
        <v>0</v>
      </c>
      <c r="U1636" s="77">
        <v>0</v>
      </c>
      <c r="V1636" s="77">
        <v>33</v>
      </c>
      <c r="W1636" s="81" t="s">
        <v>3787</v>
      </c>
      <c r="X1636" s="83" t="str">
        <f>HYPERLINK("https://lttr.ai/7X2m")</f>
        <v>https://lttr.ai/7X2m</v>
      </c>
      <c r="Y1636" s="77" t="s">
        <v>4288</v>
      </c>
      <c r="Z1636" s="77"/>
      <c r="AA1636" s="77"/>
      <c r="AB1636" s="77"/>
      <c r="AC1636" s="81" t="s">
        <v>5839</v>
      </c>
      <c r="AD1636" s="77" t="s">
        <v>5850</v>
      </c>
      <c r="AE1636" s="83" t="str">
        <f>HYPERLINK("https://twitter.com/iloveventas/status/1618281172684922881")</f>
        <v>https://twitter.com/iloveventas/status/1618281172684922881</v>
      </c>
      <c r="AF1636" s="79">
        <v>44951.676759259259</v>
      </c>
      <c r="AG1636" s="85">
        <v>44951</v>
      </c>
      <c r="AH1636" s="81" t="s">
        <v>7279</v>
      </c>
      <c r="AI1636" s="77" t="b">
        <v>0</v>
      </c>
      <c r="AJ1636" s="77"/>
      <c r="AK1636" s="77"/>
      <c r="AL1636" s="77"/>
      <c r="AM1636" s="77"/>
      <c r="AN1636" s="77"/>
      <c r="AO1636" s="77"/>
      <c r="AP1636" s="77"/>
      <c r="AQ1636" s="77"/>
      <c r="AR1636" s="77"/>
      <c r="AS1636" s="77"/>
      <c r="AT1636" s="77"/>
      <c r="AU1636" s="77"/>
      <c r="AV1636" s="83" t="str">
        <f>HYPERLINK("https://pbs.twimg.com/profile_images/1363952041593344005/Rm6VS-rO_normal.jpg")</f>
        <v>https://pbs.twimg.com/profile_images/1363952041593344005/Rm6VS-rO_normal.jpg</v>
      </c>
      <c r="AW1636" s="81" t="s">
        <v>10753</v>
      </c>
      <c r="AX1636" s="81" t="s">
        <v>10753</v>
      </c>
      <c r="AY1636" s="77"/>
      <c r="AZ1636" s="81" t="s">
        <v>11359</v>
      </c>
      <c r="BA1636" s="81" t="s">
        <v>11359</v>
      </c>
      <c r="BB1636" s="81" t="s">
        <v>11359</v>
      </c>
      <c r="BC1636" s="81" t="s">
        <v>10753</v>
      </c>
      <c r="BD1636" s="81" t="s">
        <v>11614</v>
      </c>
      <c r="BE1636" s="77"/>
      <c r="BF1636" s="77"/>
      <c r="BG1636" s="77"/>
      <c r="BH1636" s="77"/>
      <c r="BI1636" s="77"/>
    </row>
    <row r="1637" spans="1:61" x14ac:dyDescent="0.25">
      <c r="A1637" s="62" t="s">
        <v>636</v>
      </c>
      <c r="B1637" s="62" t="s">
        <v>636</v>
      </c>
      <c r="C1637" s="63"/>
      <c r="D1637" s="64"/>
      <c r="E1637" s="65"/>
      <c r="F1637" s="66"/>
      <c r="G1637" s="63"/>
      <c r="H1637" s="67"/>
      <c r="I1637" s="68"/>
      <c r="J1637" s="68"/>
      <c r="K1637" s="32"/>
      <c r="L1637" s="75">
        <v>1637</v>
      </c>
      <c r="M1637" s="75"/>
      <c r="N1637" s="70"/>
      <c r="O1637" s="77" t="s">
        <v>179</v>
      </c>
      <c r="P1637" s="79">
        <v>44931.587569444448</v>
      </c>
      <c r="Q1637" s="77" t="s">
        <v>2425</v>
      </c>
      <c r="R1637" s="77">
        <v>0</v>
      </c>
      <c r="S1637" s="77">
        <v>1</v>
      </c>
      <c r="T1637" s="77">
        <v>0</v>
      </c>
      <c r="U1637" s="77">
        <v>0</v>
      </c>
      <c r="V1637" s="77">
        <v>32</v>
      </c>
      <c r="W1637" s="81" t="s">
        <v>3788</v>
      </c>
      <c r="X1637" s="83" t="str">
        <f>HYPERLINK("https://lttr.ai/6lMv")</f>
        <v>https://lttr.ai/6lMv</v>
      </c>
      <c r="Y1637" s="77" t="s">
        <v>4288</v>
      </c>
      <c r="Z1637" s="77"/>
      <c r="AA1637" s="77" t="s">
        <v>5479</v>
      </c>
      <c r="AB1637" s="77" t="s">
        <v>5794</v>
      </c>
      <c r="AC1637" s="81" t="s">
        <v>5839</v>
      </c>
      <c r="AD1637" s="77" t="s">
        <v>5850</v>
      </c>
      <c r="AE1637" s="83" t="str">
        <f>HYPERLINK("https://twitter.com/iloveventas/status/1611001095177781253")</f>
        <v>https://twitter.com/iloveventas/status/1611001095177781253</v>
      </c>
      <c r="AF1637" s="79">
        <v>44931.587569444448</v>
      </c>
      <c r="AG1637" s="85">
        <v>44931</v>
      </c>
      <c r="AH1637" s="81" t="s">
        <v>7280</v>
      </c>
      <c r="AI1637" s="77" t="b">
        <v>0</v>
      </c>
      <c r="AJ1637" s="77"/>
      <c r="AK1637" s="77"/>
      <c r="AL1637" s="77"/>
      <c r="AM1637" s="77"/>
      <c r="AN1637" s="77"/>
      <c r="AO1637" s="77"/>
      <c r="AP1637" s="77"/>
      <c r="AQ1637" s="77" t="s">
        <v>8982</v>
      </c>
      <c r="AR1637" s="77"/>
      <c r="AS1637" s="77"/>
      <c r="AT1637" s="77"/>
      <c r="AU1637" s="77"/>
      <c r="AV1637" s="83" t="str">
        <f>HYPERLINK("https://pbs.twimg.com/media/Flts9Y_WQAEdqUU.jpg")</f>
        <v>https://pbs.twimg.com/media/Flts9Y_WQAEdqUU.jpg</v>
      </c>
      <c r="AW1637" s="81" t="s">
        <v>10754</v>
      </c>
      <c r="AX1637" s="81" t="s">
        <v>10754</v>
      </c>
      <c r="AY1637" s="77"/>
      <c r="AZ1637" s="81" t="s">
        <v>11359</v>
      </c>
      <c r="BA1637" s="81" t="s">
        <v>11359</v>
      </c>
      <c r="BB1637" s="81" t="s">
        <v>11359</v>
      </c>
      <c r="BC1637" s="81" t="s">
        <v>10754</v>
      </c>
      <c r="BD1637" s="81" t="s">
        <v>11614</v>
      </c>
      <c r="BE1637" s="77"/>
      <c r="BF1637" s="77"/>
      <c r="BG1637" s="77"/>
      <c r="BH1637" s="77"/>
      <c r="BI1637" s="77"/>
    </row>
    <row r="1638" spans="1:61" x14ac:dyDescent="0.25">
      <c r="A1638" s="62" t="s">
        <v>636</v>
      </c>
      <c r="B1638" s="62" t="s">
        <v>636</v>
      </c>
      <c r="C1638" s="63"/>
      <c r="D1638" s="64"/>
      <c r="E1638" s="65"/>
      <c r="F1638" s="66"/>
      <c r="G1638" s="63"/>
      <c r="H1638" s="67"/>
      <c r="I1638" s="68"/>
      <c r="J1638" s="68"/>
      <c r="K1638" s="32"/>
      <c r="L1638" s="75">
        <v>1638</v>
      </c>
      <c r="M1638" s="75"/>
      <c r="N1638" s="70"/>
      <c r="O1638" s="77" t="s">
        <v>179</v>
      </c>
      <c r="P1638" s="79">
        <v>44971.760775462964</v>
      </c>
      <c r="Q1638" s="77" t="s">
        <v>2426</v>
      </c>
      <c r="R1638" s="77">
        <v>1</v>
      </c>
      <c r="S1638" s="77">
        <v>1</v>
      </c>
      <c r="T1638" s="77">
        <v>0</v>
      </c>
      <c r="U1638" s="77">
        <v>0</v>
      </c>
      <c r="V1638" s="77">
        <v>31</v>
      </c>
      <c r="W1638" s="81" t="s">
        <v>3789</v>
      </c>
      <c r="X1638" s="83" t="str">
        <f>HYPERLINK("https://lttr.ai/8Ln4")</f>
        <v>https://lttr.ai/8Ln4</v>
      </c>
      <c r="Y1638" s="77" t="s">
        <v>4288</v>
      </c>
      <c r="Z1638" s="77"/>
      <c r="AA1638" s="77" t="s">
        <v>5480</v>
      </c>
      <c r="AB1638" s="77" t="s">
        <v>5794</v>
      </c>
      <c r="AC1638" s="81" t="s">
        <v>5839</v>
      </c>
      <c r="AD1638" s="77" t="s">
        <v>5850</v>
      </c>
      <c r="AE1638" s="83" t="str">
        <f>HYPERLINK("https://twitter.com/iloveventas/status/1625559377758326803")</f>
        <v>https://twitter.com/iloveventas/status/1625559377758326803</v>
      </c>
      <c r="AF1638" s="79">
        <v>44971.760775462964</v>
      </c>
      <c r="AG1638" s="85">
        <v>44971</v>
      </c>
      <c r="AH1638" s="81" t="s">
        <v>7281</v>
      </c>
      <c r="AI1638" s="77" t="b">
        <v>0</v>
      </c>
      <c r="AJ1638" s="77"/>
      <c r="AK1638" s="77"/>
      <c r="AL1638" s="77"/>
      <c r="AM1638" s="77"/>
      <c r="AN1638" s="77"/>
      <c r="AO1638" s="77"/>
      <c r="AP1638" s="77"/>
      <c r="AQ1638" s="77" t="s">
        <v>8983</v>
      </c>
      <c r="AR1638" s="77"/>
      <c r="AS1638" s="77"/>
      <c r="AT1638" s="77"/>
      <c r="AU1638" s="77"/>
      <c r="AV1638" s="83" t="str">
        <f>HYPERLINK("https://pbs.twimg.com/media/Fo8lo-GXEAwR8VQ.jpg")</f>
        <v>https://pbs.twimg.com/media/Fo8lo-GXEAwR8VQ.jpg</v>
      </c>
      <c r="AW1638" s="81" t="s">
        <v>10755</v>
      </c>
      <c r="AX1638" s="81" t="s">
        <v>10755</v>
      </c>
      <c r="AY1638" s="77"/>
      <c r="AZ1638" s="81" t="s">
        <v>11359</v>
      </c>
      <c r="BA1638" s="81" t="s">
        <v>11359</v>
      </c>
      <c r="BB1638" s="81" t="s">
        <v>11359</v>
      </c>
      <c r="BC1638" s="81" t="s">
        <v>10755</v>
      </c>
      <c r="BD1638" s="81" t="s">
        <v>11614</v>
      </c>
      <c r="BE1638" s="77"/>
      <c r="BF1638" s="77"/>
      <c r="BG1638" s="77"/>
      <c r="BH1638" s="77"/>
      <c r="BI1638" s="77"/>
    </row>
    <row r="1639" spans="1:61" x14ac:dyDescent="0.25">
      <c r="A1639" s="62" t="s">
        <v>636</v>
      </c>
      <c r="B1639" s="62" t="s">
        <v>636</v>
      </c>
      <c r="C1639" s="63"/>
      <c r="D1639" s="64"/>
      <c r="E1639" s="65"/>
      <c r="F1639" s="66"/>
      <c r="G1639" s="63"/>
      <c r="H1639" s="67"/>
      <c r="I1639" s="68"/>
      <c r="J1639" s="68"/>
      <c r="K1639" s="32"/>
      <c r="L1639" s="75">
        <v>1639</v>
      </c>
      <c r="M1639" s="75"/>
      <c r="N1639" s="70"/>
      <c r="O1639" s="77" t="s">
        <v>179</v>
      </c>
      <c r="P1639" s="79">
        <v>44941.625763888886</v>
      </c>
      <c r="Q1639" s="77" t="s">
        <v>2427</v>
      </c>
      <c r="R1639" s="77">
        <v>1</v>
      </c>
      <c r="S1639" s="77">
        <v>1</v>
      </c>
      <c r="T1639" s="77">
        <v>0</v>
      </c>
      <c r="U1639" s="77">
        <v>0</v>
      </c>
      <c r="V1639" s="77">
        <v>50</v>
      </c>
      <c r="W1639" s="81" t="s">
        <v>3790</v>
      </c>
      <c r="X1639" s="83" t="str">
        <f>HYPERLINK("https://lttr.ai/69SL")</f>
        <v>https://lttr.ai/69SL</v>
      </c>
      <c r="Y1639" s="77" t="s">
        <v>4288</v>
      </c>
      <c r="Z1639" s="77"/>
      <c r="AA1639" s="77" t="s">
        <v>5481</v>
      </c>
      <c r="AB1639" s="77" t="s">
        <v>5794</v>
      </c>
      <c r="AC1639" s="81" t="s">
        <v>5839</v>
      </c>
      <c r="AD1639" s="77" t="s">
        <v>5850</v>
      </c>
      <c r="AE1639" s="83" t="str">
        <f>HYPERLINK("https://twitter.com/iloveventas/status/1614638813397090306")</f>
        <v>https://twitter.com/iloveventas/status/1614638813397090306</v>
      </c>
      <c r="AF1639" s="79">
        <v>44941.625763888886</v>
      </c>
      <c r="AG1639" s="85">
        <v>44941</v>
      </c>
      <c r="AH1639" s="81" t="s">
        <v>7282</v>
      </c>
      <c r="AI1639" s="77" t="b">
        <v>0</v>
      </c>
      <c r="AJ1639" s="77"/>
      <c r="AK1639" s="77"/>
      <c r="AL1639" s="77"/>
      <c r="AM1639" s="77"/>
      <c r="AN1639" s="77"/>
      <c r="AO1639" s="77"/>
      <c r="AP1639" s="77"/>
      <c r="AQ1639" s="77" t="s">
        <v>8984</v>
      </c>
      <c r="AR1639" s="77"/>
      <c r="AS1639" s="77"/>
      <c r="AT1639" s="77"/>
      <c r="AU1639" s="77"/>
      <c r="AV1639" s="83" t="str">
        <f>HYPERLINK("https://pbs.twimg.com/media/FmhZb_CXgAAbKGm.jpg")</f>
        <v>https://pbs.twimg.com/media/FmhZb_CXgAAbKGm.jpg</v>
      </c>
      <c r="AW1639" s="81" t="s">
        <v>10756</v>
      </c>
      <c r="AX1639" s="81" t="s">
        <v>10756</v>
      </c>
      <c r="AY1639" s="77"/>
      <c r="AZ1639" s="81" t="s">
        <v>11359</v>
      </c>
      <c r="BA1639" s="81" t="s">
        <v>11359</v>
      </c>
      <c r="BB1639" s="81" t="s">
        <v>11359</v>
      </c>
      <c r="BC1639" s="81" t="s">
        <v>10756</v>
      </c>
      <c r="BD1639" s="81" t="s">
        <v>11614</v>
      </c>
      <c r="BE1639" s="77"/>
      <c r="BF1639" s="77"/>
      <c r="BG1639" s="77"/>
      <c r="BH1639" s="77"/>
      <c r="BI1639" s="77"/>
    </row>
    <row r="1640" spans="1:61" x14ac:dyDescent="0.25">
      <c r="A1640" s="62" t="s">
        <v>636</v>
      </c>
      <c r="B1640" s="62" t="s">
        <v>636</v>
      </c>
      <c r="C1640" s="63"/>
      <c r="D1640" s="64"/>
      <c r="E1640" s="65"/>
      <c r="F1640" s="66"/>
      <c r="G1640" s="63"/>
      <c r="H1640" s="67"/>
      <c r="I1640" s="68"/>
      <c r="J1640" s="68"/>
      <c r="K1640" s="32"/>
      <c r="L1640" s="75">
        <v>1640</v>
      </c>
      <c r="M1640" s="75"/>
      <c r="N1640" s="70"/>
      <c r="O1640" s="77" t="s">
        <v>179</v>
      </c>
      <c r="P1640" s="79">
        <v>44989.517557870371</v>
      </c>
      <c r="Q1640" s="77" t="s">
        <v>2428</v>
      </c>
      <c r="R1640" s="77">
        <v>1</v>
      </c>
      <c r="S1640" s="77">
        <v>1</v>
      </c>
      <c r="T1640" s="77">
        <v>0</v>
      </c>
      <c r="U1640" s="77">
        <v>0</v>
      </c>
      <c r="V1640" s="77">
        <v>39</v>
      </c>
      <c r="W1640" s="81" t="s">
        <v>3788</v>
      </c>
      <c r="X1640" s="83" t="str">
        <f>HYPERLINK("https://lttr.ai/81CW")</f>
        <v>https://lttr.ai/81CW</v>
      </c>
      <c r="Y1640" s="77" t="s">
        <v>4288</v>
      </c>
      <c r="Z1640" s="77"/>
      <c r="AA1640" s="77" t="s">
        <v>5482</v>
      </c>
      <c r="AB1640" s="77" t="s">
        <v>5794</v>
      </c>
      <c r="AC1640" s="81" t="s">
        <v>5839</v>
      </c>
      <c r="AD1640" s="77" t="s">
        <v>5850</v>
      </c>
      <c r="AE1640" s="83" t="str">
        <f>HYPERLINK("https://twitter.com/iloveventas/status/1631994217160376327")</f>
        <v>https://twitter.com/iloveventas/status/1631994217160376327</v>
      </c>
      <c r="AF1640" s="79">
        <v>44989.517557870371</v>
      </c>
      <c r="AG1640" s="85">
        <v>44989</v>
      </c>
      <c r="AH1640" s="81" t="s">
        <v>7283</v>
      </c>
      <c r="AI1640" s="77" t="b">
        <v>0</v>
      </c>
      <c r="AJ1640" s="77"/>
      <c r="AK1640" s="77"/>
      <c r="AL1640" s="77"/>
      <c r="AM1640" s="77"/>
      <c r="AN1640" s="77"/>
      <c r="AO1640" s="77"/>
      <c r="AP1640" s="77"/>
      <c r="AQ1640" s="77" t="s">
        <v>8985</v>
      </c>
      <c r="AR1640" s="77"/>
      <c r="AS1640" s="77"/>
      <c r="AT1640" s="77"/>
      <c r="AU1640" s="77"/>
      <c r="AV1640" s="83" t="str">
        <f>HYPERLINK("https://pbs.twimg.com/media/FqYCF6gXoAEX0sZ.jpg")</f>
        <v>https://pbs.twimg.com/media/FqYCF6gXoAEX0sZ.jpg</v>
      </c>
      <c r="AW1640" s="81" t="s">
        <v>10757</v>
      </c>
      <c r="AX1640" s="81" t="s">
        <v>10757</v>
      </c>
      <c r="AY1640" s="77"/>
      <c r="AZ1640" s="81" t="s">
        <v>11359</v>
      </c>
      <c r="BA1640" s="81" t="s">
        <v>11359</v>
      </c>
      <c r="BB1640" s="81" t="s">
        <v>11359</v>
      </c>
      <c r="BC1640" s="81" t="s">
        <v>10757</v>
      </c>
      <c r="BD1640" s="81" t="s">
        <v>11614</v>
      </c>
      <c r="BE1640" s="77"/>
      <c r="BF1640" s="77"/>
      <c r="BG1640" s="77"/>
      <c r="BH1640" s="77"/>
      <c r="BI1640" s="77"/>
    </row>
    <row r="1641" spans="1:61" x14ac:dyDescent="0.25">
      <c r="A1641" s="62" t="s">
        <v>636</v>
      </c>
      <c r="B1641" s="62" t="s">
        <v>636</v>
      </c>
      <c r="C1641" s="63"/>
      <c r="D1641" s="64"/>
      <c r="E1641" s="65"/>
      <c r="F1641" s="66"/>
      <c r="G1641" s="63"/>
      <c r="H1641" s="67"/>
      <c r="I1641" s="68"/>
      <c r="J1641" s="68"/>
      <c r="K1641" s="32"/>
      <c r="L1641" s="75">
        <v>1641</v>
      </c>
      <c r="M1641" s="75"/>
      <c r="N1641" s="70"/>
      <c r="O1641" s="77" t="s">
        <v>179</v>
      </c>
      <c r="P1641" s="79">
        <v>44961.760682870372</v>
      </c>
      <c r="Q1641" s="77" t="s">
        <v>2429</v>
      </c>
      <c r="R1641" s="77">
        <v>1</v>
      </c>
      <c r="S1641" s="77">
        <v>1</v>
      </c>
      <c r="T1641" s="77">
        <v>0</v>
      </c>
      <c r="U1641" s="77">
        <v>0</v>
      </c>
      <c r="V1641" s="77">
        <v>30</v>
      </c>
      <c r="W1641" s="81" t="s">
        <v>3791</v>
      </c>
      <c r="X1641" s="83" t="str">
        <f>HYPERLINK("https://lttr.ai/7xi1")</f>
        <v>https://lttr.ai/7xi1</v>
      </c>
      <c r="Y1641" s="77" t="s">
        <v>4288</v>
      </c>
      <c r="Z1641" s="77"/>
      <c r="AA1641" s="77" t="s">
        <v>5483</v>
      </c>
      <c r="AB1641" s="77" t="s">
        <v>5794</v>
      </c>
      <c r="AC1641" s="81" t="s">
        <v>5839</v>
      </c>
      <c r="AD1641" s="77" t="s">
        <v>5850</v>
      </c>
      <c r="AE1641" s="83" t="str">
        <f>HYPERLINK("https://twitter.com/iloveventas/status/1621935466227421187")</f>
        <v>https://twitter.com/iloveventas/status/1621935466227421187</v>
      </c>
      <c r="AF1641" s="79">
        <v>44961.760682870372</v>
      </c>
      <c r="AG1641" s="85">
        <v>44961</v>
      </c>
      <c r="AH1641" s="81" t="s">
        <v>7284</v>
      </c>
      <c r="AI1641" s="77" t="b">
        <v>0</v>
      </c>
      <c r="AJ1641" s="77"/>
      <c r="AK1641" s="77"/>
      <c r="AL1641" s="77"/>
      <c r="AM1641" s="77"/>
      <c r="AN1641" s="77"/>
      <c r="AO1641" s="77"/>
      <c r="AP1641" s="77"/>
      <c r="AQ1641" s="77" t="s">
        <v>8986</v>
      </c>
      <c r="AR1641" s="77"/>
      <c r="AS1641" s="77"/>
      <c r="AT1641" s="77"/>
      <c r="AU1641" s="77"/>
      <c r="AV1641" s="83" t="str">
        <f>HYPERLINK("https://pbs.twimg.com/media/FoJFthiXgAA_OE1.jpg")</f>
        <v>https://pbs.twimg.com/media/FoJFthiXgAA_OE1.jpg</v>
      </c>
      <c r="AW1641" s="81" t="s">
        <v>10758</v>
      </c>
      <c r="AX1641" s="81" t="s">
        <v>10758</v>
      </c>
      <c r="AY1641" s="77"/>
      <c r="AZ1641" s="81" t="s">
        <v>11359</v>
      </c>
      <c r="BA1641" s="81" t="s">
        <v>11359</v>
      </c>
      <c r="BB1641" s="81" t="s">
        <v>11359</v>
      </c>
      <c r="BC1641" s="81" t="s">
        <v>10758</v>
      </c>
      <c r="BD1641" s="81" t="s">
        <v>11614</v>
      </c>
      <c r="BE1641" s="77"/>
      <c r="BF1641" s="77"/>
      <c r="BG1641" s="77"/>
      <c r="BH1641" s="77"/>
      <c r="BI1641" s="77"/>
    </row>
    <row r="1642" spans="1:61" x14ac:dyDescent="0.25">
      <c r="A1642" s="62" t="s">
        <v>636</v>
      </c>
      <c r="B1642" s="62" t="s">
        <v>636</v>
      </c>
      <c r="C1642" s="63"/>
      <c r="D1642" s="64"/>
      <c r="E1642" s="65"/>
      <c r="F1642" s="66"/>
      <c r="G1642" s="63"/>
      <c r="H1642" s="67"/>
      <c r="I1642" s="68"/>
      <c r="J1642" s="68"/>
      <c r="K1642" s="32"/>
      <c r="L1642" s="75">
        <v>1642</v>
      </c>
      <c r="M1642" s="75"/>
      <c r="N1642" s="70"/>
      <c r="O1642" s="77" t="s">
        <v>179</v>
      </c>
      <c r="P1642" s="79">
        <v>44980.760868055557</v>
      </c>
      <c r="Q1642" s="77" t="s">
        <v>2430</v>
      </c>
      <c r="R1642" s="77">
        <v>0</v>
      </c>
      <c r="S1642" s="77">
        <v>1</v>
      </c>
      <c r="T1642" s="77">
        <v>0</v>
      </c>
      <c r="U1642" s="77">
        <v>0</v>
      </c>
      <c r="V1642" s="77">
        <v>69</v>
      </c>
      <c r="W1642" s="81" t="s">
        <v>3792</v>
      </c>
      <c r="X1642" s="83" t="str">
        <f>HYPERLINK("https://lttr.ai/8gwI")</f>
        <v>https://lttr.ai/8gwI</v>
      </c>
      <c r="Y1642" s="77" t="s">
        <v>4288</v>
      </c>
      <c r="Z1642" s="77"/>
      <c r="AA1642" s="77"/>
      <c r="AB1642" s="77"/>
      <c r="AC1642" s="81" t="s">
        <v>5839</v>
      </c>
      <c r="AD1642" s="77" t="s">
        <v>5850</v>
      </c>
      <c r="AE1642" s="83" t="str">
        <f>HYPERLINK("https://twitter.com/iloveventas/status/1628820901390176270")</f>
        <v>https://twitter.com/iloveventas/status/1628820901390176270</v>
      </c>
      <c r="AF1642" s="79">
        <v>44980.760868055557</v>
      </c>
      <c r="AG1642" s="85">
        <v>44980</v>
      </c>
      <c r="AH1642" s="81" t="s">
        <v>7285</v>
      </c>
      <c r="AI1642" s="77" t="b">
        <v>0</v>
      </c>
      <c r="AJ1642" s="77"/>
      <c r="AK1642" s="77"/>
      <c r="AL1642" s="77"/>
      <c r="AM1642" s="77"/>
      <c r="AN1642" s="77"/>
      <c r="AO1642" s="77"/>
      <c r="AP1642" s="77"/>
      <c r="AQ1642" s="77"/>
      <c r="AR1642" s="77"/>
      <c r="AS1642" s="77"/>
      <c r="AT1642" s="77"/>
      <c r="AU1642" s="77"/>
      <c r="AV1642" s="83" t="str">
        <f>HYPERLINK("https://pbs.twimg.com/profile_images/1363952041593344005/Rm6VS-rO_normal.jpg")</f>
        <v>https://pbs.twimg.com/profile_images/1363952041593344005/Rm6VS-rO_normal.jpg</v>
      </c>
      <c r="AW1642" s="81" t="s">
        <v>10759</v>
      </c>
      <c r="AX1642" s="81" t="s">
        <v>10759</v>
      </c>
      <c r="AY1642" s="77"/>
      <c r="AZ1642" s="81" t="s">
        <v>11359</v>
      </c>
      <c r="BA1642" s="81" t="s">
        <v>11359</v>
      </c>
      <c r="BB1642" s="81" t="s">
        <v>11359</v>
      </c>
      <c r="BC1642" s="81" t="s">
        <v>10759</v>
      </c>
      <c r="BD1642" s="81" t="s">
        <v>11614</v>
      </c>
      <c r="BE1642" s="77"/>
      <c r="BF1642" s="77"/>
      <c r="BG1642" s="77"/>
      <c r="BH1642" s="77"/>
      <c r="BI1642" s="77"/>
    </row>
    <row r="1643" spans="1:61" x14ac:dyDescent="0.25">
      <c r="A1643" s="62" t="s">
        <v>637</v>
      </c>
      <c r="B1643" s="62" t="s">
        <v>939</v>
      </c>
      <c r="C1643" s="63"/>
      <c r="D1643" s="64"/>
      <c r="E1643" s="65"/>
      <c r="F1643" s="66"/>
      <c r="G1643" s="63"/>
      <c r="H1643" s="67"/>
      <c r="I1643" s="68"/>
      <c r="J1643" s="68"/>
      <c r="K1643" s="32"/>
      <c r="L1643" s="75">
        <v>1643</v>
      </c>
      <c r="M1643" s="75"/>
      <c r="N1643" s="70"/>
      <c r="O1643" s="77" t="s">
        <v>970</v>
      </c>
      <c r="P1643" s="79">
        <v>45106.767511574071</v>
      </c>
      <c r="Q1643" s="77" t="s">
        <v>2431</v>
      </c>
      <c r="R1643" s="77">
        <v>0</v>
      </c>
      <c r="S1643" s="77">
        <v>0</v>
      </c>
      <c r="T1643" s="77">
        <v>0</v>
      </c>
      <c r="U1643" s="77">
        <v>0</v>
      </c>
      <c r="V1643" s="77">
        <v>9</v>
      </c>
      <c r="W1643" s="81" t="s">
        <v>3793</v>
      </c>
      <c r="X1643" s="77"/>
      <c r="Y1643" s="77"/>
      <c r="Z1643" s="77" t="s">
        <v>4382</v>
      </c>
      <c r="AA1643" s="77"/>
      <c r="AB1643" s="77"/>
      <c r="AC1643" s="81" t="s">
        <v>5805</v>
      </c>
      <c r="AD1643" s="77" t="s">
        <v>5851</v>
      </c>
      <c r="AE1643" s="83" t="str">
        <f>HYPERLINK("https://twitter.com/binho_nog/status/1674484179352821778")</f>
        <v>https://twitter.com/binho_nog/status/1674484179352821778</v>
      </c>
      <c r="AF1643" s="79">
        <v>45106.767511574071</v>
      </c>
      <c r="AG1643" s="85">
        <v>45106</v>
      </c>
      <c r="AH1643" s="81" t="s">
        <v>7286</v>
      </c>
      <c r="AI1643" s="77"/>
      <c r="AJ1643" s="77"/>
      <c r="AK1643" s="77"/>
      <c r="AL1643" s="77"/>
      <c r="AM1643" s="77"/>
      <c r="AN1643" s="77"/>
      <c r="AO1643" s="77"/>
      <c r="AP1643" s="77"/>
      <c r="AQ1643" s="77"/>
      <c r="AR1643" s="77"/>
      <c r="AS1643" s="77"/>
      <c r="AT1643" s="77"/>
      <c r="AU1643" s="77"/>
      <c r="AV1643" s="83" t="str">
        <f>HYPERLINK("https://pbs.twimg.com/profile_images/562164138588508160/mQcNpBHj_normal.jpeg")</f>
        <v>https://pbs.twimg.com/profile_images/562164138588508160/mQcNpBHj_normal.jpeg</v>
      </c>
      <c r="AW1643" s="81" t="s">
        <v>10760</v>
      </c>
      <c r="AX1643" s="81" t="s">
        <v>11302</v>
      </c>
      <c r="AY1643" s="81" t="s">
        <v>11344</v>
      </c>
      <c r="AZ1643" s="81" t="s">
        <v>11302</v>
      </c>
      <c r="BA1643" s="81" t="s">
        <v>11359</v>
      </c>
      <c r="BB1643" s="81" t="s">
        <v>11359</v>
      </c>
      <c r="BC1643" s="81" t="s">
        <v>11302</v>
      </c>
      <c r="BD1643" s="77">
        <v>187028062</v>
      </c>
      <c r="BE1643" s="77"/>
      <c r="BF1643" s="77"/>
      <c r="BG1643" s="77"/>
      <c r="BH1643" s="77"/>
      <c r="BI1643" s="77"/>
    </row>
    <row r="1644" spans="1:61" x14ac:dyDescent="0.25">
      <c r="A1644" s="62" t="s">
        <v>637</v>
      </c>
      <c r="B1644" s="62" t="s">
        <v>912</v>
      </c>
      <c r="C1644" s="63"/>
      <c r="D1644" s="64"/>
      <c r="E1644" s="65"/>
      <c r="F1644" s="66"/>
      <c r="G1644" s="63"/>
      <c r="H1644" s="67"/>
      <c r="I1644" s="68"/>
      <c r="J1644" s="68"/>
      <c r="K1644" s="32"/>
      <c r="L1644" s="75">
        <v>1644</v>
      </c>
      <c r="M1644" s="75"/>
      <c r="N1644" s="70"/>
      <c r="O1644" s="77" t="s">
        <v>970</v>
      </c>
      <c r="P1644" s="79">
        <v>45106.767511574071</v>
      </c>
      <c r="Q1644" s="77" t="s">
        <v>2431</v>
      </c>
      <c r="R1644" s="77">
        <v>0</v>
      </c>
      <c r="S1644" s="77">
        <v>0</v>
      </c>
      <c r="T1644" s="77">
        <v>0</v>
      </c>
      <c r="U1644" s="77">
        <v>0</v>
      </c>
      <c r="V1644" s="77">
        <v>9</v>
      </c>
      <c r="W1644" s="81" t="s">
        <v>3793</v>
      </c>
      <c r="X1644" s="77"/>
      <c r="Y1644" s="77"/>
      <c r="Z1644" s="77" t="s">
        <v>4382</v>
      </c>
      <c r="AA1644" s="77"/>
      <c r="AB1644" s="77"/>
      <c r="AC1644" s="81" t="s">
        <v>5805</v>
      </c>
      <c r="AD1644" s="77" t="s">
        <v>5851</v>
      </c>
      <c r="AE1644" s="83" t="str">
        <f>HYPERLINK("https://twitter.com/binho_nog/status/1674484179352821778")</f>
        <v>https://twitter.com/binho_nog/status/1674484179352821778</v>
      </c>
      <c r="AF1644" s="79">
        <v>45106.767511574071</v>
      </c>
      <c r="AG1644" s="85">
        <v>45106</v>
      </c>
      <c r="AH1644" s="81" t="s">
        <v>7286</v>
      </c>
      <c r="AI1644" s="77"/>
      <c r="AJ1644" s="77"/>
      <c r="AK1644" s="77"/>
      <c r="AL1644" s="77"/>
      <c r="AM1644" s="77"/>
      <c r="AN1644" s="77"/>
      <c r="AO1644" s="77"/>
      <c r="AP1644" s="77"/>
      <c r="AQ1644" s="77"/>
      <c r="AR1644" s="77"/>
      <c r="AS1644" s="77"/>
      <c r="AT1644" s="77"/>
      <c r="AU1644" s="77"/>
      <c r="AV1644" s="83" t="str">
        <f>HYPERLINK("https://pbs.twimg.com/profile_images/562164138588508160/mQcNpBHj_normal.jpeg")</f>
        <v>https://pbs.twimg.com/profile_images/562164138588508160/mQcNpBHj_normal.jpeg</v>
      </c>
      <c r="AW1644" s="81" t="s">
        <v>10760</v>
      </c>
      <c r="AX1644" s="81" t="s">
        <v>11302</v>
      </c>
      <c r="AY1644" s="81" t="s">
        <v>11344</v>
      </c>
      <c r="AZ1644" s="81" t="s">
        <v>11302</v>
      </c>
      <c r="BA1644" s="81" t="s">
        <v>11359</v>
      </c>
      <c r="BB1644" s="81" t="s">
        <v>11359</v>
      </c>
      <c r="BC1644" s="81" t="s">
        <v>11302</v>
      </c>
      <c r="BD1644" s="77">
        <v>187028062</v>
      </c>
      <c r="BE1644" s="77"/>
      <c r="BF1644" s="77"/>
      <c r="BG1644" s="77"/>
      <c r="BH1644" s="77"/>
      <c r="BI1644" s="77"/>
    </row>
    <row r="1645" spans="1:61" x14ac:dyDescent="0.25">
      <c r="A1645" s="62" t="s">
        <v>637</v>
      </c>
      <c r="B1645" s="62" t="s">
        <v>940</v>
      </c>
      <c r="C1645" s="63"/>
      <c r="D1645" s="64"/>
      <c r="E1645" s="65"/>
      <c r="F1645" s="66"/>
      <c r="G1645" s="63"/>
      <c r="H1645" s="67"/>
      <c r="I1645" s="68"/>
      <c r="J1645" s="68"/>
      <c r="K1645" s="32"/>
      <c r="L1645" s="75">
        <v>1645</v>
      </c>
      <c r="M1645" s="75"/>
      <c r="N1645" s="70"/>
      <c r="O1645" s="77" t="s">
        <v>970</v>
      </c>
      <c r="P1645" s="79">
        <v>45106.767511574071</v>
      </c>
      <c r="Q1645" s="77" t="s">
        <v>2431</v>
      </c>
      <c r="R1645" s="77">
        <v>0</v>
      </c>
      <c r="S1645" s="77">
        <v>0</v>
      </c>
      <c r="T1645" s="77">
        <v>0</v>
      </c>
      <c r="U1645" s="77">
        <v>0</v>
      </c>
      <c r="V1645" s="77">
        <v>9</v>
      </c>
      <c r="W1645" s="81" t="s">
        <v>3793</v>
      </c>
      <c r="X1645" s="77"/>
      <c r="Y1645" s="77"/>
      <c r="Z1645" s="77" t="s">
        <v>4382</v>
      </c>
      <c r="AA1645" s="77"/>
      <c r="AB1645" s="77"/>
      <c r="AC1645" s="81" t="s">
        <v>5805</v>
      </c>
      <c r="AD1645" s="77" t="s">
        <v>5851</v>
      </c>
      <c r="AE1645" s="83" t="str">
        <f>HYPERLINK("https://twitter.com/binho_nog/status/1674484179352821778")</f>
        <v>https://twitter.com/binho_nog/status/1674484179352821778</v>
      </c>
      <c r="AF1645" s="79">
        <v>45106.767511574071</v>
      </c>
      <c r="AG1645" s="85">
        <v>45106</v>
      </c>
      <c r="AH1645" s="81" t="s">
        <v>7286</v>
      </c>
      <c r="AI1645" s="77"/>
      <c r="AJ1645" s="77"/>
      <c r="AK1645" s="77"/>
      <c r="AL1645" s="77"/>
      <c r="AM1645" s="77"/>
      <c r="AN1645" s="77"/>
      <c r="AO1645" s="77"/>
      <c r="AP1645" s="77"/>
      <c r="AQ1645" s="77"/>
      <c r="AR1645" s="77"/>
      <c r="AS1645" s="77"/>
      <c r="AT1645" s="77"/>
      <c r="AU1645" s="77"/>
      <c r="AV1645" s="83" t="str">
        <f>HYPERLINK("https://pbs.twimg.com/profile_images/562164138588508160/mQcNpBHj_normal.jpeg")</f>
        <v>https://pbs.twimg.com/profile_images/562164138588508160/mQcNpBHj_normal.jpeg</v>
      </c>
      <c r="AW1645" s="81" t="s">
        <v>10760</v>
      </c>
      <c r="AX1645" s="81" t="s">
        <v>11302</v>
      </c>
      <c r="AY1645" s="81" t="s">
        <v>11344</v>
      </c>
      <c r="AZ1645" s="81" t="s">
        <v>11302</v>
      </c>
      <c r="BA1645" s="81" t="s">
        <v>11359</v>
      </c>
      <c r="BB1645" s="81" t="s">
        <v>11359</v>
      </c>
      <c r="BC1645" s="81" t="s">
        <v>11302</v>
      </c>
      <c r="BD1645" s="77">
        <v>187028062</v>
      </c>
      <c r="BE1645" s="77"/>
      <c r="BF1645" s="77"/>
      <c r="BG1645" s="77"/>
      <c r="BH1645" s="77"/>
      <c r="BI1645" s="77"/>
    </row>
    <row r="1646" spans="1:61" x14ac:dyDescent="0.25">
      <c r="A1646" s="62" t="s">
        <v>637</v>
      </c>
      <c r="B1646" s="62" t="s">
        <v>940</v>
      </c>
      <c r="C1646" s="63"/>
      <c r="D1646" s="64"/>
      <c r="E1646" s="65"/>
      <c r="F1646" s="66"/>
      <c r="G1646" s="63"/>
      <c r="H1646" s="67"/>
      <c r="I1646" s="68"/>
      <c r="J1646" s="68"/>
      <c r="K1646" s="32"/>
      <c r="L1646" s="75">
        <v>1646</v>
      </c>
      <c r="M1646" s="75"/>
      <c r="N1646" s="70"/>
      <c r="O1646" s="77" t="s">
        <v>969</v>
      </c>
      <c r="P1646" s="79">
        <v>45106.767511574071</v>
      </c>
      <c r="Q1646" s="77" t="s">
        <v>2431</v>
      </c>
      <c r="R1646" s="77">
        <v>0</v>
      </c>
      <c r="S1646" s="77">
        <v>0</v>
      </c>
      <c r="T1646" s="77">
        <v>0</v>
      </c>
      <c r="U1646" s="77">
        <v>0</v>
      </c>
      <c r="V1646" s="77">
        <v>9</v>
      </c>
      <c r="W1646" s="81" t="s">
        <v>3793</v>
      </c>
      <c r="X1646" s="77"/>
      <c r="Y1646" s="77"/>
      <c r="Z1646" s="77" t="s">
        <v>4382</v>
      </c>
      <c r="AA1646" s="77"/>
      <c r="AB1646" s="77"/>
      <c r="AC1646" s="81" t="s">
        <v>5805</v>
      </c>
      <c r="AD1646" s="77" t="s">
        <v>5851</v>
      </c>
      <c r="AE1646" s="83" t="str">
        <f>HYPERLINK("https://twitter.com/binho_nog/status/1674484179352821778")</f>
        <v>https://twitter.com/binho_nog/status/1674484179352821778</v>
      </c>
      <c r="AF1646" s="79">
        <v>45106.767511574071</v>
      </c>
      <c r="AG1646" s="85">
        <v>45106</v>
      </c>
      <c r="AH1646" s="81" t="s">
        <v>7286</v>
      </c>
      <c r="AI1646" s="77"/>
      <c r="AJ1646" s="77"/>
      <c r="AK1646" s="77"/>
      <c r="AL1646" s="77"/>
      <c r="AM1646" s="77"/>
      <c r="AN1646" s="77"/>
      <c r="AO1646" s="77"/>
      <c r="AP1646" s="77"/>
      <c r="AQ1646" s="77"/>
      <c r="AR1646" s="77"/>
      <c r="AS1646" s="77"/>
      <c r="AT1646" s="77"/>
      <c r="AU1646" s="77"/>
      <c r="AV1646" s="83" t="str">
        <f>HYPERLINK("https://pbs.twimg.com/profile_images/562164138588508160/mQcNpBHj_normal.jpeg")</f>
        <v>https://pbs.twimg.com/profile_images/562164138588508160/mQcNpBHj_normal.jpeg</v>
      </c>
      <c r="AW1646" s="81" t="s">
        <v>10760</v>
      </c>
      <c r="AX1646" s="81" t="s">
        <v>11302</v>
      </c>
      <c r="AY1646" s="81" t="s">
        <v>11344</v>
      </c>
      <c r="AZ1646" s="81" t="s">
        <v>11302</v>
      </c>
      <c r="BA1646" s="81" t="s">
        <v>11359</v>
      </c>
      <c r="BB1646" s="81" t="s">
        <v>11359</v>
      </c>
      <c r="BC1646" s="81" t="s">
        <v>11302</v>
      </c>
      <c r="BD1646" s="77">
        <v>187028062</v>
      </c>
      <c r="BE1646" s="77"/>
      <c r="BF1646" s="77"/>
      <c r="BG1646" s="77"/>
      <c r="BH1646" s="77"/>
      <c r="BI1646" s="77"/>
    </row>
    <row r="1647" spans="1:61" x14ac:dyDescent="0.25">
      <c r="A1647" s="62" t="s">
        <v>638</v>
      </c>
      <c r="B1647" s="62" t="s">
        <v>941</v>
      </c>
      <c r="C1647" s="63"/>
      <c r="D1647" s="64"/>
      <c r="E1647" s="65"/>
      <c r="F1647" s="66"/>
      <c r="G1647" s="63"/>
      <c r="H1647" s="67"/>
      <c r="I1647" s="68"/>
      <c r="J1647" s="68"/>
      <c r="K1647" s="32"/>
      <c r="L1647" s="75">
        <v>1647</v>
      </c>
      <c r="M1647" s="75"/>
      <c r="N1647" s="70"/>
      <c r="O1647" s="77" t="s">
        <v>967</v>
      </c>
      <c r="P1647" s="79">
        <v>44938.129895833335</v>
      </c>
      <c r="Q1647" s="77" t="s">
        <v>2432</v>
      </c>
      <c r="R1647" s="77">
        <v>0</v>
      </c>
      <c r="S1647" s="77">
        <v>0</v>
      </c>
      <c r="T1647" s="77">
        <v>0</v>
      </c>
      <c r="U1647" s="77">
        <v>0</v>
      </c>
      <c r="V1647" s="77">
        <v>40</v>
      </c>
      <c r="W1647" s="81" t="s">
        <v>3794</v>
      </c>
      <c r="X1647" s="83" t="str">
        <f>HYPERLINK("http://revistatmx.com")</f>
        <v>http://revistatmx.com</v>
      </c>
      <c r="Y1647" s="77" t="s">
        <v>4312</v>
      </c>
      <c r="Z1647" s="77" t="s">
        <v>941</v>
      </c>
      <c r="AA1647" s="77" t="s">
        <v>5484</v>
      </c>
      <c r="AB1647" s="77" t="s">
        <v>5795</v>
      </c>
      <c r="AC1647" s="81" t="s">
        <v>5801</v>
      </c>
      <c r="AD1647" s="77" t="s">
        <v>5850</v>
      </c>
      <c r="AE1647" s="83" t="str">
        <f>HYPERLINK("https://twitter.com/revistatmx/status/1613371955503153152")</f>
        <v>https://twitter.com/revistatmx/status/1613371955503153152</v>
      </c>
      <c r="AF1647" s="79">
        <v>44938.129895833335</v>
      </c>
      <c r="AG1647" s="85">
        <v>44938</v>
      </c>
      <c r="AH1647" s="81" t="s">
        <v>7287</v>
      </c>
      <c r="AI1647" s="77" t="b">
        <v>0</v>
      </c>
      <c r="AJ1647" s="77"/>
      <c r="AK1647" s="77"/>
      <c r="AL1647" s="77"/>
      <c r="AM1647" s="77"/>
      <c r="AN1647" s="77"/>
      <c r="AO1647" s="77"/>
      <c r="AP1647" s="77"/>
      <c r="AQ1647" s="77" t="s">
        <v>8987</v>
      </c>
      <c r="AR1647" s="77">
        <v>5933</v>
      </c>
      <c r="AS1647" s="77"/>
      <c r="AT1647" s="77"/>
      <c r="AU1647" s="77"/>
      <c r="AV1647" s="83" t="str">
        <f>HYPERLINK("https://pbs.twimg.com/ext_tw_video_thumb/1613371908946362369/pu/img/awyZuEzcS3flOhc_.jpg")</f>
        <v>https://pbs.twimg.com/ext_tw_video_thumb/1613371908946362369/pu/img/awyZuEzcS3flOhc_.jpg</v>
      </c>
      <c r="AW1647" s="81" t="s">
        <v>10761</v>
      </c>
      <c r="AX1647" s="81" t="s">
        <v>10761</v>
      </c>
      <c r="AY1647" s="77"/>
      <c r="AZ1647" s="81" t="s">
        <v>11359</v>
      </c>
      <c r="BA1647" s="81" t="s">
        <v>11359</v>
      </c>
      <c r="BB1647" s="81" t="s">
        <v>11359</v>
      </c>
      <c r="BC1647" s="81" t="s">
        <v>10761</v>
      </c>
      <c r="BD1647" s="77">
        <v>534887779</v>
      </c>
      <c r="BE1647" s="77"/>
      <c r="BF1647" s="77"/>
      <c r="BG1647" s="77"/>
      <c r="BH1647" s="77"/>
      <c r="BI1647" s="77"/>
    </row>
    <row r="1648" spans="1:61" x14ac:dyDescent="0.25">
      <c r="A1648" s="62" t="s">
        <v>639</v>
      </c>
      <c r="B1648" s="62" t="s">
        <v>639</v>
      </c>
      <c r="C1648" s="63"/>
      <c r="D1648" s="64"/>
      <c r="E1648" s="65"/>
      <c r="F1648" s="66"/>
      <c r="G1648" s="63"/>
      <c r="H1648" s="67"/>
      <c r="I1648" s="68"/>
      <c r="J1648" s="68"/>
      <c r="K1648" s="32"/>
      <c r="L1648" s="75">
        <v>1648</v>
      </c>
      <c r="M1648" s="75"/>
      <c r="N1648" s="70"/>
      <c r="O1648" s="77" t="s">
        <v>179</v>
      </c>
      <c r="P1648" s="79">
        <v>45061.913530092592</v>
      </c>
      <c r="Q1648" s="77" t="s">
        <v>2433</v>
      </c>
      <c r="R1648" s="77">
        <v>0</v>
      </c>
      <c r="S1648" s="77">
        <v>0</v>
      </c>
      <c r="T1648" s="77">
        <v>0</v>
      </c>
      <c r="U1648" s="77">
        <v>0</v>
      </c>
      <c r="V1648" s="77">
        <v>54</v>
      </c>
      <c r="W1648" s="81" t="s">
        <v>3795</v>
      </c>
      <c r="X1648" s="77"/>
      <c r="Y1648" s="77"/>
      <c r="Z1648" s="77"/>
      <c r="AA1648" s="77" t="s">
        <v>5485</v>
      </c>
      <c r="AB1648" s="77" t="s">
        <v>5795</v>
      </c>
      <c r="AC1648" s="81" t="s">
        <v>5801</v>
      </c>
      <c r="AD1648" s="77" t="s">
        <v>5850</v>
      </c>
      <c r="AE1648" s="83" t="str">
        <f>HYPERLINK("https://twitter.com/inmoinformativo/status/1658229643109965826")</f>
        <v>https://twitter.com/inmoinformativo/status/1658229643109965826</v>
      </c>
      <c r="AF1648" s="79">
        <v>45061.913530092592</v>
      </c>
      <c r="AG1648" s="85">
        <v>45061</v>
      </c>
      <c r="AH1648" s="81" t="s">
        <v>7288</v>
      </c>
      <c r="AI1648" s="77" t="b">
        <v>0</v>
      </c>
      <c r="AJ1648" s="77" t="s">
        <v>7747</v>
      </c>
      <c r="AK1648" s="77" t="s">
        <v>7768</v>
      </c>
      <c r="AL1648" s="77" t="s">
        <v>7777</v>
      </c>
      <c r="AM1648" s="77" t="s">
        <v>7801</v>
      </c>
      <c r="AN1648" s="77" t="s">
        <v>7837</v>
      </c>
      <c r="AO1648" s="77" t="s">
        <v>7873</v>
      </c>
      <c r="AP1648" s="77" t="s">
        <v>7889</v>
      </c>
      <c r="AQ1648" s="77" t="s">
        <v>8988</v>
      </c>
      <c r="AR1648" s="77">
        <v>13559</v>
      </c>
      <c r="AS1648" s="77"/>
      <c r="AT1648" s="77"/>
      <c r="AU1648" s="77"/>
      <c r="AV1648" s="83" t="str">
        <f>HYPERLINK("https://pbs.twimg.com/ext_tw_video_thumb/1658229609136025600/pu/img/bffIGp8ZJ6PDVHYz.jpg")</f>
        <v>https://pbs.twimg.com/ext_tw_video_thumb/1658229609136025600/pu/img/bffIGp8ZJ6PDVHYz.jpg</v>
      </c>
      <c r="AW1648" s="81" t="s">
        <v>10762</v>
      </c>
      <c r="AX1648" s="81" t="s">
        <v>10762</v>
      </c>
      <c r="AY1648" s="77"/>
      <c r="AZ1648" s="81" t="s">
        <v>11359</v>
      </c>
      <c r="BA1648" s="81" t="s">
        <v>11359</v>
      </c>
      <c r="BB1648" s="81" t="s">
        <v>11359</v>
      </c>
      <c r="BC1648" s="81" t="s">
        <v>10762</v>
      </c>
      <c r="BD1648" s="81" t="s">
        <v>11615</v>
      </c>
      <c r="BE1648" s="77"/>
      <c r="BF1648" s="77"/>
      <c r="BG1648" s="77"/>
      <c r="BH1648" s="77"/>
      <c r="BI1648" s="77"/>
    </row>
    <row r="1649" spans="1:61" x14ac:dyDescent="0.25">
      <c r="A1649" s="62" t="s">
        <v>640</v>
      </c>
      <c r="B1649" s="62" t="s">
        <v>640</v>
      </c>
      <c r="C1649" s="63"/>
      <c r="D1649" s="64"/>
      <c r="E1649" s="65"/>
      <c r="F1649" s="66"/>
      <c r="G1649" s="63"/>
      <c r="H1649" s="67"/>
      <c r="I1649" s="68"/>
      <c r="J1649" s="68"/>
      <c r="K1649" s="32"/>
      <c r="L1649" s="75">
        <v>1649</v>
      </c>
      <c r="M1649" s="75"/>
      <c r="N1649" s="70"/>
      <c r="O1649" s="77" t="s">
        <v>179</v>
      </c>
      <c r="P1649" s="79">
        <v>45184.726261574076</v>
      </c>
      <c r="Q1649" s="77" t="s">
        <v>2434</v>
      </c>
      <c r="R1649" s="77">
        <v>0</v>
      </c>
      <c r="S1649" s="77">
        <v>0</v>
      </c>
      <c r="T1649" s="77">
        <v>0</v>
      </c>
      <c r="U1649" s="77">
        <v>0</v>
      </c>
      <c r="V1649" s="77">
        <v>16</v>
      </c>
      <c r="W1649" s="81" t="s">
        <v>3796</v>
      </c>
      <c r="X1649" s="77"/>
      <c r="Y1649" s="77"/>
      <c r="Z1649" s="77"/>
      <c r="AA1649" s="77" t="s">
        <v>5486</v>
      </c>
      <c r="AB1649" s="77" t="s">
        <v>5794</v>
      </c>
      <c r="AC1649" s="81" t="s">
        <v>5801</v>
      </c>
      <c r="AD1649" s="77" t="s">
        <v>5851</v>
      </c>
      <c r="AE1649" s="83" t="str">
        <f>HYPERLINK("https://twitter.com/1terceirizacao/status/1702735484454162586")</f>
        <v>https://twitter.com/1terceirizacao/status/1702735484454162586</v>
      </c>
      <c r="AF1649" s="79">
        <v>45184.726261574076</v>
      </c>
      <c r="AG1649" s="85">
        <v>45184</v>
      </c>
      <c r="AH1649" s="81" t="s">
        <v>7289</v>
      </c>
      <c r="AI1649" s="77" t="b">
        <v>0</v>
      </c>
      <c r="AJ1649" s="77"/>
      <c r="AK1649" s="77"/>
      <c r="AL1649" s="77"/>
      <c r="AM1649" s="77"/>
      <c r="AN1649" s="77"/>
      <c r="AO1649" s="77"/>
      <c r="AP1649" s="77"/>
      <c r="AQ1649" s="77" t="s">
        <v>8989</v>
      </c>
      <c r="AR1649" s="77"/>
      <c r="AS1649" s="77"/>
      <c r="AT1649" s="77"/>
      <c r="AU1649" s="77"/>
      <c r="AV1649" s="83" t="str">
        <f>HYPERLINK("https://pbs.twimg.com/media/F6FU4uhXsAACIuF.jpg")</f>
        <v>https://pbs.twimg.com/media/F6FU4uhXsAACIuF.jpg</v>
      </c>
      <c r="AW1649" s="81" t="s">
        <v>10763</v>
      </c>
      <c r="AX1649" s="81" t="s">
        <v>10763</v>
      </c>
      <c r="AY1649" s="77"/>
      <c r="AZ1649" s="81" t="s">
        <v>11359</v>
      </c>
      <c r="BA1649" s="81" t="s">
        <v>11359</v>
      </c>
      <c r="BB1649" s="81" t="s">
        <v>11359</v>
      </c>
      <c r="BC1649" s="81" t="s">
        <v>10763</v>
      </c>
      <c r="BD1649" s="81" t="s">
        <v>11616</v>
      </c>
      <c r="BE1649" s="77"/>
      <c r="BF1649" s="77"/>
      <c r="BG1649" s="77"/>
      <c r="BH1649" s="77"/>
      <c r="BI1649" s="77"/>
    </row>
    <row r="1650" spans="1:61" x14ac:dyDescent="0.25">
      <c r="A1650" s="62" t="s">
        <v>641</v>
      </c>
      <c r="B1650" s="62" t="s">
        <v>641</v>
      </c>
      <c r="C1650" s="63"/>
      <c r="D1650" s="64"/>
      <c r="E1650" s="65"/>
      <c r="F1650" s="66"/>
      <c r="G1650" s="63"/>
      <c r="H1650" s="67"/>
      <c r="I1650" s="68"/>
      <c r="J1650" s="68"/>
      <c r="K1650" s="32"/>
      <c r="L1650" s="75">
        <v>1650</v>
      </c>
      <c r="M1650" s="75"/>
      <c r="N1650" s="70"/>
      <c r="O1650" s="77" t="s">
        <v>179</v>
      </c>
      <c r="P1650" s="79">
        <v>45176.625717592593</v>
      </c>
      <c r="Q1650" s="77" t="s">
        <v>2435</v>
      </c>
      <c r="R1650" s="77">
        <v>0</v>
      </c>
      <c r="S1650" s="77">
        <v>0</v>
      </c>
      <c r="T1650" s="77">
        <v>0</v>
      </c>
      <c r="U1650" s="77">
        <v>0</v>
      </c>
      <c r="V1650" s="77">
        <v>2</v>
      </c>
      <c r="W1650" s="81" t="s">
        <v>3797</v>
      </c>
      <c r="X1650" s="83" t="str">
        <f>HYPERLINK("https://buff.ly/3sJ6WZg")</f>
        <v>https://buff.ly/3sJ6WZg</v>
      </c>
      <c r="Y1650" s="77" t="s">
        <v>4281</v>
      </c>
      <c r="Z1650" s="77"/>
      <c r="AA1650" s="77"/>
      <c r="AB1650" s="77"/>
      <c r="AC1650" s="81" t="s">
        <v>5828</v>
      </c>
      <c r="AD1650" s="77" t="s">
        <v>5850</v>
      </c>
      <c r="AE1650" s="83" t="str">
        <f>HYPERLINK("https://twitter.com/thebonnermx/status/1699799944646082677")</f>
        <v>https://twitter.com/thebonnermx/status/1699799944646082677</v>
      </c>
      <c r="AF1650" s="79">
        <v>45176.625717592593</v>
      </c>
      <c r="AG1650" s="85">
        <v>45176</v>
      </c>
      <c r="AH1650" s="81" t="s">
        <v>7290</v>
      </c>
      <c r="AI1650" s="77" t="b">
        <v>0</v>
      </c>
      <c r="AJ1650" s="77"/>
      <c r="AK1650" s="77"/>
      <c r="AL1650" s="77"/>
      <c r="AM1650" s="77"/>
      <c r="AN1650" s="77"/>
      <c r="AO1650" s="77"/>
      <c r="AP1650" s="77"/>
      <c r="AQ1650" s="77"/>
      <c r="AR1650" s="77"/>
      <c r="AS1650" s="77"/>
      <c r="AT1650" s="77"/>
      <c r="AU1650" s="77"/>
      <c r="AV1650" s="83" t="str">
        <f>HYPERLINK("https://pbs.twimg.com/profile_images/1657873071204716545/BvlLtmyw_normal.jpg")</f>
        <v>https://pbs.twimg.com/profile_images/1657873071204716545/BvlLtmyw_normal.jpg</v>
      </c>
      <c r="AW1650" s="81" t="s">
        <v>10764</v>
      </c>
      <c r="AX1650" s="81" t="s">
        <v>10764</v>
      </c>
      <c r="AY1650" s="77"/>
      <c r="AZ1650" s="81" t="s">
        <v>11359</v>
      </c>
      <c r="BA1650" s="81" t="s">
        <v>11359</v>
      </c>
      <c r="BB1650" s="81" t="s">
        <v>11359</v>
      </c>
      <c r="BC1650" s="81" t="s">
        <v>10764</v>
      </c>
      <c r="BD1650" s="81" t="s">
        <v>11617</v>
      </c>
      <c r="BE1650" s="77"/>
      <c r="BF1650" s="77"/>
      <c r="BG1650" s="77"/>
      <c r="BH1650" s="77"/>
      <c r="BI1650" s="77"/>
    </row>
    <row r="1651" spans="1:61" x14ac:dyDescent="0.25">
      <c r="A1651" s="62" t="s">
        <v>642</v>
      </c>
      <c r="B1651" s="62" t="s">
        <v>942</v>
      </c>
      <c r="C1651" s="63"/>
      <c r="D1651" s="64"/>
      <c r="E1651" s="65"/>
      <c r="F1651" s="66"/>
      <c r="G1651" s="63"/>
      <c r="H1651" s="67"/>
      <c r="I1651" s="68"/>
      <c r="J1651" s="68"/>
      <c r="K1651" s="32"/>
      <c r="L1651" s="75">
        <v>1651</v>
      </c>
      <c r="M1651" s="75"/>
      <c r="N1651" s="70"/>
      <c r="O1651" s="77" t="s">
        <v>969</v>
      </c>
      <c r="P1651" s="79">
        <v>45124.456053240741</v>
      </c>
      <c r="Q1651" s="77" t="s">
        <v>2436</v>
      </c>
      <c r="R1651" s="77">
        <v>0</v>
      </c>
      <c r="S1651" s="77">
        <v>0</v>
      </c>
      <c r="T1651" s="77">
        <v>0</v>
      </c>
      <c r="U1651" s="77">
        <v>0</v>
      </c>
      <c r="V1651" s="77">
        <v>23</v>
      </c>
      <c r="W1651" s="81" t="s">
        <v>3798</v>
      </c>
      <c r="X1651" s="77"/>
      <c r="Y1651" s="77"/>
      <c r="Z1651" s="77" t="s">
        <v>942</v>
      </c>
      <c r="AA1651" s="77"/>
      <c r="AB1651" s="77"/>
      <c r="AC1651" s="81" t="s">
        <v>5801</v>
      </c>
      <c r="AD1651" s="77" t="s">
        <v>5850</v>
      </c>
      <c r="AE1651" s="83" t="str">
        <f>HYPERLINK("https://twitter.com/wil_carrillo18/status/1680894294347980800")</f>
        <v>https://twitter.com/wil_carrillo18/status/1680894294347980800</v>
      </c>
      <c r="AF1651" s="79">
        <v>45124.456053240741</v>
      </c>
      <c r="AG1651" s="85">
        <v>45124</v>
      </c>
      <c r="AH1651" s="81" t="s">
        <v>7291</v>
      </c>
      <c r="AI1651" s="77"/>
      <c r="AJ1651" s="77"/>
      <c r="AK1651" s="77"/>
      <c r="AL1651" s="77"/>
      <c r="AM1651" s="77"/>
      <c r="AN1651" s="77"/>
      <c r="AO1651" s="77"/>
      <c r="AP1651" s="77"/>
      <c r="AQ1651" s="77"/>
      <c r="AR1651" s="77"/>
      <c r="AS1651" s="77"/>
      <c r="AT1651" s="77"/>
      <c r="AU1651" s="77"/>
      <c r="AV1651" s="83" t="str">
        <f>HYPERLINK("https://pbs.twimg.com/profile_images/1437376263589613569/mQhRx1yf_normal.jpg")</f>
        <v>https://pbs.twimg.com/profile_images/1437376263589613569/mQhRx1yf_normal.jpg</v>
      </c>
      <c r="AW1651" s="81" t="s">
        <v>10765</v>
      </c>
      <c r="AX1651" s="81" t="s">
        <v>11303</v>
      </c>
      <c r="AY1651" s="81" t="s">
        <v>11345</v>
      </c>
      <c r="AZ1651" s="81" t="s">
        <v>11303</v>
      </c>
      <c r="BA1651" s="81" t="s">
        <v>11359</v>
      </c>
      <c r="BB1651" s="81" t="s">
        <v>11359</v>
      </c>
      <c r="BC1651" s="81" t="s">
        <v>11303</v>
      </c>
      <c r="BD1651" s="81" t="s">
        <v>11618</v>
      </c>
      <c r="BE1651" s="77"/>
      <c r="BF1651" s="77"/>
      <c r="BG1651" s="77"/>
      <c r="BH1651" s="77"/>
      <c r="BI1651" s="77"/>
    </row>
    <row r="1652" spans="1:61" x14ac:dyDescent="0.25">
      <c r="A1652" s="62" t="s">
        <v>643</v>
      </c>
      <c r="B1652" s="62" t="s">
        <v>643</v>
      </c>
      <c r="C1652" s="63"/>
      <c r="D1652" s="64"/>
      <c r="E1652" s="65"/>
      <c r="F1652" s="66"/>
      <c r="G1652" s="63"/>
      <c r="H1652" s="67"/>
      <c r="I1652" s="68"/>
      <c r="J1652" s="68"/>
      <c r="K1652" s="32"/>
      <c r="L1652" s="75">
        <v>1652</v>
      </c>
      <c r="M1652" s="75"/>
      <c r="N1652" s="70"/>
      <c r="O1652" s="77" t="s">
        <v>179</v>
      </c>
      <c r="P1652" s="79">
        <v>45071.827291666668</v>
      </c>
      <c r="Q1652" s="77" t="s">
        <v>2437</v>
      </c>
      <c r="R1652" s="77">
        <v>0</v>
      </c>
      <c r="S1652" s="77">
        <v>0</v>
      </c>
      <c r="T1652" s="77">
        <v>0</v>
      </c>
      <c r="U1652" s="77">
        <v>0</v>
      </c>
      <c r="V1652" s="77">
        <v>100</v>
      </c>
      <c r="W1652" s="81" t="s">
        <v>3799</v>
      </c>
      <c r="X1652" s="83" t="str">
        <f>HYPERLINK("https://jornalsomos.com.br/rio-verde/detalhe/senai-e-sesi-abrem-vagas-com-salarios-de-ate-r-4-4-mil-em-goias")</f>
        <v>https://jornalsomos.com.br/rio-verde/detalhe/senai-e-sesi-abrem-vagas-com-salarios-de-ate-r-4-4-mil-em-goias</v>
      </c>
      <c r="Y1652" s="77" t="s">
        <v>4223</v>
      </c>
      <c r="Z1652" s="77"/>
      <c r="AA1652" s="77" t="s">
        <v>5487</v>
      </c>
      <c r="AB1652" s="77" t="s">
        <v>5794</v>
      </c>
      <c r="AC1652" s="81" t="s">
        <v>5805</v>
      </c>
      <c r="AD1652" s="77" t="s">
        <v>5851</v>
      </c>
      <c r="AE1652" s="83" t="str">
        <f>HYPERLINK("https://twitter.com/jornalsomos/status/1661822266693255168")</f>
        <v>https://twitter.com/jornalsomos/status/1661822266693255168</v>
      </c>
      <c r="AF1652" s="79">
        <v>45071.827291666668</v>
      </c>
      <c r="AG1652" s="85">
        <v>45071</v>
      </c>
      <c r="AH1652" s="81" t="s">
        <v>7292</v>
      </c>
      <c r="AI1652" s="77" t="b">
        <v>0</v>
      </c>
      <c r="AJ1652" s="77"/>
      <c r="AK1652" s="77"/>
      <c r="AL1652" s="77"/>
      <c r="AM1652" s="77"/>
      <c r="AN1652" s="77"/>
      <c r="AO1652" s="77"/>
      <c r="AP1652" s="77"/>
      <c r="AQ1652" s="77" t="s">
        <v>8990</v>
      </c>
      <c r="AR1652" s="77"/>
      <c r="AS1652" s="77"/>
      <c r="AT1652" s="77"/>
      <c r="AU1652" s="77"/>
      <c r="AV1652" s="83" t="str">
        <f>HYPERLINK("https://pbs.twimg.com/media/Fw_6iD1WAAYZnv4.jpg")</f>
        <v>https://pbs.twimg.com/media/Fw_6iD1WAAYZnv4.jpg</v>
      </c>
      <c r="AW1652" s="81" t="s">
        <v>10766</v>
      </c>
      <c r="AX1652" s="81" t="s">
        <v>10766</v>
      </c>
      <c r="AY1652" s="77"/>
      <c r="AZ1652" s="81" t="s">
        <v>11359</v>
      </c>
      <c r="BA1652" s="81" t="s">
        <v>11359</v>
      </c>
      <c r="BB1652" s="81" t="s">
        <v>11359</v>
      </c>
      <c r="BC1652" s="81" t="s">
        <v>10766</v>
      </c>
      <c r="BD1652" s="81" t="s">
        <v>11619</v>
      </c>
      <c r="BE1652" s="77"/>
      <c r="BF1652" s="77"/>
      <c r="BG1652" s="77"/>
      <c r="BH1652" s="77"/>
      <c r="BI1652" s="77"/>
    </row>
    <row r="1653" spans="1:61" x14ac:dyDescent="0.25">
      <c r="A1653" s="62" t="s">
        <v>644</v>
      </c>
      <c r="B1653" s="62" t="s">
        <v>644</v>
      </c>
      <c r="C1653" s="63"/>
      <c r="D1653" s="64"/>
      <c r="E1653" s="65"/>
      <c r="F1653" s="66"/>
      <c r="G1653" s="63"/>
      <c r="H1653" s="67"/>
      <c r="I1653" s="68"/>
      <c r="J1653" s="68"/>
      <c r="K1653" s="32"/>
      <c r="L1653" s="75">
        <v>1653</v>
      </c>
      <c r="M1653" s="75"/>
      <c r="N1653" s="70"/>
      <c r="O1653" s="77" t="s">
        <v>179</v>
      </c>
      <c r="P1653" s="79">
        <v>45154.782326388886</v>
      </c>
      <c r="Q1653" s="77" t="s">
        <v>2438</v>
      </c>
      <c r="R1653" s="77">
        <v>1</v>
      </c>
      <c r="S1653" s="77">
        <v>1</v>
      </c>
      <c r="T1653" s="77">
        <v>0</v>
      </c>
      <c r="U1653" s="77">
        <v>0</v>
      </c>
      <c r="V1653" s="77">
        <v>41</v>
      </c>
      <c r="W1653" s="81" t="s">
        <v>3800</v>
      </c>
      <c r="X1653" s="83" t="str">
        <f>HYPERLINK("https://forms.office.com/r/GL4QhbNGc6")</f>
        <v>https://forms.office.com/r/GL4QhbNGc6</v>
      </c>
      <c r="Y1653" s="77" t="s">
        <v>4313</v>
      </c>
      <c r="Z1653" s="77"/>
      <c r="AA1653" s="77" t="s">
        <v>5488</v>
      </c>
      <c r="AB1653" s="77" t="s">
        <v>5794</v>
      </c>
      <c r="AC1653" s="81" t="s">
        <v>5801</v>
      </c>
      <c r="AD1653" s="77" t="s">
        <v>5850</v>
      </c>
      <c r="AE1653" s="83" t="str">
        <f>HYPERLINK("https://twitter.com/rosaescamilla19/status/1691884165791154479")</f>
        <v>https://twitter.com/rosaescamilla19/status/1691884165791154479</v>
      </c>
      <c r="AF1653" s="79">
        <v>45154.782326388886</v>
      </c>
      <c r="AG1653" s="85">
        <v>45154</v>
      </c>
      <c r="AH1653" s="81" t="s">
        <v>7293</v>
      </c>
      <c r="AI1653" s="77" t="b">
        <v>0</v>
      </c>
      <c r="AJ1653" s="77"/>
      <c r="AK1653" s="77"/>
      <c r="AL1653" s="77"/>
      <c r="AM1653" s="77"/>
      <c r="AN1653" s="77"/>
      <c r="AO1653" s="77"/>
      <c r="AP1653" s="77"/>
      <c r="AQ1653" s="77" t="s">
        <v>8991</v>
      </c>
      <c r="AR1653" s="77"/>
      <c r="AS1653" s="77"/>
      <c r="AT1653" s="77"/>
      <c r="AU1653" s="77"/>
      <c r="AV1653" s="83" t="str">
        <f>HYPERLINK("https://pbs.twimg.com/media/F3rHrtebEAAVpSp.jpg")</f>
        <v>https://pbs.twimg.com/media/F3rHrtebEAAVpSp.jpg</v>
      </c>
      <c r="AW1653" s="81" t="s">
        <v>10767</v>
      </c>
      <c r="AX1653" s="81" t="s">
        <v>10767</v>
      </c>
      <c r="AY1653" s="77"/>
      <c r="AZ1653" s="81" t="s">
        <v>11359</v>
      </c>
      <c r="BA1653" s="81" t="s">
        <v>11359</v>
      </c>
      <c r="BB1653" s="81" t="s">
        <v>11359</v>
      </c>
      <c r="BC1653" s="81" t="s">
        <v>10767</v>
      </c>
      <c r="BD1653" s="81" t="s">
        <v>11620</v>
      </c>
      <c r="BE1653" s="77"/>
      <c r="BF1653" s="77"/>
      <c r="BG1653" s="77"/>
      <c r="BH1653" s="77"/>
      <c r="BI1653" s="77"/>
    </row>
    <row r="1654" spans="1:61" x14ac:dyDescent="0.25">
      <c r="A1654" s="62" t="s">
        <v>644</v>
      </c>
      <c r="B1654" s="62" t="s">
        <v>644</v>
      </c>
      <c r="C1654" s="63"/>
      <c r="D1654" s="64"/>
      <c r="E1654" s="65"/>
      <c r="F1654" s="66"/>
      <c r="G1654" s="63"/>
      <c r="H1654" s="67"/>
      <c r="I1654" s="68"/>
      <c r="J1654" s="68"/>
      <c r="K1654" s="32"/>
      <c r="L1654" s="75">
        <v>1654</v>
      </c>
      <c r="M1654" s="75"/>
      <c r="N1654" s="70"/>
      <c r="O1654" s="77" t="s">
        <v>179</v>
      </c>
      <c r="P1654" s="79">
        <v>45152.646435185183</v>
      </c>
      <c r="Q1654" s="77" t="s">
        <v>2439</v>
      </c>
      <c r="R1654" s="77">
        <v>1</v>
      </c>
      <c r="S1654" s="77">
        <v>1</v>
      </c>
      <c r="T1654" s="77">
        <v>0</v>
      </c>
      <c r="U1654" s="77">
        <v>0</v>
      </c>
      <c r="V1654" s="77">
        <v>35</v>
      </c>
      <c r="W1654" s="81" t="s">
        <v>3800</v>
      </c>
      <c r="X1654" s="83" t="str">
        <f>HYPERLINK("https://forms.office.com/r/GL4QhbNGc6")</f>
        <v>https://forms.office.com/r/GL4QhbNGc6</v>
      </c>
      <c r="Y1654" s="77" t="s">
        <v>4313</v>
      </c>
      <c r="Z1654" s="77"/>
      <c r="AA1654" s="77" t="s">
        <v>5489</v>
      </c>
      <c r="AB1654" s="77" t="s">
        <v>5794</v>
      </c>
      <c r="AC1654" s="81" t="s">
        <v>5801</v>
      </c>
      <c r="AD1654" s="77" t="s">
        <v>5850</v>
      </c>
      <c r="AE1654" s="83" t="str">
        <f>HYPERLINK("https://twitter.com/rosaescamilla19/status/1691110143222775809")</f>
        <v>https://twitter.com/rosaescamilla19/status/1691110143222775809</v>
      </c>
      <c r="AF1654" s="79">
        <v>45152.646435185183</v>
      </c>
      <c r="AG1654" s="85">
        <v>45152</v>
      </c>
      <c r="AH1654" s="81" t="s">
        <v>7294</v>
      </c>
      <c r="AI1654" s="77" t="b">
        <v>0</v>
      </c>
      <c r="AJ1654" s="77"/>
      <c r="AK1654" s="77"/>
      <c r="AL1654" s="77"/>
      <c r="AM1654" s="77"/>
      <c r="AN1654" s="77"/>
      <c r="AO1654" s="77"/>
      <c r="AP1654" s="77"/>
      <c r="AQ1654" s="77" t="s">
        <v>8992</v>
      </c>
      <c r="AR1654" s="77"/>
      <c r="AS1654" s="77"/>
      <c r="AT1654" s="77"/>
      <c r="AU1654" s="77"/>
      <c r="AV1654" s="83" t="str">
        <f>HYPERLINK("https://pbs.twimg.com/media/F3gHtpGawAETjmv.jpg")</f>
        <v>https://pbs.twimg.com/media/F3gHtpGawAETjmv.jpg</v>
      </c>
      <c r="AW1654" s="81" t="s">
        <v>10768</v>
      </c>
      <c r="AX1654" s="81" t="s">
        <v>10768</v>
      </c>
      <c r="AY1654" s="77"/>
      <c r="AZ1654" s="81" t="s">
        <v>11359</v>
      </c>
      <c r="BA1654" s="81" t="s">
        <v>11359</v>
      </c>
      <c r="BB1654" s="81" t="s">
        <v>11359</v>
      </c>
      <c r="BC1654" s="81" t="s">
        <v>10768</v>
      </c>
      <c r="BD1654" s="81" t="s">
        <v>11620</v>
      </c>
      <c r="BE1654" s="77"/>
      <c r="BF1654" s="77"/>
      <c r="BG1654" s="77"/>
      <c r="BH1654" s="77"/>
      <c r="BI1654" s="77"/>
    </row>
    <row r="1655" spans="1:61" x14ac:dyDescent="0.25">
      <c r="A1655" s="62" t="s">
        <v>645</v>
      </c>
      <c r="B1655" s="62" t="s">
        <v>645</v>
      </c>
      <c r="C1655" s="63"/>
      <c r="D1655" s="64"/>
      <c r="E1655" s="65"/>
      <c r="F1655" s="66"/>
      <c r="G1655" s="63"/>
      <c r="H1655" s="67"/>
      <c r="I1655" s="68"/>
      <c r="J1655" s="68"/>
      <c r="K1655" s="32"/>
      <c r="L1655" s="75">
        <v>1655</v>
      </c>
      <c r="M1655" s="75"/>
      <c r="N1655" s="70"/>
      <c r="O1655" s="77" t="s">
        <v>179</v>
      </c>
      <c r="P1655" s="79">
        <v>44950.914027777777</v>
      </c>
      <c r="Q1655" s="77" t="s">
        <v>2440</v>
      </c>
      <c r="R1655" s="77">
        <v>0</v>
      </c>
      <c r="S1655" s="77">
        <v>0</v>
      </c>
      <c r="T1655" s="77">
        <v>0</v>
      </c>
      <c r="U1655" s="77">
        <v>0</v>
      </c>
      <c r="V1655" s="77">
        <v>18</v>
      </c>
      <c r="W1655" s="81" t="s">
        <v>3801</v>
      </c>
      <c r="X1655" s="77"/>
      <c r="Y1655" s="77"/>
      <c r="Z1655" s="77"/>
      <c r="AA1655" s="77"/>
      <c r="AB1655" s="77"/>
      <c r="AC1655" s="81" t="s">
        <v>5801</v>
      </c>
      <c r="AD1655" s="77" t="s">
        <v>5850</v>
      </c>
      <c r="AE1655" s="83" t="str">
        <f>HYPERLINK("https://twitter.com/deobedsdl/status/1618004769997729793")</f>
        <v>https://twitter.com/deobedsdl/status/1618004769997729793</v>
      </c>
      <c r="AF1655" s="79">
        <v>44950.914027777777</v>
      </c>
      <c r="AG1655" s="85">
        <v>44950</v>
      </c>
      <c r="AH1655" s="81" t="s">
        <v>7295</v>
      </c>
      <c r="AI1655" s="77"/>
      <c r="AJ1655" s="77"/>
      <c r="AK1655" s="77"/>
      <c r="AL1655" s="77"/>
      <c r="AM1655" s="77"/>
      <c r="AN1655" s="77"/>
      <c r="AO1655" s="77"/>
      <c r="AP1655" s="77"/>
      <c r="AQ1655" s="77"/>
      <c r="AR1655" s="77"/>
      <c r="AS1655" s="77"/>
      <c r="AT1655" s="77"/>
      <c r="AU1655" s="77"/>
      <c r="AV1655" s="83" t="str">
        <f>HYPERLINK("https://pbs.twimg.com/profile_images/1559408444507131904/NVUHFz4N_normal.jpg")</f>
        <v>https://pbs.twimg.com/profile_images/1559408444507131904/NVUHFz4N_normal.jpg</v>
      </c>
      <c r="AW1655" s="81" t="s">
        <v>10769</v>
      </c>
      <c r="AX1655" s="81" t="s">
        <v>10769</v>
      </c>
      <c r="AY1655" s="77"/>
      <c r="AZ1655" s="81" t="s">
        <v>11359</v>
      </c>
      <c r="BA1655" s="81" t="s">
        <v>11359</v>
      </c>
      <c r="BB1655" s="81" t="s">
        <v>11359</v>
      </c>
      <c r="BC1655" s="81" t="s">
        <v>10769</v>
      </c>
      <c r="BD1655" s="77">
        <v>1146903338</v>
      </c>
      <c r="BE1655" s="77"/>
      <c r="BF1655" s="77"/>
      <c r="BG1655" s="77"/>
      <c r="BH1655" s="77"/>
      <c r="BI1655" s="77"/>
    </row>
    <row r="1656" spans="1:61" x14ac:dyDescent="0.25">
      <c r="A1656" s="62" t="s">
        <v>645</v>
      </c>
      <c r="B1656" s="62" t="s">
        <v>645</v>
      </c>
      <c r="C1656" s="63"/>
      <c r="D1656" s="64"/>
      <c r="E1656" s="65"/>
      <c r="F1656" s="66"/>
      <c r="G1656" s="63"/>
      <c r="H1656" s="67"/>
      <c r="I1656" s="68"/>
      <c r="J1656" s="68"/>
      <c r="K1656" s="32"/>
      <c r="L1656" s="75">
        <v>1656</v>
      </c>
      <c r="M1656" s="75"/>
      <c r="N1656" s="70"/>
      <c r="O1656" s="77" t="s">
        <v>179</v>
      </c>
      <c r="P1656" s="79">
        <v>44950.907916666663</v>
      </c>
      <c r="Q1656" s="77" t="s">
        <v>2441</v>
      </c>
      <c r="R1656" s="77">
        <v>0</v>
      </c>
      <c r="S1656" s="77">
        <v>0</v>
      </c>
      <c r="T1656" s="77">
        <v>0</v>
      </c>
      <c r="U1656" s="77">
        <v>0</v>
      </c>
      <c r="V1656" s="77">
        <v>10</v>
      </c>
      <c r="W1656" s="81" t="s">
        <v>3802</v>
      </c>
      <c r="X1656" s="77"/>
      <c r="Y1656" s="77"/>
      <c r="Z1656" s="77"/>
      <c r="AA1656" s="77"/>
      <c r="AB1656" s="77"/>
      <c r="AC1656" s="81" t="s">
        <v>5801</v>
      </c>
      <c r="AD1656" s="77" t="s">
        <v>5850</v>
      </c>
      <c r="AE1656" s="83" t="str">
        <f>HYPERLINK("https://twitter.com/deobedsdl/status/1618002552381145090")</f>
        <v>https://twitter.com/deobedsdl/status/1618002552381145090</v>
      </c>
      <c r="AF1656" s="79">
        <v>44950.907916666663</v>
      </c>
      <c r="AG1656" s="85">
        <v>44950</v>
      </c>
      <c r="AH1656" s="81" t="s">
        <v>7296</v>
      </c>
      <c r="AI1656" s="77"/>
      <c r="AJ1656" s="77"/>
      <c r="AK1656" s="77"/>
      <c r="AL1656" s="77"/>
      <c r="AM1656" s="77"/>
      <c r="AN1656" s="77"/>
      <c r="AO1656" s="77"/>
      <c r="AP1656" s="77"/>
      <c r="AQ1656" s="77"/>
      <c r="AR1656" s="77"/>
      <c r="AS1656" s="77"/>
      <c r="AT1656" s="77"/>
      <c r="AU1656" s="77"/>
      <c r="AV1656" s="83" t="str">
        <f>HYPERLINK("https://pbs.twimg.com/profile_images/1559408444507131904/NVUHFz4N_normal.jpg")</f>
        <v>https://pbs.twimg.com/profile_images/1559408444507131904/NVUHFz4N_normal.jpg</v>
      </c>
      <c r="AW1656" s="81" t="s">
        <v>10770</v>
      </c>
      <c r="AX1656" s="81" t="s">
        <v>10770</v>
      </c>
      <c r="AY1656" s="77"/>
      <c r="AZ1656" s="81" t="s">
        <v>11359</v>
      </c>
      <c r="BA1656" s="81" t="s">
        <v>11359</v>
      </c>
      <c r="BB1656" s="81" t="s">
        <v>11359</v>
      </c>
      <c r="BC1656" s="81" t="s">
        <v>10770</v>
      </c>
      <c r="BD1656" s="77">
        <v>1146903338</v>
      </c>
      <c r="BE1656" s="77"/>
      <c r="BF1656" s="77"/>
      <c r="BG1656" s="77"/>
      <c r="BH1656" s="77"/>
      <c r="BI1656" s="77"/>
    </row>
    <row r="1657" spans="1:61" x14ac:dyDescent="0.25">
      <c r="A1657" s="62" t="s">
        <v>646</v>
      </c>
      <c r="B1657" s="62" t="s">
        <v>646</v>
      </c>
      <c r="C1657" s="63"/>
      <c r="D1657" s="64"/>
      <c r="E1657" s="65"/>
      <c r="F1657" s="66"/>
      <c r="G1657" s="63"/>
      <c r="H1657" s="67"/>
      <c r="I1657" s="68"/>
      <c r="J1657" s="68"/>
      <c r="K1657" s="32"/>
      <c r="L1657" s="75">
        <v>1657</v>
      </c>
      <c r="M1657" s="75"/>
      <c r="N1657" s="70"/>
      <c r="O1657" s="77" t="s">
        <v>179</v>
      </c>
      <c r="P1657" s="79">
        <v>44997.565578703703</v>
      </c>
      <c r="Q1657" s="77" t="s">
        <v>2442</v>
      </c>
      <c r="R1657" s="77">
        <v>0</v>
      </c>
      <c r="S1657" s="77">
        <v>0</v>
      </c>
      <c r="T1657" s="77">
        <v>0</v>
      </c>
      <c r="U1657" s="77">
        <v>0</v>
      </c>
      <c r="V1657" s="77">
        <v>18</v>
      </c>
      <c r="W1657" s="81" t="s">
        <v>3803</v>
      </c>
      <c r="X1657" s="77"/>
      <c r="Y1657" s="77"/>
      <c r="Z1657" s="77"/>
      <c r="AA1657" s="77" t="s">
        <v>5490</v>
      </c>
      <c r="AB1657" s="77" t="s">
        <v>5794</v>
      </c>
      <c r="AC1657" s="81" t="s">
        <v>5805</v>
      </c>
      <c r="AD1657" s="77" t="s">
        <v>5850</v>
      </c>
      <c r="AE1657" s="83" t="str">
        <f>HYPERLINK("https://twitter.com/inmobgonzalez/status/1634910725989867523")</f>
        <v>https://twitter.com/inmobgonzalez/status/1634910725989867523</v>
      </c>
      <c r="AF1657" s="79">
        <v>44997.565578703703</v>
      </c>
      <c r="AG1657" s="85">
        <v>44997</v>
      </c>
      <c r="AH1657" s="81" t="s">
        <v>7297</v>
      </c>
      <c r="AI1657" s="77" t="b">
        <v>1</v>
      </c>
      <c r="AJ1657" s="77"/>
      <c r="AK1657" s="77"/>
      <c r="AL1657" s="77"/>
      <c r="AM1657" s="77"/>
      <c r="AN1657" s="77"/>
      <c r="AO1657" s="77"/>
      <c r="AP1657" s="77"/>
      <c r="AQ1657" s="77" t="s">
        <v>8993</v>
      </c>
      <c r="AR1657" s="77"/>
      <c r="AS1657" s="77"/>
      <c r="AT1657" s="77"/>
      <c r="AU1657" s="77"/>
      <c r="AV1657" s="83" t="str">
        <f>HYPERLINK("https://pbs.twimg.com/media/FrBeAD_WIAEO6OG.jpg")</f>
        <v>https://pbs.twimg.com/media/FrBeAD_WIAEO6OG.jpg</v>
      </c>
      <c r="AW1657" s="81" t="s">
        <v>10771</v>
      </c>
      <c r="AX1657" s="81" t="s">
        <v>10771</v>
      </c>
      <c r="AY1657" s="77"/>
      <c r="AZ1657" s="81" t="s">
        <v>11359</v>
      </c>
      <c r="BA1657" s="81" t="s">
        <v>11359</v>
      </c>
      <c r="BB1657" s="81" t="s">
        <v>11359</v>
      </c>
      <c r="BC1657" s="81" t="s">
        <v>10771</v>
      </c>
      <c r="BD1657" s="77">
        <v>347598196</v>
      </c>
      <c r="BE1657" s="77"/>
      <c r="BF1657" s="77"/>
      <c r="BG1657" s="77"/>
      <c r="BH1657" s="77"/>
      <c r="BI1657" s="77"/>
    </row>
    <row r="1658" spans="1:61" x14ac:dyDescent="0.25">
      <c r="A1658" s="62" t="s">
        <v>646</v>
      </c>
      <c r="B1658" s="62" t="s">
        <v>646</v>
      </c>
      <c r="C1658" s="63"/>
      <c r="D1658" s="64"/>
      <c r="E1658" s="65"/>
      <c r="F1658" s="66"/>
      <c r="G1658" s="63"/>
      <c r="H1658" s="67"/>
      <c r="I1658" s="68"/>
      <c r="J1658" s="68"/>
      <c r="K1658" s="32"/>
      <c r="L1658" s="75">
        <v>1658</v>
      </c>
      <c r="M1658" s="75"/>
      <c r="N1658" s="70"/>
      <c r="O1658" s="77" t="s">
        <v>179</v>
      </c>
      <c r="P1658" s="79">
        <v>45026.917986111112</v>
      </c>
      <c r="Q1658" s="77" t="s">
        <v>2443</v>
      </c>
      <c r="R1658" s="77">
        <v>0</v>
      </c>
      <c r="S1658" s="77">
        <v>0</v>
      </c>
      <c r="T1658" s="77">
        <v>0</v>
      </c>
      <c r="U1658" s="77">
        <v>0</v>
      </c>
      <c r="V1658" s="77">
        <v>8</v>
      </c>
      <c r="W1658" s="81" t="s">
        <v>3804</v>
      </c>
      <c r="X1658" s="77"/>
      <c r="Y1658" s="77"/>
      <c r="Z1658" s="77"/>
      <c r="AA1658" s="77" t="s">
        <v>5491</v>
      </c>
      <c r="AB1658" s="77" t="s">
        <v>5794</v>
      </c>
      <c r="AC1658" s="81" t="s">
        <v>5805</v>
      </c>
      <c r="AD1658" s="77" t="s">
        <v>5850</v>
      </c>
      <c r="AE1658" s="83" t="str">
        <f>HYPERLINK("https://twitter.com/inmobgonzalez/status/1645547682398867456")</f>
        <v>https://twitter.com/inmobgonzalez/status/1645547682398867456</v>
      </c>
      <c r="AF1658" s="79">
        <v>45026.917986111112</v>
      </c>
      <c r="AG1658" s="85">
        <v>45026</v>
      </c>
      <c r="AH1658" s="81" t="s">
        <v>7298</v>
      </c>
      <c r="AI1658" s="77" t="b">
        <v>1</v>
      </c>
      <c r="AJ1658" s="77"/>
      <c r="AK1658" s="77"/>
      <c r="AL1658" s="77"/>
      <c r="AM1658" s="77"/>
      <c r="AN1658" s="77"/>
      <c r="AO1658" s="77"/>
      <c r="AP1658" s="77"/>
      <c r="AQ1658" s="77" t="s">
        <v>8994</v>
      </c>
      <c r="AR1658" s="77"/>
      <c r="AS1658" s="77"/>
      <c r="AT1658" s="77"/>
      <c r="AU1658" s="77"/>
      <c r="AV1658" s="83" t="str">
        <f>HYPERLINK("https://pbs.twimg.com/media/FtYogc1WYAEuzgZ.jpg")</f>
        <v>https://pbs.twimg.com/media/FtYogc1WYAEuzgZ.jpg</v>
      </c>
      <c r="AW1658" s="81" t="s">
        <v>10772</v>
      </c>
      <c r="AX1658" s="81" t="s">
        <v>10772</v>
      </c>
      <c r="AY1658" s="77"/>
      <c r="AZ1658" s="81" t="s">
        <v>11359</v>
      </c>
      <c r="BA1658" s="81" t="s">
        <v>11359</v>
      </c>
      <c r="BB1658" s="81" t="s">
        <v>11359</v>
      </c>
      <c r="BC1658" s="81" t="s">
        <v>10772</v>
      </c>
      <c r="BD1658" s="77">
        <v>347598196</v>
      </c>
      <c r="BE1658" s="77"/>
      <c r="BF1658" s="77"/>
      <c r="BG1658" s="77"/>
      <c r="BH1658" s="77"/>
      <c r="BI1658" s="77"/>
    </row>
    <row r="1659" spans="1:61" x14ac:dyDescent="0.25">
      <c r="A1659" s="62" t="s">
        <v>647</v>
      </c>
      <c r="B1659" s="62" t="s">
        <v>647</v>
      </c>
      <c r="C1659" s="63"/>
      <c r="D1659" s="64"/>
      <c r="E1659" s="65"/>
      <c r="F1659" s="66"/>
      <c r="G1659" s="63"/>
      <c r="H1659" s="67"/>
      <c r="I1659" s="68"/>
      <c r="J1659" s="68"/>
      <c r="K1659" s="32"/>
      <c r="L1659" s="75">
        <v>1659</v>
      </c>
      <c r="M1659" s="75"/>
      <c r="N1659" s="70"/>
      <c r="O1659" s="77" t="s">
        <v>179</v>
      </c>
      <c r="P1659" s="79">
        <v>45079.743414351855</v>
      </c>
      <c r="Q1659" s="77" t="s">
        <v>2444</v>
      </c>
      <c r="R1659" s="77">
        <v>0</v>
      </c>
      <c r="S1659" s="77">
        <v>0</v>
      </c>
      <c r="T1659" s="77">
        <v>0</v>
      </c>
      <c r="U1659" s="77">
        <v>0</v>
      </c>
      <c r="V1659" s="77">
        <v>1</v>
      </c>
      <c r="W1659" s="81" t="s">
        <v>3805</v>
      </c>
      <c r="X1659" s="77"/>
      <c r="Y1659" s="77"/>
      <c r="Z1659" s="77"/>
      <c r="AA1659" s="77" t="s">
        <v>5492</v>
      </c>
      <c r="AB1659" s="77" t="s">
        <v>5795</v>
      </c>
      <c r="AC1659" s="81" t="s">
        <v>5808</v>
      </c>
      <c r="AD1659" s="77" t="s">
        <v>5851</v>
      </c>
      <c r="AE1659" s="83" t="str">
        <f>HYPERLINK("https://twitter.com/andrevalgestor/status/1664690972935028736")</f>
        <v>https://twitter.com/andrevalgestor/status/1664690972935028736</v>
      </c>
      <c r="AF1659" s="79">
        <v>45079.743414351855</v>
      </c>
      <c r="AG1659" s="85">
        <v>45079</v>
      </c>
      <c r="AH1659" s="81" t="s">
        <v>7299</v>
      </c>
      <c r="AI1659" s="77" t="b">
        <v>0</v>
      </c>
      <c r="AJ1659" s="77"/>
      <c r="AK1659" s="77"/>
      <c r="AL1659" s="77"/>
      <c r="AM1659" s="77"/>
      <c r="AN1659" s="77"/>
      <c r="AO1659" s="77"/>
      <c r="AP1659" s="77"/>
      <c r="AQ1659" s="77" t="s">
        <v>8995</v>
      </c>
      <c r="AR1659" s="77">
        <v>15133</v>
      </c>
      <c r="AS1659" s="77"/>
      <c r="AT1659" s="77"/>
      <c r="AU1659" s="77"/>
      <c r="AV1659" s="83" t="str">
        <f>HYPERLINK("https://pbs.twimg.com/ext_tw_video_thumb/1664690877191651328/pu/img/L7di8PVhInXJP4wc.jpg")</f>
        <v>https://pbs.twimg.com/ext_tw_video_thumb/1664690877191651328/pu/img/L7di8PVhInXJP4wc.jpg</v>
      </c>
      <c r="AW1659" s="81" t="s">
        <v>10773</v>
      </c>
      <c r="AX1659" s="81" t="s">
        <v>10773</v>
      </c>
      <c r="AY1659" s="77"/>
      <c r="AZ1659" s="81" t="s">
        <v>11359</v>
      </c>
      <c r="BA1659" s="81" t="s">
        <v>11359</v>
      </c>
      <c r="BB1659" s="81" t="s">
        <v>11359</v>
      </c>
      <c r="BC1659" s="81" t="s">
        <v>10773</v>
      </c>
      <c r="BD1659" s="77">
        <v>50115826</v>
      </c>
      <c r="BE1659" s="77"/>
      <c r="BF1659" s="77"/>
      <c r="BG1659" s="77"/>
      <c r="BH1659" s="77"/>
      <c r="BI1659" s="77"/>
    </row>
    <row r="1660" spans="1:61" x14ac:dyDescent="0.25">
      <c r="A1660" s="62" t="s">
        <v>648</v>
      </c>
      <c r="B1660" s="62" t="s">
        <v>648</v>
      </c>
      <c r="C1660" s="63"/>
      <c r="D1660" s="64"/>
      <c r="E1660" s="65"/>
      <c r="F1660" s="66"/>
      <c r="G1660" s="63"/>
      <c r="H1660" s="67"/>
      <c r="I1660" s="68"/>
      <c r="J1660" s="68"/>
      <c r="K1660" s="32"/>
      <c r="L1660" s="75">
        <v>1660</v>
      </c>
      <c r="M1660" s="75"/>
      <c r="N1660" s="70"/>
      <c r="O1660" s="77" t="s">
        <v>179</v>
      </c>
      <c r="P1660" s="79">
        <v>44937.897997685184</v>
      </c>
      <c r="Q1660" s="77" t="s">
        <v>2445</v>
      </c>
      <c r="R1660" s="77">
        <v>0</v>
      </c>
      <c r="S1660" s="77">
        <v>0</v>
      </c>
      <c r="T1660" s="77">
        <v>0</v>
      </c>
      <c r="U1660" s="77">
        <v>0</v>
      </c>
      <c r="V1660" s="77">
        <v>7</v>
      </c>
      <c r="W1660" s="81" t="s">
        <v>2947</v>
      </c>
      <c r="X1660" s="83" t="str">
        <f>HYPERLINK("https://bit.ly/3X2BnUQ")</f>
        <v>https://bit.ly/3X2BnUQ</v>
      </c>
      <c r="Y1660" s="77" t="s">
        <v>4213</v>
      </c>
      <c r="Z1660" s="77"/>
      <c r="AA1660" s="77" t="s">
        <v>5493</v>
      </c>
      <c r="AB1660" s="77" t="s">
        <v>5794</v>
      </c>
      <c r="AC1660" s="81" t="s">
        <v>5840</v>
      </c>
      <c r="AD1660" s="77" t="s">
        <v>5850</v>
      </c>
      <c r="AE1660" s="83" t="str">
        <f>HYPERLINK("https://twitter.com/radiosol1039/status/1613287918759542785")</f>
        <v>https://twitter.com/radiosol1039/status/1613287918759542785</v>
      </c>
      <c r="AF1660" s="79">
        <v>44937.897997685184</v>
      </c>
      <c r="AG1660" s="85">
        <v>44937</v>
      </c>
      <c r="AH1660" s="81" t="s">
        <v>7300</v>
      </c>
      <c r="AI1660" s="77" t="b">
        <v>0</v>
      </c>
      <c r="AJ1660" s="77"/>
      <c r="AK1660" s="77"/>
      <c r="AL1660" s="77"/>
      <c r="AM1660" s="77"/>
      <c r="AN1660" s="77"/>
      <c r="AO1660" s="77"/>
      <c r="AP1660" s="77"/>
      <c r="AQ1660" s="77" t="s">
        <v>8996</v>
      </c>
      <c r="AR1660" s="77"/>
      <c r="AS1660" s="77"/>
      <c r="AT1660" s="77"/>
      <c r="AU1660" s="77"/>
      <c r="AV1660" s="83" t="str">
        <f>HYPERLINK("https://pbs.twimg.com/media/FmOM0DvX0BgI58m.jpg")</f>
        <v>https://pbs.twimg.com/media/FmOM0DvX0BgI58m.jpg</v>
      </c>
      <c r="AW1660" s="81" t="s">
        <v>10774</v>
      </c>
      <c r="AX1660" s="81" t="s">
        <v>10774</v>
      </c>
      <c r="AY1660" s="77"/>
      <c r="AZ1660" s="81" t="s">
        <v>11359</v>
      </c>
      <c r="BA1660" s="81" t="s">
        <v>11359</v>
      </c>
      <c r="BB1660" s="81" t="s">
        <v>11359</v>
      </c>
      <c r="BC1660" s="81" t="s">
        <v>10774</v>
      </c>
      <c r="BD1660" s="77">
        <v>440894373</v>
      </c>
      <c r="BE1660" s="77"/>
      <c r="BF1660" s="77"/>
      <c r="BG1660" s="77"/>
      <c r="BH1660" s="77"/>
      <c r="BI1660" s="77"/>
    </row>
    <row r="1661" spans="1:61" x14ac:dyDescent="0.25">
      <c r="A1661" s="62" t="s">
        <v>649</v>
      </c>
      <c r="B1661" s="62" t="s">
        <v>649</v>
      </c>
      <c r="C1661" s="63"/>
      <c r="D1661" s="64"/>
      <c r="E1661" s="65"/>
      <c r="F1661" s="66"/>
      <c r="G1661" s="63"/>
      <c r="H1661" s="67"/>
      <c r="I1661" s="68"/>
      <c r="J1661" s="68"/>
      <c r="K1661" s="32"/>
      <c r="L1661" s="75">
        <v>1661</v>
      </c>
      <c r="M1661" s="75"/>
      <c r="N1661" s="70"/>
      <c r="O1661" s="77" t="s">
        <v>179</v>
      </c>
      <c r="P1661" s="79">
        <v>45028.073171296295</v>
      </c>
      <c r="Q1661" s="77" t="s">
        <v>2446</v>
      </c>
      <c r="R1661" s="77">
        <v>0</v>
      </c>
      <c r="S1661" s="77">
        <v>0</v>
      </c>
      <c r="T1661" s="77">
        <v>0</v>
      </c>
      <c r="U1661" s="77">
        <v>0</v>
      </c>
      <c r="V1661" s="77">
        <v>17</v>
      </c>
      <c r="W1661" s="81" t="s">
        <v>3806</v>
      </c>
      <c r="X1661" s="83" t="str">
        <f>HYPERLINK("https://blogdohiellevy.com.br/depois-que-video-com-pedido-de-ajuda-viralizou-vendedor-de-dindin-com-paralisia-cerebral-ganha-geladeiras-para-continuar-trabalhando/")</f>
        <v>https://blogdohiellevy.com.br/depois-que-video-com-pedido-de-ajuda-viralizou-vendedor-de-dindin-com-paralisia-cerebral-ganha-geladeiras-para-continuar-trabalhando/</v>
      </c>
      <c r="Y1661" s="77" t="s">
        <v>4223</v>
      </c>
      <c r="Z1661" s="77"/>
      <c r="AA1661" s="77"/>
      <c r="AB1661" s="77"/>
      <c r="AC1661" s="81" t="s">
        <v>5805</v>
      </c>
      <c r="AD1661" s="77" t="s">
        <v>5851</v>
      </c>
      <c r="AE1661" s="83" t="str">
        <f>HYPERLINK("https://twitter.com/blogdohiel/status/1645966306636709889")</f>
        <v>https://twitter.com/blogdohiel/status/1645966306636709889</v>
      </c>
      <c r="AF1661" s="79">
        <v>45028.073171296295</v>
      </c>
      <c r="AG1661" s="85">
        <v>45028</v>
      </c>
      <c r="AH1661" s="81" t="s">
        <v>7301</v>
      </c>
      <c r="AI1661" s="77" t="b">
        <v>0</v>
      </c>
      <c r="AJ1661" s="77"/>
      <c r="AK1661" s="77"/>
      <c r="AL1661" s="77"/>
      <c r="AM1661" s="77"/>
      <c r="AN1661" s="77"/>
      <c r="AO1661" s="77"/>
      <c r="AP1661" s="77"/>
      <c r="AQ1661" s="77"/>
      <c r="AR1661" s="77"/>
      <c r="AS1661" s="77"/>
      <c r="AT1661" s="77"/>
      <c r="AU1661" s="77"/>
      <c r="AV1661" s="83" t="str">
        <f>HYPERLINK("https://pbs.twimg.com/profile_images/1428428579885486081/0Mg8DapI_normal.jpg")</f>
        <v>https://pbs.twimg.com/profile_images/1428428579885486081/0Mg8DapI_normal.jpg</v>
      </c>
      <c r="AW1661" s="81" t="s">
        <v>10775</v>
      </c>
      <c r="AX1661" s="81" t="s">
        <v>10775</v>
      </c>
      <c r="AY1661" s="77"/>
      <c r="AZ1661" s="81" t="s">
        <v>11359</v>
      </c>
      <c r="BA1661" s="81" t="s">
        <v>11359</v>
      </c>
      <c r="BB1661" s="81" t="s">
        <v>11359</v>
      </c>
      <c r="BC1661" s="81" t="s">
        <v>10775</v>
      </c>
      <c r="BD1661" s="81" t="s">
        <v>11621</v>
      </c>
      <c r="BE1661" s="77"/>
      <c r="BF1661" s="77"/>
      <c r="BG1661" s="77"/>
      <c r="BH1661" s="77"/>
      <c r="BI1661" s="77"/>
    </row>
    <row r="1662" spans="1:61" x14ac:dyDescent="0.25">
      <c r="A1662" s="62" t="s">
        <v>650</v>
      </c>
      <c r="B1662" s="62" t="s">
        <v>650</v>
      </c>
      <c r="C1662" s="63"/>
      <c r="D1662" s="64"/>
      <c r="E1662" s="65"/>
      <c r="F1662" s="66"/>
      <c r="G1662" s="63"/>
      <c r="H1662" s="67"/>
      <c r="I1662" s="68"/>
      <c r="J1662" s="68"/>
      <c r="K1662" s="32"/>
      <c r="L1662" s="75">
        <v>1662</v>
      </c>
      <c r="M1662" s="75"/>
      <c r="N1662" s="70"/>
      <c r="O1662" s="77" t="s">
        <v>179</v>
      </c>
      <c r="P1662" s="79">
        <v>45102.100439814814</v>
      </c>
      <c r="Q1662" s="77" t="s">
        <v>2447</v>
      </c>
      <c r="R1662" s="77">
        <v>1</v>
      </c>
      <c r="S1662" s="77">
        <v>1</v>
      </c>
      <c r="T1662" s="77">
        <v>0</v>
      </c>
      <c r="U1662" s="77">
        <v>0</v>
      </c>
      <c r="V1662" s="77">
        <v>9</v>
      </c>
      <c r="W1662" s="81" t="s">
        <v>3807</v>
      </c>
      <c r="X1662" s="77"/>
      <c r="Y1662" s="77"/>
      <c r="Z1662" s="77"/>
      <c r="AA1662" s="77"/>
      <c r="AB1662" s="77"/>
      <c r="AC1662" s="81" t="s">
        <v>5805</v>
      </c>
      <c r="AD1662" s="77" t="s">
        <v>5850</v>
      </c>
      <c r="AE1662" s="83" t="str">
        <f>HYPERLINK("https://twitter.com/myagastelum/status/1672792888722194433")</f>
        <v>https://twitter.com/myagastelum/status/1672792888722194433</v>
      </c>
      <c r="AF1662" s="79">
        <v>45102.100439814814</v>
      </c>
      <c r="AG1662" s="85">
        <v>45102</v>
      </c>
      <c r="AH1662" s="81" t="s">
        <v>7302</v>
      </c>
      <c r="AI1662" s="77"/>
      <c r="AJ1662" s="77"/>
      <c r="AK1662" s="77"/>
      <c r="AL1662" s="77"/>
      <c r="AM1662" s="77"/>
      <c r="AN1662" s="77"/>
      <c r="AO1662" s="77"/>
      <c r="AP1662" s="77"/>
      <c r="AQ1662" s="77"/>
      <c r="AR1662" s="77"/>
      <c r="AS1662" s="77"/>
      <c r="AT1662" s="77"/>
      <c r="AU1662" s="77"/>
      <c r="AV1662" s="83" t="str">
        <f>HYPERLINK("https://pbs.twimg.com/profile_images/1523883451446870016/AAFeQe9D_normal.jpg")</f>
        <v>https://pbs.twimg.com/profile_images/1523883451446870016/AAFeQe9D_normal.jpg</v>
      </c>
      <c r="AW1662" s="81" t="s">
        <v>10776</v>
      </c>
      <c r="AX1662" s="81" t="s">
        <v>10776</v>
      </c>
      <c r="AY1662" s="77"/>
      <c r="AZ1662" s="81" t="s">
        <v>11359</v>
      </c>
      <c r="BA1662" s="81" t="s">
        <v>11359</v>
      </c>
      <c r="BB1662" s="81" t="s">
        <v>11359</v>
      </c>
      <c r="BC1662" s="81" t="s">
        <v>10776</v>
      </c>
      <c r="BD1662" s="77">
        <v>208279699</v>
      </c>
      <c r="BE1662" s="77"/>
      <c r="BF1662" s="77"/>
      <c r="BG1662" s="77"/>
      <c r="BH1662" s="77"/>
      <c r="BI1662" s="77"/>
    </row>
    <row r="1663" spans="1:61" x14ac:dyDescent="0.25">
      <c r="A1663" s="62" t="s">
        <v>651</v>
      </c>
      <c r="B1663" s="62" t="s">
        <v>651</v>
      </c>
      <c r="C1663" s="63"/>
      <c r="D1663" s="64"/>
      <c r="E1663" s="65"/>
      <c r="F1663" s="66"/>
      <c r="G1663" s="63"/>
      <c r="H1663" s="67"/>
      <c r="I1663" s="68"/>
      <c r="J1663" s="68"/>
      <c r="K1663" s="32"/>
      <c r="L1663" s="75">
        <v>1663</v>
      </c>
      <c r="M1663" s="75"/>
      <c r="N1663" s="70"/>
      <c r="O1663" s="77" t="s">
        <v>179</v>
      </c>
      <c r="P1663" s="79">
        <v>45128.977638888886</v>
      </c>
      <c r="Q1663" s="77" t="s">
        <v>2448</v>
      </c>
      <c r="R1663" s="77">
        <v>0</v>
      </c>
      <c r="S1663" s="77">
        <v>1</v>
      </c>
      <c r="T1663" s="77">
        <v>0</v>
      </c>
      <c r="U1663" s="77">
        <v>0</v>
      </c>
      <c r="V1663" s="77">
        <v>45</v>
      </c>
      <c r="W1663" s="81" t="s">
        <v>3808</v>
      </c>
      <c r="X1663" s="77"/>
      <c r="Y1663" s="77"/>
      <c r="Z1663" s="77"/>
      <c r="AA1663" s="77" t="s">
        <v>5494</v>
      </c>
      <c r="AB1663" s="77" t="s">
        <v>5795</v>
      </c>
      <c r="AC1663" s="81" t="s">
        <v>5801</v>
      </c>
      <c r="AD1663" s="77" t="s">
        <v>5850</v>
      </c>
      <c r="AE1663" s="83" t="str">
        <f>HYPERLINK("https://twitter.com/ricardobuse/status/1682532858684899328")</f>
        <v>https://twitter.com/ricardobuse/status/1682532858684899328</v>
      </c>
      <c r="AF1663" s="79">
        <v>45128.977638888886</v>
      </c>
      <c r="AG1663" s="85">
        <v>45128</v>
      </c>
      <c r="AH1663" s="81" t="s">
        <v>7303</v>
      </c>
      <c r="AI1663" s="77" t="b">
        <v>0</v>
      </c>
      <c r="AJ1663" s="77"/>
      <c r="AK1663" s="77"/>
      <c r="AL1663" s="77"/>
      <c r="AM1663" s="77"/>
      <c r="AN1663" s="77"/>
      <c r="AO1663" s="77"/>
      <c r="AP1663" s="77"/>
      <c r="AQ1663" s="77" t="s">
        <v>8997</v>
      </c>
      <c r="AR1663" s="77">
        <v>116565</v>
      </c>
      <c r="AS1663" s="77"/>
      <c r="AT1663" s="77"/>
      <c r="AU1663" s="77"/>
      <c r="AV1663" s="83" t="str">
        <f>HYPERLINK("https://pbs.twimg.com/ext_tw_video_thumb/1682532721204011009/pu/img/m0DRPGsXxajHOJf-.jpg")</f>
        <v>https://pbs.twimg.com/ext_tw_video_thumb/1682532721204011009/pu/img/m0DRPGsXxajHOJf-.jpg</v>
      </c>
      <c r="AW1663" s="81" t="s">
        <v>10777</v>
      </c>
      <c r="AX1663" s="81" t="s">
        <v>10777</v>
      </c>
      <c r="AY1663" s="77"/>
      <c r="AZ1663" s="81" t="s">
        <v>11359</v>
      </c>
      <c r="BA1663" s="81" t="s">
        <v>11359</v>
      </c>
      <c r="BB1663" s="81" t="s">
        <v>11359</v>
      </c>
      <c r="BC1663" s="81" t="s">
        <v>10777</v>
      </c>
      <c r="BD1663" s="77">
        <v>154624566</v>
      </c>
      <c r="BE1663" s="77"/>
      <c r="BF1663" s="77"/>
      <c r="BG1663" s="77"/>
      <c r="BH1663" s="77"/>
      <c r="BI1663" s="77"/>
    </row>
    <row r="1664" spans="1:61" x14ac:dyDescent="0.25">
      <c r="A1664" s="62" t="s">
        <v>652</v>
      </c>
      <c r="B1664" s="62" t="s">
        <v>652</v>
      </c>
      <c r="C1664" s="63"/>
      <c r="D1664" s="64"/>
      <c r="E1664" s="65"/>
      <c r="F1664" s="66"/>
      <c r="G1664" s="63"/>
      <c r="H1664" s="67"/>
      <c r="I1664" s="68"/>
      <c r="J1664" s="68"/>
      <c r="K1664" s="32"/>
      <c r="L1664" s="75">
        <v>1664</v>
      </c>
      <c r="M1664" s="75"/>
      <c r="N1664" s="70"/>
      <c r="O1664" s="77" t="s">
        <v>179</v>
      </c>
      <c r="P1664" s="79">
        <v>44928.628750000003</v>
      </c>
      <c r="Q1664" s="77" t="s">
        <v>2449</v>
      </c>
      <c r="R1664" s="77">
        <v>0</v>
      </c>
      <c r="S1664" s="77">
        <v>0</v>
      </c>
      <c r="T1664" s="77">
        <v>0</v>
      </c>
      <c r="U1664" s="77">
        <v>0</v>
      </c>
      <c r="V1664" s="77">
        <v>25</v>
      </c>
      <c r="W1664" s="81" t="s">
        <v>3809</v>
      </c>
      <c r="X1664" s="77"/>
      <c r="Y1664" s="77"/>
      <c r="Z1664" s="77"/>
      <c r="AA1664" s="77" t="s">
        <v>5495</v>
      </c>
      <c r="AB1664" s="77" t="s">
        <v>5794</v>
      </c>
      <c r="AC1664" s="81" t="s">
        <v>5803</v>
      </c>
      <c r="AD1664" s="77" t="s">
        <v>5851</v>
      </c>
      <c r="AE1664" s="83" t="str">
        <f>HYPERLINK("https://twitter.com/gondolabrasil/status/1609928852138254336")</f>
        <v>https://twitter.com/gondolabrasil/status/1609928852138254336</v>
      </c>
      <c r="AF1664" s="79">
        <v>44928.628750000003</v>
      </c>
      <c r="AG1664" s="85">
        <v>44928</v>
      </c>
      <c r="AH1664" s="81" t="s">
        <v>7304</v>
      </c>
      <c r="AI1664" s="77" t="b">
        <v>0</v>
      </c>
      <c r="AJ1664" s="77"/>
      <c r="AK1664" s="77"/>
      <c r="AL1664" s="77"/>
      <c r="AM1664" s="77"/>
      <c r="AN1664" s="77"/>
      <c r="AO1664" s="77"/>
      <c r="AP1664" s="77"/>
      <c r="AQ1664" s="77" t="s">
        <v>8998</v>
      </c>
      <c r="AR1664" s="77"/>
      <c r="AS1664" s="77"/>
      <c r="AT1664" s="77"/>
      <c r="AU1664" s="77"/>
      <c r="AV1664" s="83" t="str">
        <f>HYPERLINK("https://pbs.twimg.com/media/FledwWpWIAU3crV.jpg")</f>
        <v>https://pbs.twimg.com/media/FledwWpWIAU3crV.jpg</v>
      </c>
      <c r="AW1664" s="81" t="s">
        <v>10778</v>
      </c>
      <c r="AX1664" s="81" t="s">
        <v>10778</v>
      </c>
      <c r="AY1664" s="77"/>
      <c r="AZ1664" s="81" t="s">
        <v>11359</v>
      </c>
      <c r="BA1664" s="81" t="s">
        <v>11359</v>
      </c>
      <c r="BB1664" s="81" t="s">
        <v>11359</v>
      </c>
      <c r="BC1664" s="81" t="s">
        <v>10778</v>
      </c>
      <c r="BD1664" s="77">
        <v>73002095</v>
      </c>
      <c r="BE1664" s="77"/>
      <c r="BF1664" s="77"/>
      <c r="BG1664" s="77"/>
      <c r="BH1664" s="77"/>
      <c r="BI1664" s="77"/>
    </row>
    <row r="1665" spans="1:61" x14ac:dyDescent="0.25">
      <c r="A1665" s="62" t="s">
        <v>652</v>
      </c>
      <c r="B1665" s="62" t="s">
        <v>652</v>
      </c>
      <c r="C1665" s="63"/>
      <c r="D1665" s="64"/>
      <c r="E1665" s="65"/>
      <c r="F1665" s="66"/>
      <c r="G1665" s="63"/>
      <c r="H1665" s="67"/>
      <c r="I1665" s="68"/>
      <c r="J1665" s="68"/>
      <c r="K1665" s="32"/>
      <c r="L1665" s="75">
        <v>1665</v>
      </c>
      <c r="M1665" s="75"/>
      <c r="N1665" s="70"/>
      <c r="O1665" s="77" t="s">
        <v>179</v>
      </c>
      <c r="P1665" s="79">
        <v>44935.428333333337</v>
      </c>
      <c r="Q1665" s="77" t="s">
        <v>2450</v>
      </c>
      <c r="R1665" s="77">
        <v>0</v>
      </c>
      <c r="S1665" s="77">
        <v>0</v>
      </c>
      <c r="T1665" s="77">
        <v>0</v>
      </c>
      <c r="U1665" s="77">
        <v>0</v>
      </c>
      <c r="V1665" s="77">
        <v>5</v>
      </c>
      <c r="W1665" s="81" t="s">
        <v>3810</v>
      </c>
      <c r="X1665" s="83" t="str">
        <f>HYPERLINK("https://www.instagram.com/p/CnMNRyBO7zm/?igshid=YTgzYjQ4ZTY=")</f>
        <v>https://www.instagram.com/p/CnMNRyBO7zm/?igshid=YTgzYjQ4ZTY=</v>
      </c>
      <c r="Y1665" s="77" t="s">
        <v>4215</v>
      </c>
      <c r="Z1665" s="77"/>
      <c r="AA1665" s="77"/>
      <c r="AB1665" s="77"/>
      <c r="AC1665" s="81" t="s">
        <v>5804</v>
      </c>
      <c r="AD1665" s="77" t="s">
        <v>5851</v>
      </c>
      <c r="AE1665" s="83" t="str">
        <f>HYPERLINK("https://twitter.com/gondolabrasil/status/1612392940516540417")</f>
        <v>https://twitter.com/gondolabrasil/status/1612392940516540417</v>
      </c>
      <c r="AF1665" s="79">
        <v>44935.428333333337</v>
      </c>
      <c r="AG1665" s="85">
        <v>44935</v>
      </c>
      <c r="AH1665" s="81" t="s">
        <v>7305</v>
      </c>
      <c r="AI1665" s="77" t="b">
        <v>0</v>
      </c>
      <c r="AJ1665" s="77"/>
      <c r="AK1665" s="77"/>
      <c r="AL1665" s="77"/>
      <c r="AM1665" s="77"/>
      <c r="AN1665" s="77"/>
      <c r="AO1665" s="77"/>
      <c r="AP1665" s="77"/>
      <c r="AQ1665" s="77"/>
      <c r="AR1665" s="77"/>
      <c r="AS1665" s="77"/>
      <c r="AT1665" s="77"/>
      <c r="AU1665" s="77"/>
      <c r="AV1665" s="83" t="str">
        <f>HYPERLINK("https://pbs.twimg.com/profile_images/1347587327850389508/HiwjKymy_normal.jpg")</f>
        <v>https://pbs.twimg.com/profile_images/1347587327850389508/HiwjKymy_normal.jpg</v>
      </c>
      <c r="AW1665" s="81" t="s">
        <v>10779</v>
      </c>
      <c r="AX1665" s="81" t="s">
        <v>10779</v>
      </c>
      <c r="AY1665" s="77"/>
      <c r="AZ1665" s="81" t="s">
        <v>11359</v>
      </c>
      <c r="BA1665" s="81" t="s">
        <v>11359</v>
      </c>
      <c r="BB1665" s="81" t="s">
        <v>11359</v>
      </c>
      <c r="BC1665" s="81" t="s">
        <v>10779</v>
      </c>
      <c r="BD1665" s="77">
        <v>73002095</v>
      </c>
      <c r="BE1665" s="77"/>
      <c r="BF1665" s="77"/>
      <c r="BG1665" s="77"/>
      <c r="BH1665" s="77"/>
      <c r="BI1665" s="77"/>
    </row>
    <row r="1666" spans="1:61" x14ac:dyDescent="0.25">
      <c r="A1666" s="62" t="s">
        <v>653</v>
      </c>
      <c r="B1666" s="62" t="s">
        <v>653</v>
      </c>
      <c r="C1666" s="63"/>
      <c r="D1666" s="64"/>
      <c r="E1666" s="65"/>
      <c r="F1666" s="66"/>
      <c r="G1666" s="63"/>
      <c r="H1666" s="67"/>
      <c r="I1666" s="68"/>
      <c r="J1666" s="68"/>
      <c r="K1666" s="32"/>
      <c r="L1666" s="75">
        <v>1666</v>
      </c>
      <c r="M1666" s="75"/>
      <c r="N1666" s="70"/>
      <c r="O1666" s="77" t="s">
        <v>969</v>
      </c>
      <c r="P1666" s="79">
        <v>45088.731354166666</v>
      </c>
      <c r="Q1666" s="77" t="s">
        <v>2451</v>
      </c>
      <c r="R1666" s="77">
        <v>0</v>
      </c>
      <c r="S1666" s="77">
        <v>0</v>
      </c>
      <c r="T1666" s="77">
        <v>1</v>
      </c>
      <c r="U1666" s="77">
        <v>0</v>
      </c>
      <c r="V1666" s="77">
        <v>30</v>
      </c>
      <c r="W1666" s="81" t="s">
        <v>3811</v>
      </c>
      <c r="X1666" s="77"/>
      <c r="Y1666" s="77"/>
      <c r="Z1666" s="77"/>
      <c r="AA1666" s="77"/>
      <c r="AB1666" s="77"/>
      <c r="AC1666" s="81" t="s">
        <v>5801</v>
      </c>
      <c r="AD1666" s="77" t="s">
        <v>5851</v>
      </c>
      <c r="AE1666" s="83" t="str">
        <f>HYPERLINK("https://twitter.com/luizreuter/status/1667948095554945024")</f>
        <v>https://twitter.com/luizreuter/status/1667948095554945024</v>
      </c>
      <c r="AF1666" s="79">
        <v>45088.731354166666</v>
      </c>
      <c r="AG1666" s="85">
        <v>45088</v>
      </c>
      <c r="AH1666" s="81" t="s">
        <v>7306</v>
      </c>
      <c r="AI1666" s="77"/>
      <c r="AJ1666" s="77"/>
      <c r="AK1666" s="77"/>
      <c r="AL1666" s="77"/>
      <c r="AM1666" s="77"/>
      <c r="AN1666" s="77"/>
      <c r="AO1666" s="77"/>
      <c r="AP1666" s="77"/>
      <c r="AQ1666" s="77"/>
      <c r="AR1666" s="77"/>
      <c r="AS1666" s="77"/>
      <c r="AT1666" s="77"/>
      <c r="AU1666" s="77"/>
      <c r="AV1666" s="83" t="str">
        <f>HYPERLINK("https://pbs.twimg.com/profile_images/612669071658758144/QxHVxYhc_normal.jpg")</f>
        <v>https://pbs.twimg.com/profile_images/612669071658758144/QxHVxYhc_normal.jpg</v>
      </c>
      <c r="AW1666" s="81" t="s">
        <v>10780</v>
      </c>
      <c r="AX1666" s="81" t="s">
        <v>11304</v>
      </c>
      <c r="AY1666" s="81" t="s">
        <v>11346</v>
      </c>
      <c r="AZ1666" s="81" t="s">
        <v>11391</v>
      </c>
      <c r="BA1666" s="81" t="s">
        <v>11359</v>
      </c>
      <c r="BB1666" s="81" t="s">
        <v>11359</v>
      </c>
      <c r="BC1666" s="81" t="s">
        <v>11391</v>
      </c>
      <c r="BD1666" s="77">
        <v>38796511</v>
      </c>
      <c r="BE1666" s="77"/>
      <c r="BF1666" s="77"/>
      <c r="BG1666" s="77"/>
      <c r="BH1666" s="77"/>
      <c r="BI1666" s="77"/>
    </row>
    <row r="1667" spans="1:61" x14ac:dyDescent="0.25">
      <c r="A1667" s="62" t="s">
        <v>654</v>
      </c>
      <c r="B1667" s="62" t="s">
        <v>654</v>
      </c>
      <c r="C1667" s="63"/>
      <c r="D1667" s="64"/>
      <c r="E1667" s="65"/>
      <c r="F1667" s="66"/>
      <c r="G1667" s="63"/>
      <c r="H1667" s="67"/>
      <c r="I1667" s="68"/>
      <c r="J1667" s="68"/>
      <c r="K1667" s="32"/>
      <c r="L1667" s="75">
        <v>1667</v>
      </c>
      <c r="M1667" s="75"/>
      <c r="N1667" s="70"/>
      <c r="O1667" s="77" t="s">
        <v>179</v>
      </c>
      <c r="P1667" s="79">
        <v>45076.075173611112</v>
      </c>
      <c r="Q1667" s="77" t="s">
        <v>2452</v>
      </c>
      <c r="R1667" s="77">
        <v>0</v>
      </c>
      <c r="S1667" s="77">
        <v>0</v>
      </c>
      <c r="T1667" s="77">
        <v>0</v>
      </c>
      <c r="U1667" s="77">
        <v>0</v>
      </c>
      <c r="V1667" s="77">
        <v>14</v>
      </c>
      <c r="W1667" s="81" t="s">
        <v>2947</v>
      </c>
      <c r="X1667" s="77"/>
      <c r="Y1667" s="77"/>
      <c r="Z1667" s="77"/>
      <c r="AA1667" s="77" t="s">
        <v>5496</v>
      </c>
      <c r="AB1667" s="77" t="s">
        <v>5794</v>
      </c>
      <c r="AC1667" s="81" t="s">
        <v>5803</v>
      </c>
      <c r="AD1667" s="77" t="s">
        <v>5853</v>
      </c>
      <c r="AE1667" s="83" t="str">
        <f>HYPERLINK("https://twitter.com/adv_arlisson/status/1663361647186960384")</f>
        <v>https://twitter.com/adv_arlisson/status/1663361647186960384</v>
      </c>
      <c r="AF1667" s="79">
        <v>45076.075173611112</v>
      </c>
      <c r="AG1667" s="85">
        <v>45076</v>
      </c>
      <c r="AH1667" s="81" t="s">
        <v>7307</v>
      </c>
      <c r="AI1667" s="77" t="b">
        <v>0</v>
      </c>
      <c r="AJ1667" s="77"/>
      <c r="AK1667" s="77"/>
      <c r="AL1667" s="77"/>
      <c r="AM1667" s="77"/>
      <c r="AN1667" s="77"/>
      <c r="AO1667" s="77"/>
      <c r="AP1667" s="77"/>
      <c r="AQ1667" s="77" t="s">
        <v>8999</v>
      </c>
      <c r="AR1667" s="77"/>
      <c r="AS1667" s="77"/>
      <c r="AT1667" s="77"/>
      <c r="AU1667" s="77"/>
      <c r="AV1667" s="83" t="str">
        <f>HYPERLINK("https://pbs.twimg.com/media/FxVymdKWwAMEdmf.jpg")</f>
        <v>https://pbs.twimg.com/media/FxVymdKWwAMEdmf.jpg</v>
      </c>
      <c r="AW1667" s="81" t="s">
        <v>10781</v>
      </c>
      <c r="AX1667" s="81" t="s">
        <v>10781</v>
      </c>
      <c r="AY1667" s="77"/>
      <c r="AZ1667" s="81" t="s">
        <v>11359</v>
      </c>
      <c r="BA1667" s="81" t="s">
        <v>11359</v>
      </c>
      <c r="BB1667" s="81" t="s">
        <v>11359</v>
      </c>
      <c r="BC1667" s="81" t="s">
        <v>10781</v>
      </c>
      <c r="BD1667" s="77">
        <v>2788366193</v>
      </c>
      <c r="BE1667" s="77"/>
      <c r="BF1667" s="77"/>
      <c r="BG1667" s="77"/>
      <c r="BH1667" s="77"/>
      <c r="BI1667" s="77"/>
    </row>
    <row r="1668" spans="1:61" x14ac:dyDescent="0.25">
      <c r="A1668" s="62" t="s">
        <v>655</v>
      </c>
      <c r="B1668" s="62" t="s">
        <v>655</v>
      </c>
      <c r="C1668" s="63"/>
      <c r="D1668" s="64"/>
      <c r="E1668" s="65"/>
      <c r="F1668" s="66"/>
      <c r="G1668" s="63"/>
      <c r="H1668" s="67"/>
      <c r="I1668" s="68"/>
      <c r="J1668" s="68"/>
      <c r="K1668" s="32"/>
      <c r="L1668" s="75">
        <v>1668</v>
      </c>
      <c r="M1668" s="75"/>
      <c r="N1668" s="70"/>
      <c r="O1668" s="77" t="s">
        <v>179</v>
      </c>
      <c r="P1668" s="79">
        <v>44971.626307870371</v>
      </c>
      <c r="Q1668" s="77" t="s">
        <v>2453</v>
      </c>
      <c r="R1668" s="77">
        <v>0</v>
      </c>
      <c r="S1668" s="77">
        <v>1</v>
      </c>
      <c r="T1668" s="77">
        <v>0</v>
      </c>
      <c r="U1668" s="77">
        <v>1</v>
      </c>
      <c r="V1668" s="77">
        <v>53</v>
      </c>
      <c r="W1668" s="81" t="s">
        <v>3812</v>
      </c>
      <c r="X1668" s="77"/>
      <c r="Y1668" s="77"/>
      <c r="Z1668" s="77"/>
      <c r="AA1668" s="77" t="s">
        <v>5497</v>
      </c>
      <c r="AB1668" s="77" t="s">
        <v>5795</v>
      </c>
      <c r="AC1668" s="81" t="s">
        <v>5812</v>
      </c>
      <c r="AD1668" s="77" t="s">
        <v>5850</v>
      </c>
      <c r="AE1668" s="83" t="str">
        <f>HYPERLINK("https://twitter.com/brainstormlabs_/status/1625510648896540674")</f>
        <v>https://twitter.com/brainstormlabs_/status/1625510648896540674</v>
      </c>
      <c r="AF1668" s="79">
        <v>44971.626307870371</v>
      </c>
      <c r="AG1668" s="85">
        <v>44971</v>
      </c>
      <c r="AH1668" s="81" t="s">
        <v>7308</v>
      </c>
      <c r="AI1668" s="77" t="b">
        <v>0</v>
      </c>
      <c r="AJ1668" s="77"/>
      <c r="AK1668" s="77"/>
      <c r="AL1668" s="77"/>
      <c r="AM1668" s="77"/>
      <c r="AN1668" s="77"/>
      <c r="AO1668" s="77"/>
      <c r="AP1668" s="77"/>
      <c r="AQ1668" s="77" t="s">
        <v>9000</v>
      </c>
      <c r="AR1668" s="77">
        <v>15090</v>
      </c>
      <c r="AS1668" s="77"/>
      <c r="AT1668" s="77"/>
      <c r="AU1668" s="77"/>
      <c r="AV1668" s="83" t="str">
        <f>HYPERLINK("https://pbs.twimg.com/ext_tw_video_thumb/1625510598225043459/pu/img/q7JYAMwbcvcEfb4G.jpg")</f>
        <v>https://pbs.twimg.com/ext_tw_video_thumb/1625510598225043459/pu/img/q7JYAMwbcvcEfb4G.jpg</v>
      </c>
      <c r="AW1668" s="81" t="s">
        <v>10782</v>
      </c>
      <c r="AX1668" s="81" t="s">
        <v>10782</v>
      </c>
      <c r="AY1668" s="77"/>
      <c r="AZ1668" s="81" t="s">
        <v>11359</v>
      </c>
      <c r="BA1668" s="81" t="s">
        <v>11359</v>
      </c>
      <c r="BB1668" s="81" t="s">
        <v>11359</v>
      </c>
      <c r="BC1668" s="81" t="s">
        <v>10782</v>
      </c>
      <c r="BD1668" s="81" t="s">
        <v>11622</v>
      </c>
      <c r="BE1668" s="77"/>
      <c r="BF1668" s="77"/>
      <c r="BG1668" s="77"/>
      <c r="BH1668" s="77"/>
      <c r="BI1668" s="77"/>
    </row>
    <row r="1669" spans="1:61" x14ac:dyDescent="0.25">
      <c r="A1669" s="62" t="s">
        <v>656</v>
      </c>
      <c r="B1669" s="62" t="s">
        <v>943</v>
      </c>
      <c r="C1669" s="63"/>
      <c r="D1669" s="64"/>
      <c r="E1669" s="65"/>
      <c r="F1669" s="66"/>
      <c r="G1669" s="63"/>
      <c r="H1669" s="67"/>
      <c r="I1669" s="68"/>
      <c r="J1669" s="68"/>
      <c r="K1669" s="32"/>
      <c r="L1669" s="75">
        <v>1669</v>
      </c>
      <c r="M1669" s="75"/>
      <c r="N1669" s="70"/>
      <c r="O1669" s="77" t="s">
        <v>969</v>
      </c>
      <c r="P1669" s="79">
        <v>45130.5547337963</v>
      </c>
      <c r="Q1669" s="77" t="s">
        <v>2454</v>
      </c>
      <c r="R1669" s="77">
        <v>0</v>
      </c>
      <c r="S1669" s="77">
        <v>1</v>
      </c>
      <c r="T1669" s="77">
        <v>0</v>
      </c>
      <c r="U1669" s="77">
        <v>0</v>
      </c>
      <c r="V1669" s="77">
        <v>438</v>
      </c>
      <c r="W1669" s="81" t="s">
        <v>3813</v>
      </c>
      <c r="X1669" s="77"/>
      <c r="Y1669" s="77"/>
      <c r="Z1669" s="77" t="s">
        <v>943</v>
      </c>
      <c r="AA1669" s="77"/>
      <c r="AB1669" s="77"/>
      <c r="AC1669" s="81" t="s">
        <v>5803</v>
      </c>
      <c r="AD1669" s="77" t="s">
        <v>5850</v>
      </c>
      <c r="AE1669" s="83" t="str">
        <f>HYPERLINK("https://twitter.com/alcalrodrguez1/status/1683104380969443330")</f>
        <v>https://twitter.com/alcalrodrguez1/status/1683104380969443330</v>
      </c>
      <c r="AF1669" s="79">
        <v>45130.5547337963</v>
      </c>
      <c r="AG1669" s="85">
        <v>45130</v>
      </c>
      <c r="AH1669" s="81" t="s">
        <v>7309</v>
      </c>
      <c r="AI1669" s="77"/>
      <c r="AJ1669" s="77"/>
      <c r="AK1669" s="77"/>
      <c r="AL1669" s="77"/>
      <c r="AM1669" s="77"/>
      <c r="AN1669" s="77"/>
      <c r="AO1669" s="77"/>
      <c r="AP1669" s="77"/>
      <c r="AQ1669" s="77"/>
      <c r="AR1669" s="77"/>
      <c r="AS1669" s="77"/>
      <c r="AT1669" s="77"/>
      <c r="AU1669" s="77"/>
      <c r="AV1669" s="83" t="str">
        <f>HYPERLINK("https://pbs.twimg.com/profile_images/1229280276486000640/3BWMxh2W_normal.jpg")</f>
        <v>https://pbs.twimg.com/profile_images/1229280276486000640/3BWMxh2W_normal.jpg</v>
      </c>
      <c r="AW1669" s="81" t="s">
        <v>10783</v>
      </c>
      <c r="AX1669" s="81" t="s">
        <v>11305</v>
      </c>
      <c r="AY1669" s="81" t="s">
        <v>11347</v>
      </c>
      <c r="AZ1669" s="81" t="s">
        <v>11305</v>
      </c>
      <c r="BA1669" s="81" t="s">
        <v>11359</v>
      </c>
      <c r="BB1669" s="81" t="s">
        <v>11359</v>
      </c>
      <c r="BC1669" s="81" t="s">
        <v>11305</v>
      </c>
      <c r="BD1669" s="81" t="s">
        <v>11623</v>
      </c>
      <c r="BE1669" s="77"/>
      <c r="BF1669" s="77"/>
      <c r="BG1669" s="77"/>
      <c r="BH1669" s="77"/>
      <c r="BI1669" s="77"/>
    </row>
    <row r="1670" spans="1:61" x14ac:dyDescent="0.25">
      <c r="A1670" s="62" t="s">
        <v>657</v>
      </c>
      <c r="B1670" s="62" t="s">
        <v>657</v>
      </c>
      <c r="C1670" s="63"/>
      <c r="D1670" s="64"/>
      <c r="E1670" s="65"/>
      <c r="F1670" s="66"/>
      <c r="G1670" s="63"/>
      <c r="H1670" s="67"/>
      <c r="I1670" s="68"/>
      <c r="J1670" s="68"/>
      <c r="K1670" s="32"/>
      <c r="L1670" s="75">
        <v>1670</v>
      </c>
      <c r="M1670" s="75"/>
      <c r="N1670" s="70"/>
      <c r="O1670" s="77" t="s">
        <v>179</v>
      </c>
      <c r="P1670" s="79">
        <v>45061.464525462965</v>
      </c>
      <c r="Q1670" s="77" t="s">
        <v>2455</v>
      </c>
      <c r="R1670" s="77">
        <v>0</v>
      </c>
      <c r="S1670" s="77">
        <v>0</v>
      </c>
      <c r="T1670" s="77">
        <v>1</v>
      </c>
      <c r="U1670" s="77">
        <v>0</v>
      </c>
      <c r="V1670" s="77">
        <v>14</v>
      </c>
      <c r="W1670" s="81" t="s">
        <v>3814</v>
      </c>
      <c r="X1670" s="77"/>
      <c r="Y1670" s="77"/>
      <c r="Z1670" s="77"/>
      <c r="AA1670" s="77"/>
      <c r="AB1670" s="77"/>
      <c r="AC1670" s="81" t="s">
        <v>5801</v>
      </c>
      <c r="AD1670" s="77" t="s">
        <v>5850</v>
      </c>
      <c r="AE1670" s="83" t="str">
        <f>HYPERLINK("https://twitter.com/arcentroeduca/status/1658066929012076545")</f>
        <v>https://twitter.com/arcentroeduca/status/1658066929012076545</v>
      </c>
      <c r="AF1670" s="79">
        <v>45061.464525462965</v>
      </c>
      <c r="AG1670" s="85">
        <v>45061</v>
      </c>
      <c r="AH1670" s="81" t="s">
        <v>6640</v>
      </c>
      <c r="AI1670" s="77"/>
      <c r="AJ1670" s="77"/>
      <c r="AK1670" s="77"/>
      <c r="AL1670" s="77"/>
      <c r="AM1670" s="77"/>
      <c r="AN1670" s="77"/>
      <c r="AO1670" s="77"/>
      <c r="AP1670" s="77"/>
      <c r="AQ1670" s="77"/>
      <c r="AR1670" s="77"/>
      <c r="AS1670" s="77"/>
      <c r="AT1670" s="77"/>
      <c r="AU1670" s="77"/>
      <c r="AV1670" s="83" t="str">
        <f>HYPERLINK("https://pbs.twimg.com/profile_images/1630013132897755146/h7hfVxEV_normal.jpg")</f>
        <v>https://pbs.twimg.com/profile_images/1630013132897755146/h7hfVxEV_normal.jpg</v>
      </c>
      <c r="AW1670" s="81" t="s">
        <v>10784</v>
      </c>
      <c r="AX1670" s="81" t="s">
        <v>10784</v>
      </c>
      <c r="AY1670" s="77"/>
      <c r="AZ1670" s="81" t="s">
        <v>11359</v>
      </c>
      <c r="BA1670" s="81" t="s">
        <v>11359</v>
      </c>
      <c r="BB1670" s="81" t="s">
        <v>11359</v>
      </c>
      <c r="BC1670" s="81" t="s">
        <v>10784</v>
      </c>
      <c r="BD1670" s="77">
        <v>112745570</v>
      </c>
      <c r="BE1670" s="77"/>
      <c r="BF1670" s="77"/>
      <c r="BG1670" s="77"/>
      <c r="BH1670" s="77"/>
      <c r="BI1670" s="77"/>
    </row>
    <row r="1671" spans="1:61" x14ac:dyDescent="0.25">
      <c r="A1671" s="62" t="s">
        <v>658</v>
      </c>
      <c r="B1671" s="62" t="s">
        <v>658</v>
      </c>
      <c r="C1671" s="63"/>
      <c r="D1671" s="64"/>
      <c r="E1671" s="65"/>
      <c r="F1671" s="66"/>
      <c r="G1671" s="63"/>
      <c r="H1671" s="67"/>
      <c r="I1671" s="68"/>
      <c r="J1671" s="68"/>
      <c r="K1671" s="32"/>
      <c r="L1671" s="75">
        <v>1671</v>
      </c>
      <c r="M1671" s="75"/>
      <c r="N1671" s="70"/>
      <c r="O1671" s="77" t="s">
        <v>179</v>
      </c>
      <c r="P1671" s="79">
        <v>45012.565787037034</v>
      </c>
      <c r="Q1671" s="77" t="s">
        <v>2456</v>
      </c>
      <c r="R1671" s="77">
        <v>0</v>
      </c>
      <c r="S1671" s="77">
        <v>0</v>
      </c>
      <c r="T1671" s="77">
        <v>0</v>
      </c>
      <c r="U1671" s="77">
        <v>0</v>
      </c>
      <c r="V1671" s="77">
        <v>39</v>
      </c>
      <c r="W1671" s="81" t="s">
        <v>3815</v>
      </c>
      <c r="X1671" s="83" t="str">
        <f>HYPERLINK("http://bit.ly/3YJmNkX")</f>
        <v>http://bit.ly/3YJmNkX</v>
      </c>
      <c r="Y1671" s="77" t="s">
        <v>4213</v>
      </c>
      <c r="Z1671" s="77"/>
      <c r="AA1671" s="77" t="s">
        <v>5498</v>
      </c>
      <c r="AB1671" s="77" t="s">
        <v>5794</v>
      </c>
      <c r="AC1671" s="81" t="s">
        <v>5841</v>
      </c>
      <c r="AD1671" s="77" t="s">
        <v>5851</v>
      </c>
      <c r="AE1671" s="83" t="str">
        <f>HYPERLINK("https://twitter.com/manpowergbrasil/status/1640346617134960642")</f>
        <v>https://twitter.com/manpowergbrasil/status/1640346617134960642</v>
      </c>
      <c r="AF1671" s="79">
        <v>45012.565787037034</v>
      </c>
      <c r="AG1671" s="85">
        <v>45012</v>
      </c>
      <c r="AH1671" s="81" t="s">
        <v>7310</v>
      </c>
      <c r="AI1671" s="77" t="b">
        <v>0</v>
      </c>
      <c r="AJ1671" s="77"/>
      <c r="AK1671" s="77"/>
      <c r="AL1671" s="77"/>
      <c r="AM1671" s="77"/>
      <c r="AN1671" s="77"/>
      <c r="AO1671" s="77"/>
      <c r="AP1671" s="77"/>
      <c r="AQ1671" s="77" t="s">
        <v>9001</v>
      </c>
      <c r="AR1671" s="77"/>
      <c r="AS1671" s="77"/>
      <c r="AT1671" s="77"/>
      <c r="AU1671" s="77"/>
      <c r="AV1671" s="83" t="str">
        <f>HYPERLINK("https://pbs.twimg.com/media/FsOujcgWcAInlLl.jpg")</f>
        <v>https://pbs.twimg.com/media/FsOujcgWcAInlLl.jpg</v>
      </c>
      <c r="AW1671" s="81" t="s">
        <v>10785</v>
      </c>
      <c r="AX1671" s="81" t="s">
        <v>10785</v>
      </c>
      <c r="AY1671" s="77"/>
      <c r="AZ1671" s="81" t="s">
        <v>11359</v>
      </c>
      <c r="BA1671" s="81" t="s">
        <v>11359</v>
      </c>
      <c r="BB1671" s="81" t="s">
        <v>11359</v>
      </c>
      <c r="BC1671" s="81" t="s">
        <v>10785</v>
      </c>
      <c r="BD1671" s="77">
        <v>43747250</v>
      </c>
      <c r="BE1671" s="77"/>
      <c r="BF1671" s="77"/>
      <c r="BG1671" s="77"/>
      <c r="BH1671" s="77"/>
      <c r="BI1671" s="77"/>
    </row>
    <row r="1672" spans="1:61" x14ac:dyDescent="0.25">
      <c r="A1672" s="62" t="s">
        <v>658</v>
      </c>
      <c r="B1672" s="62" t="s">
        <v>658</v>
      </c>
      <c r="C1672" s="63"/>
      <c r="D1672" s="64"/>
      <c r="E1672" s="65"/>
      <c r="F1672" s="66"/>
      <c r="G1672" s="63"/>
      <c r="H1672" s="67"/>
      <c r="I1672" s="68"/>
      <c r="J1672" s="68"/>
      <c r="K1672" s="32"/>
      <c r="L1672" s="75">
        <v>1672</v>
      </c>
      <c r="M1672" s="75"/>
      <c r="N1672" s="70"/>
      <c r="O1672" s="77" t="s">
        <v>179</v>
      </c>
      <c r="P1672" s="79">
        <v>45138.727812500001</v>
      </c>
      <c r="Q1672" s="77" t="s">
        <v>2457</v>
      </c>
      <c r="R1672" s="77">
        <v>0</v>
      </c>
      <c r="S1672" s="77">
        <v>0</v>
      </c>
      <c r="T1672" s="77">
        <v>0</v>
      </c>
      <c r="U1672" s="77">
        <v>0</v>
      </c>
      <c r="V1672" s="77">
        <v>20</v>
      </c>
      <c r="W1672" s="81" t="s">
        <v>3816</v>
      </c>
      <c r="X1672" s="83" t="str">
        <f>HYPERLINK("https://bit.ly/471EAJH")</f>
        <v>https://bit.ly/471EAJH</v>
      </c>
      <c r="Y1672" s="77" t="s">
        <v>4213</v>
      </c>
      <c r="Z1672" s="77"/>
      <c r="AA1672" s="77" t="s">
        <v>5499</v>
      </c>
      <c r="AB1672" s="77" t="s">
        <v>5794</v>
      </c>
      <c r="AC1672" s="81" t="s">
        <v>5842</v>
      </c>
      <c r="AD1672" s="77" t="s">
        <v>5851</v>
      </c>
      <c r="AE1672" s="83" t="str">
        <f>HYPERLINK("https://twitter.com/manpowergbrasil/status/1686066203087851520")</f>
        <v>https://twitter.com/manpowergbrasil/status/1686066203087851520</v>
      </c>
      <c r="AF1672" s="79">
        <v>45138.727812500001</v>
      </c>
      <c r="AG1672" s="85">
        <v>45138</v>
      </c>
      <c r="AH1672" s="81" t="s">
        <v>7311</v>
      </c>
      <c r="AI1672" s="77" t="b">
        <v>0</v>
      </c>
      <c r="AJ1672" s="77"/>
      <c r="AK1672" s="77"/>
      <c r="AL1672" s="77"/>
      <c r="AM1672" s="77"/>
      <c r="AN1672" s="77"/>
      <c r="AO1672" s="77"/>
      <c r="AP1672" s="77"/>
      <c r="AQ1672" s="77" t="s">
        <v>9002</v>
      </c>
      <c r="AR1672" s="77"/>
      <c r="AS1672" s="77"/>
      <c r="AT1672" s="77"/>
      <c r="AU1672" s="77"/>
      <c r="AV1672" s="83" t="str">
        <f>HYPERLINK("https://pbs.twimg.com/media/F2YcRt9XQAk8BIv.jpg")</f>
        <v>https://pbs.twimg.com/media/F2YcRt9XQAk8BIv.jpg</v>
      </c>
      <c r="AW1672" s="81" t="s">
        <v>10786</v>
      </c>
      <c r="AX1672" s="81" t="s">
        <v>10786</v>
      </c>
      <c r="AY1672" s="77"/>
      <c r="AZ1672" s="81" t="s">
        <v>11359</v>
      </c>
      <c r="BA1672" s="81" t="s">
        <v>11359</v>
      </c>
      <c r="BB1672" s="81" t="s">
        <v>11359</v>
      </c>
      <c r="BC1672" s="81" t="s">
        <v>10786</v>
      </c>
      <c r="BD1672" s="77">
        <v>43747250</v>
      </c>
      <c r="BE1672" s="77"/>
      <c r="BF1672" s="77"/>
      <c r="BG1672" s="77"/>
      <c r="BH1672" s="77"/>
      <c r="BI1672" s="77"/>
    </row>
    <row r="1673" spans="1:61" x14ac:dyDescent="0.25">
      <c r="A1673" s="62" t="s">
        <v>658</v>
      </c>
      <c r="B1673" s="62" t="s">
        <v>658</v>
      </c>
      <c r="C1673" s="63"/>
      <c r="D1673" s="64"/>
      <c r="E1673" s="65"/>
      <c r="F1673" s="66"/>
      <c r="G1673" s="63"/>
      <c r="H1673" s="67"/>
      <c r="I1673" s="68"/>
      <c r="J1673" s="68"/>
      <c r="K1673" s="32"/>
      <c r="L1673" s="75">
        <v>1673</v>
      </c>
      <c r="M1673" s="75"/>
      <c r="N1673" s="70"/>
      <c r="O1673" s="77" t="s">
        <v>179</v>
      </c>
      <c r="P1673" s="79">
        <v>45180.525983796295</v>
      </c>
      <c r="Q1673" s="77" t="s">
        <v>2458</v>
      </c>
      <c r="R1673" s="77">
        <v>0</v>
      </c>
      <c r="S1673" s="77">
        <v>0</v>
      </c>
      <c r="T1673" s="77">
        <v>2</v>
      </c>
      <c r="U1673" s="77">
        <v>0</v>
      </c>
      <c r="V1673" s="77">
        <v>21</v>
      </c>
      <c r="W1673" s="81" t="s">
        <v>3816</v>
      </c>
      <c r="X1673" s="83" t="str">
        <f>HYPERLINK("https://bit.ly/3rhpwr7")</f>
        <v>https://bit.ly/3rhpwr7</v>
      </c>
      <c r="Y1673" s="77" t="s">
        <v>4213</v>
      </c>
      <c r="Z1673" s="77"/>
      <c r="AA1673" s="77" t="s">
        <v>5500</v>
      </c>
      <c r="AB1673" s="77" t="s">
        <v>5794</v>
      </c>
      <c r="AC1673" s="81" t="s">
        <v>5842</v>
      </c>
      <c r="AD1673" s="77" t="s">
        <v>5851</v>
      </c>
      <c r="AE1673" s="83" t="str">
        <f>HYPERLINK("https://twitter.com/manpowergbrasil/status/1701213356646879532")</f>
        <v>https://twitter.com/manpowergbrasil/status/1701213356646879532</v>
      </c>
      <c r="AF1673" s="79">
        <v>45180.525983796295</v>
      </c>
      <c r="AG1673" s="85">
        <v>45180</v>
      </c>
      <c r="AH1673" s="81" t="s">
        <v>7312</v>
      </c>
      <c r="AI1673" s="77" t="b">
        <v>0</v>
      </c>
      <c r="AJ1673" s="77"/>
      <c r="AK1673" s="77"/>
      <c r="AL1673" s="77"/>
      <c r="AM1673" s="77"/>
      <c r="AN1673" s="77"/>
      <c r="AO1673" s="77"/>
      <c r="AP1673" s="77"/>
      <c r="AQ1673" s="77" t="s">
        <v>9003</v>
      </c>
      <c r="AR1673" s="77"/>
      <c r="AS1673" s="77"/>
      <c r="AT1673" s="77"/>
      <c r="AU1673" s="77"/>
      <c r="AV1673" s="83" t="str">
        <f>HYPERLINK("https://pbs.twimg.com/media/F5vsiDuWQAAsk_7.jpg")</f>
        <v>https://pbs.twimg.com/media/F5vsiDuWQAAsk_7.jpg</v>
      </c>
      <c r="AW1673" s="81" t="s">
        <v>10787</v>
      </c>
      <c r="AX1673" s="81" t="s">
        <v>10787</v>
      </c>
      <c r="AY1673" s="77"/>
      <c r="AZ1673" s="81" t="s">
        <v>11359</v>
      </c>
      <c r="BA1673" s="81" t="s">
        <v>11359</v>
      </c>
      <c r="BB1673" s="81" t="s">
        <v>11359</v>
      </c>
      <c r="BC1673" s="81" t="s">
        <v>10787</v>
      </c>
      <c r="BD1673" s="77">
        <v>43747250</v>
      </c>
      <c r="BE1673" s="77"/>
      <c r="BF1673" s="77"/>
      <c r="BG1673" s="77"/>
      <c r="BH1673" s="77"/>
      <c r="BI1673" s="77"/>
    </row>
    <row r="1674" spans="1:61" x14ac:dyDescent="0.25">
      <c r="A1674" s="62" t="s">
        <v>658</v>
      </c>
      <c r="B1674" s="62" t="s">
        <v>658</v>
      </c>
      <c r="C1674" s="63"/>
      <c r="D1674" s="64"/>
      <c r="E1674" s="65"/>
      <c r="F1674" s="66"/>
      <c r="G1674" s="63"/>
      <c r="H1674" s="67"/>
      <c r="I1674" s="68"/>
      <c r="J1674" s="68"/>
      <c r="K1674" s="32"/>
      <c r="L1674" s="75">
        <v>1674</v>
      </c>
      <c r="M1674" s="75"/>
      <c r="N1674" s="70"/>
      <c r="O1674" s="77" t="s">
        <v>179</v>
      </c>
      <c r="P1674" s="79">
        <v>45118.659699074073</v>
      </c>
      <c r="Q1674" s="77" t="s">
        <v>2459</v>
      </c>
      <c r="R1674" s="77">
        <v>0</v>
      </c>
      <c r="S1674" s="77">
        <v>0</v>
      </c>
      <c r="T1674" s="77">
        <v>0</v>
      </c>
      <c r="U1674" s="77">
        <v>0</v>
      </c>
      <c r="V1674" s="77">
        <v>19</v>
      </c>
      <c r="W1674" s="81" t="s">
        <v>3816</v>
      </c>
      <c r="X1674" s="83" t="str">
        <f>HYPERLINK("http://bit.ly/3D6vOMv")</f>
        <v>http://bit.ly/3D6vOMv</v>
      </c>
      <c r="Y1674" s="77" t="s">
        <v>4213</v>
      </c>
      <c r="Z1674" s="77"/>
      <c r="AA1674" s="77" t="s">
        <v>5501</v>
      </c>
      <c r="AB1674" s="77" t="s">
        <v>5794</v>
      </c>
      <c r="AC1674" s="81" t="s">
        <v>5842</v>
      </c>
      <c r="AD1674" s="77" t="s">
        <v>5851</v>
      </c>
      <c r="AE1674" s="83" t="str">
        <f>HYPERLINK("https://twitter.com/manpowergbrasil/status/1678793762934341632")</f>
        <v>https://twitter.com/manpowergbrasil/status/1678793762934341632</v>
      </c>
      <c r="AF1674" s="79">
        <v>45118.659699074073</v>
      </c>
      <c r="AG1674" s="85">
        <v>45118</v>
      </c>
      <c r="AH1674" s="81" t="s">
        <v>7313</v>
      </c>
      <c r="AI1674" s="77" t="b">
        <v>0</v>
      </c>
      <c r="AJ1674" s="77"/>
      <c r="AK1674" s="77"/>
      <c r="AL1674" s="77"/>
      <c r="AM1674" s="77"/>
      <c r="AN1674" s="77"/>
      <c r="AO1674" s="77"/>
      <c r="AP1674" s="77"/>
      <c r="AQ1674" s="77" t="s">
        <v>9004</v>
      </c>
      <c r="AR1674" s="77"/>
      <c r="AS1674" s="77"/>
      <c r="AT1674" s="77"/>
      <c r="AU1674" s="77"/>
      <c r="AV1674" s="83" t="str">
        <f>HYPERLINK("https://pbs.twimg.com/media/F0xGB-7WYAAlbYr.jpg")</f>
        <v>https://pbs.twimg.com/media/F0xGB-7WYAAlbYr.jpg</v>
      </c>
      <c r="AW1674" s="81" t="s">
        <v>10788</v>
      </c>
      <c r="AX1674" s="81" t="s">
        <v>10788</v>
      </c>
      <c r="AY1674" s="77"/>
      <c r="AZ1674" s="81" t="s">
        <v>11359</v>
      </c>
      <c r="BA1674" s="81" t="s">
        <v>11359</v>
      </c>
      <c r="BB1674" s="81" t="s">
        <v>11359</v>
      </c>
      <c r="BC1674" s="81" t="s">
        <v>10788</v>
      </c>
      <c r="BD1674" s="77">
        <v>43747250</v>
      </c>
      <c r="BE1674" s="77"/>
      <c r="BF1674" s="77"/>
      <c r="BG1674" s="77"/>
      <c r="BH1674" s="77"/>
      <c r="BI1674" s="77"/>
    </row>
    <row r="1675" spans="1:61" x14ac:dyDescent="0.25">
      <c r="A1675" s="62" t="s">
        <v>658</v>
      </c>
      <c r="B1675" s="62" t="s">
        <v>658</v>
      </c>
      <c r="C1675" s="63"/>
      <c r="D1675" s="64"/>
      <c r="E1675" s="65"/>
      <c r="F1675" s="66"/>
      <c r="G1675" s="63"/>
      <c r="H1675" s="67"/>
      <c r="I1675" s="68"/>
      <c r="J1675" s="68"/>
      <c r="K1675" s="32"/>
      <c r="L1675" s="75">
        <v>1675</v>
      </c>
      <c r="M1675" s="75"/>
      <c r="N1675" s="70"/>
      <c r="O1675" s="77" t="s">
        <v>179</v>
      </c>
      <c r="P1675" s="79">
        <v>45107.706122685187</v>
      </c>
      <c r="Q1675" s="77" t="s">
        <v>2460</v>
      </c>
      <c r="R1675" s="77">
        <v>0</v>
      </c>
      <c r="S1675" s="77">
        <v>0</v>
      </c>
      <c r="T1675" s="77">
        <v>0</v>
      </c>
      <c r="U1675" s="77">
        <v>0</v>
      </c>
      <c r="V1675" s="77">
        <v>14</v>
      </c>
      <c r="W1675" s="81" t="s">
        <v>3816</v>
      </c>
      <c r="X1675" s="83" t="str">
        <f>HYPERLINK("https://bit.ly/3XrrsJq")</f>
        <v>https://bit.ly/3XrrsJq</v>
      </c>
      <c r="Y1675" s="77" t="s">
        <v>4213</v>
      </c>
      <c r="Z1675" s="77"/>
      <c r="AA1675" s="77" t="s">
        <v>5502</v>
      </c>
      <c r="AB1675" s="77" t="s">
        <v>5794</v>
      </c>
      <c r="AC1675" s="81" t="s">
        <v>5842</v>
      </c>
      <c r="AD1675" s="77" t="s">
        <v>5851</v>
      </c>
      <c r="AE1675" s="83" t="str">
        <f>HYPERLINK("https://twitter.com/manpowergbrasil/status/1674824320567197711")</f>
        <v>https://twitter.com/manpowergbrasil/status/1674824320567197711</v>
      </c>
      <c r="AF1675" s="79">
        <v>45107.706122685187</v>
      </c>
      <c r="AG1675" s="85">
        <v>45107</v>
      </c>
      <c r="AH1675" s="81" t="s">
        <v>7314</v>
      </c>
      <c r="AI1675" s="77" t="b">
        <v>0</v>
      </c>
      <c r="AJ1675" s="77"/>
      <c r="AK1675" s="77"/>
      <c r="AL1675" s="77"/>
      <c r="AM1675" s="77"/>
      <c r="AN1675" s="77"/>
      <c r="AO1675" s="77"/>
      <c r="AP1675" s="77"/>
      <c r="AQ1675" s="77" t="s">
        <v>9005</v>
      </c>
      <c r="AR1675" s="77"/>
      <c r="AS1675" s="77"/>
      <c r="AT1675" s="77"/>
      <c r="AU1675" s="77"/>
      <c r="AV1675" s="83" t="str">
        <f>HYPERLINK("https://pbs.twimg.com/media/Fz4r1-3XgAAPzsa.jpg")</f>
        <v>https://pbs.twimg.com/media/Fz4r1-3XgAAPzsa.jpg</v>
      </c>
      <c r="AW1675" s="81" t="s">
        <v>10789</v>
      </c>
      <c r="AX1675" s="81" t="s">
        <v>10789</v>
      </c>
      <c r="AY1675" s="77"/>
      <c r="AZ1675" s="81" t="s">
        <v>11359</v>
      </c>
      <c r="BA1675" s="81" t="s">
        <v>11359</v>
      </c>
      <c r="BB1675" s="81" t="s">
        <v>11359</v>
      </c>
      <c r="BC1675" s="81" t="s">
        <v>10789</v>
      </c>
      <c r="BD1675" s="77">
        <v>43747250</v>
      </c>
      <c r="BE1675" s="77"/>
      <c r="BF1675" s="77"/>
      <c r="BG1675" s="77"/>
      <c r="BH1675" s="77"/>
      <c r="BI1675" s="77"/>
    </row>
    <row r="1676" spans="1:61" x14ac:dyDescent="0.25">
      <c r="A1676" s="62" t="s">
        <v>659</v>
      </c>
      <c r="B1676" s="62" t="s">
        <v>659</v>
      </c>
      <c r="C1676" s="63"/>
      <c r="D1676" s="64"/>
      <c r="E1676" s="65"/>
      <c r="F1676" s="66"/>
      <c r="G1676" s="63"/>
      <c r="H1676" s="67"/>
      <c r="I1676" s="68"/>
      <c r="J1676" s="68"/>
      <c r="K1676" s="32"/>
      <c r="L1676" s="75">
        <v>1676</v>
      </c>
      <c r="M1676" s="75"/>
      <c r="N1676" s="70"/>
      <c r="O1676" s="77" t="s">
        <v>179</v>
      </c>
      <c r="P1676" s="79">
        <v>44933.594224537039</v>
      </c>
      <c r="Q1676" s="77" t="s">
        <v>2461</v>
      </c>
      <c r="R1676" s="77">
        <v>10</v>
      </c>
      <c r="S1676" s="77">
        <v>159</v>
      </c>
      <c r="T1676" s="77">
        <v>2</v>
      </c>
      <c r="U1676" s="77">
        <v>0</v>
      </c>
      <c r="V1676" s="77">
        <v>37258</v>
      </c>
      <c r="W1676" s="81" t="s">
        <v>3817</v>
      </c>
      <c r="X1676" s="77"/>
      <c r="Y1676" s="77"/>
      <c r="Z1676" s="77"/>
      <c r="AA1676" s="77" t="s">
        <v>5503</v>
      </c>
      <c r="AB1676" s="77" t="s">
        <v>5795</v>
      </c>
      <c r="AC1676" s="81" t="s">
        <v>5805</v>
      </c>
      <c r="AD1676" s="77" t="s">
        <v>5850</v>
      </c>
      <c r="AE1676" s="83" t="str">
        <f>HYPERLINK("https://twitter.com/elyokasxd/status/1611728282054967299")</f>
        <v>https://twitter.com/elyokasxd/status/1611728282054967299</v>
      </c>
      <c r="AF1676" s="79">
        <v>44933.594224537039</v>
      </c>
      <c r="AG1676" s="85">
        <v>44933</v>
      </c>
      <c r="AH1676" s="81" t="s">
        <v>7315</v>
      </c>
      <c r="AI1676" s="77" t="b">
        <v>1</v>
      </c>
      <c r="AJ1676" s="77"/>
      <c r="AK1676" s="77"/>
      <c r="AL1676" s="77"/>
      <c r="AM1676" s="77"/>
      <c r="AN1676" s="77"/>
      <c r="AO1676" s="77"/>
      <c r="AP1676" s="77"/>
      <c r="AQ1676" s="77" t="s">
        <v>9006</v>
      </c>
      <c r="AR1676" s="77">
        <v>36013</v>
      </c>
      <c r="AS1676" s="77"/>
      <c r="AT1676" s="77"/>
      <c r="AU1676" s="77"/>
      <c r="AV1676" s="83" t="str">
        <f>HYPERLINK("https://pbs.twimg.com/ext_tw_video_thumb/1611727677181886464/pu/img/lCPfmnoGJMifL_Uo.jpg")</f>
        <v>https://pbs.twimg.com/ext_tw_video_thumb/1611727677181886464/pu/img/lCPfmnoGJMifL_Uo.jpg</v>
      </c>
      <c r="AW1676" s="81" t="s">
        <v>10790</v>
      </c>
      <c r="AX1676" s="81" t="s">
        <v>10790</v>
      </c>
      <c r="AY1676" s="77"/>
      <c r="AZ1676" s="81" t="s">
        <v>11359</v>
      </c>
      <c r="BA1676" s="81" t="s">
        <v>11359</v>
      </c>
      <c r="BB1676" s="81" t="s">
        <v>11359</v>
      </c>
      <c r="BC1676" s="81" t="s">
        <v>10790</v>
      </c>
      <c r="BD1676" s="81" t="s">
        <v>11624</v>
      </c>
      <c r="BE1676" s="77"/>
      <c r="BF1676" s="77"/>
      <c r="BG1676" s="77"/>
      <c r="BH1676" s="77"/>
      <c r="BI1676" s="77"/>
    </row>
    <row r="1677" spans="1:61" x14ac:dyDescent="0.25">
      <c r="A1677" s="62" t="s">
        <v>660</v>
      </c>
      <c r="B1677" s="62" t="s">
        <v>660</v>
      </c>
      <c r="C1677" s="63"/>
      <c r="D1677" s="64"/>
      <c r="E1677" s="65"/>
      <c r="F1677" s="66"/>
      <c r="G1677" s="63"/>
      <c r="H1677" s="67"/>
      <c r="I1677" s="68"/>
      <c r="J1677" s="68"/>
      <c r="K1677" s="32"/>
      <c r="L1677" s="75">
        <v>1677</v>
      </c>
      <c r="M1677" s="75"/>
      <c r="N1677" s="70"/>
      <c r="O1677" s="77" t="s">
        <v>179</v>
      </c>
      <c r="P1677" s="79">
        <v>44934.750567129631</v>
      </c>
      <c r="Q1677" s="77" t="s">
        <v>2462</v>
      </c>
      <c r="R1677" s="77">
        <v>0</v>
      </c>
      <c r="S1677" s="77">
        <v>0</v>
      </c>
      <c r="T1677" s="77">
        <v>0</v>
      </c>
      <c r="U1677" s="77">
        <v>0</v>
      </c>
      <c r="V1677" s="77">
        <v>16</v>
      </c>
      <c r="W1677" s="81" t="s">
        <v>3818</v>
      </c>
      <c r="X1677" s="77"/>
      <c r="Y1677" s="77"/>
      <c r="Z1677" s="77"/>
      <c r="AA1677" s="77" t="s">
        <v>5504</v>
      </c>
      <c r="AB1677" s="77" t="s">
        <v>5794</v>
      </c>
      <c r="AC1677" s="81" t="s">
        <v>5808</v>
      </c>
      <c r="AD1677" s="77" t="s">
        <v>5851</v>
      </c>
      <c r="AE1677" s="83" t="str">
        <f>HYPERLINK("https://twitter.com/guiterrengui/status/1612147325681516545")</f>
        <v>https://twitter.com/guiterrengui/status/1612147325681516545</v>
      </c>
      <c r="AF1677" s="79">
        <v>44934.750567129631</v>
      </c>
      <c r="AG1677" s="85">
        <v>44934</v>
      </c>
      <c r="AH1677" s="81" t="s">
        <v>7316</v>
      </c>
      <c r="AI1677" s="77" t="b">
        <v>0</v>
      </c>
      <c r="AJ1677" s="77"/>
      <c r="AK1677" s="77"/>
      <c r="AL1677" s="77"/>
      <c r="AM1677" s="77"/>
      <c r="AN1677" s="77"/>
      <c r="AO1677" s="77"/>
      <c r="AP1677" s="77"/>
      <c r="AQ1677" s="77" t="s">
        <v>9007</v>
      </c>
      <c r="AR1677" s="77"/>
      <c r="AS1677" s="77"/>
      <c r="AT1677" s="77"/>
      <c r="AU1677" s="77"/>
      <c r="AV1677" s="83" t="str">
        <f>HYPERLINK("https://pbs.twimg.com/media/Fl9_cxBX0AA1mKy.jpg")</f>
        <v>https://pbs.twimg.com/media/Fl9_cxBX0AA1mKy.jpg</v>
      </c>
      <c r="AW1677" s="81" t="s">
        <v>10791</v>
      </c>
      <c r="AX1677" s="81" t="s">
        <v>10791</v>
      </c>
      <c r="AY1677" s="77"/>
      <c r="AZ1677" s="81" t="s">
        <v>11359</v>
      </c>
      <c r="BA1677" s="81" t="s">
        <v>11359</v>
      </c>
      <c r="BB1677" s="81" t="s">
        <v>11359</v>
      </c>
      <c r="BC1677" s="81" t="s">
        <v>10791</v>
      </c>
      <c r="BD1677" s="81" t="s">
        <v>11625</v>
      </c>
      <c r="BE1677" s="77"/>
      <c r="BF1677" s="77"/>
      <c r="BG1677" s="77"/>
      <c r="BH1677" s="77"/>
      <c r="BI1677" s="77"/>
    </row>
    <row r="1678" spans="1:61" x14ac:dyDescent="0.25">
      <c r="A1678" s="62" t="s">
        <v>661</v>
      </c>
      <c r="B1678" s="62" t="s">
        <v>661</v>
      </c>
      <c r="C1678" s="63"/>
      <c r="D1678" s="64"/>
      <c r="E1678" s="65"/>
      <c r="F1678" s="66"/>
      <c r="G1678" s="63"/>
      <c r="H1678" s="67"/>
      <c r="I1678" s="68"/>
      <c r="J1678" s="68"/>
      <c r="K1678" s="32"/>
      <c r="L1678" s="75">
        <v>1678</v>
      </c>
      <c r="M1678" s="75"/>
      <c r="N1678" s="70"/>
      <c r="O1678" s="77" t="s">
        <v>179</v>
      </c>
      <c r="P1678" s="79">
        <v>45046.000011574077</v>
      </c>
      <c r="Q1678" s="77" t="s">
        <v>2463</v>
      </c>
      <c r="R1678" s="77">
        <v>0</v>
      </c>
      <c r="S1678" s="77">
        <v>2</v>
      </c>
      <c r="T1678" s="77">
        <v>0</v>
      </c>
      <c r="U1678" s="77">
        <v>0</v>
      </c>
      <c r="V1678" s="77">
        <v>29</v>
      </c>
      <c r="W1678" s="81" t="s">
        <v>2947</v>
      </c>
      <c r="X1678" s="77"/>
      <c r="Y1678" s="77"/>
      <c r="Z1678" s="77"/>
      <c r="AA1678" s="77" t="s">
        <v>5505</v>
      </c>
      <c r="AB1678" s="77" t="s">
        <v>5794</v>
      </c>
      <c r="AC1678" s="81" t="s">
        <v>5805</v>
      </c>
      <c r="AD1678" s="77" t="s">
        <v>5850</v>
      </c>
      <c r="AE1678" s="83" t="str">
        <f>HYPERLINK("https://twitter.com/ogmantuberias/status/1652462776080797699")</f>
        <v>https://twitter.com/ogmantuberias/status/1652462776080797699</v>
      </c>
      <c r="AF1678" s="79">
        <v>45046.000011574077</v>
      </c>
      <c r="AG1678" s="85">
        <v>45046</v>
      </c>
      <c r="AH1678" s="81" t="s">
        <v>7317</v>
      </c>
      <c r="AI1678" s="77" t="b">
        <v>0</v>
      </c>
      <c r="AJ1678" s="77"/>
      <c r="AK1678" s="77"/>
      <c r="AL1678" s="77"/>
      <c r="AM1678" s="77"/>
      <c r="AN1678" s="77"/>
      <c r="AO1678" s="77"/>
      <c r="AP1678" s="77"/>
      <c r="AQ1678" s="77" t="s">
        <v>9008</v>
      </c>
      <c r="AR1678" s="77"/>
      <c r="AS1678" s="77"/>
      <c r="AT1678" s="77"/>
      <c r="AU1678" s="77"/>
      <c r="AV1678" s="83" t="str">
        <f>HYPERLINK("https://pbs.twimg.com/media/Fu1vgSyX0AA8qu4.jpg")</f>
        <v>https://pbs.twimg.com/media/Fu1vgSyX0AA8qu4.jpg</v>
      </c>
      <c r="AW1678" s="81" t="s">
        <v>10792</v>
      </c>
      <c r="AX1678" s="81" t="s">
        <v>10792</v>
      </c>
      <c r="AY1678" s="77"/>
      <c r="AZ1678" s="81" t="s">
        <v>11359</v>
      </c>
      <c r="BA1678" s="81" t="s">
        <v>11359</v>
      </c>
      <c r="BB1678" s="81" t="s">
        <v>11359</v>
      </c>
      <c r="BC1678" s="81" t="s">
        <v>10792</v>
      </c>
      <c r="BD1678" s="77">
        <v>3000254967</v>
      </c>
      <c r="BE1678" s="77"/>
      <c r="BF1678" s="77"/>
      <c r="BG1678" s="77"/>
      <c r="BH1678" s="77"/>
      <c r="BI1678" s="77"/>
    </row>
    <row r="1679" spans="1:61" x14ac:dyDescent="0.25">
      <c r="A1679" s="62" t="s">
        <v>662</v>
      </c>
      <c r="B1679" s="62" t="s">
        <v>662</v>
      </c>
      <c r="C1679" s="63"/>
      <c r="D1679" s="64"/>
      <c r="E1679" s="65"/>
      <c r="F1679" s="66"/>
      <c r="G1679" s="63"/>
      <c r="H1679" s="67"/>
      <c r="I1679" s="68"/>
      <c r="J1679" s="68"/>
      <c r="K1679" s="32"/>
      <c r="L1679" s="75">
        <v>1679</v>
      </c>
      <c r="M1679" s="75"/>
      <c r="N1679" s="70"/>
      <c r="O1679" s="77" t="s">
        <v>179</v>
      </c>
      <c r="P1679" s="79">
        <v>45107.803969907407</v>
      </c>
      <c r="Q1679" s="77" t="s">
        <v>2464</v>
      </c>
      <c r="R1679" s="77">
        <v>0</v>
      </c>
      <c r="S1679" s="77">
        <v>1</v>
      </c>
      <c r="T1679" s="77">
        <v>0</v>
      </c>
      <c r="U1679" s="77">
        <v>0</v>
      </c>
      <c r="V1679" s="77">
        <v>79</v>
      </c>
      <c r="W1679" s="81" t="s">
        <v>2947</v>
      </c>
      <c r="X1679" s="77"/>
      <c r="Y1679" s="77"/>
      <c r="Z1679" s="77"/>
      <c r="AA1679" s="77"/>
      <c r="AB1679" s="77"/>
      <c r="AC1679" s="81" t="s">
        <v>5801</v>
      </c>
      <c r="AD1679" s="77" t="s">
        <v>5850</v>
      </c>
      <c r="AE1679" s="83" t="str">
        <f>HYPERLINK("https://twitter.com/gustavodorazio/status/1674859780916011008")</f>
        <v>https://twitter.com/gustavodorazio/status/1674859780916011008</v>
      </c>
      <c r="AF1679" s="79">
        <v>45107.803969907407</v>
      </c>
      <c r="AG1679" s="85">
        <v>45107</v>
      </c>
      <c r="AH1679" s="81" t="s">
        <v>7318</v>
      </c>
      <c r="AI1679" s="77"/>
      <c r="AJ1679" s="77"/>
      <c r="AK1679" s="77"/>
      <c r="AL1679" s="77"/>
      <c r="AM1679" s="77"/>
      <c r="AN1679" s="77"/>
      <c r="AO1679" s="77"/>
      <c r="AP1679" s="77"/>
      <c r="AQ1679" s="77"/>
      <c r="AR1679" s="77"/>
      <c r="AS1679" s="77"/>
      <c r="AT1679" s="77"/>
      <c r="AU1679" s="77"/>
      <c r="AV1679" s="83" t="str">
        <f>HYPERLINK("https://pbs.twimg.com/profile_images/1702107901676896256/wBaL95gY_normal.jpg")</f>
        <v>https://pbs.twimg.com/profile_images/1702107901676896256/wBaL95gY_normal.jpg</v>
      </c>
      <c r="AW1679" s="81" t="s">
        <v>10793</v>
      </c>
      <c r="AX1679" s="81" t="s">
        <v>10793</v>
      </c>
      <c r="AY1679" s="77"/>
      <c r="AZ1679" s="81" t="s">
        <v>11359</v>
      </c>
      <c r="BA1679" s="81" t="s">
        <v>11359</v>
      </c>
      <c r="BB1679" s="81" t="s">
        <v>11359</v>
      </c>
      <c r="BC1679" s="81" t="s">
        <v>10793</v>
      </c>
      <c r="BD1679" s="81" t="s">
        <v>11626</v>
      </c>
      <c r="BE1679" s="77"/>
      <c r="BF1679" s="77"/>
      <c r="BG1679" s="77"/>
      <c r="BH1679" s="77"/>
      <c r="BI1679" s="77"/>
    </row>
    <row r="1680" spans="1:61" x14ac:dyDescent="0.25">
      <c r="A1680" s="62" t="s">
        <v>663</v>
      </c>
      <c r="B1680" s="62" t="s">
        <v>663</v>
      </c>
      <c r="C1680" s="63"/>
      <c r="D1680" s="64"/>
      <c r="E1680" s="65"/>
      <c r="F1680" s="66"/>
      <c r="G1680" s="63"/>
      <c r="H1680" s="67"/>
      <c r="I1680" s="68"/>
      <c r="J1680" s="68"/>
      <c r="K1680" s="32"/>
      <c r="L1680" s="75">
        <v>1680</v>
      </c>
      <c r="M1680" s="75"/>
      <c r="N1680" s="70"/>
      <c r="O1680" s="77" t="s">
        <v>179</v>
      </c>
      <c r="P1680" s="79">
        <v>44973.917222222219</v>
      </c>
      <c r="Q1680" s="77" t="s">
        <v>2465</v>
      </c>
      <c r="R1680" s="77">
        <v>0</v>
      </c>
      <c r="S1680" s="77">
        <v>0</v>
      </c>
      <c r="T1680" s="77">
        <v>0</v>
      </c>
      <c r="U1680" s="77">
        <v>0</v>
      </c>
      <c r="V1680" s="77">
        <v>12</v>
      </c>
      <c r="W1680" s="81" t="s">
        <v>3819</v>
      </c>
      <c r="X1680" s="77"/>
      <c r="Y1680" s="77"/>
      <c r="Z1680" s="77"/>
      <c r="AA1680" s="77" t="s">
        <v>5506</v>
      </c>
      <c r="AB1680" s="77" t="s">
        <v>5795</v>
      </c>
      <c r="AC1680" s="81" t="s">
        <v>5808</v>
      </c>
      <c r="AD1680" s="77" t="s">
        <v>5851</v>
      </c>
      <c r="AE1680" s="83" t="str">
        <f>HYPERLINK("https://twitter.com/truckvan/status/1626340845300375552")</f>
        <v>https://twitter.com/truckvan/status/1626340845300375552</v>
      </c>
      <c r="AF1680" s="79">
        <v>44973.917222222219</v>
      </c>
      <c r="AG1680" s="85">
        <v>44973</v>
      </c>
      <c r="AH1680" s="81" t="s">
        <v>7319</v>
      </c>
      <c r="AI1680" s="77" t="b">
        <v>0</v>
      </c>
      <c r="AJ1680" s="77"/>
      <c r="AK1680" s="77"/>
      <c r="AL1680" s="77"/>
      <c r="AM1680" s="77"/>
      <c r="AN1680" s="77"/>
      <c r="AO1680" s="77"/>
      <c r="AP1680" s="77"/>
      <c r="AQ1680" s="77" t="s">
        <v>9009</v>
      </c>
      <c r="AR1680" s="77">
        <v>52000</v>
      </c>
      <c r="AS1680" s="77"/>
      <c r="AT1680" s="77"/>
      <c r="AU1680" s="77"/>
      <c r="AV1680" s="83" t="str">
        <f>HYPERLINK("https://pbs.twimg.com/ext_tw_video_thumb/1626340773015834632/pu/img/C22WzZDYHRbRBA-F.jpg")</f>
        <v>https://pbs.twimg.com/ext_tw_video_thumb/1626340773015834632/pu/img/C22WzZDYHRbRBA-F.jpg</v>
      </c>
      <c r="AW1680" s="81" t="s">
        <v>10794</v>
      </c>
      <c r="AX1680" s="81" t="s">
        <v>10794</v>
      </c>
      <c r="AY1680" s="77"/>
      <c r="AZ1680" s="81" t="s">
        <v>11359</v>
      </c>
      <c r="BA1680" s="81" t="s">
        <v>11359</v>
      </c>
      <c r="BB1680" s="81" t="s">
        <v>11359</v>
      </c>
      <c r="BC1680" s="81" t="s">
        <v>10794</v>
      </c>
      <c r="BD1680" s="77">
        <v>82439468</v>
      </c>
      <c r="BE1680" s="77"/>
      <c r="BF1680" s="77"/>
      <c r="BG1680" s="77"/>
      <c r="BH1680" s="77"/>
      <c r="BI1680" s="77"/>
    </row>
    <row r="1681" spans="1:61" x14ac:dyDescent="0.25">
      <c r="A1681" s="62" t="s">
        <v>664</v>
      </c>
      <c r="B1681" s="62" t="s">
        <v>664</v>
      </c>
      <c r="C1681" s="63"/>
      <c r="D1681" s="64"/>
      <c r="E1681" s="65"/>
      <c r="F1681" s="66"/>
      <c r="G1681" s="63"/>
      <c r="H1681" s="67"/>
      <c r="I1681" s="68"/>
      <c r="J1681" s="68"/>
      <c r="K1681" s="32"/>
      <c r="L1681" s="75">
        <v>1681</v>
      </c>
      <c r="M1681" s="75"/>
      <c r="N1681" s="70"/>
      <c r="O1681" s="77" t="s">
        <v>179</v>
      </c>
      <c r="P1681" s="79">
        <v>45166.732777777775</v>
      </c>
      <c r="Q1681" s="77" t="s">
        <v>2466</v>
      </c>
      <c r="R1681" s="77">
        <v>0</v>
      </c>
      <c r="S1681" s="77">
        <v>0</v>
      </c>
      <c r="T1681" s="77">
        <v>0</v>
      </c>
      <c r="U1681" s="77">
        <v>0</v>
      </c>
      <c r="V1681" s="77">
        <v>11</v>
      </c>
      <c r="W1681" s="81" t="s">
        <v>3820</v>
      </c>
      <c r="X1681" s="83" t="str">
        <f>HYPERLINK("http://AMAZON.COM")</f>
        <v>http://AMAZON.COM</v>
      </c>
      <c r="Y1681" s="77" t="s">
        <v>4314</v>
      </c>
      <c r="Z1681" s="77"/>
      <c r="AA1681" s="77" t="s">
        <v>5507</v>
      </c>
      <c r="AB1681" s="77" t="s">
        <v>5794</v>
      </c>
      <c r="AC1681" s="81" t="s">
        <v>5801</v>
      </c>
      <c r="AD1681" s="77" t="s">
        <v>5850</v>
      </c>
      <c r="AE1681" s="83" t="str">
        <f>HYPERLINK("https://twitter.com/robertm07526169/status/1696214864576836016")</f>
        <v>https://twitter.com/robertm07526169/status/1696214864576836016</v>
      </c>
      <c r="AF1681" s="79">
        <v>45166.732777777775</v>
      </c>
      <c r="AG1681" s="85">
        <v>45166</v>
      </c>
      <c r="AH1681" s="81" t="s">
        <v>7320</v>
      </c>
      <c r="AI1681" s="77" t="b">
        <v>0</v>
      </c>
      <c r="AJ1681" s="77"/>
      <c r="AK1681" s="77"/>
      <c r="AL1681" s="77"/>
      <c r="AM1681" s="77"/>
      <c r="AN1681" s="77"/>
      <c r="AO1681" s="77"/>
      <c r="AP1681" s="77"/>
      <c r="AQ1681" s="77" t="s">
        <v>9010</v>
      </c>
      <c r="AR1681" s="77"/>
      <c r="AS1681" s="77"/>
      <c r="AT1681" s="77"/>
      <c r="AU1681" s="77"/>
      <c r="AV1681" s="83" t="str">
        <f>HYPERLINK("https://pbs.twimg.com/media/F4oqbINWIAAmeg7.jpg")</f>
        <v>https://pbs.twimg.com/media/F4oqbINWIAAmeg7.jpg</v>
      </c>
      <c r="AW1681" s="81" t="s">
        <v>10795</v>
      </c>
      <c r="AX1681" s="81" t="s">
        <v>10795</v>
      </c>
      <c r="AY1681" s="77"/>
      <c r="AZ1681" s="81" t="s">
        <v>11359</v>
      </c>
      <c r="BA1681" s="81" t="s">
        <v>11359</v>
      </c>
      <c r="BB1681" s="81" t="s">
        <v>11359</v>
      </c>
      <c r="BC1681" s="81" t="s">
        <v>10795</v>
      </c>
      <c r="BD1681" s="81" t="s">
        <v>11627</v>
      </c>
      <c r="BE1681" s="77"/>
      <c r="BF1681" s="77"/>
      <c r="BG1681" s="77"/>
      <c r="BH1681" s="77"/>
      <c r="BI1681" s="77"/>
    </row>
    <row r="1682" spans="1:61" x14ac:dyDescent="0.25">
      <c r="A1682" s="62" t="s">
        <v>664</v>
      </c>
      <c r="B1682" s="62" t="s">
        <v>664</v>
      </c>
      <c r="C1682" s="63"/>
      <c r="D1682" s="64"/>
      <c r="E1682" s="65"/>
      <c r="F1682" s="66"/>
      <c r="G1682" s="63"/>
      <c r="H1682" s="67"/>
      <c r="I1682" s="68"/>
      <c r="J1682" s="68"/>
      <c r="K1682" s="32"/>
      <c r="L1682" s="75">
        <v>1682</v>
      </c>
      <c r="M1682" s="75"/>
      <c r="N1682" s="70"/>
      <c r="O1682" s="77" t="s">
        <v>179</v>
      </c>
      <c r="P1682" s="79">
        <v>45165.703333333331</v>
      </c>
      <c r="Q1682" s="77" t="s">
        <v>2467</v>
      </c>
      <c r="R1682" s="77">
        <v>0</v>
      </c>
      <c r="S1682" s="77">
        <v>0</v>
      </c>
      <c r="T1682" s="77">
        <v>0</v>
      </c>
      <c r="U1682" s="77">
        <v>0</v>
      </c>
      <c r="V1682" s="77">
        <v>13</v>
      </c>
      <c r="W1682" s="81" t="s">
        <v>3821</v>
      </c>
      <c r="X1682" s="83" t="str">
        <f>HYPERLINK("http://AMAZON.COM")</f>
        <v>http://AMAZON.COM</v>
      </c>
      <c r="Y1682" s="77" t="s">
        <v>4314</v>
      </c>
      <c r="Z1682" s="77"/>
      <c r="AA1682" s="77" t="s">
        <v>5508</v>
      </c>
      <c r="AB1682" s="77" t="s">
        <v>5794</v>
      </c>
      <c r="AC1682" s="81" t="s">
        <v>5801</v>
      </c>
      <c r="AD1682" s="77" t="s">
        <v>5850</v>
      </c>
      <c r="AE1682" s="83" t="str">
        <f>HYPERLINK("https://twitter.com/robertm07526169/status/1695841806175416661")</f>
        <v>https://twitter.com/robertm07526169/status/1695841806175416661</v>
      </c>
      <c r="AF1682" s="79">
        <v>45165.703333333331</v>
      </c>
      <c r="AG1682" s="85">
        <v>45165</v>
      </c>
      <c r="AH1682" s="81" t="s">
        <v>7321</v>
      </c>
      <c r="AI1682" s="77" t="b">
        <v>0</v>
      </c>
      <c r="AJ1682" s="77"/>
      <c r="AK1682" s="77"/>
      <c r="AL1682" s="77"/>
      <c r="AM1682" s="77"/>
      <c r="AN1682" s="77"/>
      <c r="AO1682" s="77"/>
      <c r="AP1682" s="77"/>
      <c r="AQ1682" s="77" t="s">
        <v>9011</v>
      </c>
      <c r="AR1682" s="77"/>
      <c r="AS1682" s="77"/>
      <c r="AT1682" s="77"/>
      <c r="AU1682" s="77"/>
      <c r="AV1682" s="83" t="str">
        <f>HYPERLINK("https://pbs.twimg.com/media/F4jXIWFWYAAYUtV.jpg")</f>
        <v>https://pbs.twimg.com/media/F4jXIWFWYAAYUtV.jpg</v>
      </c>
      <c r="AW1682" s="81" t="s">
        <v>10796</v>
      </c>
      <c r="AX1682" s="81" t="s">
        <v>10796</v>
      </c>
      <c r="AY1682" s="77"/>
      <c r="AZ1682" s="81" t="s">
        <v>11359</v>
      </c>
      <c r="BA1682" s="81" t="s">
        <v>11359</v>
      </c>
      <c r="BB1682" s="81" t="s">
        <v>11359</v>
      </c>
      <c r="BC1682" s="81" t="s">
        <v>10796</v>
      </c>
      <c r="BD1682" s="81" t="s">
        <v>11627</v>
      </c>
      <c r="BE1682" s="77"/>
      <c r="BF1682" s="77"/>
      <c r="BG1682" s="77"/>
      <c r="BH1682" s="77"/>
      <c r="BI1682" s="77"/>
    </row>
    <row r="1683" spans="1:61" x14ac:dyDescent="0.25">
      <c r="A1683" s="62" t="s">
        <v>665</v>
      </c>
      <c r="B1683" s="62" t="s">
        <v>665</v>
      </c>
      <c r="C1683" s="63"/>
      <c r="D1683" s="64"/>
      <c r="E1683" s="65"/>
      <c r="F1683" s="66"/>
      <c r="G1683" s="63"/>
      <c r="H1683" s="67"/>
      <c r="I1683" s="68"/>
      <c r="J1683" s="68"/>
      <c r="K1683" s="32"/>
      <c r="L1683" s="75">
        <v>1683</v>
      </c>
      <c r="M1683" s="75"/>
      <c r="N1683" s="70"/>
      <c r="O1683" s="77" t="s">
        <v>179</v>
      </c>
      <c r="P1683" s="79">
        <v>44942.292881944442</v>
      </c>
      <c r="Q1683" s="77" t="s">
        <v>2468</v>
      </c>
      <c r="R1683" s="77">
        <v>0</v>
      </c>
      <c r="S1683" s="77">
        <v>0</v>
      </c>
      <c r="T1683" s="77">
        <v>0</v>
      </c>
      <c r="U1683" s="77">
        <v>0</v>
      </c>
      <c r="V1683" s="77">
        <v>12</v>
      </c>
      <c r="W1683" s="81" t="s">
        <v>3822</v>
      </c>
      <c r="X1683" s="77"/>
      <c r="Y1683" s="77"/>
      <c r="Z1683" s="77"/>
      <c r="AA1683" s="77" t="s">
        <v>5509</v>
      </c>
      <c r="AB1683" s="77" t="s">
        <v>5794</v>
      </c>
      <c r="AC1683" s="81" t="s">
        <v>5812</v>
      </c>
      <c r="AD1683" s="77" t="s">
        <v>5850</v>
      </c>
      <c r="AE1683" s="83" t="str">
        <f>HYPERLINK("https://twitter.com/brokersanalisis/status/1614880570323963906")</f>
        <v>https://twitter.com/brokersanalisis/status/1614880570323963906</v>
      </c>
      <c r="AF1683" s="79">
        <v>44942.292881944442</v>
      </c>
      <c r="AG1683" s="85">
        <v>44942</v>
      </c>
      <c r="AH1683" s="81" t="s">
        <v>7322</v>
      </c>
      <c r="AI1683" s="77" t="b">
        <v>0</v>
      </c>
      <c r="AJ1683" s="77"/>
      <c r="AK1683" s="77"/>
      <c r="AL1683" s="77"/>
      <c r="AM1683" s="77"/>
      <c r="AN1683" s="77"/>
      <c r="AO1683" s="77"/>
      <c r="AP1683" s="77"/>
      <c r="AQ1683" s="77" t="s">
        <v>9012</v>
      </c>
      <c r="AR1683" s="77"/>
      <c r="AS1683" s="77"/>
      <c r="AT1683" s="77"/>
      <c r="AU1683" s="77"/>
      <c r="AV1683" s="83" t="str">
        <f>HYPERLINK("https://pbs.twimg.com/media/Fmk1UdPWAAAgjOG.jpg")</f>
        <v>https://pbs.twimg.com/media/Fmk1UdPWAAAgjOG.jpg</v>
      </c>
      <c r="AW1683" s="81" t="s">
        <v>10797</v>
      </c>
      <c r="AX1683" s="81" t="s">
        <v>10797</v>
      </c>
      <c r="AY1683" s="77"/>
      <c r="AZ1683" s="81" t="s">
        <v>11359</v>
      </c>
      <c r="BA1683" s="81" t="s">
        <v>11359</v>
      </c>
      <c r="BB1683" s="81" t="s">
        <v>11359</v>
      </c>
      <c r="BC1683" s="81" t="s">
        <v>10797</v>
      </c>
      <c r="BD1683" s="81" t="s">
        <v>11628</v>
      </c>
      <c r="BE1683" s="77"/>
      <c r="BF1683" s="77"/>
      <c r="BG1683" s="77"/>
      <c r="BH1683" s="77"/>
      <c r="BI1683" s="77"/>
    </row>
    <row r="1684" spans="1:61" x14ac:dyDescent="0.25">
      <c r="A1684" s="62" t="s">
        <v>666</v>
      </c>
      <c r="B1684" s="62" t="s">
        <v>666</v>
      </c>
      <c r="C1684" s="63"/>
      <c r="D1684" s="64"/>
      <c r="E1684" s="65"/>
      <c r="F1684" s="66"/>
      <c r="G1684" s="63"/>
      <c r="H1684" s="67"/>
      <c r="I1684" s="68"/>
      <c r="J1684" s="68"/>
      <c r="K1684" s="32"/>
      <c r="L1684" s="75">
        <v>1684</v>
      </c>
      <c r="M1684" s="75"/>
      <c r="N1684" s="70"/>
      <c r="O1684" s="77" t="s">
        <v>179</v>
      </c>
      <c r="P1684" s="79">
        <v>44963.771805555552</v>
      </c>
      <c r="Q1684" s="77" t="s">
        <v>2469</v>
      </c>
      <c r="R1684" s="77">
        <v>0</v>
      </c>
      <c r="S1684" s="77">
        <v>0</v>
      </c>
      <c r="T1684" s="77">
        <v>0</v>
      </c>
      <c r="U1684" s="77">
        <v>0</v>
      </c>
      <c r="V1684" s="77">
        <v>58</v>
      </c>
      <c r="W1684" s="81" t="s">
        <v>3823</v>
      </c>
      <c r="X1684" s="77"/>
      <c r="Y1684" s="77"/>
      <c r="Z1684" s="77"/>
      <c r="AA1684" s="77" t="s">
        <v>5510</v>
      </c>
      <c r="AB1684" s="77" t="s">
        <v>5794</v>
      </c>
      <c r="AC1684" s="81" t="s">
        <v>5805</v>
      </c>
      <c r="AD1684" s="77" t="s">
        <v>5853</v>
      </c>
      <c r="AE1684" s="83" t="str">
        <f>HYPERLINK("https://twitter.com/aravanlabs1/status/1622664270465929216")</f>
        <v>https://twitter.com/aravanlabs1/status/1622664270465929216</v>
      </c>
      <c r="AF1684" s="79">
        <v>44963.771805555552</v>
      </c>
      <c r="AG1684" s="85">
        <v>44963</v>
      </c>
      <c r="AH1684" s="81" t="s">
        <v>7323</v>
      </c>
      <c r="AI1684" s="77" t="b">
        <v>0</v>
      </c>
      <c r="AJ1684" s="77"/>
      <c r="AK1684" s="77"/>
      <c r="AL1684" s="77"/>
      <c r="AM1684" s="77"/>
      <c r="AN1684" s="77"/>
      <c r="AO1684" s="77"/>
      <c r="AP1684" s="77"/>
      <c r="AQ1684" s="77" t="s">
        <v>9013</v>
      </c>
      <c r="AR1684" s="77"/>
      <c r="AS1684" s="77"/>
      <c r="AT1684" s="77"/>
      <c r="AU1684" s="77"/>
      <c r="AV1684" s="83" t="str">
        <f>HYPERLINK("https://pbs.twimg.com/media/FoTcepJXoBAddny.jpg")</f>
        <v>https://pbs.twimg.com/media/FoTcepJXoBAddny.jpg</v>
      </c>
      <c r="AW1684" s="81" t="s">
        <v>10798</v>
      </c>
      <c r="AX1684" s="81" t="s">
        <v>10798</v>
      </c>
      <c r="AY1684" s="77"/>
      <c r="AZ1684" s="81" t="s">
        <v>11359</v>
      </c>
      <c r="BA1684" s="81" t="s">
        <v>11359</v>
      </c>
      <c r="BB1684" s="81" t="s">
        <v>11359</v>
      </c>
      <c r="BC1684" s="81" t="s">
        <v>10798</v>
      </c>
      <c r="BD1684" s="81" t="s">
        <v>11629</v>
      </c>
      <c r="BE1684" s="77"/>
      <c r="BF1684" s="77"/>
      <c r="BG1684" s="77"/>
      <c r="BH1684" s="77"/>
      <c r="BI1684" s="77"/>
    </row>
    <row r="1685" spans="1:61" x14ac:dyDescent="0.25">
      <c r="A1685" s="62" t="s">
        <v>667</v>
      </c>
      <c r="B1685" s="62" t="s">
        <v>667</v>
      </c>
      <c r="C1685" s="63"/>
      <c r="D1685" s="64"/>
      <c r="E1685" s="65"/>
      <c r="F1685" s="66"/>
      <c r="G1685" s="63"/>
      <c r="H1685" s="67"/>
      <c r="I1685" s="68"/>
      <c r="J1685" s="68"/>
      <c r="K1685" s="32"/>
      <c r="L1685" s="75">
        <v>1685</v>
      </c>
      <c r="M1685" s="75"/>
      <c r="N1685" s="70"/>
      <c r="O1685" s="77" t="s">
        <v>179</v>
      </c>
      <c r="P1685" s="79">
        <v>44966.567002314812</v>
      </c>
      <c r="Q1685" s="77" t="s">
        <v>2470</v>
      </c>
      <c r="R1685" s="77">
        <v>1</v>
      </c>
      <c r="S1685" s="77">
        <v>1</v>
      </c>
      <c r="T1685" s="77">
        <v>0</v>
      </c>
      <c r="U1685" s="77">
        <v>0</v>
      </c>
      <c r="V1685" s="77">
        <v>16</v>
      </c>
      <c r="W1685" s="81" t="s">
        <v>3824</v>
      </c>
      <c r="X1685" s="83" t="str">
        <f>HYPERLINK("http://www.blogmarket.org")</f>
        <v>http://www.blogmarket.org</v>
      </c>
      <c r="Y1685" s="77" t="s">
        <v>4315</v>
      </c>
      <c r="Z1685" s="77"/>
      <c r="AA1685" s="77" t="s">
        <v>5511</v>
      </c>
      <c r="AB1685" s="77" t="s">
        <v>5794</v>
      </c>
      <c r="AC1685" s="81" t="s">
        <v>5801</v>
      </c>
      <c r="AD1685" s="77" t="s">
        <v>5857</v>
      </c>
      <c r="AE1685" s="83" t="str">
        <f>HYPERLINK("https://twitter.com/infoblogmarket/status/1623677216537075715")</f>
        <v>https://twitter.com/infoblogmarket/status/1623677216537075715</v>
      </c>
      <c r="AF1685" s="79">
        <v>44966.567002314812</v>
      </c>
      <c r="AG1685" s="85">
        <v>44966</v>
      </c>
      <c r="AH1685" s="81" t="s">
        <v>7324</v>
      </c>
      <c r="AI1685" s="77" t="b">
        <v>0</v>
      </c>
      <c r="AJ1685" s="77"/>
      <c r="AK1685" s="77"/>
      <c r="AL1685" s="77"/>
      <c r="AM1685" s="77"/>
      <c r="AN1685" s="77"/>
      <c r="AO1685" s="77"/>
      <c r="AP1685" s="77"/>
      <c r="AQ1685" s="77" t="s">
        <v>9014</v>
      </c>
      <c r="AR1685" s="77"/>
      <c r="AS1685" s="77"/>
      <c r="AT1685" s="77"/>
      <c r="AU1685" s="77"/>
      <c r="AV1685" s="83" t="str">
        <f>HYPERLINK("https://pbs.twimg.com/media/Foh10tMWYAAK5yd.jpg")</f>
        <v>https://pbs.twimg.com/media/Foh10tMWYAAK5yd.jpg</v>
      </c>
      <c r="AW1685" s="81" t="s">
        <v>10799</v>
      </c>
      <c r="AX1685" s="81" t="s">
        <v>10799</v>
      </c>
      <c r="AY1685" s="77"/>
      <c r="AZ1685" s="81" t="s">
        <v>11359</v>
      </c>
      <c r="BA1685" s="81" t="s">
        <v>11359</v>
      </c>
      <c r="BB1685" s="81" t="s">
        <v>11359</v>
      </c>
      <c r="BC1685" s="81" t="s">
        <v>10799</v>
      </c>
      <c r="BD1685" s="81" t="s">
        <v>11630</v>
      </c>
      <c r="BE1685" s="77"/>
      <c r="BF1685" s="77"/>
      <c r="BG1685" s="77"/>
      <c r="BH1685" s="77"/>
      <c r="BI1685" s="77"/>
    </row>
    <row r="1686" spans="1:61" x14ac:dyDescent="0.25">
      <c r="A1686" s="62" t="s">
        <v>668</v>
      </c>
      <c r="B1686" s="62" t="s">
        <v>668</v>
      </c>
      <c r="C1686" s="63"/>
      <c r="D1686" s="64"/>
      <c r="E1686" s="65"/>
      <c r="F1686" s="66"/>
      <c r="G1686" s="63"/>
      <c r="H1686" s="67"/>
      <c r="I1686" s="68"/>
      <c r="J1686" s="68"/>
      <c r="K1686" s="32"/>
      <c r="L1686" s="75">
        <v>1686</v>
      </c>
      <c r="M1686" s="75"/>
      <c r="N1686" s="70"/>
      <c r="O1686" s="77" t="s">
        <v>179</v>
      </c>
      <c r="P1686" s="79">
        <v>45001.473020833335</v>
      </c>
      <c r="Q1686" s="77" t="s">
        <v>2471</v>
      </c>
      <c r="R1686" s="77">
        <v>0</v>
      </c>
      <c r="S1686" s="77">
        <v>0</v>
      </c>
      <c r="T1686" s="77">
        <v>0</v>
      </c>
      <c r="U1686" s="77">
        <v>0</v>
      </c>
      <c r="V1686" s="77">
        <v>46</v>
      </c>
      <c r="W1686" s="81" t="s">
        <v>3825</v>
      </c>
      <c r="X1686" s="83" t="str">
        <f>HYPERLINK("https://apsd.com.br/produto/cartao-impresso-arte/")</f>
        <v>https://apsd.com.br/produto/cartao-impresso-arte/</v>
      </c>
      <c r="Y1686" s="77" t="s">
        <v>4223</v>
      </c>
      <c r="Z1686" s="77"/>
      <c r="AA1686" s="77" t="s">
        <v>5512</v>
      </c>
      <c r="AB1686" s="77" t="s">
        <v>5794</v>
      </c>
      <c r="AC1686" s="81" t="s">
        <v>5805</v>
      </c>
      <c r="AD1686" s="77" t="s">
        <v>5851</v>
      </c>
      <c r="AE1686" s="83" t="str">
        <f>HYPERLINK("https://twitter.com/apsddesign/status/1636326734265036800")</f>
        <v>https://twitter.com/apsddesign/status/1636326734265036800</v>
      </c>
      <c r="AF1686" s="79">
        <v>45001.473020833335</v>
      </c>
      <c r="AG1686" s="85">
        <v>45001</v>
      </c>
      <c r="AH1686" s="81" t="s">
        <v>7325</v>
      </c>
      <c r="AI1686" s="77" t="b">
        <v>0</v>
      </c>
      <c r="AJ1686" s="77"/>
      <c r="AK1686" s="77"/>
      <c r="AL1686" s="77"/>
      <c r="AM1686" s="77"/>
      <c r="AN1686" s="77"/>
      <c r="AO1686" s="77"/>
      <c r="AP1686" s="77"/>
      <c r="AQ1686" s="77" t="s">
        <v>9015</v>
      </c>
      <c r="AR1686" s="77"/>
      <c r="AS1686" s="77"/>
      <c r="AT1686" s="77"/>
      <c r="AU1686" s="77"/>
      <c r="AV1686" s="83" t="str">
        <f>HYPERLINK("https://pbs.twimg.com/media/FrVl5DIXgAMJCNH.jpg")</f>
        <v>https://pbs.twimg.com/media/FrVl5DIXgAMJCNH.jpg</v>
      </c>
      <c r="AW1686" s="81" t="s">
        <v>10800</v>
      </c>
      <c r="AX1686" s="81" t="s">
        <v>10800</v>
      </c>
      <c r="AY1686" s="77"/>
      <c r="AZ1686" s="81" t="s">
        <v>11359</v>
      </c>
      <c r="BA1686" s="81" t="s">
        <v>11359</v>
      </c>
      <c r="BB1686" s="81" t="s">
        <v>11359</v>
      </c>
      <c r="BC1686" s="81" t="s">
        <v>10800</v>
      </c>
      <c r="BD1686" s="77">
        <v>2551290295</v>
      </c>
      <c r="BE1686" s="77"/>
      <c r="BF1686" s="77"/>
      <c r="BG1686" s="77"/>
      <c r="BH1686" s="77"/>
      <c r="BI1686" s="77"/>
    </row>
    <row r="1687" spans="1:61" x14ac:dyDescent="0.25">
      <c r="A1687" s="62" t="s">
        <v>669</v>
      </c>
      <c r="B1687" s="62" t="s">
        <v>669</v>
      </c>
      <c r="C1687" s="63"/>
      <c r="D1687" s="64"/>
      <c r="E1687" s="65"/>
      <c r="F1687" s="66"/>
      <c r="G1687" s="63"/>
      <c r="H1687" s="67"/>
      <c r="I1687" s="68"/>
      <c r="J1687" s="68"/>
      <c r="K1687" s="32"/>
      <c r="L1687" s="75">
        <v>1687</v>
      </c>
      <c r="M1687" s="75"/>
      <c r="N1687" s="70"/>
      <c r="O1687" s="77" t="s">
        <v>179</v>
      </c>
      <c r="P1687" s="79">
        <v>45134.988356481481</v>
      </c>
      <c r="Q1687" s="77" t="s">
        <v>2472</v>
      </c>
      <c r="R1687" s="77">
        <v>0</v>
      </c>
      <c r="S1687" s="77">
        <v>1</v>
      </c>
      <c r="T1687" s="77">
        <v>0</v>
      </c>
      <c r="U1687" s="77">
        <v>0</v>
      </c>
      <c r="V1687" s="77">
        <v>111</v>
      </c>
      <c r="W1687" s="81" t="s">
        <v>3826</v>
      </c>
      <c r="X1687" s="77"/>
      <c r="Y1687" s="77"/>
      <c r="Z1687" s="77"/>
      <c r="AA1687" s="77" t="s">
        <v>5513</v>
      </c>
      <c r="AB1687" s="77" t="s">
        <v>5795</v>
      </c>
      <c r="AC1687" s="81" t="s">
        <v>5801</v>
      </c>
      <c r="AD1687" s="77" t="s">
        <v>5850</v>
      </c>
      <c r="AE1687" s="83" t="str">
        <f>HYPERLINK("https://twitter.com/pollodbienpegao/status/1684711071649505280")</f>
        <v>https://twitter.com/pollodbienpegao/status/1684711071649505280</v>
      </c>
      <c r="AF1687" s="79">
        <v>45134.988356481481</v>
      </c>
      <c r="AG1687" s="85">
        <v>45134</v>
      </c>
      <c r="AH1687" s="81" t="s">
        <v>7326</v>
      </c>
      <c r="AI1687" s="77" t="b">
        <v>0</v>
      </c>
      <c r="AJ1687" s="77" t="s">
        <v>7748</v>
      </c>
      <c r="AK1687" s="77" t="s">
        <v>7765</v>
      </c>
      <c r="AL1687" s="77" t="s">
        <v>7774</v>
      </c>
      <c r="AM1687" s="77" t="s">
        <v>7802</v>
      </c>
      <c r="AN1687" s="77" t="s">
        <v>7838</v>
      </c>
      <c r="AO1687" s="77" t="s">
        <v>7874</v>
      </c>
      <c r="AP1687" s="77" t="s">
        <v>7889</v>
      </c>
      <c r="AQ1687" s="77" t="s">
        <v>9016</v>
      </c>
      <c r="AR1687" s="77">
        <v>8890</v>
      </c>
      <c r="AS1687" s="77"/>
      <c r="AT1687" s="77"/>
      <c r="AU1687" s="77"/>
      <c r="AV1687" s="83" t="str">
        <f>HYPERLINK("https://pbs.twimg.com/ext_tw_video_thumb/1684710913297801216/pu/img/xg9smZm0Qh8p2Afb.jpg")</f>
        <v>https://pbs.twimg.com/ext_tw_video_thumb/1684710913297801216/pu/img/xg9smZm0Qh8p2Afb.jpg</v>
      </c>
      <c r="AW1687" s="81" t="s">
        <v>10801</v>
      </c>
      <c r="AX1687" s="81" t="s">
        <v>10801</v>
      </c>
      <c r="AY1687" s="77"/>
      <c r="AZ1687" s="81" t="s">
        <v>11359</v>
      </c>
      <c r="BA1687" s="81" t="s">
        <v>11359</v>
      </c>
      <c r="BB1687" s="81" t="s">
        <v>11359</v>
      </c>
      <c r="BC1687" s="81" t="s">
        <v>10801</v>
      </c>
      <c r="BD1687" s="77">
        <v>363917446</v>
      </c>
      <c r="BE1687" s="77"/>
      <c r="BF1687" s="77"/>
      <c r="BG1687" s="77"/>
      <c r="BH1687" s="77"/>
      <c r="BI1687" s="77"/>
    </row>
    <row r="1688" spans="1:61" x14ac:dyDescent="0.25">
      <c r="A1688" s="62" t="s">
        <v>670</v>
      </c>
      <c r="B1688" s="62" t="s">
        <v>670</v>
      </c>
      <c r="C1688" s="63"/>
      <c r="D1688" s="64"/>
      <c r="E1688" s="65"/>
      <c r="F1688" s="66"/>
      <c r="G1688" s="63"/>
      <c r="H1688" s="67"/>
      <c r="I1688" s="68"/>
      <c r="J1688" s="68"/>
      <c r="K1688" s="32"/>
      <c r="L1688" s="75">
        <v>1688</v>
      </c>
      <c r="M1688" s="75"/>
      <c r="N1688" s="70"/>
      <c r="O1688" s="77" t="s">
        <v>179</v>
      </c>
      <c r="P1688" s="79">
        <v>45106.589733796296</v>
      </c>
      <c r="Q1688" s="77" t="s">
        <v>2473</v>
      </c>
      <c r="R1688" s="77">
        <v>0</v>
      </c>
      <c r="S1688" s="77">
        <v>1</v>
      </c>
      <c r="T1688" s="77">
        <v>1</v>
      </c>
      <c r="U1688" s="77">
        <v>0</v>
      </c>
      <c r="V1688" s="77">
        <v>5</v>
      </c>
      <c r="W1688" s="81" t="s">
        <v>3827</v>
      </c>
      <c r="X1688" s="83" t="str">
        <f>HYPERLINK("https://www.instagram.com/p/CuE7PiCt7uT/?utm_source=ig_web_button_share_sheet&amp;igshid=Y2Q0NmNiMjc3NQ==")</f>
        <v>https://www.instagram.com/p/CuE7PiCt7uT/?utm_source=ig_web_button_share_sheet&amp;igshid=Y2Q0NmNiMjc3NQ==</v>
      </c>
      <c r="Y1688" s="77" t="s">
        <v>4215</v>
      </c>
      <c r="Z1688" s="77"/>
      <c r="AA1688" s="77"/>
      <c r="AB1688" s="77"/>
      <c r="AC1688" s="81" t="s">
        <v>5805</v>
      </c>
      <c r="AD1688" s="77" t="s">
        <v>5851</v>
      </c>
      <c r="AE1688" s="83" t="str">
        <f>HYPERLINK("https://twitter.com/localappbr/status/1674419756248731657")</f>
        <v>https://twitter.com/localappbr/status/1674419756248731657</v>
      </c>
      <c r="AF1688" s="79">
        <v>45106.589733796296</v>
      </c>
      <c r="AG1688" s="85">
        <v>45106</v>
      </c>
      <c r="AH1688" s="81" t="s">
        <v>7327</v>
      </c>
      <c r="AI1688" s="77" t="b">
        <v>0</v>
      </c>
      <c r="AJ1688" s="77"/>
      <c r="AK1688" s="77"/>
      <c r="AL1688" s="77"/>
      <c r="AM1688" s="77"/>
      <c r="AN1688" s="77"/>
      <c r="AO1688" s="77"/>
      <c r="AP1688" s="77"/>
      <c r="AQ1688" s="77"/>
      <c r="AR1688" s="77"/>
      <c r="AS1688" s="77"/>
      <c r="AT1688" s="77"/>
      <c r="AU1688" s="77"/>
      <c r="AV1688" s="83" t="str">
        <f>HYPERLINK("https://pbs.twimg.com/profile_images/1669691295089008640/4BJaah67_normal.jpg")</f>
        <v>https://pbs.twimg.com/profile_images/1669691295089008640/4BJaah67_normal.jpg</v>
      </c>
      <c r="AW1688" s="81" t="s">
        <v>10802</v>
      </c>
      <c r="AX1688" s="81" t="s">
        <v>10802</v>
      </c>
      <c r="AY1688" s="77"/>
      <c r="AZ1688" s="81" t="s">
        <v>11359</v>
      </c>
      <c r="BA1688" s="81" t="s">
        <v>11359</v>
      </c>
      <c r="BB1688" s="81" t="s">
        <v>11359</v>
      </c>
      <c r="BC1688" s="81" t="s">
        <v>10802</v>
      </c>
      <c r="BD1688" s="81" t="s">
        <v>11631</v>
      </c>
      <c r="BE1688" s="77"/>
      <c r="BF1688" s="77"/>
      <c r="BG1688" s="77"/>
      <c r="BH1688" s="77"/>
      <c r="BI1688" s="77"/>
    </row>
    <row r="1689" spans="1:61" x14ac:dyDescent="0.25">
      <c r="A1689" s="62" t="s">
        <v>670</v>
      </c>
      <c r="B1689" s="62" t="s">
        <v>670</v>
      </c>
      <c r="C1689" s="63"/>
      <c r="D1689" s="64"/>
      <c r="E1689" s="65"/>
      <c r="F1689" s="66"/>
      <c r="G1689" s="63"/>
      <c r="H1689" s="67"/>
      <c r="I1689" s="68"/>
      <c r="J1689" s="68"/>
      <c r="K1689" s="32"/>
      <c r="L1689" s="75">
        <v>1689</v>
      </c>
      <c r="M1689" s="75"/>
      <c r="N1689" s="70"/>
      <c r="O1689" s="77" t="s">
        <v>179</v>
      </c>
      <c r="P1689" s="79">
        <v>45105.857199074075</v>
      </c>
      <c r="Q1689" s="77" t="s">
        <v>2474</v>
      </c>
      <c r="R1689" s="77">
        <v>0</v>
      </c>
      <c r="S1689" s="77">
        <v>1</v>
      </c>
      <c r="T1689" s="77">
        <v>1</v>
      </c>
      <c r="U1689" s="77">
        <v>0</v>
      </c>
      <c r="V1689" s="77">
        <v>8</v>
      </c>
      <c r="W1689" s="81" t="s">
        <v>2947</v>
      </c>
      <c r="X1689" s="83" t="str">
        <f>HYPERLINK("https://www.instagram.com/p/CuDBC6Cry0E/?utm_source=ig_web_button_share_sheet&amp;igshid=Y2Q0NmNiMjc3NQ==")</f>
        <v>https://www.instagram.com/p/CuDBC6Cry0E/?utm_source=ig_web_button_share_sheet&amp;igshid=Y2Q0NmNiMjc3NQ==</v>
      </c>
      <c r="Y1689" s="77" t="s">
        <v>4215</v>
      </c>
      <c r="Z1689" s="77"/>
      <c r="AA1689" s="77"/>
      <c r="AB1689" s="77"/>
      <c r="AC1689" s="81" t="s">
        <v>5805</v>
      </c>
      <c r="AD1689" s="77" t="s">
        <v>5851</v>
      </c>
      <c r="AE1689" s="83" t="str">
        <f>HYPERLINK("https://twitter.com/localappbr/status/1674154292385554436")</f>
        <v>https://twitter.com/localappbr/status/1674154292385554436</v>
      </c>
      <c r="AF1689" s="79">
        <v>45105.857199074075</v>
      </c>
      <c r="AG1689" s="85">
        <v>45105</v>
      </c>
      <c r="AH1689" s="81" t="s">
        <v>7328</v>
      </c>
      <c r="AI1689" s="77" t="b">
        <v>0</v>
      </c>
      <c r="AJ1689" s="77"/>
      <c r="AK1689" s="77"/>
      <c r="AL1689" s="77"/>
      <c r="AM1689" s="77"/>
      <c r="AN1689" s="77"/>
      <c r="AO1689" s="77"/>
      <c r="AP1689" s="77"/>
      <c r="AQ1689" s="77"/>
      <c r="AR1689" s="77"/>
      <c r="AS1689" s="77"/>
      <c r="AT1689" s="77"/>
      <c r="AU1689" s="77"/>
      <c r="AV1689" s="83" t="str">
        <f>HYPERLINK("https://pbs.twimg.com/profile_images/1669691295089008640/4BJaah67_normal.jpg")</f>
        <v>https://pbs.twimg.com/profile_images/1669691295089008640/4BJaah67_normal.jpg</v>
      </c>
      <c r="AW1689" s="81" t="s">
        <v>10803</v>
      </c>
      <c r="AX1689" s="81" t="s">
        <v>10803</v>
      </c>
      <c r="AY1689" s="77"/>
      <c r="AZ1689" s="81" t="s">
        <v>11359</v>
      </c>
      <c r="BA1689" s="81" t="s">
        <v>11359</v>
      </c>
      <c r="BB1689" s="81" t="s">
        <v>11359</v>
      </c>
      <c r="BC1689" s="81" t="s">
        <v>10803</v>
      </c>
      <c r="BD1689" s="81" t="s">
        <v>11631</v>
      </c>
      <c r="BE1689" s="77"/>
      <c r="BF1689" s="77"/>
      <c r="BG1689" s="77"/>
      <c r="BH1689" s="77"/>
      <c r="BI1689" s="77"/>
    </row>
    <row r="1690" spans="1:61" x14ac:dyDescent="0.25">
      <c r="A1690" s="62" t="s">
        <v>671</v>
      </c>
      <c r="B1690" s="62" t="s">
        <v>671</v>
      </c>
      <c r="C1690" s="63"/>
      <c r="D1690" s="64"/>
      <c r="E1690" s="65"/>
      <c r="F1690" s="66"/>
      <c r="G1690" s="63"/>
      <c r="H1690" s="67"/>
      <c r="I1690" s="68"/>
      <c r="J1690" s="68"/>
      <c r="K1690" s="32"/>
      <c r="L1690" s="75">
        <v>1690</v>
      </c>
      <c r="M1690" s="75"/>
      <c r="N1690" s="70"/>
      <c r="O1690" s="77" t="s">
        <v>179</v>
      </c>
      <c r="P1690" s="79">
        <v>45052.10864583333</v>
      </c>
      <c r="Q1690" s="77" t="s">
        <v>2475</v>
      </c>
      <c r="R1690" s="77">
        <v>0</v>
      </c>
      <c r="S1690" s="77">
        <v>0</v>
      </c>
      <c r="T1690" s="77">
        <v>0</v>
      </c>
      <c r="U1690" s="77">
        <v>0</v>
      </c>
      <c r="V1690" s="77">
        <v>40</v>
      </c>
      <c r="W1690" s="81" t="s">
        <v>3828</v>
      </c>
      <c r="X1690" s="77"/>
      <c r="Y1690" s="77"/>
      <c r="Z1690" s="77"/>
      <c r="AA1690" s="77" t="s">
        <v>5514</v>
      </c>
      <c r="AB1690" s="77" t="s">
        <v>5795</v>
      </c>
      <c r="AC1690" s="81" t="s">
        <v>5803</v>
      </c>
      <c r="AD1690" s="77" t="s">
        <v>5851</v>
      </c>
      <c r="AE1690" s="83" t="str">
        <f>HYPERLINK("https://twitter.com/mitoraiam/status/1654676469208023041")</f>
        <v>https://twitter.com/mitoraiam/status/1654676469208023041</v>
      </c>
      <c r="AF1690" s="79">
        <v>45052.10864583333</v>
      </c>
      <c r="AG1690" s="85">
        <v>45052</v>
      </c>
      <c r="AH1690" s="81" t="s">
        <v>7329</v>
      </c>
      <c r="AI1690" s="77" t="b">
        <v>0</v>
      </c>
      <c r="AJ1690" s="77"/>
      <c r="AK1690" s="77"/>
      <c r="AL1690" s="77"/>
      <c r="AM1690" s="77"/>
      <c r="AN1690" s="77"/>
      <c r="AO1690" s="77"/>
      <c r="AP1690" s="77"/>
      <c r="AQ1690" s="77" t="s">
        <v>9017</v>
      </c>
      <c r="AR1690" s="77">
        <v>48266</v>
      </c>
      <c r="AS1690" s="77"/>
      <c r="AT1690" s="77"/>
      <c r="AU1690" s="77"/>
      <c r="AV1690" s="83" t="str">
        <f>HYPERLINK("https://pbs.twimg.com/ext_tw_video_thumb/1654676344163164162/pu/img/rG3oZgnD5k1-J0p7.jpg")</f>
        <v>https://pbs.twimg.com/ext_tw_video_thumb/1654676344163164162/pu/img/rG3oZgnD5k1-J0p7.jpg</v>
      </c>
      <c r="AW1690" s="81" t="s">
        <v>10804</v>
      </c>
      <c r="AX1690" s="81" t="s">
        <v>10804</v>
      </c>
      <c r="AY1690" s="77"/>
      <c r="AZ1690" s="81" t="s">
        <v>11359</v>
      </c>
      <c r="BA1690" s="81" t="s">
        <v>11359</v>
      </c>
      <c r="BB1690" s="81" t="s">
        <v>11359</v>
      </c>
      <c r="BC1690" s="81" t="s">
        <v>10804</v>
      </c>
      <c r="BD1690" s="81" t="s">
        <v>11632</v>
      </c>
      <c r="BE1690" s="77"/>
      <c r="BF1690" s="77"/>
      <c r="BG1690" s="77"/>
      <c r="BH1690" s="77"/>
      <c r="BI1690" s="77"/>
    </row>
    <row r="1691" spans="1:61" x14ac:dyDescent="0.25">
      <c r="A1691" s="62" t="s">
        <v>672</v>
      </c>
      <c r="B1691" s="62" t="s">
        <v>672</v>
      </c>
      <c r="C1691" s="63"/>
      <c r="D1691" s="64"/>
      <c r="E1691" s="65"/>
      <c r="F1691" s="66"/>
      <c r="G1691" s="63"/>
      <c r="H1691" s="67"/>
      <c r="I1691" s="68"/>
      <c r="J1691" s="68"/>
      <c r="K1691" s="32"/>
      <c r="L1691" s="75">
        <v>1691</v>
      </c>
      <c r="M1691" s="75"/>
      <c r="N1691" s="70"/>
      <c r="O1691" s="77" t="s">
        <v>179</v>
      </c>
      <c r="P1691" s="79">
        <v>44959.868483796294</v>
      </c>
      <c r="Q1691" s="77" t="s">
        <v>2476</v>
      </c>
      <c r="R1691" s="77">
        <v>0</v>
      </c>
      <c r="S1691" s="77">
        <v>0</v>
      </c>
      <c r="T1691" s="77">
        <v>0</v>
      </c>
      <c r="U1691" s="77">
        <v>0</v>
      </c>
      <c r="V1691" s="77">
        <v>2</v>
      </c>
      <c r="W1691" s="81" t="s">
        <v>3829</v>
      </c>
      <c r="X1691" s="83" t="str">
        <f>HYPERLINK("https://lnkd.in/ea3tkzDK")</f>
        <v>https://lnkd.in/ea3tkzDK</v>
      </c>
      <c r="Y1691" s="77" t="s">
        <v>4221</v>
      </c>
      <c r="Z1691" s="77"/>
      <c r="AA1691" s="77"/>
      <c r="AB1691" s="77"/>
      <c r="AC1691" s="81" t="s">
        <v>5810</v>
      </c>
      <c r="AD1691" s="77" t="s">
        <v>5850</v>
      </c>
      <c r="AE1691" s="83" t="str">
        <f>HYPERLINK("https://twitter.com/melodionisio/status/1621249755153137664")</f>
        <v>https://twitter.com/melodionisio/status/1621249755153137664</v>
      </c>
      <c r="AF1691" s="79">
        <v>44959.868483796294</v>
      </c>
      <c r="AG1691" s="85">
        <v>44959</v>
      </c>
      <c r="AH1691" s="81" t="s">
        <v>7330</v>
      </c>
      <c r="AI1691" s="77" t="b">
        <v>0</v>
      </c>
      <c r="AJ1691" s="77"/>
      <c r="AK1691" s="77"/>
      <c r="AL1691" s="77"/>
      <c r="AM1691" s="77"/>
      <c r="AN1691" s="77"/>
      <c r="AO1691" s="77"/>
      <c r="AP1691" s="77"/>
      <c r="AQ1691" s="77"/>
      <c r="AR1691" s="77"/>
      <c r="AS1691" s="77"/>
      <c r="AT1691" s="77"/>
      <c r="AU1691" s="77"/>
      <c r="AV1691" s="83" t="str">
        <f>HYPERLINK("https://pbs.twimg.com/profile_images/1648318002310332416/g3rtzHA9_normal.png")</f>
        <v>https://pbs.twimg.com/profile_images/1648318002310332416/g3rtzHA9_normal.png</v>
      </c>
      <c r="AW1691" s="81" t="s">
        <v>10805</v>
      </c>
      <c r="AX1691" s="81" t="s">
        <v>10805</v>
      </c>
      <c r="AY1691" s="77"/>
      <c r="AZ1691" s="81" t="s">
        <v>11359</v>
      </c>
      <c r="BA1691" s="81" t="s">
        <v>11359</v>
      </c>
      <c r="BB1691" s="81" t="s">
        <v>11359</v>
      </c>
      <c r="BC1691" s="81" t="s">
        <v>10805</v>
      </c>
      <c r="BD1691" s="77">
        <v>65393616</v>
      </c>
      <c r="BE1691" s="77"/>
      <c r="BF1691" s="77"/>
      <c r="BG1691" s="77"/>
      <c r="BH1691" s="77"/>
      <c r="BI1691" s="77"/>
    </row>
    <row r="1692" spans="1:61" x14ac:dyDescent="0.25">
      <c r="A1692" s="62" t="s">
        <v>673</v>
      </c>
      <c r="B1692" s="62" t="s">
        <v>673</v>
      </c>
      <c r="C1692" s="63"/>
      <c r="D1692" s="64"/>
      <c r="E1692" s="65"/>
      <c r="F1692" s="66"/>
      <c r="G1692" s="63"/>
      <c r="H1692" s="67"/>
      <c r="I1692" s="68"/>
      <c r="J1692" s="68"/>
      <c r="K1692" s="32"/>
      <c r="L1692" s="75">
        <v>1692</v>
      </c>
      <c r="M1692" s="75"/>
      <c r="N1692" s="70"/>
      <c r="O1692" s="77" t="s">
        <v>179</v>
      </c>
      <c r="P1692" s="79">
        <v>44984.352256944447</v>
      </c>
      <c r="Q1692" s="77" t="s">
        <v>2477</v>
      </c>
      <c r="R1692" s="77">
        <v>4</v>
      </c>
      <c r="S1692" s="77">
        <v>6</v>
      </c>
      <c r="T1692" s="77">
        <v>0</v>
      </c>
      <c r="U1692" s="77">
        <v>0</v>
      </c>
      <c r="V1692" s="77">
        <v>242</v>
      </c>
      <c r="W1692" s="81" t="s">
        <v>3830</v>
      </c>
      <c r="X1692" s="83" t="str">
        <f>HYPERLINK("https://plantillascv.es/curriculums/funciones-de-un-vendedor-para-curriculum")</f>
        <v>https://plantillascv.es/curriculums/funciones-de-un-vendedor-para-curriculum</v>
      </c>
      <c r="Y1692" s="77" t="s">
        <v>4316</v>
      </c>
      <c r="Z1692" s="77"/>
      <c r="AA1692" s="77" t="s">
        <v>5515</v>
      </c>
      <c r="AB1692" s="77" t="s">
        <v>5794</v>
      </c>
      <c r="AC1692" s="81" t="s">
        <v>5805</v>
      </c>
      <c r="AD1692" s="77" t="s">
        <v>5850</v>
      </c>
      <c r="AE1692" s="83" t="str">
        <f>HYPERLINK("https://twitter.com/cvplantillas/status/1630122378410840069")</f>
        <v>https://twitter.com/cvplantillas/status/1630122378410840069</v>
      </c>
      <c r="AF1692" s="79">
        <v>44984.352256944447</v>
      </c>
      <c r="AG1692" s="85">
        <v>44984</v>
      </c>
      <c r="AH1692" s="81" t="s">
        <v>7331</v>
      </c>
      <c r="AI1692" s="77" t="b">
        <v>0</v>
      </c>
      <c r="AJ1692" s="77"/>
      <c r="AK1692" s="77"/>
      <c r="AL1692" s="77"/>
      <c r="AM1692" s="77"/>
      <c r="AN1692" s="77"/>
      <c r="AO1692" s="77"/>
      <c r="AP1692" s="77"/>
      <c r="AQ1692" s="77" t="s">
        <v>9018</v>
      </c>
      <c r="AR1692" s="77"/>
      <c r="AS1692" s="77"/>
      <c r="AT1692" s="77"/>
      <c r="AU1692" s="77"/>
      <c r="AV1692" s="83" t="str">
        <f>HYPERLINK("https://pbs.twimg.com/media/Fp9bV9iWwAYAb9L.png")</f>
        <v>https://pbs.twimg.com/media/Fp9bV9iWwAYAb9L.png</v>
      </c>
      <c r="AW1692" s="81" t="s">
        <v>10806</v>
      </c>
      <c r="AX1692" s="81" t="s">
        <v>10806</v>
      </c>
      <c r="AY1692" s="77"/>
      <c r="AZ1692" s="81" t="s">
        <v>11359</v>
      </c>
      <c r="BA1692" s="81" t="s">
        <v>11359</v>
      </c>
      <c r="BB1692" s="81" t="s">
        <v>11359</v>
      </c>
      <c r="BC1692" s="81" t="s">
        <v>10806</v>
      </c>
      <c r="BD1692" s="81" t="s">
        <v>11633</v>
      </c>
      <c r="BE1692" s="77"/>
      <c r="BF1692" s="77"/>
      <c r="BG1692" s="77"/>
      <c r="BH1692" s="77"/>
      <c r="BI1692" s="77"/>
    </row>
    <row r="1693" spans="1:61" x14ac:dyDescent="0.25">
      <c r="A1693" s="62" t="s">
        <v>674</v>
      </c>
      <c r="B1693" s="62" t="s">
        <v>673</v>
      </c>
      <c r="C1693" s="63"/>
      <c r="D1693" s="64"/>
      <c r="E1693" s="65"/>
      <c r="F1693" s="66"/>
      <c r="G1693" s="63"/>
      <c r="H1693" s="67"/>
      <c r="I1693" s="68"/>
      <c r="J1693" s="68"/>
      <c r="K1693" s="32"/>
      <c r="L1693" s="75">
        <v>1693</v>
      </c>
      <c r="M1693" s="75"/>
      <c r="N1693" s="70"/>
      <c r="O1693" s="77" t="s">
        <v>967</v>
      </c>
      <c r="P1693" s="79">
        <v>44984.532650462963</v>
      </c>
      <c r="Q1693" s="77" t="s">
        <v>2478</v>
      </c>
      <c r="R1693" s="77">
        <v>1</v>
      </c>
      <c r="S1693" s="77">
        <v>2</v>
      </c>
      <c r="T1693" s="77">
        <v>1</v>
      </c>
      <c r="U1693" s="77">
        <v>0</v>
      </c>
      <c r="V1693" s="77">
        <v>62</v>
      </c>
      <c r="W1693" s="81" t="s">
        <v>3831</v>
      </c>
      <c r="X1693" s="83" t="str">
        <f>HYPERLINK("https://buff.ly/3IWluKZ")</f>
        <v>https://buff.ly/3IWluKZ</v>
      </c>
      <c r="Y1693" s="77" t="s">
        <v>4281</v>
      </c>
      <c r="Z1693" s="77" t="s">
        <v>673</v>
      </c>
      <c r="AA1693" s="77" t="s">
        <v>5516</v>
      </c>
      <c r="AB1693" s="77" t="s">
        <v>5794</v>
      </c>
      <c r="AC1693" s="81" t="s">
        <v>5828</v>
      </c>
      <c r="AD1693" s="77" t="s">
        <v>5850</v>
      </c>
      <c r="AE1693" s="83" t="str">
        <f>HYPERLINK("https://twitter.com/luismanolos315/status/1630187748630970375")</f>
        <v>https://twitter.com/luismanolos315/status/1630187748630970375</v>
      </c>
      <c r="AF1693" s="79">
        <v>44984.532650462963</v>
      </c>
      <c r="AG1693" s="85">
        <v>44984</v>
      </c>
      <c r="AH1693" s="81" t="s">
        <v>7332</v>
      </c>
      <c r="AI1693" s="77" t="b">
        <v>0</v>
      </c>
      <c r="AJ1693" s="77"/>
      <c r="AK1693" s="77"/>
      <c r="AL1693" s="77"/>
      <c r="AM1693" s="77"/>
      <c r="AN1693" s="77"/>
      <c r="AO1693" s="77"/>
      <c r="AP1693" s="77"/>
      <c r="AQ1693" s="77" t="s">
        <v>9019</v>
      </c>
      <c r="AR1693" s="77"/>
      <c r="AS1693" s="77"/>
      <c r="AT1693" s="77"/>
      <c r="AU1693" s="77"/>
      <c r="AV1693" s="83" t="str">
        <f>HYPERLINK("https://pbs.twimg.com/media/Fp-XHh9WwAMXUbK.jpg")</f>
        <v>https://pbs.twimg.com/media/Fp-XHh9WwAMXUbK.jpg</v>
      </c>
      <c r="AW1693" s="81" t="s">
        <v>10807</v>
      </c>
      <c r="AX1693" s="81" t="s">
        <v>10807</v>
      </c>
      <c r="AY1693" s="77"/>
      <c r="AZ1693" s="81" t="s">
        <v>11359</v>
      </c>
      <c r="BA1693" s="81" t="s">
        <v>11359</v>
      </c>
      <c r="BB1693" s="81" t="s">
        <v>11359</v>
      </c>
      <c r="BC1693" s="81" t="s">
        <v>10807</v>
      </c>
      <c r="BD1693" s="77">
        <v>4135683418</v>
      </c>
      <c r="BE1693" s="77"/>
      <c r="BF1693" s="77"/>
      <c r="BG1693" s="77"/>
      <c r="BH1693" s="77"/>
      <c r="BI1693" s="77"/>
    </row>
    <row r="1694" spans="1:61" x14ac:dyDescent="0.25">
      <c r="A1694" s="62" t="s">
        <v>675</v>
      </c>
      <c r="B1694" s="62" t="s">
        <v>675</v>
      </c>
      <c r="C1694" s="63"/>
      <c r="D1694" s="64"/>
      <c r="E1694" s="65"/>
      <c r="F1694" s="66"/>
      <c r="G1694" s="63"/>
      <c r="H1694" s="67"/>
      <c r="I1694" s="68"/>
      <c r="J1694" s="68"/>
      <c r="K1694" s="32"/>
      <c r="L1694" s="75">
        <v>1694</v>
      </c>
      <c r="M1694" s="75"/>
      <c r="N1694" s="70"/>
      <c r="O1694" s="77" t="s">
        <v>179</v>
      </c>
      <c r="P1694" s="79">
        <v>45162.528113425928</v>
      </c>
      <c r="Q1694" s="77" t="s">
        <v>2479</v>
      </c>
      <c r="R1694" s="77">
        <v>9</v>
      </c>
      <c r="S1694" s="77">
        <v>44</v>
      </c>
      <c r="T1694" s="77">
        <v>2</v>
      </c>
      <c r="U1694" s="77">
        <v>0</v>
      </c>
      <c r="V1694" s="77">
        <v>1746</v>
      </c>
      <c r="W1694" s="81" t="s">
        <v>3832</v>
      </c>
      <c r="X1694" s="77"/>
      <c r="Y1694" s="77"/>
      <c r="Z1694" s="77"/>
      <c r="AA1694" s="77" t="s">
        <v>5517</v>
      </c>
      <c r="AB1694" s="77" t="s">
        <v>5795</v>
      </c>
      <c r="AC1694" s="81" t="s">
        <v>5803</v>
      </c>
      <c r="AD1694" s="77" t="s">
        <v>5850</v>
      </c>
      <c r="AE1694" s="83" t="str">
        <f>HYPERLINK("https://twitter.com/navarragc/status/1694691143697485971")</f>
        <v>https://twitter.com/navarragc/status/1694691143697485971</v>
      </c>
      <c r="AF1694" s="79">
        <v>45162.528113425928</v>
      </c>
      <c r="AG1694" s="85">
        <v>45162</v>
      </c>
      <c r="AH1694" s="81" t="s">
        <v>7333</v>
      </c>
      <c r="AI1694" s="77" t="b">
        <v>0</v>
      </c>
      <c r="AJ1694" s="77"/>
      <c r="AK1694" s="77"/>
      <c r="AL1694" s="77"/>
      <c r="AM1694" s="77"/>
      <c r="AN1694" s="77"/>
      <c r="AO1694" s="77"/>
      <c r="AP1694" s="77"/>
      <c r="AQ1694" s="77" t="s">
        <v>9020</v>
      </c>
      <c r="AR1694" s="77">
        <v>40083</v>
      </c>
      <c r="AS1694" s="77"/>
      <c r="AT1694" s="77"/>
      <c r="AU1694" s="77"/>
      <c r="AV1694" s="83" t="str">
        <f>HYPERLINK("https://pbs.twimg.com/amplify_video_thumb/1694690860661653504/img/9jbZavpvPE3C97Ln.jpg")</f>
        <v>https://pbs.twimg.com/amplify_video_thumb/1694690860661653504/img/9jbZavpvPE3C97Ln.jpg</v>
      </c>
      <c r="AW1694" s="81" t="s">
        <v>10808</v>
      </c>
      <c r="AX1694" s="81" t="s">
        <v>10808</v>
      </c>
      <c r="AY1694" s="77"/>
      <c r="AZ1694" s="81" t="s">
        <v>11359</v>
      </c>
      <c r="BA1694" s="81" t="s">
        <v>11359</v>
      </c>
      <c r="BB1694" s="81" t="s">
        <v>11359</v>
      </c>
      <c r="BC1694" s="81" t="s">
        <v>10808</v>
      </c>
      <c r="BD1694" s="81" t="s">
        <v>11634</v>
      </c>
      <c r="BE1694" s="77"/>
      <c r="BF1694" s="77"/>
      <c r="BG1694" s="77"/>
      <c r="BH1694" s="77"/>
      <c r="BI1694" s="77"/>
    </row>
    <row r="1695" spans="1:61" x14ac:dyDescent="0.25">
      <c r="A1695" s="62" t="s">
        <v>676</v>
      </c>
      <c r="B1695" s="62" t="s">
        <v>676</v>
      </c>
      <c r="C1695" s="63"/>
      <c r="D1695" s="64"/>
      <c r="E1695" s="65"/>
      <c r="F1695" s="66"/>
      <c r="G1695" s="63"/>
      <c r="H1695" s="67"/>
      <c r="I1695" s="68"/>
      <c r="J1695" s="68"/>
      <c r="K1695" s="32"/>
      <c r="L1695" s="75">
        <v>1695</v>
      </c>
      <c r="M1695" s="75"/>
      <c r="N1695" s="70"/>
      <c r="O1695" s="77" t="s">
        <v>179</v>
      </c>
      <c r="P1695" s="79">
        <v>45115.14230324074</v>
      </c>
      <c r="Q1695" s="77" t="s">
        <v>2480</v>
      </c>
      <c r="R1695" s="77">
        <v>0</v>
      </c>
      <c r="S1695" s="77">
        <v>1</v>
      </c>
      <c r="T1695" s="77">
        <v>0</v>
      </c>
      <c r="U1695" s="77">
        <v>0</v>
      </c>
      <c r="V1695" s="77">
        <v>11</v>
      </c>
      <c r="W1695" s="81" t="s">
        <v>3833</v>
      </c>
      <c r="X1695" s="77"/>
      <c r="Y1695" s="77"/>
      <c r="Z1695" s="77"/>
      <c r="AA1695" s="77" t="s">
        <v>5518</v>
      </c>
      <c r="AB1695" s="77" t="s">
        <v>5797</v>
      </c>
      <c r="AC1695" s="81" t="s">
        <v>5805</v>
      </c>
      <c r="AD1695" s="77" t="s">
        <v>5851</v>
      </c>
      <c r="AE1695" s="83" t="str">
        <f>HYPERLINK("https://twitter.com/storlabsmkt/status/1677519101462282240")</f>
        <v>https://twitter.com/storlabsmkt/status/1677519101462282240</v>
      </c>
      <c r="AF1695" s="79">
        <v>45115.14230324074</v>
      </c>
      <c r="AG1695" s="85">
        <v>45115</v>
      </c>
      <c r="AH1695" s="81" t="s">
        <v>7334</v>
      </c>
      <c r="AI1695" s="77" t="b">
        <v>0</v>
      </c>
      <c r="AJ1695" s="77"/>
      <c r="AK1695" s="77"/>
      <c r="AL1695" s="77"/>
      <c r="AM1695" s="77"/>
      <c r="AN1695" s="77"/>
      <c r="AO1695" s="77"/>
      <c r="AP1695" s="77"/>
      <c r="AQ1695" s="77" t="s">
        <v>9021</v>
      </c>
      <c r="AR1695" s="77"/>
      <c r="AS1695" s="77"/>
      <c r="AT1695" s="77"/>
      <c r="AU1695" s="77"/>
      <c r="AV1695" s="83" t="str">
        <f>HYPERLINK("https://pbs.twimg.com/media/F0e-l7zX0AE8iZe.jpg")</f>
        <v>https://pbs.twimg.com/media/F0e-l7zX0AE8iZe.jpg</v>
      </c>
      <c r="AW1695" s="81" t="s">
        <v>10809</v>
      </c>
      <c r="AX1695" s="81" t="s">
        <v>10809</v>
      </c>
      <c r="AY1695" s="77"/>
      <c r="AZ1695" s="81" t="s">
        <v>11359</v>
      </c>
      <c r="BA1695" s="81" t="s">
        <v>11359</v>
      </c>
      <c r="BB1695" s="81" t="s">
        <v>11359</v>
      </c>
      <c r="BC1695" s="81" t="s">
        <v>10809</v>
      </c>
      <c r="BD1695" s="81" t="s">
        <v>11635</v>
      </c>
      <c r="BE1695" s="77"/>
      <c r="BF1695" s="77"/>
      <c r="BG1695" s="77"/>
      <c r="BH1695" s="77"/>
      <c r="BI1695" s="77"/>
    </row>
    <row r="1696" spans="1:61" x14ac:dyDescent="0.25">
      <c r="A1696" s="62" t="s">
        <v>677</v>
      </c>
      <c r="B1696" s="62" t="s">
        <v>944</v>
      </c>
      <c r="C1696" s="63"/>
      <c r="D1696" s="64"/>
      <c r="E1696" s="65"/>
      <c r="F1696" s="66"/>
      <c r="G1696" s="63"/>
      <c r="H1696" s="67"/>
      <c r="I1696" s="68"/>
      <c r="J1696" s="68"/>
      <c r="K1696" s="32"/>
      <c r="L1696" s="75">
        <v>1696</v>
      </c>
      <c r="M1696" s="75"/>
      <c r="N1696" s="70"/>
      <c r="O1696" s="77" t="s">
        <v>970</v>
      </c>
      <c r="P1696" s="79">
        <v>45041.24428240741</v>
      </c>
      <c r="Q1696" s="77" t="s">
        <v>2481</v>
      </c>
      <c r="R1696" s="77">
        <v>0</v>
      </c>
      <c r="S1696" s="77">
        <v>0</v>
      </c>
      <c r="T1696" s="77">
        <v>0</v>
      </c>
      <c r="U1696" s="77">
        <v>0</v>
      </c>
      <c r="V1696" s="77">
        <v>19</v>
      </c>
      <c r="W1696" s="81" t="s">
        <v>3834</v>
      </c>
      <c r="X1696" s="77"/>
      <c r="Y1696" s="77"/>
      <c r="Z1696" s="77" t="s">
        <v>4383</v>
      </c>
      <c r="AA1696" s="77"/>
      <c r="AB1696" s="77"/>
      <c r="AC1696" s="81" t="s">
        <v>5801</v>
      </c>
      <c r="AD1696" s="77" t="s">
        <v>5850</v>
      </c>
      <c r="AE1696" s="83" t="str">
        <f>HYPERLINK("https://twitter.com/floraida17/status/1650739354900353024")</f>
        <v>https://twitter.com/floraida17/status/1650739354900353024</v>
      </c>
      <c r="AF1696" s="79">
        <v>45041.24428240741</v>
      </c>
      <c r="AG1696" s="85">
        <v>45041</v>
      </c>
      <c r="AH1696" s="81" t="s">
        <v>7335</v>
      </c>
      <c r="AI1696" s="77"/>
      <c r="AJ1696" s="77"/>
      <c r="AK1696" s="77"/>
      <c r="AL1696" s="77"/>
      <c r="AM1696" s="77"/>
      <c r="AN1696" s="77"/>
      <c r="AO1696" s="77"/>
      <c r="AP1696" s="77"/>
      <c r="AQ1696" s="77"/>
      <c r="AR1696" s="77"/>
      <c r="AS1696" s="77"/>
      <c r="AT1696" s="77"/>
      <c r="AU1696" s="77"/>
      <c r="AV1696" s="83" t="str">
        <f>HYPERLINK("https://pbs.twimg.com/profile_images/1300141427989643265/3VNF4jpA_normal.jpg")</f>
        <v>https://pbs.twimg.com/profile_images/1300141427989643265/3VNF4jpA_normal.jpg</v>
      </c>
      <c r="AW1696" s="81" t="s">
        <v>10810</v>
      </c>
      <c r="AX1696" s="81" t="s">
        <v>11306</v>
      </c>
      <c r="AY1696" s="81" t="s">
        <v>11348</v>
      </c>
      <c r="AZ1696" s="81" t="s">
        <v>11306</v>
      </c>
      <c r="BA1696" s="81" t="s">
        <v>11359</v>
      </c>
      <c r="BB1696" s="81" t="s">
        <v>11359</v>
      </c>
      <c r="BC1696" s="81" t="s">
        <v>11306</v>
      </c>
      <c r="BD1696" s="81" t="s">
        <v>11636</v>
      </c>
      <c r="BE1696" s="77"/>
      <c r="BF1696" s="77"/>
      <c r="BG1696" s="77"/>
      <c r="BH1696" s="77"/>
      <c r="BI1696" s="77"/>
    </row>
    <row r="1697" spans="1:61" x14ac:dyDescent="0.25">
      <c r="A1697" s="62" t="s">
        <v>677</v>
      </c>
      <c r="B1697" s="62" t="s">
        <v>945</v>
      </c>
      <c r="C1697" s="63"/>
      <c r="D1697" s="64"/>
      <c r="E1697" s="65"/>
      <c r="F1697" s="66"/>
      <c r="G1697" s="63"/>
      <c r="H1697" s="67"/>
      <c r="I1697" s="68"/>
      <c r="J1697" s="68"/>
      <c r="K1697" s="32"/>
      <c r="L1697" s="75">
        <v>1697</v>
      </c>
      <c r="M1697" s="75"/>
      <c r="N1697" s="70"/>
      <c r="O1697" s="77" t="s">
        <v>969</v>
      </c>
      <c r="P1697" s="79">
        <v>45041.24428240741</v>
      </c>
      <c r="Q1697" s="77" t="s">
        <v>2481</v>
      </c>
      <c r="R1697" s="77">
        <v>0</v>
      </c>
      <c r="S1697" s="77">
        <v>0</v>
      </c>
      <c r="T1697" s="77">
        <v>0</v>
      </c>
      <c r="U1697" s="77">
        <v>0</v>
      </c>
      <c r="V1697" s="77">
        <v>19</v>
      </c>
      <c r="W1697" s="81" t="s">
        <v>3834</v>
      </c>
      <c r="X1697" s="77"/>
      <c r="Y1697" s="77"/>
      <c r="Z1697" s="77" t="s">
        <v>4383</v>
      </c>
      <c r="AA1697" s="77"/>
      <c r="AB1697" s="77"/>
      <c r="AC1697" s="81" t="s">
        <v>5801</v>
      </c>
      <c r="AD1697" s="77" t="s">
        <v>5850</v>
      </c>
      <c r="AE1697" s="83" t="str">
        <f>HYPERLINK("https://twitter.com/floraida17/status/1650739354900353024")</f>
        <v>https://twitter.com/floraida17/status/1650739354900353024</v>
      </c>
      <c r="AF1697" s="79">
        <v>45041.24428240741</v>
      </c>
      <c r="AG1697" s="85">
        <v>45041</v>
      </c>
      <c r="AH1697" s="81" t="s">
        <v>7335</v>
      </c>
      <c r="AI1697" s="77"/>
      <c r="AJ1697" s="77"/>
      <c r="AK1697" s="77"/>
      <c r="AL1697" s="77"/>
      <c r="AM1697" s="77"/>
      <c r="AN1697" s="77"/>
      <c r="AO1697" s="77"/>
      <c r="AP1697" s="77"/>
      <c r="AQ1697" s="77"/>
      <c r="AR1697" s="77"/>
      <c r="AS1697" s="77"/>
      <c r="AT1697" s="77"/>
      <c r="AU1697" s="77"/>
      <c r="AV1697" s="83" t="str">
        <f>HYPERLINK("https://pbs.twimg.com/profile_images/1300141427989643265/3VNF4jpA_normal.jpg")</f>
        <v>https://pbs.twimg.com/profile_images/1300141427989643265/3VNF4jpA_normal.jpg</v>
      </c>
      <c r="AW1697" s="81" t="s">
        <v>10810</v>
      </c>
      <c r="AX1697" s="81" t="s">
        <v>11306</v>
      </c>
      <c r="AY1697" s="81" t="s">
        <v>11348</v>
      </c>
      <c r="AZ1697" s="81" t="s">
        <v>11306</v>
      </c>
      <c r="BA1697" s="81" t="s">
        <v>11359</v>
      </c>
      <c r="BB1697" s="81" t="s">
        <v>11359</v>
      </c>
      <c r="BC1697" s="81" t="s">
        <v>11306</v>
      </c>
      <c r="BD1697" s="81" t="s">
        <v>11636</v>
      </c>
      <c r="BE1697" s="77"/>
      <c r="BF1697" s="77"/>
      <c r="BG1697" s="77"/>
      <c r="BH1697" s="77"/>
      <c r="BI1697" s="77"/>
    </row>
    <row r="1698" spans="1:61" x14ac:dyDescent="0.25">
      <c r="A1698" s="62" t="s">
        <v>678</v>
      </c>
      <c r="B1698" s="62" t="s">
        <v>678</v>
      </c>
      <c r="C1698" s="63"/>
      <c r="D1698" s="64"/>
      <c r="E1698" s="65"/>
      <c r="F1698" s="66"/>
      <c r="G1698" s="63"/>
      <c r="H1698" s="67"/>
      <c r="I1698" s="68"/>
      <c r="J1698" s="68"/>
      <c r="K1698" s="32"/>
      <c r="L1698" s="75">
        <v>1698</v>
      </c>
      <c r="M1698" s="75"/>
      <c r="N1698" s="70"/>
      <c r="O1698" s="77" t="s">
        <v>179</v>
      </c>
      <c r="P1698" s="79">
        <v>44948.833692129629</v>
      </c>
      <c r="Q1698" s="77" t="s">
        <v>2482</v>
      </c>
      <c r="R1698" s="77">
        <v>1</v>
      </c>
      <c r="S1698" s="77">
        <v>14</v>
      </c>
      <c r="T1698" s="77">
        <v>0</v>
      </c>
      <c r="U1698" s="77">
        <v>0</v>
      </c>
      <c r="V1698" s="77">
        <v>1081</v>
      </c>
      <c r="W1698" s="81" t="s">
        <v>3835</v>
      </c>
      <c r="X1698" s="77"/>
      <c r="Y1698" s="77"/>
      <c r="Z1698" s="77"/>
      <c r="AA1698" s="77" t="s">
        <v>5519</v>
      </c>
      <c r="AB1698" s="77" t="s">
        <v>5794</v>
      </c>
      <c r="AC1698" s="81" t="s">
        <v>5805</v>
      </c>
      <c r="AD1698" s="77" t="s">
        <v>5850</v>
      </c>
      <c r="AE1698" s="83" t="str">
        <f>HYPERLINK("https://twitter.com/helios_herrera/status/1617250880511774722")</f>
        <v>https://twitter.com/helios_herrera/status/1617250880511774722</v>
      </c>
      <c r="AF1698" s="79">
        <v>44948.833692129629</v>
      </c>
      <c r="AG1698" s="85">
        <v>44948</v>
      </c>
      <c r="AH1698" s="81" t="s">
        <v>7336</v>
      </c>
      <c r="AI1698" s="77" t="b">
        <v>0</v>
      </c>
      <c r="AJ1698" s="77"/>
      <c r="AK1698" s="77"/>
      <c r="AL1698" s="77"/>
      <c r="AM1698" s="77"/>
      <c r="AN1698" s="77"/>
      <c r="AO1698" s="77"/>
      <c r="AP1698" s="77"/>
      <c r="AQ1698" s="77" t="s">
        <v>9022</v>
      </c>
      <c r="AR1698" s="77"/>
      <c r="AS1698" s="77"/>
      <c r="AT1698" s="77"/>
      <c r="AU1698" s="77"/>
      <c r="AV1698" s="83" t="str">
        <f>HYPERLINK("https://pbs.twimg.com/media/FnBXCTJaMAAXiXm.jpg")</f>
        <v>https://pbs.twimg.com/media/FnBXCTJaMAAXiXm.jpg</v>
      </c>
      <c r="AW1698" s="81" t="s">
        <v>10811</v>
      </c>
      <c r="AX1698" s="81" t="s">
        <v>10811</v>
      </c>
      <c r="AY1698" s="77"/>
      <c r="AZ1698" s="81" t="s">
        <v>11359</v>
      </c>
      <c r="BA1698" s="81" t="s">
        <v>11359</v>
      </c>
      <c r="BB1698" s="81" t="s">
        <v>11359</v>
      </c>
      <c r="BC1698" s="81" t="s">
        <v>10811</v>
      </c>
      <c r="BD1698" s="77">
        <v>317860109</v>
      </c>
      <c r="BE1698" s="77"/>
      <c r="BF1698" s="77"/>
      <c r="BG1698" s="77"/>
      <c r="BH1698" s="77"/>
      <c r="BI1698" s="77"/>
    </row>
    <row r="1699" spans="1:61" x14ac:dyDescent="0.25">
      <c r="A1699" s="62" t="s">
        <v>679</v>
      </c>
      <c r="B1699" s="62" t="s">
        <v>679</v>
      </c>
      <c r="C1699" s="63"/>
      <c r="D1699" s="64"/>
      <c r="E1699" s="65"/>
      <c r="F1699" s="66"/>
      <c r="G1699" s="63"/>
      <c r="H1699" s="67"/>
      <c r="I1699" s="68"/>
      <c r="J1699" s="68"/>
      <c r="K1699" s="32"/>
      <c r="L1699" s="75">
        <v>1699</v>
      </c>
      <c r="M1699" s="75"/>
      <c r="N1699" s="70"/>
      <c r="O1699" s="77" t="s">
        <v>179</v>
      </c>
      <c r="P1699" s="79">
        <v>45077.427083333336</v>
      </c>
      <c r="Q1699" s="77" t="s">
        <v>2483</v>
      </c>
      <c r="R1699" s="77">
        <v>0</v>
      </c>
      <c r="S1699" s="77">
        <v>0</v>
      </c>
      <c r="T1699" s="77">
        <v>0</v>
      </c>
      <c r="U1699" s="77">
        <v>0</v>
      </c>
      <c r="V1699" s="77">
        <v>38</v>
      </c>
      <c r="W1699" s="81" t="s">
        <v>3836</v>
      </c>
      <c r="X1699" s="83" t="str">
        <f>HYPERLINK("https://www.vinetur.com/2023053073580/italia-continua-un-ano-mas-como-el-primer-vendedor-mundial-de-vino.html")</f>
        <v>https://www.vinetur.com/2023053073580/italia-continua-un-ano-mas-como-el-primer-vendedor-mundial-de-vino.html</v>
      </c>
      <c r="Y1699" s="77" t="s">
        <v>4317</v>
      </c>
      <c r="Z1699" s="77"/>
      <c r="AA1699" s="77"/>
      <c r="AB1699" s="77"/>
      <c r="AC1699" s="81" t="s">
        <v>5805</v>
      </c>
      <c r="AD1699" s="77" t="s">
        <v>5850</v>
      </c>
      <c r="AE1699" s="83" t="str">
        <f>HYPERLINK("https://twitter.com/coopsagroand/status/1663851563549601793")</f>
        <v>https://twitter.com/coopsagroand/status/1663851563549601793</v>
      </c>
      <c r="AF1699" s="79">
        <v>45077.427083333336</v>
      </c>
      <c r="AG1699" s="85">
        <v>45077</v>
      </c>
      <c r="AH1699" s="81" t="s">
        <v>5873</v>
      </c>
      <c r="AI1699" s="77" t="b">
        <v>0</v>
      </c>
      <c r="AJ1699" s="77"/>
      <c r="AK1699" s="77"/>
      <c r="AL1699" s="77"/>
      <c r="AM1699" s="77"/>
      <c r="AN1699" s="77"/>
      <c r="AO1699" s="77"/>
      <c r="AP1699" s="77"/>
      <c r="AQ1699" s="77"/>
      <c r="AR1699" s="77"/>
      <c r="AS1699" s="77"/>
      <c r="AT1699" s="77"/>
      <c r="AU1699" s="77"/>
      <c r="AV1699" s="83" t="str">
        <f>HYPERLINK("https://pbs.twimg.com/profile_images/1606253838306009088/VOjVKYmJ_normal.png")</f>
        <v>https://pbs.twimg.com/profile_images/1606253838306009088/VOjVKYmJ_normal.png</v>
      </c>
      <c r="AW1699" s="81" t="s">
        <v>10812</v>
      </c>
      <c r="AX1699" s="81" t="s">
        <v>10812</v>
      </c>
      <c r="AY1699" s="77"/>
      <c r="AZ1699" s="81" t="s">
        <v>11359</v>
      </c>
      <c r="BA1699" s="81" t="s">
        <v>11359</v>
      </c>
      <c r="BB1699" s="81" t="s">
        <v>11359</v>
      </c>
      <c r="BC1699" s="81" t="s">
        <v>10812</v>
      </c>
      <c r="BD1699" s="77">
        <v>2601201715</v>
      </c>
      <c r="BE1699" s="77"/>
      <c r="BF1699" s="77"/>
      <c r="BG1699" s="77"/>
      <c r="BH1699" s="77"/>
      <c r="BI1699" s="77"/>
    </row>
    <row r="1700" spans="1:61" x14ac:dyDescent="0.25">
      <c r="A1700" s="62" t="s">
        <v>680</v>
      </c>
      <c r="B1700" s="62" t="s">
        <v>680</v>
      </c>
      <c r="C1700" s="63"/>
      <c r="D1700" s="64"/>
      <c r="E1700" s="65"/>
      <c r="F1700" s="66"/>
      <c r="G1700" s="63"/>
      <c r="H1700" s="67"/>
      <c r="I1700" s="68"/>
      <c r="J1700" s="68"/>
      <c r="K1700" s="32"/>
      <c r="L1700" s="75">
        <v>1700</v>
      </c>
      <c r="M1700" s="75"/>
      <c r="N1700" s="70"/>
      <c r="O1700" s="77" t="s">
        <v>179</v>
      </c>
      <c r="P1700" s="79">
        <v>45010.376886574071</v>
      </c>
      <c r="Q1700" s="77" t="s">
        <v>2484</v>
      </c>
      <c r="R1700" s="77">
        <v>0</v>
      </c>
      <c r="S1700" s="77">
        <v>0</v>
      </c>
      <c r="T1700" s="77">
        <v>0</v>
      </c>
      <c r="U1700" s="77">
        <v>0</v>
      </c>
      <c r="V1700" s="77">
        <v>5</v>
      </c>
      <c r="W1700" s="81" t="s">
        <v>3837</v>
      </c>
      <c r="X1700" s="83" t="str">
        <f>HYPERLINK("https://www.instagram.com/p/CqNMaxMu9dW/?igshid=YTgzYjQ4ZTY=")</f>
        <v>https://www.instagram.com/p/CqNMaxMu9dW/?igshid=YTgzYjQ4ZTY=</v>
      </c>
      <c r="Y1700" s="77" t="s">
        <v>4215</v>
      </c>
      <c r="Z1700" s="77"/>
      <c r="AA1700" s="77"/>
      <c r="AB1700" s="77"/>
      <c r="AC1700" s="81" t="s">
        <v>5804</v>
      </c>
      <c r="AD1700" s="77" t="s">
        <v>5851</v>
      </c>
      <c r="AE1700" s="83" t="str">
        <f>HYPERLINK("https://twitter.com/leandroneuhaus/status/1639553387846045697")</f>
        <v>https://twitter.com/leandroneuhaus/status/1639553387846045697</v>
      </c>
      <c r="AF1700" s="79">
        <v>45010.376886574071</v>
      </c>
      <c r="AG1700" s="85">
        <v>45010</v>
      </c>
      <c r="AH1700" s="81" t="s">
        <v>7337</v>
      </c>
      <c r="AI1700" s="77" t="b">
        <v>0</v>
      </c>
      <c r="AJ1700" s="77"/>
      <c r="AK1700" s="77"/>
      <c r="AL1700" s="77"/>
      <c r="AM1700" s="77"/>
      <c r="AN1700" s="77"/>
      <c r="AO1700" s="77"/>
      <c r="AP1700" s="77"/>
      <c r="AQ1700" s="77"/>
      <c r="AR1700" s="77"/>
      <c r="AS1700" s="77"/>
      <c r="AT1700" s="77"/>
      <c r="AU1700" s="77"/>
      <c r="AV1700" s="83" t="str">
        <f>HYPERLINK("https://pbs.twimg.com/profile_images/1594743252166508544/L6bU2q6a_normal.jpg")</f>
        <v>https://pbs.twimg.com/profile_images/1594743252166508544/L6bU2q6a_normal.jpg</v>
      </c>
      <c r="AW1700" s="81" t="s">
        <v>10813</v>
      </c>
      <c r="AX1700" s="81" t="s">
        <v>10813</v>
      </c>
      <c r="AY1700" s="77"/>
      <c r="AZ1700" s="81" t="s">
        <v>11359</v>
      </c>
      <c r="BA1700" s="81" t="s">
        <v>11359</v>
      </c>
      <c r="BB1700" s="81" t="s">
        <v>11359</v>
      </c>
      <c r="BC1700" s="81" t="s">
        <v>10813</v>
      </c>
      <c r="BD1700" s="77">
        <v>1700572831</v>
      </c>
      <c r="BE1700" s="77"/>
      <c r="BF1700" s="77"/>
      <c r="BG1700" s="77"/>
      <c r="BH1700" s="77"/>
      <c r="BI1700" s="77"/>
    </row>
    <row r="1701" spans="1:61" x14ac:dyDescent="0.25">
      <c r="A1701" s="62" t="s">
        <v>681</v>
      </c>
      <c r="B1701" s="62" t="s">
        <v>681</v>
      </c>
      <c r="C1701" s="63"/>
      <c r="D1701" s="64"/>
      <c r="E1701" s="65"/>
      <c r="F1701" s="66"/>
      <c r="G1701" s="63"/>
      <c r="H1701" s="67"/>
      <c r="I1701" s="68"/>
      <c r="J1701" s="68"/>
      <c r="K1701" s="32"/>
      <c r="L1701" s="75">
        <v>1701</v>
      </c>
      <c r="M1701" s="75"/>
      <c r="N1701" s="70"/>
      <c r="O1701" s="77" t="s">
        <v>179</v>
      </c>
      <c r="P1701" s="79">
        <v>44932.543842592589</v>
      </c>
      <c r="Q1701" s="77" t="s">
        <v>2485</v>
      </c>
      <c r="R1701" s="77">
        <v>0</v>
      </c>
      <c r="S1701" s="77">
        <v>0</v>
      </c>
      <c r="T1701" s="77">
        <v>0</v>
      </c>
      <c r="U1701" s="77">
        <v>0</v>
      </c>
      <c r="V1701" s="77">
        <v>1</v>
      </c>
      <c r="W1701" s="81" t="s">
        <v>3838</v>
      </c>
      <c r="X1701" s="77" t="s">
        <v>4195</v>
      </c>
      <c r="Y1701" s="77" t="s">
        <v>4282</v>
      </c>
      <c r="Z1701" s="77"/>
      <c r="AA1701" s="77"/>
      <c r="AB1701" s="77"/>
      <c r="AC1701" s="81" t="s">
        <v>5810</v>
      </c>
      <c r="AD1701" s="77" t="s">
        <v>5851</v>
      </c>
      <c r="AE1701" s="83" t="str">
        <f>HYPERLINK("https://twitter.com/gruponewcompany/status/1611347636908425218")</f>
        <v>https://twitter.com/gruponewcompany/status/1611347636908425218</v>
      </c>
      <c r="AF1701" s="79">
        <v>44932.543842592589</v>
      </c>
      <c r="AG1701" s="85">
        <v>44932</v>
      </c>
      <c r="AH1701" s="81" t="s">
        <v>7338</v>
      </c>
      <c r="AI1701" s="77" t="b">
        <v>0</v>
      </c>
      <c r="AJ1701" s="77"/>
      <c r="AK1701" s="77"/>
      <c r="AL1701" s="77"/>
      <c r="AM1701" s="77"/>
      <c r="AN1701" s="77"/>
      <c r="AO1701" s="77"/>
      <c r="AP1701" s="77"/>
      <c r="AQ1701" s="77"/>
      <c r="AR1701" s="77"/>
      <c r="AS1701" s="77"/>
      <c r="AT1701" s="77"/>
      <c r="AU1701" s="77"/>
      <c r="AV1701" s="83" t="str">
        <f>HYPERLINK("https://pbs.twimg.com/profile_images/1565323876657238017/Dh2OfdkD_normal.jpg")</f>
        <v>https://pbs.twimg.com/profile_images/1565323876657238017/Dh2OfdkD_normal.jpg</v>
      </c>
      <c r="AW1701" s="81" t="s">
        <v>10814</v>
      </c>
      <c r="AX1701" s="81" t="s">
        <v>10814</v>
      </c>
      <c r="AY1701" s="77"/>
      <c r="AZ1701" s="81" t="s">
        <v>11359</v>
      </c>
      <c r="BA1701" s="81" t="s">
        <v>11359</v>
      </c>
      <c r="BB1701" s="81" t="s">
        <v>11359</v>
      </c>
      <c r="BC1701" s="81" t="s">
        <v>10814</v>
      </c>
      <c r="BD1701" s="77">
        <v>186023611</v>
      </c>
      <c r="BE1701" s="77"/>
      <c r="BF1701" s="77"/>
      <c r="BG1701" s="77"/>
      <c r="BH1701" s="77"/>
      <c r="BI1701" s="77"/>
    </row>
    <row r="1702" spans="1:61" x14ac:dyDescent="0.25">
      <c r="A1702" s="62" t="s">
        <v>681</v>
      </c>
      <c r="B1702" s="62" t="s">
        <v>681</v>
      </c>
      <c r="C1702" s="63"/>
      <c r="D1702" s="64"/>
      <c r="E1702" s="65"/>
      <c r="F1702" s="66"/>
      <c r="G1702" s="63"/>
      <c r="H1702" s="67"/>
      <c r="I1702" s="68"/>
      <c r="J1702" s="68"/>
      <c r="K1702" s="32"/>
      <c r="L1702" s="75">
        <v>1702</v>
      </c>
      <c r="M1702" s="75"/>
      <c r="N1702" s="70"/>
      <c r="O1702" s="77" t="s">
        <v>179</v>
      </c>
      <c r="P1702" s="79">
        <v>44931.686793981484</v>
      </c>
      <c r="Q1702" s="77" t="s">
        <v>2486</v>
      </c>
      <c r="R1702" s="77">
        <v>0</v>
      </c>
      <c r="S1702" s="77">
        <v>0</v>
      </c>
      <c r="T1702" s="77">
        <v>0</v>
      </c>
      <c r="U1702" s="77">
        <v>0</v>
      </c>
      <c r="V1702" s="77">
        <v>1</v>
      </c>
      <c r="W1702" s="81" t="s">
        <v>3838</v>
      </c>
      <c r="X1702" s="77" t="s">
        <v>4196</v>
      </c>
      <c r="Y1702" s="77" t="s">
        <v>4282</v>
      </c>
      <c r="Z1702" s="77"/>
      <c r="AA1702" s="77"/>
      <c r="AB1702" s="77"/>
      <c r="AC1702" s="81" t="s">
        <v>5810</v>
      </c>
      <c r="AD1702" s="77" t="s">
        <v>5851</v>
      </c>
      <c r="AE1702" s="83" t="str">
        <f>HYPERLINK("https://twitter.com/gruponewcompany/status/1611037051213996032")</f>
        <v>https://twitter.com/gruponewcompany/status/1611037051213996032</v>
      </c>
      <c r="AF1702" s="79">
        <v>44931.686793981484</v>
      </c>
      <c r="AG1702" s="85">
        <v>44931</v>
      </c>
      <c r="AH1702" s="81" t="s">
        <v>7339</v>
      </c>
      <c r="AI1702" s="77" t="b">
        <v>0</v>
      </c>
      <c r="AJ1702" s="77"/>
      <c r="AK1702" s="77"/>
      <c r="AL1702" s="77"/>
      <c r="AM1702" s="77"/>
      <c r="AN1702" s="77"/>
      <c r="AO1702" s="77"/>
      <c r="AP1702" s="77"/>
      <c r="AQ1702" s="77"/>
      <c r="AR1702" s="77"/>
      <c r="AS1702" s="77"/>
      <c r="AT1702" s="77"/>
      <c r="AU1702" s="77"/>
      <c r="AV1702" s="83" t="str">
        <f>HYPERLINK("https://pbs.twimg.com/profile_images/1565323876657238017/Dh2OfdkD_normal.jpg")</f>
        <v>https://pbs.twimg.com/profile_images/1565323876657238017/Dh2OfdkD_normal.jpg</v>
      </c>
      <c r="AW1702" s="81" t="s">
        <v>10815</v>
      </c>
      <c r="AX1702" s="81" t="s">
        <v>10815</v>
      </c>
      <c r="AY1702" s="77"/>
      <c r="AZ1702" s="81" t="s">
        <v>11359</v>
      </c>
      <c r="BA1702" s="81" t="s">
        <v>11359</v>
      </c>
      <c r="BB1702" s="81" t="s">
        <v>11359</v>
      </c>
      <c r="BC1702" s="81" t="s">
        <v>10815</v>
      </c>
      <c r="BD1702" s="77">
        <v>186023611</v>
      </c>
      <c r="BE1702" s="77"/>
      <c r="BF1702" s="77"/>
      <c r="BG1702" s="77"/>
      <c r="BH1702" s="77"/>
      <c r="BI1702" s="77"/>
    </row>
    <row r="1703" spans="1:61" x14ac:dyDescent="0.25">
      <c r="A1703" s="62" t="s">
        <v>681</v>
      </c>
      <c r="B1703" s="62" t="s">
        <v>681</v>
      </c>
      <c r="C1703" s="63"/>
      <c r="D1703" s="64"/>
      <c r="E1703" s="65"/>
      <c r="F1703" s="66"/>
      <c r="G1703" s="63"/>
      <c r="H1703" s="67"/>
      <c r="I1703" s="68"/>
      <c r="J1703" s="68"/>
      <c r="K1703" s="32"/>
      <c r="L1703" s="75">
        <v>1703</v>
      </c>
      <c r="M1703" s="75"/>
      <c r="N1703" s="70"/>
      <c r="O1703" s="77" t="s">
        <v>179</v>
      </c>
      <c r="P1703" s="79">
        <v>44957.585046296299</v>
      </c>
      <c r="Q1703" s="77" t="s">
        <v>2487</v>
      </c>
      <c r="R1703" s="77">
        <v>0</v>
      </c>
      <c r="S1703" s="77">
        <v>0</v>
      </c>
      <c r="T1703" s="77">
        <v>0</v>
      </c>
      <c r="U1703" s="77">
        <v>0</v>
      </c>
      <c r="V1703" s="77">
        <v>2</v>
      </c>
      <c r="W1703" s="81" t="s">
        <v>3838</v>
      </c>
      <c r="X1703" s="77" t="s">
        <v>4197</v>
      </c>
      <c r="Y1703" s="77" t="s">
        <v>4282</v>
      </c>
      <c r="Z1703" s="77"/>
      <c r="AA1703" s="77"/>
      <c r="AB1703" s="77"/>
      <c r="AC1703" s="81" t="s">
        <v>5810</v>
      </c>
      <c r="AD1703" s="77" t="s">
        <v>5851</v>
      </c>
      <c r="AE1703" s="83" t="str">
        <f>HYPERLINK("https://twitter.com/gruponewcompany/status/1620422265631576066")</f>
        <v>https://twitter.com/gruponewcompany/status/1620422265631576066</v>
      </c>
      <c r="AF1703" s="79">
        <v>44957.585046296299</v>
      </c>
      <c r="AG1703" s="85">
        <v>44957</v>
      </c>
      <c r="AH1703" s="81" t="s">
        <v>7340</v>
      </c>
      <c r="AI1703" s="77" t="b">
        <v>0</v>
      </c>
      <c r="AJ1703" s="77"/>
      <c r="AK1703" s="77"/>
      <c r="AL1703" s="77"/>
      <c r="AM1703" s="77"/>
      <c r="AN1703" s="77"/>
      <c r="AO1703" s="77"/>
      <c r="AP1703" s="77"/>
      <c r="AQ1703" s="77"/>
      <c r="AR1703" s="77"/>
      <c r="AS1703" s="77"/>
      <c r="AT1703" s="77"/>
      <c r="AU1703" s="77"/>
      <c r="AV1703" s="83" t="str">
        <f>HYPERLINK("https://pbs.twimg.com/profile_images/1565323876657238017/Dh2OfdkD_normal.jpg")</f>
        <v>https://pbs.twimg.com/profile_images/1565323876657238017/Dh2OfdkD_normal.jpg</v>
      </c>
      <c r="AW1703" s="81" t="s">
        <v>10816</v>
      </c>
      <c r="AX1703" s="81" t="s">
        <v>10816</v>
      </c>
      <c r="AY1703" s="77"/>
      <c r="AZ1703" s="81" t="s">
        <v>11359</v>
      </c>
      <c r="BA1703" s="81" t="s">
        <v>11359</v>
      </c>
      <c r="BB1703" s="81" t="s">
        <v>11359</v>
      </c>
      <c r="BC1703" s="81" t="s">
        <v>10816</v>
      </c>
      <c r="BD1703" s="77">
        <v>186023611</v>
      </c>
      <c r="BE1703" s="77"/>
      <c r="BF1703" s="77"/>
      <c r="BG1703" s="77"/>
      <c r="BH1703" s="77"/>
      <c r="BI1703" s="77"/>
    </row>
    <row r="1704" spans="1:61" x14ac:dyDescent="0.25">
      <c r="A1704" s="62" t="s">
        <v>681</v>
      </c>
      <c r="B1704" s="62" t="s">
        <v>681</v>
      </c>
      <c r="C1704" s="63"/>
      <c r="D1704" s="64"/>
      <c r="E1704" s="65"/>
      <c r="F1704" s="66"/>
      <c r="G1704" s="63"/>
      <c r="H1704" s="67"/>
      <c r="I1704" s="68"/>
      <c r="J1704" s="68"/>
      <c r="K1704" s="32"/>
      <c r="L1704" s="75">
        <v>1704</v>
      </c>
      <c r="M1704" s="75"/>
      <c r="N1704" s="70"/>
      <c r="O1704" s="77" t="s">
        <v>179</v>
      </c>
      <c r="P1704" s="79">
        <v>44954.625185185185</v>
      </c>
      <c r="Q1704" s="77" t="s">
        <v>2488</v>
      </c>
      <c r="R1704" s="77">
        <v>0</v>
      </c>
      <c r="S1704" s="77">
        <v>0</v>
      </c>
      <c r="T1704" s="77">
        <v>0</v>
      </c>
      <c r="U1704" s="77">
        <v>0</v>
      </c>
      <c r="V1704" s="77">
        <v>2</v>
      </c>
      <c r="W1704" s="81" t="s">
        <v>3838</v>
      </c>
      <c r="X1704" s="77" t="s">
        <v>4198</v>
      </c>
      <c r="Y1704" s="77" t="s">
        <v>4282</v>
      </c>
      <c r="Z1704" s="77"/>
      <c r="AA1704" s="77"/>
      <c r="AB1704" s="77"/>
      <c r="AC1704" s="81" t="s">
        <v>5810</v>
      </c>
      <c r="AD1704" s="77" t="s">
        <v>5851</v>
      </c>
      <c r="AE1704" s="83" t="str">
        <f>HYPERLINK("https://twitter.com/gruponewcompany/status/1619349645305561090")</f>
        <v>https://twitter.com/gruponewcompany/status/1619349645305561090</v>
      </c>
      <c r="AF1704" s="79">
        <v>44954.625185185185</v>
      </c>
      <c r="AG1704" s="85">
        <v>44954</v>
      </c>
      <c r="AH1704" s="81" t="s">
        <v>6321</v>
      </c>
      <c r="AI1704" s="77" t="b">
        <v>0</v>
      </c>
      <c r="AJ1704" s="77"/>
      <c r="AK1704" s="77"/>
      <c r="AL1704" s="77"/>
      <c r="AM1704" s="77"/>
      <c r="AN1704" s="77"/>
      <c r="AO1704" s="77"/>
      <c r="AP1704" s="77"/>
      <c r="AQ1704" s="77"/>
      <c r="AR1704" s="77"/>
      <c r="AS1704" s="77"/>
      <c r="AT1704" s="77"/>
      <c r="AU1704" s="77"/>
      <c r="AV1704" s="83" t="str">
        <f>HYPERLINK("https://pbs.twimg.com/profile_images/1565323876657238017/Dh2OfdkD_normal.jpg")</f>
        <v>https://pbs.twimg.com/profile_images/1565323876657238017/Dh2OfdkD_normal.jpg</v>
      </c>
      <c r="AW1704" s="81" t="s">
        <v>10817</v>
      </c>
      <c r="AX1704" s="81" t="s">
        <v>10817</v>
      </c>
      <c r="AY1704" s="77"/>
      <c r="AZ1704" s="81" t="s">
        <v>11359</v>
      </c>
      <c r="BA1704" s="81" t="s">
        <v>11359</v>
      </c>
      <c r="BB1704" s="81" t="s">
        <v>11359</v>
      </c>
      <c r="BC1704" s="81" t="s">
        <v>10817</v>
      </c>
      <c r="BD1704" s="77">
        <v>186023611</v>
      </c>
      <c r="BE1704" s="77"/>
      <c r="BF1704" s="77"/>
      <c r="BG1704" s="77"/>
      <c r="BH1704" s="77"/>
      <c r="BI1704" s="77"/>
    </row>
    <row r="1705" spans="1:61" x14ac:dyDescent="0.25">
      <c r="A1705" s="62" t="s">
        <v>681</v>
      </c>
      <c r="B1705" s="62" t="s">
        <v>681</v>
      </c>
      <c r="C1705" s="63"/>
      <c r="D1705" s="64"/>
      <c r="E1705" s="65"/>
      <c r="F1705" s="66"/>
      <c r="G1705" s="63"/>
      <c r="H1705" s="67"/>
      <c r="I1705" s="68"/>
      <c r="J1705" s="68"/>
      <c r="K1705" s="32"/>
      <c r="L1705" s="75">
        <v>1705</v>
      </c>
      <c r="M1705" s="75"/>
      <c r="N1705" s="70"/>
      <c r="O1705" s="77" t="s">
        <v>179</v>
      </c>
      <c r="P1705" s="79">
        <v>44953.531863425924</v>
      </c>
      <c r="Q1705" s="77" t="s">
        <v>2489</v>
      </c>
      <c r="R1705" s="77">
        <v>0</v>
      </c>
      <c r="S1705" s="77">
        <v>0</v>
      </c>
      <c r="T1705" s="77">
        <v>0</v>
      </c>
      <c r="U1705" s="77">
        <v>0</v>
      </c>
      <c r="V1705" s="77"/>
      <c r="W1705" s="81" t="s">
        <v>3838</v>
      </c>
      <c r="X1705" s="77" t="s">
        <v>4199</v>
      </c>
      <c r="Y1705" s="77" t="s">
        <v>4282</v>
      </c>
      <c r="Z1705" s="77"/>
      <c r="AA1705" s="77"/>
      <c r="AB1705" s="77"/>
      <c r="AC1705" s="81" t="s">
        <v>5810</v>
      </c>
      <c r="AD1705" s="77" t="s">
        <v>5851</v>
      </c>
      <c r="AE1705" s="83" t="str">
        <f>HYPERLINK("https://twitter.com/gruponewcompany/status/1618953440813531137")</f>
        <v>https://twitter.com/gruponewcompany/status/1618953440813531137</v>
      </c>
      <c r="AF1705" s="79">
        <v>44953.531863425924</v>
      </c>
      <c r="AG1705" s="85">
        <v>44953</v>
      </c>
      <c r="AH1705" s="81" t="s">
        <v>7341</v>
      </c>
      <c r="AI1705" s="77" t="b">
        <v>0</v>
      </c>
      <c r="AJ1705" s="77"/>
      <c r="AK1705" s="77"/>
      <c r="AL1705" s="77"/>
      <c r="AM1705" s="77"/>
      <c r="AN1705" s="77"/>
      <c r="AO1705" s="77"/>
      <c r="AP1705" s="77"/>
      <c r="AQ1705" s="77"/>
      <c r="AR1705" s="77"/>
      <c r="AS1705" s="77"/>
      <c r="AT1705" s="77"/>
      <c r="AU1705" s="77"/>
      <c r="AV1705" s="83" t="str">
        <f>HYPERLINK("https://pbs.twimg.com/profile_images/1565323876657238017/Dh2OfdkD_normal.jpg")</f>
        <v>https://pbs.twimg.com/profile_images/1565323876657238017/Dh2OfdkD_normal.jpg</v>
      </c>
      <c r="AW1705" s="81" t="s">
        <v>10818</v>
      </c>
      <c r="AX1705" s="81" t="s">
        <v>10818</v>
      </c>
      <c r="AY1705" s="77"/>
      <c r="AZ1705" s="81" t="s">
        <v>11359</v>
      </c>
      <c r="BA1705" s="81" t="s">
        <v>11359</v>
      </c>
      <c r="BB1705" s="81" t="s">
        <v>11359</v>
      </c>
      <c r="BC1705" s="81" t="s">
        <v>10818</v>
      </c>
      <c r="BD1705" s="77">
        <v>186023611</v>
      </c>
      <c r="BE1705" s="77"/>
      <c r="BF1705" s="77"/>
      <c r="BG1705" s="77"/>
      <c r="BH1705" s="77"/>
      <c r="BI1705" s="77"/>
    </row>
    <row r="1706" spans="1:61" x14ac:dyDescent="0.25">
      <c r="A1706" s="62" t="s">
        <v>682</v>
      </c>
      <c r="B1706" s="62" t="s">
        <v>682</v>
      </c>
      <c r="C1706" s="63"/>
      <c r="D1706" s="64"/>
      <c r="E1706" s="65"/>
      <c r="F1706" s="66"/>
      <c r="G1706" s="63"/>
      <c r="H1706" s="67"/>
      <c r="I1706" s="68"/>
      <c r="J1706" s="68"/>
      <c r="K1706" s="32"/>
      <c r="L1706" s="75">
        <v>1706</v>
      </c>
      <c r="M1706" s="75"/>
      <c r="N1706" s="70"/>
      <c r="O1706" s="77" t="s">
        <v>179</v>
      </c>
      <c r="P1706" s="79">
        <v>45133.830914351849</v>
      </c>
      <c r="Q1706" s="77" t="s">
        <v>2490</v>
      </c>
      <c r="R1706" s="77">
        <v>0</v>
      </c>
      <c r="S1706" s="77">
        <v>0</v>
      </c>
      <c r="T1706" s="77">
        <v>0</v>
      </c>
      <c r="U1706" s="77">
        <v>0</v>
      </c>
      <c r="V1706" s="77">
        <v>334</v>
      </c>
      <c r="W1706" s="81" t="s">
        <v>3839</v>
      </c>
      <c r="X1706" s="77"/>
      <c r="Y1706" s="77"/>
      <c r="Z1706" s="77"/>
      <c r="AA1706" s="77" t="s">
        <v>5520</v>
      </c>
      <c r="AB1706" s="77" t="s">
        <v>5799</v>
      </c>
      <c r="AC1706" s="81" t="s">
        <v>5803</v>
      </c>
      <c r="AD1706" s="77" t="s">
        <v>5850</v>
      </c>
      <c r="AE1706" s="83" t="str">
        <f>HYPERLINK("https://twitter.com/paulaokmpo/status/1684291629681725440")</f>
        <v>https://twitter.com/paulaokmpo/status/1684291629681725440</v>
      </c>
      <c r="AF1706" s="79">
        <v>45133.830914351849</v>
      </c>
      <c r="AG1706" s="85">
        <v>45133</v>
      </c>
      <c r="AH1706" s="81" t="s">
        <v>7342</v>
      </c>
      <c r="AI1706" s="77" t="b">
        <v>0</v>
      </c>
      <c r="AJ1706" s="77"/>
      <c r="AK1706" s="77"/>
      <c r="AL1706" s="77"/>
      <c r="AM1706" s="77"/>
      <c r="AN1706" s="77"/>
      <c r="AO1706" s="77"/>
      <c r="AP1706" s="77"/>
      <c r="AQ1706" s="77" t="s">
        <v>9023</v>
      </c>
      <c r="AR1706" s="77"/>
      <c r="AS1706" s="77"/>
      <c r="AT1706" s="77"/>
      <c r="AU1706" s="77"/>
      <c r="AV1706" s="83" t="str">
        <f>HYPERLINK("https://pbs.twimg.com/media/F1_OThPXsAYhHP-.jpg")</f>
        <v>https://pbs.twimg.com/media/F1_OThPXsAYhHP-.jpg</v>
      </c>
      <c r="AW1706" s="81" t="s">
        <v>10819</v>
      </c>
      <c r="AX1706" s="81" t="s">
        <v>10819</v>
      </c>
      <c r="AY1706" s="77"/>
      <c r="AZ1706" s="81" t="s">
        <v>11359</v>
      </c>
      <c r="BA1706" s="81" t="s">
        <v>11359</v>
      </c>
      <c r="BB1706" s="81" t="s">
        <v>11359</v>
      </c>
      <c r="BC1706" s="81" t="s">
        <v>10819</v>
      </c>
      <c r="BD1706" s="77">
        <v>2798288803</v>
      </c>
      <c r="BE1706" s="77"/>
      <c r="BF1706" s="77"/>
      <c r="BG1706" s="77"/>
      <c r="BH1706" s="77"/>
      <c r="BI1706" s="77"/>
    </row>
    <row r="1707" spans="1:61" x14ac:dyDescent="0.25">
      <c r="A1707" s="62" t="s">
        <v>683</v>
      </c>
      <c r="B1707" s="62" t="s">
        <v>683</v>
      </c>
      <c r="C1707" s="63"/>
      <c r="D1707" s="64"/>
      <c r="E1707" s="65"/>
      <c r="F1707" s="66"/>
      <c r="G1707" s="63"/>
      <c r="H1707" s="67"/>
      <c r="I1707" s="68"/>
      <c r="J1707" s="68"/>
      <c r="K1707" s="32"/>
      <c r="L1707" s="75">
        <v>1707</v>
      </c>
      <c r="M1707" s="75"/>
      <c r="N1707" s="70"/>
      <c r="O1707" s="77" t="s">
        <v>179</v>
      </c>
      <c r="P1707" s="79">
        <v>45041.058310185188</v>
      </c>
      <c r="Q1707" s="77" t="s">
        <v>2491</v>
      </c>
      <c r="R1707" s="77">
        <v>0</v>
      </c>
      <c r="S1707" s="77">
        <v>0</v>
      </c>
      <c r="T1707" s="77">
        <v>0</v>
      </c>
      <c r="U1707" s="77">
        <v>0</v>
      </c>
      <c r="V1707" s="77">
        <v>40</v>
      </c>
      <c r="W1707" s="81" t="s">
        <v>3840</v>
      </c>
      <c r="X1707" s="83" t="str">
        <f>HYPERLINK("https://dznprojectmedia.com")</f>
        <v>https://dznprojectmedia.com</v>
      </c>
      <c r="Y1707" s="77" t="s">
        <v>4217</v>
      </c>
      <c r="Z1707" s="77"/>
      <c r="AA1707" s="77" t="s">
        <v>5521</v>
      </c>
      <c r="AB1707" s="77" t="s">
        <v>5795</v>
      </c>
      <c r="AC1707" s="81" t="s">
        <v>5805</v>
      </c>
      <c r="AD1707" s="77" t="s">
        <v>5851</v>
      </c>
      <c r="AE1707" s="83" t="str">
        <f>HYPERLINK("https://twitter.com/luzawesllei/status/1650671963226927105")</f>
        <v>https://twitter.com/luzawesllei/status/1650671963226927105</v>
      </c>
      <c r="AF1707" s="79">
        <v>45041.058310185188</v>
      </c>
      <c r="AG1707" s="85">
        <v>45041</v>
      </c>
      <c r="AH1707" s="81" t="s">
        <v>7343</v>
      </c>
      <c r="AI1707" s="77" t="b">
        <v>0</v>
      </c>
      <c r="AJ1707" s="77"/>
      <c r="AK1707" s="77"/>
      <c r="AL1707" s="77"/>
      <c r="AM1707" s="77"/>
      <c r="AN1707" s="77"/>
      <c r="AO1707" s="77"/>
      <c r="AP1707" s="77"/>
      <c r="AQ1707" s="77" t="s">
        <v>9024</v>
      </c>
      <c r="AR1707" s="77">
        <v>24241</v>
      </c>
      <c r="AS1707" s="77"/>
      <c r="AT1707" s="77"/>
      <c r="AU1707" s="77"/>
      <c r="AV1707" s="83" t="str">
        <f>HYPERLINK("https://pbs.twimg.com/ext_tw_video_thumb/1650671788098035713/pu/img/on7DCLdjjcF6e9Ep.jpg")</f>
        <v>https://pbs.twimg.com/ext_tw_video_thumb/1650671788098035713/pu/img/on7DCLdjjcF6e9Ep.jpg</v>
      </c>
      <c r="AW1707" s="81" t="s">
        <v>10820</v>
      </c>
      <c r="AX1707" s="81" t="s">
        <v>10820</v>
      </c>
      <c r="AY1707" s="77"/>
      <c r="AZ1707" s="81" t="s">
        <v>11359</v>
      </c>
      <c r="BA1707" s="81" t="s">
        <v>11359</v>
      </c>
      <c r="BB1707" s="81" t="s">
        <v>11359</v>
      </c>
      <c r="BC1707" s="81" t="s">
        <v>10820</v>
      </c>
      <c r="BD1707" s="77">
        <v>902006257</v>
      </c>
      <c r="BE1707" s="77"/>
      <c r="BF1707" s="77"/>
      <c r="BG1707" s="77"/>
      <c r="BH1707" s="77"/>
      <c r="BI1707" s="77"/>
    </row>
    <row r="1708" spans="1:61" x14ac:dyDescent="0.25">
      <c r="A1708" s="62" t="s">
        <v>684</v>
      </c>
      <c r="B1708" s="62" t="s">
        <v>684</v>
      </c>
      <c r="C1708" s="63"/>
      <c r="D1708" s="64"/>
      <c r="E1708" s="65"/>
      <c r="F1708" s="66"/>
      <c r="G1708" s="63"/>
      <c r="H1708" s="67"/>
      <c r="I1708" s="68"/>
      <c r="J1708" s="68"/>
      <c r="K1708" s="32"/>
      <c r="L1708" s="75">
        <v>1708</v>
      </c>
      <c r="M1708" s="75"/>
      <c r="N1708" s="70"/>
      <c r="O1708" s="77" t="s">
        <v>967</v>
      </c>
      <c r="P1708" s="79">
        <v>45035.806666666664</v>
      </c>
      <c r="Q1708" s="77" t="s">
        <v>2492</v>
      </c>
      <c r="R1708" s="77">
        <v>0</v>
      </c>
      <c r="S1708" s="77">
        <v>0</v>
      </c>
      <c r="T1708" s="77">
        <v>0</v>
      </c>
      <c r="U1708" s="77">
        <v>0</v>
      </c>
      <c r="V1708" s="77">
        <v>64</v>
      </c>
      <c r="W1708" s="81" t="s">
        <v>3841</v>
      </c>
      <c r="X1708" s="77"/>
      <c r="Y1708" s="77"/>
      <c r="Z1708" s="77" t="s">
        <v>684</v>
      </c>
      <c r="AA1708" s="77" t="s">
        <v>5522</v>
      </c>
      <c r="AB1708" s="77" t="s">
        <v>5795</v>
      </c>
      <c r="AC1708" s="81" t="s">
        <v>5803</v>
      </c>
      <c r="AD1708" s="77" t="s">
        <v>5850</v>
      </c>
      <c r="AE1708" s="83" t="str">
        <f>HYPERLINK("https://twitter.com/kikemultiple/status/1648768829109989376")</f>
        <v>https://twitter.com/kikemultiple/status/1648768829109989376</v>
      </c>
      <c r="AF1708" s="79">
        <v>45035.806666666664</v>
      </c>
      <c r="AG1708" s="85">
        <v>45035</v>
      </c>
      <c r="AH1708" s="81" t="s">
        <v>7344</v>
      </c>
      <c r="AI1708" s="77" t="b">
        <v>1</v>
      </c>
      <c r="AJ1708" s="77"/>
      <c r="AK1708" s="77"/>
      <c r="AL1708" s="77"/>
      <c r="AM1708" s="77"/>
      <c r="AN1708" s="77"/>
      <c r="AO1708" s="77"/>
      <c r="AP1708" s="77"/>
      <c r="AQ1708" s="77" t="s">
        <v>9025</v>
      </c>
      <c r="AR1708" s="77">
        <v>29966</v>
      </c>
      <c r="AS1708" s="77"/>
      <c r="AT1708" s="77"/>
      <c r="AU1708" s="77"/>
      <c r="AV1708" s="83" t="str">
        <f>HYPERLINK("https://pbs.twimg.com/ext_tw_video_thumb/1648768648700387330/pu/img/26Qrda6XAp5itdly.jpg")</f>
        <v>https://pbs.twimg.com/ext_tw_video_thumb/1648768648700387330/pu/img/26Qrda6XAp5itdly.jpg</v>
      </c>
      <c r="AW1708" s="81" t="s">
        <v>10821</v>
      </c>
      <c r="AX1708" s="81" t="s">
        <v>10821</v>
      </c>
      <c r="AY1708" s="77"/>
      <c r="AZ1708" s="81" t="s">
        <v>11359</v>
      </c>
      <c r="BA1708" s="81" t="s">
        <v>11359</v>
      </c>
      <c r="BB1708" s="81" t="s">
        <v>11359</v>
      </c>
      <c r="BC1708" s="81" t="s">
        <v>10821</v>
      </c>
      <c r="BD1708" s="81" t="s">
        <v>11637</v>
      </c>
      <c r="BE1708" s="77"/>
      <c r="BF1708" s="77"/>
      <c r="BG1708" s="77"/>
      <c r="BH1708" s="77"/>
      <c r="BI1708" s="77"/>
    </row>
    <row r="1709" spans="1:61" x14ac:dyDescent="0.25">
      <c r="A1709" s="62" t="s">
        <v>685</v>
      </c>
      <c r="B1709" s="62" t="s">
        <v>685</v>
      </c>
      <c r="C1709" s="63"/>
      <c r="D1709" s="64"/>
      <c r="E1709" s="65"/>
      <c r="F1709" s="66"/>
      <c r="G1709" s="63"/>
      <c r="H1709" s="67"/>
      <c r="I1709" s="68"/>
      <c r="J1709" s="68"/>
      <c r="K1709" s="32"/>
      <c r="L1709" s="75">
        <v>1709</v>
      </c>
      <c r="M1709" s="75"/>
      <c r="N1709" s="70"/>
      <c r="O1709" s="77" t="s">
        <v>179</v>
      </c>
      <c r="P1709" s="79">
        <v>45089.476967592593</v>
      </c>
      <c r="Q1709" s="77" t="s">
        <v>2493</v>
      </c>
      <c r="R1709" s="77">
        <v>0</v>
      </c>
      <c r="S1709" s="77">
        <v>0</v>
      </c>
      <c r="T1709" s="77">
        <v>0</v>
      </c>
      <c r="U1709" s="77">
        <v>0</v>
      </c>
      <c r="V1709" s="77">
        <v>11</v>
      </c>
      <c r="W1709" s="81" t="s">
        <v>2947</v>
      </c>
      <c r="X1709" s="77"/>
      <c r="Y1709" s="77"/>
      <c r="Z1709" s="77"/>
      <c r="AA1709" s="77" t="s">
        <v>5523</v>
      </c>
      <c r="AB1709" s="77" t="s">
        <v>5794</v>
      </c>
      <c r="AC1709" s="81" t="s">
        <v>5803</v>
      </c>
      <c r="AD1709" s="77" t="s">
        <v>5851</v>
      </c>
      <c r="AE1709" s="83" t="str">
        <f>HYPERLINK("https://twitter.com/alextri49052227/status/1668218294275301376")</f>
        <v>https://twitter.com/alextri49052227/status/1668218294275301376</v>
      </c>
      <c r="AF1709" s="79">
        <v>45089.476967592593</v>
      </c>
      <c r="AG1709" s="85">
        <v>45089</v>
      </c>
      <c r="AH1709" s="81" t="s">
        <v>7345</v>
      </c>
      <c r="AI1709" s="77" t="b">
        <v>0</v>
      </c>
      <c r="AJ1709" s="77"/>
      <c r="AK1709" s="77"/>
      <c r="AL1709" s="77"/>
      <c r="AM1709" s="77"/>
      <c r="AN1709" s="77"/>
      <c r="AO1709" s="77"/>
      <c r="AP1709" s="77"/>
      <c r="AQ1709" s="77" t="s">
        <v>9026</v>
      </c>
      <c r="AR1709" s="77"/>
      <c r="AS1709" s="77"/>
      <c r="AT1709" s="77"/>
      <c r="AU1709" s="77"/>
      <c r="AV1709" s="83" t="str">
        <f>HYPERLINK("https://pbs.twimg.com/media/FyazsY6XsAA643q.jpg")</f>
        <v>https://pbs.twimg.com/media/FyazsY6XsAA643q.jpg</v>
      </c>
      <c r="AW1709" s="81" t="s">
        <v>10822</v>
      </c>
      <c r="AX1709" s="81" t="s">
        <v>10822</v>
      </c>
      <c r="AY1709" s="77"/>
      <c r="AZ1709" s="81" t="s">
        <v>11359</v>
      </c>
      <c r="BA1709" s="81" t="s">
        <v>11359</v>
      </c>
      <c r="BB1709" s="81" t="s">
        <v>11359</v>
      </c>
      <c r="BC1709" s="81" t="s">
        <v>10822</v>
      </c>
      <c r="BD1709" s="81" t="s">
        <v>11638</v>
      </c>
      <c r="BE1709" s="77"/>
      <c r="BF1709" s="77"/>
      <c r="BG1709" s="77"/>
      <c r="BH1709" s="77"/>
      <c r="BI1709" s="77"/>
    </row>
    <row r="1710" spans="1:61" x14ac:dyDescent="0.25">
      <c r="A1710" s="62" t="s">
        <v>686</v>
      </c>
      <c r="B1710" s="62" t="s">
        <v>686</v>
      </c>
      <c r="C1710" s="63"/>
      <c r="D1710" s="64"/>
      <c r="E1710" s="65"/>
      <c r="F1710" s="66"/>
      <c r="G1710" s="63"/>
      <c r="H1710" s="67"/>
      <c r="I1710" s="68"/>
      <c r="J1710" s="68"/>
      <c r="K1710" s="32"/>
      <c r="L1710" s="75">
        <v>1710</v>
      </c>
      <c r="M1710" s="75"/>
      <c r="N1710" s="70"/>
      <c r="O1710" s="77" t="s">
        <v>179</v>
      </c>
      <c r="P1710" s="79">
        <v>44965.633344907408</v>
      </c>
      <c r="Q1710" s="77" t="s">
        <v>2494</v>
      </c>
      <c r="R1710" s="77">
        <v>1</v>
      </c>
      <c r="S1710" s="77">
        <v>1</v>
      </c>
      <c r="T1710" s="77">
        <v>0</v>
      </c>
      <c r="U1710" s="77">
        <v>0</v>
      </c>
      <c r="V1710" s="77">
        <v>295</v>
      </c>
      <c r="W1710" s="81" t="s">
        <v>3842</v>
      </c>
      <c r="X1710" s="77"/>
      <c r="Y1710" s="77"/>
      <c r="Z1710" s="77"/>
      <c r="AA1710" s="77" t="s">
        <v>5524</v>
      </c>
      <c r="AB1710" s="77" t="s">
        <v>5795</v>
      </c>
      <c r="AC1710" s="81" t="s">
        <v>5803</v>
      </c>
      <c r="AD1710" s="77" t="s">
        <v>5850</v>
      </c>
      <c r="AE1710" s="83" t="str">
        <f>HYPERLINK("https://twitter.com/cursorinformat1/status/1623338868886872066")</f>
        <v>https://twitter.com/cursorinformat1/status/1623338868886872066</v>
      </c>
      <c r="AF1710" s="79">
        <v>44965.633344907408</v>
      </c>
      <c r="AG1710" s="85">
        <v>44965</v>
      </c>
      <c r="AH1710" s="81" t="s">
        <v>7346</v>
      </c>
      <c r="AI1710" s="77" t="b">
        <v>0</v>
      </c>
      <c r="AJ1710" s="77"/>
      <c r="AK1710" s="77"/>
      <c r="AL1710" s="77"/>
      <c r="AM1710" s="77"/>
      <c r="AN1710" s="77"/>
      <c r="AO1710" s="77"/>
      <c r="AP1710" s="77"/>
      <c r="AQ1710" s="77" t="s">
        <v>9027</v>
      </c>
      <c r="AR1710" s="77">
        <v>44933</v>
      </c>
      <c r="AS1710" s="77"/>
      <c r="AT1710" s="77"/>
      <c r="AU1710" s="77"/>
      <c r="AV1710" s="83" t="str">
        <f>HYPERLINK("https://pbs.twimg.com/ext_tw_video_thumb/1623338800876253184/pu/img/TcsgD-5OW2v80Ysr.jpg")</f>
        <v>https://pbs.twimg.com/ext_tw_video_thumb/1623338800876253184/pu/img/TcsgD-5OW2v80Ysr.jpg</v>
      </c>
      <c r="AW1710" s="81" t="s">
        <v>10823</v>
      </c>
      <c r="AX1710" s="81" t="s">
        <v>10823</v>
      </c>
      <c r="AY1710" s="77"/>
      <c r="AZ1710" s="81" t="s">
        <v>11359</v>
      </c>
      <c r="BA1710" s="81" t="s">
        <v>11359</v>
      </c>
      <c r="BB1710" s="81" t="s">
        <v>11359</v>
      </c>
      <c r="BC1710" s="81" t="s">
        <v>10823</v>
      </c>
      <c r="BD1710" s="77">
        <v>4760763774</v>
      </c>
      <c r="BE1710" s="77"/>
      <c r="BF1710" s="77"/>
      <c r="BG1710" s="77"/>
      <c r="BH1710" s="77"/>
      <c r="BI1710" s="77"/>
    </row>
    <row r="1711" spans="1:61" x14ac:dyDescent="0.25">
      <c r="A1711" s="62" t="s">
        <v>687</v>
      </c>
      <c r="B1711" s="62" t="s">
        <v>687</v>
      </c>
      <c r="C1711" s="63"/>
      <c r="D1711" s="64"/>
      <c r="E1711" s="65"/>
      <c r="F1711" s="66"/>
      <c r="G1711" s="63"/>
      <c r="H1711" s="67"/>
      <c r="I1711" s="68"/>
      <c r="J1711" s="68"/>
      <c r="K1711" s="32"/>
      <c r="L1711" s="75">
        <v>1711</v>
      </c>
      <c r="M1711" s="75"/>
      <c r="N1711" s="70"/>
      <c r="O1711" s="77" t="s">
        <v>179</v>
      </c>
      <c r="P1711" s="79">
        <v>44995.9</v>
      </c>
      <c r="Q1711" s="77" t="s">
        <v>2495</v>
      </c>
      <c r="R1711" s="77">
        <v>0</v>
      </c>
      <c r="S1711" s="77">
        <v>0</v>
      </c>
      <c r="T1711" s="77">
        <v>0</v>
      </c>
      <c r="U1711" s="77">
        <v>0</v>
      </c>
      <c r="V1711" s="77">
        <v>11</v>
      </c>
      <c r="W1711" s="81" t="s">
        <v>3843</v>
      </c>
      <c r="X1711" s="77"/>
      <c r="Y1711" s="77"/>
      <c r="Z1711" s="77"/>
      <c r="AA1711" s="77" t="s">
        <v>5525</v>
      </c>
      <c r="AB1711" s="77" t="s">
        <v>5795</v>
      </c>
      <c r="AC1711" s="81" t="s">
        <v>5805</v>
      </c>
      <c r="AD1711" s="77" t="s">
        <v>5851</v>
      </c>
      <c r="AE1711" s="83" t="str">
        <f>HYPERLINK("https://twitter.com/resultadocomads/status/1634307137709940736")</f>
        <v>https://twitter.com/resultadocomads/status/1634307137709940736</v>
      </c>
      <c r="AF1711" s="79">
        <v>44995.9</v>
      </c>
      <c r="AG1711" s="85">
        <v>44995</v>
      </c>
      <c r="AH1711" s="81" t="s">
        <v>7347</v>
      </c>
      <c r="AI1711" s="77" t="b">
        <v>0</v>
      </c>
      <c r="AJ1711" s="77"/>
      <c r="AK1711" s="77"/>
      <c r="AL1711" s="77"/>
      <c r="AM1711" s="77"/>
      <c r="AN1711" s="77"/>
      <c r="AO1711" s="77"/>
      <c r="AP1711" s="77"/>
      <c r="AQ1711" s="77" t="s">
        <v>9028</v>
      </c>
      <c r="AR1711" s="77">
        <v>29863</v>
      </c>
      <c r="AS1711" s="77"/>
      <c r="AT1711" s="77"/>
      <c r="AU1711" s="77"/>
      <c r="AV1711" s="83" t="str">
        <f>HYPERLINK("https://pbs.twimg.com/ext_tw_video_thumb/1623016800404361219/pu/img/PVhmz3uzWQbZG_T1.jpg")</f>
        <v>https://pbs.twimg.com/ext_tw_video_thumb/1623016800404361219/pu/img/PVhmz3uzWQbZG_T1.jpg</v>
      </c>
      <c r="AW1711" s="81" t="s">
        <v>10824</v>
      </c>
      <c r="AX1711" s="81" t="s">
        <v>10824</v>
      </c>
      <c r="AY1711" s="77"/>
      <c r="AZ1711" s="81" t="s">
        <v>11359</v>
      </c>
      <c r="BA1711" s="81" t="s">
        <v>11359</v>
      </c>
      <c r="BB1711" s="81" t="s">
        <v>11359</v>
      </c>
      <c r="BC1711" s="81" t="s">
        <v>10824</v>
      </c>
      <c r="BD1711" s="81" t="s">
        <v>11639</v>
      </c>
      <c r="BE1711" s="77"/>
      <c r="BF1711" s="77"/>
      <c r="BG1711" s="77"/>
      <c r="BH1711" s="77"/>
      <c r="BI1711" s="77"/>
    </row>
    <row r="1712" spans="1:61" x14ac:dyDescent="0.25">
      <c r="A1712" s="62" t="s">
        <v>688</v>
      </c>
      <c r="B1712" s="62" t="s">
        <v>946</v>
      </c>
      <c r="C1712" s="63"/>
      <c r="D1712" s="64"/>
      <c r="E1712" s="65"/>
      <c r="F1712" s="66"/>
      <c r="G1712" s="63"/>
      <c r="H1712" s="67"/>
      <c r="I1712" s="68"/>
      <c r="J1712" s="68"/>
      <c r="K1712" s="32"/>
      <c r="L1712" s="75">
        <v>1712</v>
      </c>
      <c r="M1712" s="75"/>
      <c r="N1712" s="70"/>
      <c r="O1712" s="77" t="s">
        <v>967</v>
      </c>
      <c r="P1712" s="79">
        <v>45040.57435185185</v>
      </c>
      <c r="Q1712" s="77" t="s">
        <v>2496</v>
      </c>
      <c r="R1712" s="77">
        <v>0</v>
      </c>
      <c r="S1712" s="77">
        <v>0</v>
      </c>
      <c r="T1712" s="77">
        <v>0</v>
      </c>
      <c r="U1712" s="77">
        <v>0</v>
      </c>
      <c r="V1712" s="77">
        <v>139</v>
      </c>
      <c r="W1712" s="81" t="s">
        <v>3844</v>
      </c>
      <c r="X1712" s="77"/>
      <c r="Y1712" s="77"/>
      <c r="Z1712" s="77" t="s">
        <v>946</v>
      </c>
      <c r="AA1712" s="77" t="s">
        <v>5526</v>
      </c>
      <c r="AB1712" s="77" t="s">
        <v>5794</v>
      </c>
      <c r="AC1712" s="81" t="s">
        <v>5801</v>
      </c>
      <c r="AD1712" s="77" t="s">
        <v>5851</v>
      </c>
      <c r="AE1712" s="83" t="str">
        <f>HYPERLINK("https://twitter.com/lucashondarj021/status/1650496580393287687")</f>
        <v>https://twitter.com/lucashondarj021/status/1650496580393287687</v>
      </c>
      <c r="AF1712" s="79">
        <v>45040.57435185185</v>
      </c>
      <c r="AG1712" s="85">
        <v>45040</v>
      </c>
      <c r="AH1712" s="81" t="s">
        <v>7348</v>
      </c>
      <c r="AI1712" s="77" t="b">
        <v>0</v>
      </c>
      <c r="AJ1712" s="77" t="s">
        <v>7749</v>
      </c>
      <c r="AK1712" s="77" t="s">
        <v>7763</v>
      </c>
      <c r="AL1712" s="77" t="s">
        <v>7772</v>
      </c>
      <c r="AM1712" s="77" t="s">
        <v>7803</v>
      </c>
      <c r="AN1712" s="77" t="s">
        <v>7839</v>
      </c>
      <c r="AO1712" s="77" t="s">
        <v>7875</v>
      </c>
      <c r="AP1712" s="77" t="s">
        <v>7891</v>
      </c>
      <c r="AQ1712" s="77" t="s">
        <v>9029</v>
      </c>
      <c r="AR1712" s="77"/>
      <c r="AS1712" s="77"/>
      <c r="AT1712" s="77"/>
      <c r="AU1712" s="77"/>
      <c r="AV1712" s="83" t="str">
        <f>HYPERLINK("https://pbs.twimg.com/media/Fue94vOWIAItmGs.jpg")</f>
        <v>https://pbs.twimg.com/media/Fue94vOWIAItmGs.jpg</v>
      </c>
      <c r="AW1712" s="81" t="s">
        <v>10825</v>
      </c>
      <c r="AX1712" s="81" t="s">
        <v>10825</v>
      </c>
      <c r="AY1712" s="77"/>
      <c r="AZ1712" s="81" t="s">
        <v>11359</v>
      </c>
      <c r="BA1712" s="81" t="s">
        <v>11359</v>
      </c>
      <c r="BB1712" s="81" t="s">
        <v>11359</v>
      </c>
      <c r="BC1712" s="81" t="s">
        <v>10825</v>
      </c>
      <c r="BD1712" s="81" t="s">
        <v>11640</v>
      </c>
      <c r="BE1712" s="77"/>
      <c r="BF1712" s="77"/>
      <c r="BG1712" s="77"/>
      <c r="BH1712" s="77"/>
      <c r="BI1712" s="77"/>
    </row>
    <row r="1713" spans="1:61" x14ac:dyDescent="0.25">
      <c r="A1713" s="62" t="s">
        <v>688</v>
      </c>
      <c r="B1713" s="62" t="s">
        <v>688</v>
      </c>
      <c r="C1713" s="63"/>
      <c r="D1713" s="64"/>
      <c r="E1713" s="65"/>
      <c r="F1713" s="66"/>
      <c r="G1713" s="63"/>
      <c r="H1713" s="67"/>
      <c r="I1713" s="68"/>
      <c r="J1713" s="68"/>
      <c r="K1713" s="32"/>
      <c r="L1713" s="75">
        <v>1713</v>
      </c>
      <c r="M1713" s="75"/>
      <c r="N1713" s="70"/>
      <c r="O1713" s="77" t="s">
        <v>179</v>
      </c>
      <c r="P1713" s="79">
        <v>45040.574907407405</v>
      </c>
      <c r="Q1713" s="77" t="s">
        <v>2497</v>
      </c>
      <c r="R1713" s="77">
        <v>0</v>
      </c>
      <c r="S1713" s="77">
        <v>0</v>
      </c>
      <c r="T1713" s="77">
        <v>0</v>
      </c>
      <c r="U1713" s="77">
        <v>0</v>
      </c>
      <c r="V1713" s="77">
        <v>92</v>
      </c>
      <c r="W1713" s="81" t="s">
        <v>3845</v>
      </c>
      <c r="X1713" s="77"/>
      <c r="Y1713" s="77"/>
      <c r="Z1713" s="77"/>
      <c r="AA1713" s="77" t="s">
        <v>5527</v>
      </c>
      <c r="AB1713" s="77" t="s">
        <v>5794</v>
      </c>
      <c r="AC1713" s="81" t="s">
        <v>5801</v>
      </c>
      <c r="AD1713" s="77" t="s">
        <v>5851</v>
      </c>
      <c r="AE1713" s="83" t="str">
        <f>HYPERLINK("https://twitter.com/lucashondarj021/status/1650496784056082437")</f>
        <v>https://twitter.com/lucashondarj021/status/1650496784056082437</v>
      </c>
      <c r="AF1713" s="79">
        <v>45040.574907407405</v>
      </c>
      <c r="AG1713" s="85">
        <v>45040</v>
      </c>
      <c r="AH1713" s="81" t="s">
        <v>7349</v>
      </c>
      <c r="AI1713" s="77" t="b">
        <v>0</v>
      </c>
      <c r="AJ1713" s="77" t="s">
        <v>7750</v>
      </c>
      <c r="AK1713" s="77" t="s">
        <v>7763</v>
      </c>
      <c r="AL1713" s="77" t="s">
        <v>7772</v>
      </c>
      <c r="AM1713" s="77" t="s">
        <v>7804</v>
      </c>
      <c r="AN1713" s="77" t="s">
        <v>7840</v>
      </c>
      <c r="AO1713" s="77" t="s">
        <v>7876</v>
      </c>
      <c r="AP1713" s="77" t="s">
        <v>7891</v>
      </c>
      <c r="AQ1713" s="77" t="s">
        <v>9030</v>
      </c>
      <c r="AR1713" s="77"/>
      <c r="AS1713" s="77"/>
      <c r="AT1713" s="77"/>
      <c r="AU1713" s="77"/>
      <c r="AV1713" s="83" t="str">
        <f>HYPERLINK("https://pbs.twimg.com/media/Fue-EuwXgAcvMwV.jpg")</f>
        <v>https://pbs.twimg.com/media/Fue-EuwXgAcvMwV.jpg</v>
      </c>
      <c r="AW1713" s="81" t="s">
        <v>10826</v>
      </c>
      <c r="AX1713" s="81" t="s">
        <v>10826</v>
      </c>
      <c r="AY1713" s="77"/>
      <c r="AZ1713" s="81" t="s">
        <v>11359</v>
      </c>
      <c r="BA1713" s="81" t="s">
        <v>11359</v>
      </c>
      <c r="BB1713" s="81" t="s">
        <v>11359</v>
      </c>
      <c r="BC1713" s="81" t="s">
        <v>10826</v>
      </c>
      <c r="BD1713" s="81" t="s">
        <v>11640</v>
      </c>
      <c r="BE1713" s="77"/>
      <c r="BF1713" s="77"/>
      <c r="BG1713" s="77"/>
      <c r="BH1713" s="77"/>
      <c r="BI1713" s="77"/>
    </row>
    <row r="1714" spans="1:61" x14ac:dyDescent="0.25">
      <c r="A1714" s="62" t="s">
        <v>689</v>
      </c>
      <c r="B1714" s="62" t="s">
        <v>689</v>
      </c>
      <c r="C1714" s="63"/>
      <c r="D1714" s="64"/>
      <c r="E1714" s="65"/>
      <c r="F1714" s="66"/>
      <c r="G1714" s="63"/>
      <c r="H1714" s="67"/>
      <c r="I1714" s="68"/>
      <c r="J1714" s="68"/>
      <c r="K1714" s="32"/>
      <c r="L1714" s="75">
        <v>1714</v>
      </c>
      <c r="M1714" s="75"/>
      <c r="N1714" s="70"/>
      <c r="O1714" s="77" t="s">
        <v>179</v>
      </c>
      <c r="P1714" s="79">
        <v>45107.850439814814</v>
      </c>
      <c r="Q1714" s="77" t="s">
        <v>2498</v>
      </c>
      <c r="R1714" s="77">
        <v>0</v>
      </c>
      <c r="S1714" s="77">
        <v>0</v>
      </c>
      <c r="T1714" s="77">
        <v>0</v>
      </c>
      <c r="U1714" s="77">
        <v>0</v>
      </c>
      <c r="V1714" s="77">
        <v>33</v>
      </c>
      <c r="W1714" s="81" t="s">
        <v>3846</v>
      </c>
      <c r="X1714" s="77" t="s">
        <v>4200</v>
      </c>
      <c r="Y1714" s="77" t="s">
        <v>4261</v>
      </c>
      <c r="Z1714" s="77"/>
      <c r="AA1714" s="77" t="s">
        <v>5528</v>
      </c>
      <c r="AB1714" s="77" t="s">
        <v>5794</v>
      </c>
      <c r="AC1714" s="81" t="s">
        <v>5805</v>
      </c>
      <c r="AD1714" s="77" t="s">
        <v>5851</v>
      </c>
      <c r="AE1714" s="83" t="str">
        <f>HYPERLINK("https://twitter.com/grupopersonale/status/1674876618869813248")</f>
        <v>https://twitter.com/grupopersonale/status/1674876618869813248</v>
      </c>
      <c r="AF1714" s="79">
        <v>45107.850439814814</v>
      </c>
      <c r="AG1714" s="85">
        <v>45107</v>
      </c>
      <c r="AH1714" s="81" t="s">
        <v>7350</v>
      </c>
      <c r="AI1714" s="77" t="b">
        <v>0</v>
      </c>
      <c r="AJ1714" s="77"/>
      <c r="AK1714" s="77"/>
      <c r="AL1714" s="77"/>
      <c r="AM1714" s="77"/>
      <c r="AN1714" s="77"/>
      <c r="AO1714" s="77"/>
      <c r="AP1714" s="77"/>
      <c r="AQ1714" s="77" t="s">
        <v>9031</v>
      </c>
      <c r="AR1714" s="77"/>
      <c r="AS1714" s="77"/>
      <c r="AT1714" s="77"/>
      <c r="AU1714" s="77"/>
      <c r="AV1714" s="83" t="str">
        <f>HYPERLINK("https://pbs.twimg.com/media/Fz5bOjwWwAA317l.jpg")</f>
        <v>https://pbs.twimg.com/media/Fz5bOjwWwAA317l.jpg</v>
      </c>
      <c r="AW1714" s="81" t="s">
        <v>10827</v>
      </c>
      <c r="AX1714" s="81" t="s">
        <v>10827</v>
      </c>
      <c r="AY1714" s="77"/>
      <c r="AZ1714" s="81" t="s">
        <v>11359</v>
      </c>
      <c r="BA1714" s="81" t="s">
        <v>11359</v>
      </c>
      <c r="BB1714" s="81" t="s">
        <v>11359</v>
      </c>
      <c r="BC1714" s="81" t="s">
        <v>10827</v>
      </c>
      <c r="BD1714" s="77">
        <v>569194306</v>
      </c>
      <c r="BE1714" s="77"/>
      <c r="BF1714" s="77"/>
      <c r="BG1714" s="77"/>
      <c r="BH1714" s="77"/>
      <c r="BI1714" s="77"/>
    </row>
    <row r="1715" spans="1:61" x14ac:dyDescent="0.25">
      <c r="A1715" s="62" t="s">
        <v>690</v>
      </c>
      <c r="B1715" s="62" t="s">
        <v>690</v>
      </c>
      <c r="C1715" s="63"/>
      <c r="D1715" s="64"/>
      <c r="E1715" s="65"/>
      <c r="F1715" s="66"/>
      <c r="G1715" s="63"/>
      <c r="H1715" s="67"/>
      <c r="I1715" s="68"/>
      <c r="J1715" s="68"/>
      <c r="K1715" s="32"/>
      <c r="L1715" s="75">
        <v>1715</v>
      </c>
      <c r="M1715" s="75"/>
      <c r="N1715" s="70"/>
      <c r="O1715" s="77" t="s">
        <v>179</v>
      </c>
      <c r="P1715" s="79">
        <v>45152.849363425928</v>
      </c>
      <c r="Q1715" s="77" t="s">
        <v>2499</v>
      </c>
      <c r="R1715" s="77">
        <v>0</v>
      </c>
      <c r="S1715" s="77">
        <v>0</v>
      </c>
      <c r="T1715" s="77">
        <v>0</v>
      </c>
      <c r="U1715" s="77">
        <v>0</v>
      </c>
      <c r="V1715" s="77">
        <v>313</v>
      </c>
      <c r="W1715" s="81" t="s">
        <v>3847</v>
      </c>
      <c r="X1715" s="77"/>
      <c r="Y1715" s="77"/>
      <c r="Z1715" s="77"/>
      <c r="AA1715" s="77" t="s">
        <v>5529</v>
      </c>
      <c r="AB1715" s="77" t="s">
        <v>5795</v>
      </c>
      <c r="AC1715" s="81" t="s">
        <v>5803</v>
      </c>
      <c r="AD1715" s="77" t="s">
        <v>5851</v>
      </c>
      <c r="AE1715" s="83" t="str">
        <f>HYPERLINK("https://twitter.com/stephengroberio/status/1691183684479524864")</f>
        <v>https://twitter.com/stephengroberio/status/1691183684479524864</v>
      </c>
      <c r="AF1715" s="79">
        <v>45152.849363425928</v>
      </c>
      <c r="AG1715" s="85">
        <v>45152</v>
      </c>
      <c r="AH1715" s="81" t="s">
        <v>7351</v>
      </c>
      <c r="AI1715" s="77" t="b">
        <v>0</v>
      </c>
      <c r="AJ1715" s="77" t="s">
        <v>7751</v>
      </c>
      <c r="AK1715" s="77" t="s">
        <v>7763</v>
      </c>
      <c r="AL1715" s="77" t="s">
        <v>7772</v>
      </c>
      <c r="AM1715" s="77" t="s">
        <v>7805</v>
      </c>
      <c r="AN1715" s="77" t="s">
        <v>7841</v>
      </c>
      <c r="AO1715" s="77" t="s">
        <v>7877</v>
      </c>
      <c r="AP1715" s="77" t="s">
        <v>7891</v>
      </c>
      <c r="AQ1715" s="77" t="s">
        <v>9032</v>
      </c>
      <c r="AR1715" s="77">
        <v>15201</v>
      </c>
      <c r="AS1715" s="77"/>
      <c r="AT1715" s="77"/>
      <c r="AU1715" s="77"/>
      <c r="AV1715" s="83" t="str">
        <f>HYPERLINK("https://pbs.twimg.com/ext_tw_video_thumb/1691183634508644353/pu/img/ByUm4w36y6fcvWwc.jpg")</f>
        <v>https://pbs.twimg.com/ext_tw_video_thumb/1691183634508644353/pu/img/ByUm4w36y6fcvWwc.jpg</v>
      </c>
      <c r="AW1715" s="81" t="s">
        <v>10828</v>
      </c>
      <c r="AX1715" s="81" t="s">
        <v>10828</v>
      </c>
      <c r="AY1715" s="77"/>
      <c r="AZ1715" s="81" t="s">
        <v>11359</v>
      </c>
      <c r="BA1715" s="81" t="s">
        <v>11359</v>
      </c>
      <c r="BB1715" s="81" t="s">
        <v>11359</v>
      </c>
      <c r="BC1715" s="81" t="s">
        <v>10828</v>
      </c>
      <c r="BD1715" s="77">
        <v>55236645</v>
      </c>
      <c r="BE1715" s="77"/>
      <c r="BF1715" s="77"/>
      <c r="BG1715" s="77"/>
      <c r="BH1715" s="77"/>
      <c r="BI1715" s="77"/>
    </row>
    <row r="1716" spans="1:61" x14ac:dyDescent="0.25">
      <c r="A1716" s="62" t="s">
        <v>691</v>
      </c>
      <c r="B1716" s="62" t="s">
        <v>691</v>
      </c>
      <c r="C1716" s="63"/>
      <c r="D1716" s="64"/>
      <c r="E1716" s="65"/>
      <c r="F1716" s="66"/>
      <c r="G1716" s="63"/>
      <c r="H1716" s="67"/>
      <c r="I1716" s="68"/>
      <c r="J1716" s="68"/>
      <c r="K1716" s="32"/>
      <c r="L1716" s="75">
        <v>1716</v>
      </c>
      <c r="M1716" s="75"/>
      <c r="N1716" s="70"/>
      <c r="O1716" s="77" t="s">
        <v>969</v>
      </c>
      <c r="P1716" s="79">
        <v>45055.770520833335</v>
      </c>
      <c r="Q1716" s="77" t="s">
        <v>2500</v>
      </c>
      <c r="R1716" s="77">
        <v>0</v>
      </c>
      <c r="S1716" s="77">
        <v>4</v>
      </c>
      <c r="T1716" s="77">
        <v>0</v>
      </c>
      <c r="U1716" s="77">
        <v>0</v>
      </c>
      <c r="V1716" s="77">
        <v>259</v>
      </c>
      <c r="W1716" s="81" t="s">
        <v>3848</v>
      </c>
      <c r="X1716" s="77"/>
      <c r="Y1716" s="77"/>
      <c r="Z1716" s="77"/>
      <c r="AA1716" s="77"/>
      <c r="AB1716" s="77"/>
      <c r="AC1716" s="81" t="s">
        <v>5803</v>
      </c>
      <c r="AD1716" s="77" t="s">
        <v>5855</v>
      </c>
      <c r="AE1716" s="83" t="str">
        <f>HYPERLINK("https://twitter.com/loganlyne/status/1656003489481252866")</f>
        <v>https://twitter.com/loganlyne/status/1656003489481252866</v>
      </c>
      <c r="AF1716" s="79">
        <v>45055.770520833335</v>
      </c>
      <c r="AG1716" s="85">
        <v>45055</v>
      </c>
      <c r="AH1716" s="81" t="s">
        <v>7352</v>
      </c>
      <c r="AI1716" s="77"/>
      <c r="AJ1716" s="77"/>
      <c r="AK1716" s="77"/>
      <c r="AL1716" s="77"/>
      <c r="AM1716" s="77"/>
      <c r="AN1716" s="77"/>
      <c r="AO1716" s="77"/>
      <c r="AP1716" s="77"/>
      <c r="AQ1716" s="77"/>
      <c r="AR1716" s="77"/>
      <c r="AS1716" s="77"/>
      <c r="AT1716" s="77"/>
      <c r="AU1716" s="77"/>
      <c r="AV1716" s="83" t="str">
        <f>HYPERLINK("https://pbs.twimg.com/profile_images/1652481613337329664/j4wiVWyr_normal.jpg")</f>
        <v>https://pbs.twimg.com/profile_images/1652481613337329664/j4wiVWyr_normal.jpg</v>
      </c>
      <c r="AW1716" s="81" t="s">
        <v>10829</v>
      </c>
      <c r="AX1716" s="81" t="s">
        <v>11307</v>
      </c>
      <c r="AY1716" s="81" t="s">
        <v>11349</v>
      </c>
      <c r="AZ1716" s="81" t="s">
        <v>11392</v>
      </c>
      <c r="BA1716" s="81" t="s">
        <v>11359</v>
      </c>
      <c r="BB1716" s="81" t="s">
        <v>11359</v>
      </c>
      <c r="BC1716" s="81" t="s">
        <v>11392</v>
      </c>
      <c r="BD1716" s="81" t="s">
        <v>11349</v>
      </c>
      <c r="BE1716" s="77"/>
      <c r="BF1716" s="77"/>
      <c r="BG1716" s="77"/>
      <c r="BH1716" s="77"/>
      <c r="BI1716" s="77"/>
    </row>
    <row r="1717" spans="1:61" x14ac:dyDescent="0.25">
      <c r="A1717" s="62" t="s">
        <v>692</v>
      </c>
      <c r="B1717" s="62" t="s">
        <v>692</v>
      </c>
      <c r="C1717" s="63"/>
      <c r="D1717" s="64"/>
      <c r="E1717" s="65"/>
      <c r="F1717" s="66"/>
      <c r="G1717" s="63"/>
      <c r="H1717" s="67"/>
      <c r="I1717" s="68"/>
      <c r="J1717" s="68"/>
      <c r="K1717" s="32"/>
      <c r="L1717" s="75">
        <v>1717</v>
      </c>
      <c r="M1717" s="75"/>
      <c r="N1717" s="70"/>
      <c r="O1717" s="77" t="s">
        <v>179</v>
      </c>
      <c r="P1717" s="79">
        <v>44970.940023148149</v>
      </c>
      <c r="Q1717" s="77" t="s">
        <v>2501</v>
      </c>
      <c r="R1717" s="77">
        <v>0</v>
      </c>
      <c r="S1717" s="77">
        <v>0</v>
      </c>
      <c r="T1717" s="77">
        <v>0</v>
      </c>
      <c r="U1717" s="77">
        <v>0</v>
      </c>
      <c r="V1717" s="77">
        <v>1</v>
      </c>
      <c r="W1717" s="81" t="s">
        <v>3849</v>
      </c>
      <c r="X1717" s="83" t="str">
        <f>HYPERLINK("https://publuu.com/flip-book/80821/239371/page/1")</f>
        <v>https://publuu.com/flip-book/80821/239371/page/1</v>
      </c>
      <c r="Y1717" s="77" t="s">
        <v>4318</v>
      </c>
      <c r="Z1717" s="77"/>
      <c r="AA1717" s="77"/>
      <c r="AB1717" s="77"/>
      <c r="AC1717" s="81" t="s">
        <v>5805</v>
      </c>
      <c r="AD1717" s="77" t="s">
        <v>5850</v>
      </c>
      <c r="AE1717" s="83" t="str">
        <f>HYPERLINK("https://twitter.com/carmenrealtorfl/status/1625261946202095621")</f>
        <v>https://twitter.com/carmenrealtorfl/status/1625261946202095621</v>
      </c>
      <c r="AF1717" s="79">
        <v>44970.940023148149</v>
      </c>
      <c r="AG1717" s="85">
        <v>44970</v>
      </c>
      <c r="AH1717" s="81" t="s">
        <v>7353</v>
      </c>
      <c r="AI1717" s="77" t="b">
        <v>0</v>
      </c>
      <c r="AJ1717" s="77"/>
      <c r="AK1717" s="77"/>
      <c r="AL1717" s="77"/>
      <c r="AM1717" s="77"/>
      <c r="AN1717" s="77"/>
      <c r="AO1717" s="77"/>
      <c r="AP1717" s="77"/>
      <c r="AQ1717" s="77"/>
      <c r="AR1717" s="77"/>
      <c r="AS1717" s="77"/>
      <c r="AT1717" s="77"/>
      <c r="AU1717" s="77"/>
      <c r="AV1717" s="83" t="str">
        <f>HYPERLINK("https://pbs.twimg.com/profile_images/1649933661570048005/7g1_HtpH_normal.jpg")</f>
        <v>https://pbs.twimg.com/profile_images/1649933661570048005/7g1_HtpH_normal.jpg</v>
      </c>
      <c r="AW1717" s="81" t="s">
        <v>10830</v>
      </c>
      <c r="AX1717" s="81" t="s">
        <v>10830</v>
      </c>
      <c r="AY1717" s="77"/>
      <c r="AZ1717" s="81" t="s">
        <v>11359</v>
      </c>
      <c r="BA1717" s="81" t="s">
        <v>11359</v>
      </c>
      <c r="BB1717" s="81" t="s">
        <v>11359</v>
      </c>
      <c r="BC1717" s="81" t="s">
        <v>10830</v>
      </c>
      <c r="BD1717" s="81" t="s">
        <v>11641</v>
      </c>
      <c r="BE1717" s="77"/>
      <c r="BF1717" s="77"/>
      <c r="BG1717" s="77"/>
      <c r="BH1717" s="77"/>
      <c r="BI1717" s="77"/>
    </row>
    <row r="1718" spans="1:61" x14ac:dyDescent="0.25">
      <c r="A1718" s="62" t="s">
        <v>693</v>
      </c>
      <c r="B1718" s="62" t="s">
        <v>693</v>
      </c>
      <c r="C1718" s="63"/>
      <c r="D1718" s="64"/>
      <c r="E1718" s="65"/>
      <c r="F1718" s="66"/>
      <c r="G1718" s="63"/>
      <c r="H1718" s="67"/>
      <c r="I1718" s="68"/>
      <c r="J1718" s="68"/>
      <c r="K1718" s="32"/>
      <c r="L1718" s="75">
        <v>1718</v>
      </c>
      <c r="M1718" s="75"/>
      <c r="N1718" s="70"/>
      <c r="O1718" s="77" t="s">
        <v>179</v>
      </c>
      <c r="P1718" s="79">
        <v>44971.883402777778</v>
      </c>
      <c r="Q1718" s="77" t="s">
        <v>2502</v>
      </c>
      <c r="R1718" s="77">
        <v>0</v>
      </c>
      <c r="S1718" s="77">
        <v>0</v>
      </c>
      <c r="T1718" s="77">
        <v>0</v>
      </c>
      <c r="U1718" s="77">
        <v>0</v>
      </c>
      <c r="V1718" s="77">
        <v>116</v>
      </c>
      <c r="W1718" s="81" t="s">
        <v>3704</v>
      </c>
      <c r="X1718" s="83" t="str">
        <f>HYPERLINK("https://amzn.to/3IpMXEk")</f>
        <v>https://amzn.to/3IpMXEk</v>
      </c>
      <c r="Y1718" s="77" t="s">
        <v>4273</v>
      </c>
      <c r="Z1718" s="77"/>
      <c r="AA1718" s="77" t="s">
        <v>5530</v>
      </c>
      <c r="AB1718" s="77" t="s">
        <v>5794</v>
      </c>
      <c r="AC1718" s="81" t="s">
        <v>5837</v>
      </c>
      <c r="AD1718" s="77" t="s">
        <v>5850</v>
      </c>
      <c r="AE1718" s="83" t="str">
        <f>HYPERLINK("https://twitter.com/cholloterapia/status/1625603813502590979")</f>
        <v>https://twitter.com/cholloterapia/status/1625603813502590979</v>
      </c>
      <c r="AF1718" s="79">
        <v>44971.883402777778</v>
      </c>
      <c r="AG1718" s="85">
        <v>44971</v>
      </c>
      <c r="AH1718" s="81" t="s">
        <v>7184</v>
      </c>
      <c r="AI1718" s="77" t="b">
        <v>0</v>
      </c>
      <c r="AJ1718" s="77"/>
      <c r="AK1718" s="77"/>
      <c r="AL1718" s="77"/>
      <c r="AM1718" s="77"/>
      <c r="AN1718" s="77"/>
      <c r="AO1718" s="77"/>
      <c r="AP1718" s="77"/>
      <c r="AQ1718" s="77" t="s">
        <v>9033</v>
      </c>
      <c r="AR1718" s="77"/>
      <c r="AS1718" s="77"/>
      <c r="AT1718" s="77"/>
      <c r="AU1718" s="77"/>
      <c r="AV1718" s="83" t="str">
        <f>HYPERLINK("https://pbs.twimg.com/media/Fo9ODZvWYAUQG-Y.jpg")</f>
        <v>https://pbs.twimg.com/media/Fo9ODZvWYAUQG-Y.jpg</v>
      </c>
      <c r="AW1718" s="81" t="s">
        <v>10831</v>
      </c>
      <c r="AX1718" s="81" t="s">
        <v>10831</v>
      </c>
      <c r="AY1718" s="77"/>
      <c r="AZ1718" s="81" t="s">
        <v>11359</v>
      </c>
      <c r="BA1718" s="81" t="s">
        <v>11359</v>
      </c>
      <c r="BB1718" s="81" t="s">
        <v>11359</v>
      </c>
      <c r="BC1718" s="81" t="s">
        <v>10831</v>
      </c>
      <c r="BD1718" s="77">
        <v>2540707132</v>
      </c>
      <c r="BE1718" s="77"/>
      <c r="BF1718" s="77"/>
      <c r="BG1718" s="77"/>
      <c r="BH1718" s="77"/>
      <c r="BI1718" s="77"/>
    </row>
    <row r="1719" spans="1:61" x14ac:dyDescent="0.25">
      <c r="A1719" s="62" t="s">
        <v>693</v>
      </c>
      <c r="B1719" s="62" t="s">
        <v>693</v>
      </c>
      <c r="C1719" s="63"/>
      <c r="D1719" s="64"/>
      <c r="E1719" s="65"/>
      <c r="F1719" s="66"/>
      <c r="G1719" s="63"/>
      <c r="H1719" s="67"/>
      <c r="I1719" s="68"/>
      <c r="J1719" s="68"/>
      <c r="K1719" s="32"/>
      <c r="L1719" s="75">
        <v>1719</v>
      </c>
      <c r="M1719" s="75"/>
      <c r="N1719" s="70"/>
      <c r="O1719" s="77" t="s">
        <v>179</v>
      </c>
      <c r="P1719" s="79">
        <v>44971.667060185187</v>
      </c>
      <c r="Q1719" s="77" t="s">
        <v>2503</v>
      </c>
      <c r="R1719" s="77">
        <v>0</v>
      </c>
      <c r="S1719" s="77">
        <v>1</v>
      </c>
      <c r="T1719" s="77">
        <v>0</v>
      </c>
      <c r="U1719" s="77">
        <v>0</v>
      </c>
      <c r="V1719" s="77">
        <v>114</v>
      </c>
      <c r="W1719" s="81" t="s">
        <v>3705</v>
      </c>
      <c r="X1719" s="83" t="str">
        <f>HYPERLINK("https://amzn.to/3K6HBPJ")</f>
        <v>https://amzn.to/3K6HBPJ</v>
      </c>
      <c r="Y1719" s="77" t="s">
        <v>4273</v>
      </c>
      <c r="Z1719" s="77"/>
      <c r="AA1719" s="77" t="s">
        <v>5531</v>
      </c>
      <c r="AB1719" s="77" t="s">
        <v>5794</v>
      </c>
      <c r="AC1719" s="81" t="s">
        <v>5837</v>
      </c>
      <c r="AD1719" s="77" t="s">
        <v>5850</v>
      </c>
      <c r="AE1719" s="83" t="str">
        <f>HYPERLINK("https://twitter.com/cholloterapia/status/1625525417531637762")</f>
        <v>https://twitter.com/cholloterapia/status/1625525417531637762</v>
      </c>
      <c r="AF1719" s="79">
        <v>44971.667060185187</v>
      </c>
      <c r="AG1719" s="85">
        <v>44971</v>
      </c>
      <c r="AH1719" s="81" t="s">
        <v>7354</v>
      </c>
      <c r="AI1719" s="77" t="b">
        <v>0</v>
      </c>
      <c r="AJ1719" s="77"/>
      <c r="AK1719" s="77"/>
      <c r="AL1719" s="77"/>
      <c r="AM1719" s="77"/>
      <c r="AN1719" s="77"/>
      <c r="AO1719" s="77"/>
      <c r="AP1719" s="77"/>
      <c r="AQ1719" s="77" t="s">
        <v>9034</v>
      </c>
      <c r="AR1719" s="77"/>
      <c r="AS1719" s="77"/>
      <c r="AT1719" s="77"/>
      <c r="AU1719" s="77"/>
      <c r="AV1719" s="83" t="str">
        <f>HYPERLINK("https://pbs.twimg.com/media/Fo8GwNuX0AA7UD8.jpg")</f>
        <v>https://pbs.twimg.com/media/Fo8GwNuX0AA7UD8.jpg</v>
      </c>
      <c r="AW1719" s="81" t="s">
        <v>10832</v>
      </c>
      <c r="AX1719" s="81" t="s">
        <v>10832</v>
      </c>
      <c r="AY1719" s="77"/>
      <c r="AZ1719" s="81" t="s">
        <v>11359</v>
      </c>
      <c r="BA1719" s="81" t="s">
        <v>11359</v>
      </c>
      <c r="BB1719" s="81" t="s">
        <v>11359</v>
      </c>
      <c r="BC1719" s="81" t="s">
        <v>10832</v>
      </c>
      <c r="BD1719" s="77">
        <v>2540707132</v>
      </c>
      <c r="BE1719" s="77"/>
      <c r="BF1719" s="77"/>
      <c r="BG1719" s="77"/>
      <c r="BH1719" s="77"/>
      <c r="BI1719" s="77"/>
    </row>
    <row r="1720" spans="1:61" x14ac:dyDescent="0.25">
      <c r="A1720" s="62" t="s">
        <v>694</v>
      </c>
      <c r="B1720" s="62" t="s">
        <v>694</v>
      </c>
      <c r="C1720" s="63"/>
      <c r="D1720" s="64"/>
      <c r="E1720" s="65"/>
      <c r="F1720" s="66"/>
      <c r="G1720" s="63"/>
      <c r="H1720" s="67"/>
      <c r="I1720" s="68"/>
      <c r="J1720" s="68"/>
      <c r="K1720" s="32"/>
      <c r="L1720" s="75">
        <v>1720</v>
      </c>
      <c r="M1720" s="75"/>
      <c r="N1720" s="70"/>
      <c r="O1720" s="77" t="s">
        <v>179</v>
      </c>
      <c r="P1720" s="79">
        <v>45077.525590277779</v>
      </c>
      <c r="Q1720" s="77" t="s">
        <v>2504</v>
      </c>
      <c r="R1720" s="77">
        <v>0</v>
      </c>
      <c r="S1720" s="77">
        <v>0</v>
      </c>
      <c r="T1720" s="77">
        <v>0</v>
      </c>
      <c r="U1720" s="77">
        <v>0</v>
      </c>
      <c r="V1720" s="77">
        <v>3</v>
      </c>
      <c r="W1720" s="81" t="s">
        <v>3850</v>
      </c>
      <c r="X1720" s="83" t="str">
        <f>HYPERLINK("https://lnkd.in/d4k7szue")</f>
        <v>https://lnkd.in/d4k7szue</v>
      </c>
      <c r="Y1720" s="77" t="s">
        <v>4221</v>
      </c>
      <c r="Z1720" s="77"/>
      <c r="AA1720" s="77"/>
      <c r="AB1720" s="77"/>
      <c r="AC1720" s="81" t="s">
        <v>5810</v>
      </c>
      <c r="AD1720" s="77" t="s">
        <v>5851</v>
      </c>
      <c r="AE1720" s="83" t="str">
        <f>HYPERLINK("https://twitter.com/prlusevero/status/1663887262294081538")</f>
        <v>https://twitter.com/prlusevero/status/1663887262294081538</v>
      </c>
      <c r="AF1720" s="79">
        <v>45077.525590277779</v>
      </c>
      <c r="AG1720" s="85">
        <v>45077</v>
      </c>
      <c r="AH1720" s="81" t="s">
        <v>7355</v>
      </c>
      <c r="AI1720" s="77" t="b">
        <v>0</v>
      </c>
      <c r="AJ1720" s="77"/>
      <c r="AK1720" s="77"/>
      <c r="AL1720" s="77"/>
      <c r="AM1720" s="77"/>
      <c r="AN1720" s="77"/>
      <c r="AO1720" s="77"/>
      <c r="AP1720" s="77"/>
      <c r="AQ1720" s="77"/>
      <c r="AR1720" s="77"/>
      <c r="AS1720" s="77"/>
      <c r="AT1720" s="77"/>
      <c r="AU1720" s="77"/>
      <c r="AV1720" s="83" t="str">
        <f>HYPERLINK("https://pbs.twimg.com/profile_images/1387961753418481666/AkjT8l0U_normal.jpg")</f>
        <v>https://pbs.twimg.com/profile_images/1387961753418481666/AkjT8l0U_normal.jpg</v>
      </c>
      <c r="AW1720" s="81" t="s">
        <v>10833</v>
      </c>
      <c r="AX1720" s="81" t="s">
        <v>10833</v>
      </c>
      <c r="AY1720" s="77"/>
      <c r="AZ1720" s="81" t="s">
        <v>11359</v>
      </c>
      <c r="BA1720" s="81" t="s">
        <v>11359</v>
      </c>
      <c r="BB1720" s="81" t="s">
        <v>11359</v>
      </c>
      <c r="BC1720" s="81" t="s">
        <v>10833</v>
      </c>
      <c r="BD1720" s="77">
        <v>309857122</v>
      </c>
      <c r="BE1720" s="77"/>
      <c r="BF1720" s="77"/>
      <c r="BG1720" s="77"/>
      <c r="BH1720" s="77"/>
      <c r="BI1720" s="77"/>
    </row>
    <row r="1721" spans="1:61" x14ac:dyDescent="0.25">
      <c r="A1721" s="62" t="s">
        <v>695</v>
      </c>
      <c r="B1721" s="62" t="s">
        <v>695</v>
      </c>
      <c r="C1721" s="63"/>
      <c r="D1721" s="64"/>
      <c r="E1721" s="65"/>
      <c r="F1721" s="66"/>
      <c r="G1721" s="63"/>
      <c r="H1721" s="67"/>
      <c r="I1721" s="68"/>
      <c r="J1721" s="68"/>
      <c r="K1721" s="32"/>
      <c r="L1721" s="75">
        <v>1721</v>
      </c>
      <c r="M1721" s="75"/>
      <c r="N1721" s="70"/>
      <c r="O1721" s="77" t="s">
        <v>179</v>
      </c>
      <c r="P1721" s="79">
        <v>45180.667407407411</v>
      </c>
      <c r="Q1721" s="77" t="s">
        <v>2505</v>
      </c>
      <c r="R1721" s="77">
        <v>0</v>
      </c>
      <c r="S1721" s="77">
        <v>0</v>
      </c>
      <c r="T1721" s="77">
        <v>0</v>
      </c>
      <c r="U1721" s="77">
        <v>0</v>
      </c>
      <c r="V1721" s="77">
        <v>11</v>
      </c>
      <c r="W1721" s="81" t="s">
        <v>3851</v>
      </c>
      <c r="X1721" s="83" t="str">
        <f>HYPERLINK("https://dpersonas.com/2023/08/07/una-buena-estrategia-para-superar-objeciones-en-la-venta/")</f>
        <v>https://dpersonas.com/2023/08/07/una-buena-estrategia-para-superar-objeciones-en-la-venta/</v>
      </c>
      <c r="Y1721" s="77" t="s">
        <v>4319</v>
      </c>
      <c r="Z1721" s="77"/>
      <c r="AA1721" s="77" t="s">
        <v>5532</v>
      </c>
      <c r="AB1721" s="77" t="s">
        <v>5795</v>
      </c>
      <c r="AC1721" s="81" t="s">
        <v>5805</v>
      </c>
      <c r="AD1721" s="77" t="s">
        <v>5850</v>
      </c>
      <c r="AE1721" s="83" t="str">
        <f>HYPERLINK("https://twitter.com/dpersonas/status/1701264606776168508")</f>
        <v>https://twitter.com/dpersonas/status/1701264606776168508</v>
      </c>
      <c r="AF1721" s="79">
        <v>45180.667407407411</v>
      </c>
      <c r="AG1721" s="85">
        <v>45180</v>
      </c>
      <c r="AH1721" s="81" t="s">
        <v>7356</v>
      </c>
      <c r="AI1721" s="77" t="b">
        <v>0</v>
      </c>
      <c r="AJ1721" s="77"/>
      <c r="AK1721" s="77"/>
      <c r="AL1721" s="77"/>
      <c r="AM1721" s="77"/>
      <c r="AN1721" s="77"/>
      <c r="AO1721" s="77"/>
      <c r="AP1721" s="77"/>
      <c r="AQ1721" s="77" t="s">
        <v>9035</v>
      </c>
      <c r="AR1721" s="77">
        <v>36014</v>
      </c>
      <c r="AS1721" s="77"/>
      <c r="AT1721" s="77"/>
      <c r="AU1721" s="77"/>
      <c r="AV1721" s="83" t="str">
        <f>HYPERLINK("https://pbs.twimg.com/ext_tw_video_thumb/1701263917773635584/pu/img/TY4cjUA2eVspTB62.jpg")</f>
        <v>https://pbs.twimg.com/ext_tw_video_thumb/1701263917773635584/pu/img/TY4cjUA2eVspTB62.jpg</v>
      </c>
      <c r="AW1721" s="81" t="s">
        <v>10834</v>
      </c>
      <c r="AX1721" s="81" t="s">
        <v>10834</v>
      </c>
      <c r="AY1721" s="77"/>
      <c r="AZ1721" s="81" t="s">
        <v>11359</v>
      </c>
      <c r="BA1721" s="81" t="s">
        <v>11359</v>
      </c>
      <c r="BB1721" s="81" t="s">
        <v>11359</v>
      </c>
      <c r="BC1721" s="81" t="s">
        <v>10834</v>
      </c>
      <c r="BD1721" s="77">
        <v>274675704</v>
      </c>
      <c r="BE1721" s="77"/>
      <c r="BF1721" s="77"/>
      <c r="BG1721" s="77"/>
      <c r="BH1721" s="77"/>
      <c r="BI1721" s="77"/>
    </row>
    <row r="1722" spans="1:61" x14ac:dyDescent="0.25">
      <c r="A1722" s="62" t="s">
        <v>696</v>
      </c>
      <c r="B1722" s="62" t="s">
        <v>696</v>
      </c>
      <c r="C1722" s="63"/>
      <c r="D1722" s="64"/>
      <c r="E1722" s="65"/>
      <c r="F1722" s="66"/>
      <c r="G1722" s="63"/>
      <c r="H1722" s="67"/>
      <c r="I1722" s="68"/>
      <c r="J1722" s="68"/>
      <c r="K1722" s="32"/>
      <c r="L1722" s="75">
        <v>1722</v>
      </c>
      <c r="M1722" s="75"/>
      <c r="N1722" s="70"/>
      <c r="O1722" s="77" t="s">
        <v>179</v>
      </c>
      <c r="P1722" s="79">
        <v>45078.887708333335</v>
      </c>
      <c r="Q1722" s="77" t="s">
        <v>2506</v>
      </c>
      <c r="R1722" s="77">
        <v>1</v>
      </c>
      <c r="S1722" s="77">
        <v>1</v>
      </c>
      <c r="T1722" s="77">
        <v>0</v>
      </c>
      <c r="U1722" s="77">
        <v>0</v>
      </c>
      <c r="V1722" s="77">
        <v>28</v>
      </c>
      <c r="W1722" s="81" t="s">
        <v>3852</v>
      </c>
      <c r="X1722" s="77"/>
      <c r="Y1722" s="77"/>
      <c r="Z1722" s="77"/>
      <c r="AA1722" s="77" t="s">
        <v>5533</v>
      </c>
      <c r="AB1722" s="77" t="s">
        <v>5794</v>
      </c>
      <c r="AC1722" s="81" t="s">
        <v>5805</v>
      </c>
      <c r="AD1722" s="77" t="s">
        <v>5850</v>
      </c>
      <c r="AE1722" s="83" t="str">
        <f>HYPERLINK("https://twitter.com/latinnetma/status/1664380875545493505")</f>
        <v>https://twitter.com/latinnetma/status/1664380875545493505</v>
      </c>
      <c r="AF1722" s="79">
        <v>45078.887708333335</v>
      </c>
      <c r="AG1722" s="85">
        <v>45078</v>
      </c>
      <c r="AH1722" s="81" t="s">
        <v>7091</v>
      </c>
      <c r="AI1722" s="77" t="b">
        <v>0</v>
      </c>
      <c r="AJ1722" s="77"/>
      <c r="AK1722" s="77"/>
      <c r="AL1722" s="77"/>
      <c r="AM1722" s="77"/>
      <c r="AN1722" s="77"/>
      <c r="AO1722" s="77"/>
      <c r="AP1722" s="77"/>
      <c r="AQ1722" s="77" t="s">
        <v>9036</v>
      </c>
      <c r="AR1722" s="77"/>
      <c r="AS1722" s="77"/>
      <c r="AT1722" s="77"/>
      <c r="AU1722" s="77"/>
      <c r="AV1722" s="83" t="str">
        <f>HYPERLINK("https://pbs.twimg.com/media/FxkRkZnXsAIFrE1.jpg")</f>
        <v>https://pbs.twimg.com/media/FxkRkZnXsAIFrE1.jpg</v>
      </c>
      <c r="AW1722" s="81" t="s">
        <v>10835</v>
      </c>
      <c r="AX1722" s="81" t="s">
        <v>10835</v>
      </c>
      <c r="AY1722" s="77"/>
      <c r="AZ1722" s="81" t="s">
        <v>11359</v>
      </c>
      <c r="BA1722" s="81" t="s">
        <v>11359</v>
      </c>
      <c r="BB1722" s="81" t="s">
        <v>11359</v>
      </c>
      <c r="BC1722" s="81" t="s">
        <v>10835</v>
      </c>
      <c r="BD1722" s="81" t="s">
        <v>11642</v>
      </c>
      <c r="BE1722" s="77"/>
      <c r="BF1722" s="77"/>
      <c r="BG1722" s="77"/>
      <c r="BH1722" s="77"/>
      <c r="BI1722" s="77"/>
    </row>
    <row r="1723" spans="1:61" x14ac:dyDescent="0.25">
      <c r="A1723" s="62" t="s">
        <v>697</v>
      </c>
      <c r="B1723" s="62" t="s">
        <v>697</v>
      </c>
      <c r="C1723" s="63"/>
      <c r="D1723" s="64"/>
      <c r="E1723" s="65"/>
      <c r="F1723" s="66"/>
      <c r="G1723" s="63"/>
      <c r="H1723" s="67"/>
      <c r="I1723" s="68"/>
      <c r="J1723" s="68"/>
      <c r="K1723" s="32"/>
      <c r="L1723" s="75">
        <v>1723</v>
      </c>
      <c r="M1723" s="75"/>
      <c r="N1723" s="70"/>
      <c r="O1723" s="77" t="s">
        <v>179</v>
      </c>
      <c r="P1723" s="79">
        <v>45059.696840277778</v>
      </c>
      <c r="Q1723" s="77" t="s">
        <v>2507</v>
      </c>
      <c r="R1723" s="77">
        <v>0</v>
      </c>
      <c r="S1723" s="77">
        <v>0</v>
      </c>
      <c r="T1723" s="77">
        <v>0</v>
      </c>
      <c r="U1723" s="77">
        <v>0</v>
      </c>
      <c r="V1723" s="77">
        <v>41</v>
      </c>
      <c r="W1723" s="81" t="s">
        <v>3853</v>
      </c>
      <c r="X1723" s="83" t="str">
        <f>HYPERLINK("https://www.udemy.com/course/liderazgo-en-ventas-1/?couponCode=VENTAS.MAYO.179")</f>
        <v>https://www.udemy.com/course/liderazgo-en-ventas-1/?couponCode=VENTAS.MAYO.179</v>
      </c>
      <c r="Y1723" s="77" t="s">
        <v>4320</v>
      </c>
      <c r="Z1723" s="77"/>
      <c r="AA1723" s="77" t="s">
        <v>5534</v>
      </c>
      <c r="AB1723" s="77" t="s">
        <v>5794</v>
      </c>
      <c r="AC1723" s="81" t="s">
        <v>5805</v>
      </c>
      <c r="AD1723" s="77" t="s">
        <v>5850</v>
      </c>
      <c r="AE1723" s="83" t="str">
        <f>HYPERLINK("https://twitter.com/hectorianlogic/status/1657426340327354369")</f>
        <v>https://twitter.com/hectorianlogic/status/1657426340327354369</v>
      </c>
      <c r="AF1723" s="79">
        <v>45059.696840277778</v>
      </c>
      <c r="AG1723" s="85">
        <v>45059</v>
      </c>
      <c r="AH1723" s="81" t="s">
        <v>7357</v>
      </c>
      <c r="AI1723" s="77" t="b">
        <v>0</v>
      </c>
      <c r="AJ1723" s="77"/>
      <c r="AK1723" s="77"/>
      <c r="AL1723" s="77"/>
      <c r="AM1723" s="77"/>
      <c r="AN1723" s="77"/>
      <c r="AO1723" s="77"/>
      <c r="AP1723" s="77"/>
      <c r="AQ1723" s="77" t="s">
        <v>9037</v>
      </c>
      <c r="AR1723" s="77"/>
      <c r="AS1723" s="77"/>
      <c r="AT1723" s="77"/>
      <c r="AU1723" s="77"/>
      <c r="AV1723" s="83" t="str">
        <f>HYPERLINK("https://pbs.twimg.com/media/FwBcbJWXgAAWVvJ.jpg")</f>
        <v>https://pbs.twimg.com/media/FwBcbJWXgAAWVvJ.jpg</v>
      </c>
      <c r="AW1723" s="81" t="s">
        <v>10836</v>
      </c>
      <c r="AX1723" s="81" t="s">
        <v>10836</v>
      </c>
      <c r="AY1723" s="77"/>
      <c r="AZ1723" s="81" t="s">
        <v>11359</v>
      </c>
      <c r="BA1723" s="81" t="s">
        <v>11359</v>
      </c>
      <c r="BB1723" s="81" t="s">
        <v>11359</v>
      </c>
      <c r="BC1723" s="81" t="s">
        <v>10836</v>
      </c>
      <c r="BD1723" s="77">
        <v>81754478</v>
      </c>
      <c r="BE1723" s="77"/>
      <c r="BF1723" s="77"/>
      <c r="BG1723" s="77"/>
      <c r="BH1723" s="77"/>
      <c r="BI1723" s="77"/>
    </row>
    <row r="1724" spans="1:61" x14ac:dyDescent="0.25">
      <c r="A1724" s="62" t="s">
        <v>698</v>
      </c>
      <c r="B1724" s="62" t="s">
        <v>698</v>
      </c>
      <c r="C1724" s="63"/>
      <c r="D1724" s="64"/>
      <c r="E1724" s="65"/>
      <c r="F1724" s="66"/>
      <c r="G1724" s="63"/>
      <c r="H1724" s="67"/>
      <c r="I1724" s="68"/>
      <c r="J1724" s="68"/>
      <c r="K1724" s="32"/>
      <c r="L1724" s="75">
        <v>1724</v>
      </c>
      <c r="M1724" s="75"/>
      <c r="N1724" s="70"/>
      <c r="O1724" s="77" t="s">
        <v>179</v>
      </c>
      <c r="P1724" s="79">
        <v>45127.039780092593</v>
      </c>
      <c r="Q1724" s="77" t="s">
        <v>2508</v>
      </c>
      <c r="R1724" s="77">
        <v>0</v>
      </c>
      <c r="S1724" s="77">
        <v>1</v>
      </c>
      <c r="T1724" s="77">
        <v>0</v>
      </c>
      <c r="U1724" s="77">
        <v>0</v>
      </c>
      <c r="V1724" s="77">
        <v>63</v>
      </c>
      <c r="W1724" s="81" t="s">
        <v>3854</v>
      </c>
      <c r="X1724" s="77"/>
      <c r="Y1724" s="77"/>
      <c r="Z1724" s="77"/>
      <c r="AA1724" s="77" t="s">
        <v>5535</v>
      </c>
      <c r="AB1724" s="77" t="s">
        <v>5795</v>
      </c>
      <c r="AC1724" s="81" t="s">
        <v>5843</v>
      </c>
      <c r="AD1724" s="77" t="s">
        <v>5850</v>
      </c>
      <c r="AE1724" s="83" t="str">
        <f>HYPERLINK("https://twitter.com/rogervelayarce3/status/1681830603405029380")</f>
        <v>https://twitter.com/rogervelayarce3/status/1681830603405029380</v>
      </c>
      <c r="AF1724" s="79">
        <v>45127.039780092593</v>
      </c>
      <c r="AG1724" s="85">
        <v>45127</v>
      </c>
      <c r="AH1724" s="81" t="s">
        <v>7358</v>
      </c>
      <c r="AI1724" s="77" t="b">
        <v>0</v>
      </c>
      <c r="AJ1724" s="77"/>
      <c r="AK1724" s="77"/>
      <c r="AL1724" s="77"/>
      <c r="AM1724" s="77"/>
      <c r="AN1724" s="77"/>
      <c r="AO1724" s="77"/>
      <c r="AP1724" s="77"/>
      <c r="AQ1724" s="77" t="s">
        <v>9038</v>
      </c>
      <c r="AR1724" s="77">
        <v>36205</v>
      </c>
      <c r="AS1724" s="77"/>
      <c r="AT1724" s="77"/>
      <c r="AU1724" s="77"/>
      <c r="AV1724" s="83" t="str">
        <f>HYPERLINK("https://pbs.twimg.com/amplify_video_thumb/1681830448559685635/img/xK0n4Pzjhr_tTmZA.jpg")</f>
        <v>https://pbs.twimg.com/amplify_video_thumb/1681830448559685635/img/xK0n4Pzjhr_tTmZA.jpg</v>
      </c>
      <c r="AW1724" s="81" t="s">
        <v>10837</v>
      </c>
      <c r="AX1724" s="81" t="s">
        <v>10837</v>
      </c>
      <c r="AY1724" s="77"/>
      <c r="AZ1724" s="81" t="s">
        <v>11359</v>
      </c>
      <c r="BA1724" s="81" t="s">
        <v>11359</v>
      </c>
      <c r="BB1724" s="81" t="s">
        <v>11359</v>
      </c>
      <c r="BC1724" s="81" t="s">
        <v>10837</v>
      </c>
      <c r="BD1724" s="81" t="s">
        <v>11643</v>
      </c>
      <c r="BE1724" s="77"/>
      <c r="BF1724" s="77"/>
      <c r="BG1724" s="77"/>
      <c r="BH1724" s="77"/>
      <c r="BI1724" s="77"/>
    </row>
    <row r="1725" spans="1:61" x14ac:dyDescent="0.25">
      <c r="A1725" s="62" t="s">
        <v>698</v>
      </c>
      <c r="B1725" s="62" t="s">
        <v>698</v>
      </c>
      <c r="C1725" s="63"/>
      <c r="D1725" s="64"/>
      <c r="E1725" s="65"/>
      <c r="F1725" s="66"/>
      <c r="G1725" s="63"/>
      <c r="H1725" s="67"/>
      <c r="I1725" s="68"/>
      <c r="J1725" s="68"/>
      <c r="K1725" s="32"/>
      <c r="L1725" s="75">
        <v>1725</v>
      </c>
      <c r="M1725" s="75"/>
      <c r="N1725" s="70"/>
      <c r="O1725" s="77" t="s">
        <v>179</v>
      </c>
      <c r="P1725" s="79">
        <v>45157.244953703703</v>
      </c>
      <c r="Q1725" s="77" t="s">
        <v>2509</v>
      </c>
      <c r="R1725" s="77">
        <v>0</v>
      </c>
      <c r="S1725" s="77">
        <v>0</v>
      </c>
      <c r="T1725" s="77">
        <v>0</v>
      </c>
      <c r="U1725" s="77">
        <v>0</v>
      </c>
      <c r="V1725" s="77">
        <v>25</v>
      </c>
      <c r="W1725" s="81" t="s">
        <v>3855</v>
      </c>
      <c r="X1725" s="77"/>
      <c r="Y1725" s="77"/>
      <c r="Z1725" s="77"/>
      <c r="AA1725" s="77" t="s">
        <v>5536</v>
      </c>
      <c r="AB1725" s="77" t="s">
        <v>5795</v>
      </c>
      <c r="AC1725" s="81" t="s">
        <v>5843</v>
      </c>
      <c r="AD1725" s="77" t="s">
        <v>5850</v>
      </c>
      <c r="AE1725" s="83" t="str">
        <f>HYPERLINK("https://twitter.com/rogervelayarce3/status/1692776592555057608")</f>
        <v>https://twitter.com/rogervelayarce3/status/1692776592555057608</v>
      </c>
      <c r="AF1725" s="79">
        <v>45157.244953703703</v>
      </c>
      <c r="AG1725" s="85">
        <v>45157</v>
      </c>
      <c r="AH1725" s="81" t="s">
        <v>7359</v>
      </c>
      <c r="AI1725" s="77" t="b">
        <v>0</v>
      </c>
      <c r="AJ1725" s="77"/>
      <c r="AK1725" s="77"/>
      <c r="AL1725" s="77"/>
      <c r="AM1725" s="77"/>
      <c r="AN1725" s="77"/>
      <c r="AO1725" s="77"/>
      <c r="AP1725" s="77"/>
      <c r="AQ1725" s="77" t="s">
        <v>9039</v>
      </c>
      <c r="AR1725" s="77">
        <v>59123</v>
      </c>
      <c r="AS1725" s="77"/>
      <c r="AT1725" s="77"/>
      <c r="AU1725" s="77"/>
      <c r="AV1725" s="83" t="str">
        <f>HYPERLINK("https://pbs.twimg.com/amplify_video_thumb/1692776419498094593/img/wp7FX6Tz0HexP5eu.jpg")</f>
        <v>https://pbs.twimg.com/amplify_video_thumb/1692776419498094593/img/wp7FX6Tz0HexP5eu.jpg</v>
      </c>
      <c r="AW1725" s="81" t="s">
        <v>10838</v>
      </c>
      <c r="AX1725" s="81" t="s">
        <v>10838</v>
      </c>
      <c r="AY1725" s="77"/>
      <c r="AZ1725" s="81" t="s">
        <v>11359</v>
      </c>
      <c r="BA1725" s="81" t="s">
        <v>11359</v>
      </c>
      <c r="BB1725" s="81" t="s">
        <v>11359</v>
      </c>
      <c r="BC1725" s="81" t="s">
        <v>10838</v>
      </c>
      <c r="BD1725" s="81" t="s">
        <v>11643</v>
      </c>
      <c r="BE1725" s="77"/>
      <c r="BF1725" s="77"/>
      <c r="BG1725" s="77"/>
      <c r="BH1725" s="77"/>
      <c r="BI1725" s="77"/>
    </row>
    <row r="1726" spans="1:61" x14ac:dyDescent="0.25">
      <c r="A1726" s="62" t="s">
        <v>699</v>
      </c>
      <c r="B1726" s="62" t="s">
        <v>699</v>
      </c>
      <c r="C1726" s="63"/>
      <c r="D1726" s="64"/>
      <c r="E1726" s="65"/>
      <c r="F1726" s="66"/>
      <c r="G1726" s="63"/>
      <c r="H1726" s="67"/>
      <c r="I1726" s="68"/>
      <c r="J1726" s="68"/>
      <c r="K1726" s="32"/>
      <c r="L1726" s="75">
        <v>1726</v>
      </c>
      <c r="M1726" s="75"/>
      <c r="N1726" s="70"/>
      <c r="O1726" s="77" t="s">
        <v>179</v>
      </c>
      <c r="P1726" s="79">
        <v>44980.833182870374</v>
      </c>
      <c r="Q1726" s="77" t="s">
        <v>2510</v>
      </c>
      <c r="R1726" s="77">
        <v>0</v>
      </c>
      <c r="S1726" s="77">
        <v>1</v>
      </c>
      <c r="T1726" s="77">
        <v>0</v>
      </c>
      <c r="U1726" s="77">
        <v>0</v>
      </c>
      <c r="V1726" s="77">
        <v>56</v>
      </c>
      <c r="W1726" s="81" t="s">
        <v>3856</v>
      </c>
      <c r="X1726" s="77"/>
      <c r="Y1726" s="77"/>
      <c r="Z1726" s="77"/>
      <c r="AA1726" s="77" t="s">
        <v>5537</v>
      </c>
      <c r="AB1726" s="77" t="s">
        <v>5794</v>
      </c>
      <c r="AC1726" s="81" t="s">
        <v>5805</v>
      </c>
      <c r="AD1726" s="77" t="s">
        <v>5850</v>
      </c>
      <c r="AE1726" s="83" t="str">
        <f>HYPERLINK("https://twitter.com/_vincenzocoll/status/1628847106453544962")</f>
        <v>https://twitter.com/_vincenzocoll/status/1628847106453544962</v>
      </c>
      <c r="AF1726" s="79">
        <v>44980.833182870374</v>
      </c>
      <c r="AG1726" s="85">
        <v>44980</v>
      </c>
      <c r="AH1726" s="81" t="s">
        <v>7360</v>
      </c>
      <c r="AI1726" s="77" t="b">
        <v>0</v>
      </c>
      <c r="AJ1726" s="77"/>
      <c r="AK1726" s="77"/>
      <c r="AL1726" s="77"/>
      <c r="AM1726" s="77"/>
      <c r="AN1726" s="77"/>
      <c r="AO1726" s="77"/>
      <c r="AP1726" s="77"/>
      <c r="AQ1726" s="77" t="s">
        <v>9040</v>
      </c>
      <c r="AR1726" s="77"/>
      <c r="AS1726" s="77"/>
      <c r="AT1726" s="77"/>
      <c r="AU1726" s="77"/>
      <c r="AV1726" s="83" t="str">
        <f>HYPERLINK("https://pbs.twimg.com/media/FprTtJ7WIAEoDAl.jpg")</f>
        <v>https://pbs.twimg.com/media/FprTtJ7WIAEoDAl.jpg</v>
      </c>
      <c r="AW1726" s="81" t="s">
        <v>10839</v>
      </c>
      <c r="AX1726" s="81" t="s">
        <v>10839</v>
      </c>
      <c r="AY1726" s="77"/>
      <c r="AZ1726" s="81" t="s">
        <v>11359</v>
      </c>
      <c r="BA1726" s="81" t="s">
        <v>11359</v>
      </c>
      <c r="BB1726" s="81" t="s">
        <v>11359</v>
      </c>
      <c r="BC1726" s="81" t="s">
        <v>10839</v>
      </c>
      <c r="BD1726" s="77">
        <v>3062049106</v>
      </c>
      <c r="BE1726" s="77"/>
      <c r="BF1726" s="77"/>
      <c r="BG1726" s="77"/>
      <c r="BH1726" s="77"/>
      <c r="BI1726" s="77"/>
    </row>
    <row r="1727" spans="1:61" x14ac:dyDescent="0.25">
      <c r="A1727" s="62" t="s">
        <v>700</v>
      </c>
      <c r="B1727" s="62" t="s">
        <v>947</v>
      </c>
      <c r="C1727" s="63"/>
      <c r="D1727" s="64"/>
      <c r="E1727" s="65"/>
      <c r="F1727" s="66"/>
      <c r="G1727" s="63"/>
      <c r="H1727" s="67"/>
      <c r="I1727" s="68"/>
      <c r="J1727" s="68"/>
      <c r="K1727" s="32"/>
      <c r="L1727" s="75">
        <v>1727</v>
      </c>
      <c r="M1727" s="75"/>
      <c r="N1727" s="70"/>
      <c r="O1727" s="77" t="s">
        <v>967</v>
      </c>
      <c r="P1727" s="79">
        <v>45077.953784722224</v>
      </c>
      <c r="Q1727" s="77" t="s">
        <v>2511</v>
      </c>
      <c r="R1727" s="77">
        <v>330</v>
      </c>
      <c r="S1727" s="77">
        <v>708</v>
      </c>
      <c r="T1727" s="77">
        <v>40</v>
      </c>
      <c r="U1727" s="77">
        <v>12</v>
      </c>
      <c r="V1727" s="77">
        <v>15155</v>
      </c>
      <c r="W1727" s="77"/>
      <c r="X1727" s="77"/>
      <c r="Y1727" s="77"/>
      <c r="Z1727" s="77" t="s">
        <v>947</v>
      </c>
      <c r="AA1727" s="77" t="s">
        <v>5538</v>
      </c>
      <c r="AB1727" s="77" t="s">
        <v>5794</v>
      </c>
      <c r="AC1727" s="81" t="s">
        <v>5803</v>
      </c>
      <c r="AD1727" s="77" t="s">
        <v>5850</v>
      </c>
      <c r="AE1727" s="83" t="str">
        <f>HYPERLINK("https://twitter.com/luiserolave/status/1664042435498917888")</f>
        <v>https://twitter.com/luiserolave/status/1664042435498917888</v>
      </c>
      <c r="AF1727" s="79">
        <v>45077.953784722224</v>
      </c>
      <c r="AG1727" s="85">
        <v>45077</v>
      </c>
      <c r="AH1727" s="81" t="s">
        <v>7361</v>
      </c>
      <c r="AI1727" s="77" t="b">
        <v>0</v>
      </c>
      <c r="AJ1727" s="77"/>
      <c r="AK1727" s="77"/>
      <c r="AL1727" s="77"/>
      <c r="AM1727" s="77"/>
      <c r="AN1727" s="77"/>
      <c r="AO1727" s="77"/>
      <c r="AP1727" s="77"/>
      <c r="AQ1727" s="77" t="s">
        <v>9041</v>
      </c>
      <c r="AR1727" s="77"/>
      <c r="AS1727" s="77"/>
      <c r="AT1727" s="77"/>
      <c r="AU1727" s="77"/>
      <c r="AV1727" s="83" t="str">
        <f>HYPERLINK("https://pbs.twimg.com/media/Fxfdxk5WcAwyh2o.jpg")</f>
        <v>https://pbs.twimg.com/media/Fxfdxk5WcAwyh2o.jpg</v>
      </c>
      <c r="AW1727" s="81" t="s">
        <v>10840</v>
      </c>
      <c r="AX1727" s="81" t="s">
        <v>10840</v>
      </c>
      <c r="AY1727" s="77"/>
      <c r="AZ1727" s="81" t="s">
        <v>11359</v>
      </c>
      <c r="BA1727" s="81" t="s">
        <v>11359</v>
      </c>
      <c r="BB1727" s="81" t="s">
        <v>11359</v>
      </c>
      <c r="BC1727" s="81" t="s">
        <v>10840</v>
      </c>
      <c r="BD1727" s="77">
        <v>157084932</v>
      </c>
      <c r="BE1727" s="77"/>
      <c r="BF1727" s="77"/>
      <c r="BG1727" s="77"/>
      <c r="BH1727" s="77"/>
      <c r="BI1727" s="77"/>
    </row>
    <row r="1728" spans="1:61" x14ac:dyDescent="0.25">
      <c r="A1728" s="62" t="s">
        <v>701</v>
      </c>
      <c r="B1728" s="62" t="s">
        <v>701</v>
      </c>
      <c r="C1728" s="63"/>
      <c r="D1728" s="64"/>
      <c r="E1728" s="65"/>
      <c r="F1728" s="66"/>
      <c r="G1728" s="63"/>
      <c r="H1728" s="67"/>
      <c r="I1728" s="68"/>
      <c r="J1728" s="68"/>
      <c r="K1728" s="32"/>
      <c r="L1728" s="75">
        <v>1728</v>
      </c>
      <c r="M1728" s="75"/>
      <c r="N1728" s="70"/>
      <c r="O1728" s="77" t="s">
        <v>179</v>
      </c>
      <c r="P1728" s="79">
        <v>45038.584305555552</v>
      </c>
      <c r="Q1728" s="77" t="s">
        <v>2512</v>
      </c>
      <c r="R1728" s="77">
        <v>0</v>
      </c>
      <c r="S1728" s="77">
        <v>0</v>
      </c>
      <c r="T1728" s="77">
        <v>0</v>
      </c>
      <c r="U1728" s="77">
        <v>0</v>
      </c>
      <c r="V1728" s="77">
        <v>9</v>
      </c>
      <c r="W1728" s="81" t="s">
        <v>3857</v>
      </c>
      <c r="X1728" s="77"/>
      <c r="Y1728" s="77"/>
      <c r="Z1728" s="77"/>
      <c r="AA1728" s="77" t="s">
        <v>5539</v>
      </c>
      <c r="AB1728" s="77" t="s">
        <v>5795</v>
      </c>
      <c r="AC1728" s="81" t="s">
        <v>5808</v>
      </c>
      <c r="AD1728" s="77" t="s">
        <v>5851</v>
      </c>
      <c r="AE1728" s="83" t="str">
        <f>HYPERLINK("https://twitter.com/topipcomputador/status/1649775412145278976")</f>
        <v>https://twitter.com/topipcomputador/status/1649775412145278976</v>
      </c>
      <c r="AF1728" s="79">
        <v>45038.584305555552</v>
      </c>
      <c r="AG1728" s="85">
        <v>45038</v>
      </c>
      <c r="AH1728" s="81" t="s">
        <v>7362</v>
      </c>
      <c r="AI1728" s="77" t="b">
        <v>0</v>
      </c>
      <c r="AJ1728" s="77"/>
      <c r="AK1728" s="77"/>
      <c r="AL1728" s="77"/>
      <c r="AM1728" s="77"/>
      <c r="AN1728" s="77"/>
      <c r="AO1728" s="77"/>
      <c r="AP1728" s="77"/>
      <c r="AQ1728" s="77" t="s">
        <v>9042</v>
      </c>
      <c r="AR1728" s="77">
        <v>26416</v>
      </c>
      <c r="AS1728" s="77"/>
      <c r="AT1728" s="77"/>
      <c r="AU1728" s="77"/>
      <c r="AV1728" s="83" t="str">
        <f>HYPERLINK("https://pbs.twimg.com/ext_tw_video_thumb/1649775264140869632/pu/img/P8p9XjZuiIzIvVQR.jpg")</f>
        <v>https://pbs.twimg.com/ext_tw_video_thumb/1649775264140869632/pu/img/P8p9XjZuiIzIvVQR.jpg</v>
      </c>
      <c r="AW1728" s="81" t="s">
        <v>10841</v>
      </c>
      <c r="AX1728" s="81" t="s">
        <v>10841</v>
      </c>
      <c r="AY1728" s="77"/>
      <c r="AZ1728" s="81" t="s">
        <v>11359</v>
      </c>
      <c r="BA1728" s="81" t="s">
        <v>11359</v>
      </c>
      <c r="BB1728" s="81" t="s">
        <v>11359</v>
      </c>
      <c r="BC1728" s="81" t="s">
        <v>10841</v>
      </c>
      <c r="BD1728" s="77">
        <v>580948292</v>
      </c>
      <c r="BE1728" s="77"/>
      <c r="BF1728" s="77"/>
      <c r="BG1728" s="77"/>
      <c r="BH1728" s="77"/>
      <c r="BI1728" s="77"/>
    </row>
    <row r="1729" spans="1:61" x14ac:dyDescent="0.25">
      <c r="A1729" s="62" t="s">
        <v>702</v>
      </c>
      <c r="B1729" s="62" t="s">
        <v>702</v>
      </c>
      <c r="C1729" s="63"/>
      <c r="D1729" s="64"/>
      <c r="E1729" s="65"/>
      <c r="F1729" s="66"/>
      <c r="G1729" s="63"/>
      <c r="H1729" s="67"/>
      <c r="I1729" s="68"/>
      <c r="J1729" s="68"/>
      <c r="K1729" s="32"/>
      <c r="L1729" s="75">
        <v>1729</v>
      </c>
      <c r="M1729" s="75"/>
      <c r="N1729" s="70"/>
      <c r="O1729" s="77" t="s">
        <v>179</v>
      </c>
      <c r="P1729" s="79">
        <v>44964.791921296295</v>
      </c>
      <c r="Q1729" s="77" t="s">
        <v>2513</v>
      </c>
      <c r="R1729" s="77">
        <v>0</v>
      </c>
      <c r="S1729" s="77">
        <v>0</v>
      </c>
      <c r="T1729" s="77">
        <v>0</v>
      </c>
      <c r="U1729" s="77">
        <v>0</v>
      </c>
      <c r="V1729" s="77">
        <v>12</v>
      </c>
      <c r="W1729" s="81" t="s">
        <v>3858</v>
      </c>
      <c r="X1729" s="77"/>
      <c r="Y1729" s="77"/>
      <c r="Z1729" s="77"/>
      <c r="AA1729" s="77"/>
      <c r="AB1729" s="77"/>
      <c r="AC1729" s="81" t="s">
        <v>5802</v>
      </c>
      <c r="AD1729" s="77" t="s">
        <v>5850</v>
      </c>
      <c r="AE1729" s="83" t="str">
        <f>HYPERLINK("https://twitter.com/galvngmez/status/1623033947604062211")</f>
        <v>https://twitter.com/galvngmez/status/1623033947604062211</v>
      </c>
      <c r="AF1729" s="79">
        <v>44964.791921296295</v>
      </c>
      <c r="AG1729" s="85">
        <v>44964</v>
      </c>
      <c r="AH1729" s="81" t="s">
        <v>7363</v>
      </c>
      <c r="AI1729" s="77"/>
      <c r="AJ1729" s="77"/>
      <c r="AK1729" s="77"/>
      <c r="AL1729" s="77"/>
      <c r="AM1729" s="77"/>
      <c r="AN1729" s="77"/>
      <c r="AO1729" s="77"/>
      <c r="AP1729" s="77"/>
      <c r="AQ1729" s="77"/>
      <c r="AR1729" s="77"/>
      <c r="AS1729" s="77"/>
      <c r="AT1729" s="77"/>
      <c r="AU1729" s="77"/>
      <c r="AV1729" s="83" t="str">
        <f>HYPERLINK("https://pbs.twimg.com/profile_images/1648753807117910017/nSubEm7s_normal.jpg")</f>
        <v>https://pbs.twimg.com/profile_images/1648753807117910017/nSubEm7s_normal.jpg</v>
      </c>
      <c r="AW1729" s="81" t="s">
        <v>10842</v>
      </c>
      <c r="AX1729" s="81" t="s">
        <v>10842</v>
      </c>
      <c r="AY1729" s="77"/>
      <c r="AZ1729" s="81" t="s">
        <v>11359</v>
      </c>
      <c r="BA1729" s="81" t="s">
        <v>11359</v>
      </c>
      <c r="BB1729" s="81" t="s">
        <v>11359</v>
      </c>
      <c r="BC1729" s="81" t="s">
        <v>10842</v>
      </c>
      <c r="BD1729" s="77">
        <v>1084210986</v>
      </c>
      <c r="BE1729" s="77"/>
      <c r="BF1729" s="77"/>
      <c r="BG1729" s="77"/>
      <c r="BH1729" s="77"/>
      <c r="BI1729" s="77"/>
    </row>
    <row r="1730" spans="1:61" x14ac:dyDescent="0.25">
      <c r="A1730" s="62" t="s">
        <v>702</v>
      </c>
      <c r="B1730" s="62" t="s">
        <v>702</v>
      </c>
      <c r="C1730" s="63"/>
      <c r="D1730" s="64"/>
      <c r="E1730" s="65"/>
      <c r="F1730" s="66"/>
      <c r="G1730" s="63"/>
      <c r="H1730" s="67"/>
      <c r="I1730" s="68"/>
      <c r="J1730" s="68"/>
      <c r="K1730" s="32"/>
      <c r="L1730" s="75">
        <v>1730</v>
      </c>
      <c r="M1730" s="75"/>
      <c r="N1730" s="70"/>
      <c r="O1730" s="77" t="s">
        <v>179</v>
      </c>
      <c r="P1730" s="79">
        <v>45037.875497685185</v>
      </c>
      <c r="Q1730" s="77" t="s">
        <v>2514</v>
      </c>
      <c r="R1730" s="77">
        <v>0</v>
      </c>
      <c r="S1730" s="77">
        <v>0</v>
      </c>
      <c r="T1730" s="77">
        <v>0</v>
      </c>
      <c r="U1730" s="77">
        <v>0</v>
      </c>
      <c r="V1730" s="77">
        <v>3</v>
      </c>
      <c r="W1730" s="81" t="s">
        <v>3859</v>
      </c>
      <c r="X1730" s="77"/>
      <c r="Y1730" s="77"/>
      <c r="Z1730" s="77"/>
      <c r="AA1730" s="77" t="s">
        <v>5540</v>
      </c>
      <c r="AB1730" s="77" t="s">
        <v>5796</v>
      </c>
      <c r="AC1730" s="81" t="s">
        <v>5802</v>
      </c>
      <c r="AD1730" s="77" t="s">
        <v>5850</v>
      </c>
      <c r="AE1730" s="83" t="str">
        <f>HYPERLINK("https://twitter.com/galvngmez/status/1649518550883749888")</f>
        <v>https://twitter.com/galvngmez/status/1649518550883749888</v>
      </c>
      <c r="AF1730" s="79">
        <v>45037.875497685185</v>
      </c>
      <c r="AG1730" s="85">
        <v>45037</v>
      </c>
      <c r="AH1730" s="81" t="s">
        <v>7364</v>
      </c>
      <c r="AI1730" s="77" t="b">
        <v>0</v>
      </c>
      <c r="AJ1730" s="77"/>
      <c r="AK1730" s="77"/>
      <c r="AL1730" s="77"/>
      <c r="AM1730" s="77"/>
      <c r="AN1730" s="77"/>
      <c r="AO1730" s="77"/>
      <c r="AP1730" s="77"/>
      <c r="AQ1730" s="77" t="s">
        <v>9043</v>
      </c>
      <c r="AR1730" s="77"/>
      <c r="AS1730" s="77"/>
      <c r="AT1730" s="77"/>
      <c r="AU1730" s="77"/>
      <c r="AV1730" s="83" t="str">
        <f>HYPERLINK("https://pbs.twimg.com/tweet_video_thumb/FuREYZaWYAAPsdx.jpg")</f>
        <v>https://pbs.twimg.com/tweet_video_thumb/FuREYZaWYAAPsdx.jpg</v>
      </c>
      <c r="AW1730" s="81" t="s">
        <v>10843</v>
      </c>
      <c r="AX1730" s="81" t="s">
        <v>10843</v>
      </c>
      <c r="AY1730" s="77"/>
      <c r="AZ1730" s="81" t="s">
        <v>11359</v>
      </c>
      <c r="BA1730" s="81" t="s">
        <v>11359</v>
      </c>
      <c r="BB1730" s="81" t="s">
        <v>11359</v>
      </c>
      <c r="BC1730" s="81" t="s">
        <v>10843</v>
      </c>
      <c r="BD1730" s="77">
        <v>1084210986</v>
      </c>
      <c r="BE1730" s="77"/>
      <c r="BF1730" s="77"/>
      <c r="BG1730" s="77"/>
      <c r="BH1730" s="77"/>
      <c r="BI1730" s="77"/>
    </row>
    <row r="1731" spans="1:61" x14ac:dyDescent="0.25">
      <c r="A1731" s="62" t="s">
        <v>702</v>
      </c>
      <c r="B1731" s="62" t="s">
        <v>702</v>
      </c>
      <c r="C1731" s="63"/>
      <c r="D1731" s="64"/>
      <c r="E1731" s="65"/>
      <c r="F1731" s="66"/>
      <c r="G1731" s="63"/>
      <c r="H1731" s="67"/>
      <c r="I1731" s="68"/>
      <c r="J1731" s="68"/>
      <c r="K1731" s="32"/>
      <c r="L1731" s="75">
        <v>1731</v>
      </c>
      <c r="M1731" s="75"/>
      <c r="N1731" s="70"/>
      <c r="O1731" s="77" t="s">
        <v>179</v>
      </c>
      <c r="P1731" s="79">
        <v>44985.708969907406</v>
      </c>
      <c r="Q1731" s="77" t="s">
        <v>2515</v>
      </c>
      <c r="R1731" s="77">
        <v>0</v>
      </c>
      <c r="S1731" s="77">
        <v>0</v>
      </c>
      <c r="T1731" s="77">
        <v>0</v>
      </c>
      <c r="U1731" s="77">
        <v>0</v>
      </c>
      <c r="V1731" s="77">
        <v>12</v>
      </c>
      <c r="W1731" s="81" t="s">
        <v>3860</v>
      </c>
      <c r="X1731" s="77"/>
      <c r="Y1731" s="77"/>
      <c r="Z1731" s="77"/>
      <c r="AA1731" s="77"/>
      <c r="AB1731" s="77"/>
      <c r="AC1731" s="81" t="s">
        <v>5802</v>
      </c>
      <c r="AD1731" s="77" t="s">
        <v>5850</v>
      </c>
      <c r="AE1731" s="83" t="str">
        <f>HYPERLINK("https://twitter.com/galvngmez/status/1630614031089254415")</f>
        <v>https://twitter.com/galvngmez/status/1630614031089254415</v>
      </c>
      <c r="AF1731" s="79">
        <v>44985.708969907406</v>
      </c>
      <c r="AG1731" s="85">
        <v>44985</v>
      </c>
      <c r="AH1731" s="81" t="s">
        <v>7365</v>
      </c>
      <c r="AI1731" s="77"/>
      <c r="AJ1731" s="77"/>
      <c r="AK1731" s="77"/>
      <c r="AL1731" s="77"/>
      <c r="AM1731" s="77"/>
      <c r="AN1731" s="77"/>
      <c r="AO1731" s="77"/>
      <c r="AP1731" s="77"/>
      <c r="AQ1731" s="77"/>
      <c r="AR1731" s="77"/>
      <c r="AS1731" s="77"/>
      <c r="AT1731" s="77"/>
      <c r="AU1731" s="77"/>
      <c r="AV1731" s="83" t="str">
        <f>HYPERLINK("https://pbs.twimg.com/profile_images/1648753807117910017/nSubEm7s_normal.jpg")</f>
        <v>https://pbs.twimg.com/profile_images/1648753807117910017/nSubEm7s_normal.jpg</v>
      </c>
      <c r="AW1731" s="81" t="s">
        <v>10844</v>
      </c>
      <c r="AX1731" s="81" t="s">
        <v>10844</v>
      </c>
      <c r="AY1731" s="77"/>
      <c r="AZ1731" s="81" t="s">
        <v>11359</v>
      </c>
      <c r="BA1731" s="81" t="s">
        <v>11359</v>
      </c>
      <c r="BB1731" s="81" t="s">
        <v>11359</v>
      </c>
      <c r="BC1731" s="81" t="s">
        <v>10844</v>
      </c>
      <c r="BD1731" s="77">
        <v>1084210986</v>
      </c>
      <c r="BE1731" s="77"/>
      <c r="BF1731" s="77"/>
      <c r="BG1731" s="77"/>
      <c r="BH1731" s="77"/>
      <c r="BI1731" s="77"/>
    </row>
    <row r="1732" spans="1:61" x14ac:dyDescent="0.25">
      <c r="A1732" s="62" t="s">
        <v>702</v>
      </c>
      <c r="B1732" s="62" t="s">
        <v>702</v>
      </c>
      <c r="C1732" s="63"/>
      <c r="D1732" s="64"/>
      <c r="E1732" s="65"/>
      <c r="F1732" s="66"/>
      <c r="G1732" s="63"/>
      <c r="H1732" s="67"/>
      <c r="I1732" s="68"/>
      <c r="J1732" s="68"/>
      <c r="K1732" s="32"/>
      <c r="L1732" s="75">
        <v>1732</v>
      </c>
      <c r="M1732" s="75"/>
      <c r="N1732" s="70"/>
      <c r="O1732" s="77" t="s">
        <v>179</v>
      </c>
      <c r="P1732" s="79">
        <v>44985.625636574077</v>
      </c>
      <c r="Q1732" s="77" t="s">
        <v>2516</v>
      </c>
      <c r="R1732" s="77">
        <v>0</v>
      </c>
      <c r="S1732" s="77">
        <v>0</v>
      </c>
      <c r="T1732" s="77">
        <v>0</v>
      </c>
      <c r="U1732" s="77">
        <v>0</v>
      </c>
      <c r="V1732" s="77">
        <v>4</v>
      </c>
      <c r="W1732" s="81" t="s">
        <v>3861</v>
      </c>
      <c r="X1732" s="83" t="str">
        <f>HYPERLINK("http://ow.ly/S14x50N3Zi5")</f>
        <v>http://ow.ly/S14x50N3Zi5</v>
      </c>
      <c r="Y1732" s="77" t="s">
        <v>4321</v>
      </c>
      <c r="Z1732" s="77"/>
      <c r="AA1732" s="77"/>
      <c r="AB1732" s="77"/>
      <c r="AC1732" s="81" t="s">
        <v>5802</v>
      </c>
      <c r="AD1732" s="77" t="s">
        <v>5850</v>
      </c>
      <c r="AE1732" s="83" t="str">
        <f>HYPERLINK("https://twitter.com/galvngmez/status/1630583836076646402")</f>
        <v>https://twitter.com/galvngmez/status/1630583836076646402</v>
      </c>
      <c r="AF1732" s="79">
        <v>44985.625636574077</v>
      </c>
      <c r="AG1732" s="85">
        <v>44985</v>
      </c>
      <c r="AH1732" s="81" t="s">
        <v>7366</v>
      </c>
      <c r="AI1732" s="77" t="b">
        <v>0</v>
      </c>
      <c r="AJ1732" s="77"/>
      <c r="AK1732" s="77"/>
      <c r="AL1732" s="77"/>
      <c r="AM1732" s="77"/>
      <c r="AN1732" s="77"/>
      <c r="AO1732" s="77"/>
      <c r="AP1732" s="77"/>
      <c r="AQ1732" s="77"/>
      <c r="AR1732" s="77"/>
      <c r="AS1732" s="77"/>
      <c r="AT1732" s="77"/>
      <c r="AU1732" s="77"/>
      <c r="AV1732" s="83" t="str">
        <f>HYPERLINK("https://pbs.twimg.com/profile_images/1648753807117910017/nSubEm7s_normal.jpg")</f>
        <v>https://pbs.twimg.com/profile_images/1648753807117910017/nSubEm7s_normal.jpg</v>
      </c>
      <c r="AW1732" s="81" t="s">
        <v>10845</v>
      </c>
      <c r="AX1732" s="81" t="s">
        <v>10845</v>
      </c>
      <c r="AY1732" s="77"/>
      <c r="AZ1732" s="81" t="s">
        <v>11359</v>
      </c>
      <c r="BA1732" s="81" t="s">
        <v>11359</v>
      </c>
      <c r="BB1732" s="81" t="s">
        <v>11359</v>
      </c>
      <c r="BC1732" s="81" t="s">
        <v>10845</v>
      </c>
      <c r="BD1732" s="77">
        <v>1084210986</v>
      </c>
      <c r="BE1732" s="77"/>
      <c r="BF1732" s="77"/>
      <c r="BG1732" s="77"/>
      <c r="BH1732" s="77"/>
      <c r="BI1732" s="77"/>
    </row>
    <row r="1733" spans="1:61" x14ac:dyDescent="0.25">
      <c r="A1733" s="62" t="s">
        <v>702</v>
      </c>
      <c r="B1733" s="62" t="s">
        <v>702</v>
      </c>
      <c r="C1733" s="63"/>
      <c r="D1733" s="64"/>
      <c r="E1733" s="65"/>
      <c r="F1733" s="66"/>
      <c r="G1733" s="63"/>
      <c r="H1733" s="67"/>
      <c r="I1733" s="68"/>
      <c r="J1733" s="68"/>
      <c r="K1733" s="32"/>
      <c r="L1733" s="75">
        <v>1733</v>
      </c>
      <c r="M1733" s="75"/>
      <c r="N1733" s="70"/>
      <c r="O1733" s="77" t="s">
        <v>179</v>
      </c>
      <c r="P1733" s="79">
        <v>45049.000219907408</v>
      </c>
      <c r="Q1733" s="77" t="s">
        <v>2517</v>
      </c>
      <c r="R1733" s="77">
        <v>0</v>
      </c>
      <c r="S1733" s="77">
        <v>1</v>
      </c>
      <c r="T1733" s="77">
        <v>0</v>
      </c>
      <c r="U1733" s="77">
        <v>0</v>
      </c>
      <c r="V1733" s="77">
        <v>5</v>
      </c>
      <c r="W1733" s="81" t="s">
        <v>3862</v>
      </c>
      <c r="X1733" s="77"/>
      <c r="Y1733" s="77"/>
      <c r="Z1733" s="77"/>
      <c r="AA1733" s="77" t="s">
        <v>5541</v>
      </c>
      <c r="AB1733" s="77" t="s">
        <v>5796</v>
      </c>
      <c r="AC1733" s="81" t="s">
        <v>5802</v>
      </c>
      <c r="AD1733" s="77" t="s">
        <v>5850</v>
      </c>
      <c r="AE1733" s="83" t="str">
        <f>HYPERLINK("https://twitter.com/galvngmez/status/1653550015258689540")</f>
        <v>https://twitter.com/galvngmez/status/1653550015258689540</v>
      </c>
      <c r="AF1733" s="79">
        <v>45049.000219907408</v>
      </c>
      <c r="AG1733" s="85">
        <v>45049</v>
      </c>
      <c r="AH1733" s="81" t="s">
        <v>7367</v>
      </c>
      <c r="AI1733" s="77" t="b">
        <v>0</v>
      </c>
      <c r="AJ1733" s="77"/>
      <c r="AK1733" s="77"/>
      <c r="AL1733" s="77"/>
      <c r="AM1733" s="77"/>
      <c r="AN1733" s="77"/>
      <c r="AO1733" s="77"/>
      <c r="AP1733" s="77"/>
      <c r="AQ1733" s="77" t="s">
        <v>9044</v>
      </c>
      <c r="AR1733" s="77"/>
      <c r="AS1733" s="77"/>
      <c r="AT1733" s="77"/>
      <c r="AU1733" s="77"/>
      <c r="AV1733" s="83" t="str">
        <f>HYPERLINK("https://pbs.twimg.com/tweet_video_thumb/FvKW-ejWcAAQyVo.jpg")</f>
        <v>https://pbs.twimg.com/tweet_video_thumb/FvKW-ejWcAAQyVo.jpg</v>
      </c>
      <c r="AW1733" s="81" t="s">
        <v>10846</v>
      </c>
      <c r="AX1733" s="81" t="s">
        <v>10846</v>
      </c>
      <c r="AY1733" s="77"/>
      <c r="AZ1733" s="81" t="s">
        <v>11359</v>
      </c>
      <c r="BA1733" s="81" t="s">
        <v>11359</v>
      </c>
      <c r="BB1733" s="81" t="s">
        <v>11359</v>
      </c>
      <c r="BC1733" s="81" t="s">
        <v>10846</v>
      </c>
      <c r="BD1733" s="77">
        <v>1084210986</v>
      </c>
      <c r="BE1733" s="77"/>
      <c r="BF1733" s="77"/>
      <c r="BG1733" s="77"/>
      <c r="BH1733" s="77"/>
      <c r="BI1733" s="77"/>
    </row>
    <row r="1734" spans="1:61" x14ac:dyDescent="0.25">
      <c r="A1734" s="62" t="s">
        <v>702</v>
      </c>
      <c r="B1734" s="62" t="s">
        <v>702</v>
      </c>
      <c r="C1734" s="63"/>
      <c r="D1734" s="64"/>
      <c r="E1734" s="65"/>
      <c r="F1734" s="66"/>
      <c r="G1734" s="63"/>
      <c r="H1734" s="67"/>
      <c r="I1734" s="68"/>
      <c r="J1734" s="68"/>
      <c r="K1734" s="32"/>
      <c r="L1734" s="75">
        <v>1734</v>
      </c>
      <c r="M1734" s="75"/>
      <c r="N1734" s="70"/>
      <c r="O1734" s="77" t="s">
        <v>179</v>
      </c>
      <c r="P1734" s="79">
        <v>45042.102488425924</v>
      </c>
      <c r="Q1734" s="77" t="s">
        <v>2518</v>
      </c>
      <c r="R1734" s="77">
        <v>0</v>
      </c>
      <c r="S1734" s="77">
        <v>0</v>
      </c>
      <c r="T1734" s="77">
        <v>1</v>
      </c>
      <c r="U1734" s="77">
        <v>0</v>
      </c>
      <c r="V1734" s="77">
        <v>14</v>
      </c>
      <c r="W1734" s="81" t="s">
        <v>3863</v>
      </c>
      <c r="X1734" s="77"/>
      <c r="Y1734" s="77"/>
      <c r="Z1734" s="77"/>
      <c r="AA1734" s="77"/>
      <c r="AB1734" s="77"/>
      <c r="AC1734" s="81" t="s">
        <v>5801</v>
      </c>
      <c r="AD1734" s="77" t="s">
        <v>5850</v>
      </c>
      <c r="AE1734" s="83" t="str">
        <f>HYPERLINK("https://twitter.com/galvngmez/status/1651050358180048897")</f>
        <v>https://twitter.com/galvngmez/status/1651050358180048897</v>
      </c>
      <c r="AF1734" s="79">
        <v>45042.102488425924</v>
      </c>
      <c r="AG1734" s="85">
        <v>45042</v>
      </c>
      <c r="AH1734" s="81" t="s">
        <v>7368</v>
      </c>
      <c r="AI1734" s="77"/>
      <c r="AJ1734" s="77"/>
      <c r="AK1734" s="77"/>
      <c r="AL1734" s="77"/>
      <c r="AM1734" s="77"/>
      <c r="AN1734" s="77"/>
      <c r="AO1734" s="77"/>
      <c r="AP1734" s="77"/>
      <c r="AQ1734" s="77"/>
      <c r="AR1734" s="77"/>
      <c r="AS1734" s="77"/>
      <c r="AT1734" s="77"/>
      <c r="AU1734" s="77"/>
      <c r="AV1734" s="83" t="str">
        <f>HYPERLINK("https://pbs.twimg.com/profile_images/1648753807117910017/nSubEm7s_normal.jpg")</f>
        <v>https://pbs.twimg.com/profile_images/1648753807117910017/nSubEm7s_normal.jpg</v>
      </c>
      <c r="AW1734" s="81" t="s">
        <v>10847</v>
      </c>
      <c r="AX1734" s="81" t="s">
        <v>10847</v>
      </c>
      <c r="AY1734" s="77"/>
      <c r="AZ1734" s="81" t="s">
        <v>11359</v>
      </c>
      <c r="BA1734" s="81" t="s">
        <v>11359</v>
      </c>
      <c r="BB1734" s="81" t="s">
        <v>11359</v>
      </c>
      <c r="BC1734" s="81" t="s">
        <v>10847</v>
      </c>
      <c r="BD1734" s="77">
        <v>1084210986</v>
      </c>
      <c r="BE1734" s="77"/>
      <c r="BF1734" s="77"/>
      <c r="BG1734" s="77"/>
      <c r="BH1734" s="77"/>
      <c r="BI1734" s="77"/>
    </row>
    <row r="1735" spans="1:61" x14ac:dyDescent="0.25">
      <c r="A1735" s="62" t="s">
        <v>702</v>
      </c>
      <c r="B1735" s="62" t="s">
        <v>702</v>
      </c>
      <c r="C1735" s="63"/>
      <c r="D1735" s="64"/>
      <c r="E1735" s="65"/>
      <c r="F1735" s="66"/>
      <c r="G1735" s="63"/>
      <c r="H1735" s="67"/>
      <c r="I1735" s="68"/>
      <c r="J1735" s="68"/>
      <c r="K1735" s="32"/>
      <c r="L1735" s="75">
        <v>1735</v>
      </c>
      <c r="M1735" s="75"/>
      <c r="N1735" s="70"/>
      <c r="O1735" s="77" t="s">
        <v>179</v>
      </c>
      <c r="P1735" s="79">
        <v>45097.958506944444</v>
      </c>
      <c r="Q1735" s="77" t="s">
        <v>2519</v>
      </c>
      <c r="R1735" s="77">
        <v>0</v>
      </c>
      <c r="S1735" s="77">
        <v>1</v>
      </c>
      <c r="T1735" s="77">
        <v>0</v>
      </c>
      <c r="U1735" s="77">
        <v>0</v>
      </c>
      <c r="V1735" s="77">
        <v>7</v>
      </c>
      <c r="W1735" s="81" t="s">
        <v>3864</v>
      </c>
      <c r="X1735" s="83" t="str">
        <f>HYPERLINK("https://ow.ly/Aptb50OSY7L")</f>
        <v>https://ow.ly/Aptb50OSY7L</v>
      </c>
      <c r="Y1735" s="77" t="s">
        <v>4321</v>
      </c>
      <c r="Z1735" s="77"/>
      <c r="AA1735" s="77"/>
      <c r="AB1735" s="77"/>
      <c r="AC1735" s="81" t="s">
        <v>5802</v>
      </c>
      <c r="AD1735" s="77" t="s">
        <v>5850</v>
      </c>
      <c r="AE1735" s="83" t="str">
        <f>HYPERLINK("https://twitter.com/galvngmez/status/1671291904087162880")</f>
        <v>https://twitter.com/galvngmez/status/1671291904087162880</v>
      </c>
      <c r="AF1735" s="79">
        <v>45097.958506944444</v>
      </c>
      <c r="AG1735" s="85">
        <v>45097</v>
      </c>
      <c r="AH1735" s="81" t="s">
        <v>7369</v>
      </c>
      <c r="AI1735" s="77" t="b">
        <v>0</v>
      </c>
      <c r="AJ1735" s="77"/>
      <c r="AK1735" s="77"/>
      <c r="AL1735" s="77"/>
      <c r="AM1735" s="77"/>
      <c r="AN1735" s="77"/>
      <c r="AO1735" s="77"/>
      <c r="AP1735" s="77"/>
      <c r="AQ1735" s="77"/>
      <c r="AR1735" s="77"/>
      <c r="AS1735" s="77"/>
      <c r="AT1735" s="77"/>
      <c r="AU1735" s="77"/>
      <c r="AV1735" s="83" t="str">
        <f>HYPERLINK("https://pbs.twimg.com/profile_images/1648753807117910017/nSubEm7s_normal.jpg")</f>
        <v>https://pbs.twimg.com/profile_images/1648753807117910017/nSubEm7s_normal.jpg</v>
      </c>
      <c r="AW1735" s="81" t="s">
        <v>10848</v>
      </c>
      <c r="AX1735" s="81" t="s">
        <v>10848</v>
      </c>
      <c r="AY1735" s="77"/>
      <c r="AZ1735" s="81" t="s">
        <v>11359</v>
      </c>
      <c r="BA1735" s="81" t="s">
        <v>11359</v>
      </c>
      <c r="BB1735" s="81" t="s">
        <v>11359</v>
      </c>
      <c r="BC1735" s="81" t="s">
        <v>10848</v>
      </c>
      <c r="BD1735" s="77">
        <v>1084210986</v>
      </c>
      <c r="BE1735" s="77"/>
      <c r="BF1735" s="77"/>
      <c r="BG1735" s="77"/>
      <c r="BH1735" s="77"/>
      <c r="BI1735" s="77"/>
    </row>
    <row r="1736" spans="1:61" x14ac:dyDescent="0.25">
      <c r="A1736" s="62" t="s">
        <v>702</v>
      </c>
      <c r="B1736" s="62" t="s">
        <v>702</v>
      </c>
      <c r="C1736" s="63"/>
      <c r="D1736" s="64"/>
      <c r="E1736" s="65"/>
      <c r="F1736" s="66"/>
      <c r="G1736" s="63"/>
      <c r="H1736" s="67"/>
      <c r="I1736" s="68"/>
      <c r="J1736" s="68"/>
      <c r="K1736" s="32"/>
      <c r="L1736" s="75">
        <v>1736</v>
      </c>
      <c r="M1736" s="75"/>
      <c r="N1736" s="70"/>
      <c r="O1736" s="77" t="s">
        <v>179</v>
      </c>
      <c r="P1736" s="79">
        <v>45076.569571759261</v>
      </c>
      <c r="Q1736" s="77" t="s">
        <v>2520</v>
      </c>
      <c r="R1736" s="77">
        <v>0</v>
      </c>
      <c r="S1736" s="77">
        <v>0</v>
      </c>
      <c r="T1736" s="77">
        <v>0</v>
      </c>
      <c r="U1736" s="77">
        <v>0</v>
      </c>
      <c r="V1736" s="77">
        <v>6</v>
      </c>
      <c r="W1736" s="81" t="s">
        <v>2947</v>
      </c>
      <c r="X1736" s="83" t="str">
        <f>HYPERLINK("http://ow.ly/tyku50Oz7LA")</f>
        <v>http://ow.ly/tyku50Oz7LA</v>
      </c>
      <c r="Y1736" s="77" t="s">
        <v>4321</v>
      </c>
      <c r="Z1736" s="77"/>
      <c r="AA1736" s="77" t="s">
        <v>5542</v>
      </c>
      <c r="AB1736" s="77" t="s">
        <v>5794</v>
      </c>
      <c r="AC1736" s="81" t="s">
        <v>5802</v>
      </c>
      <c r="AD1736" s="77" t="s">
        <v>5850</v>
      </c>
      <c r="AE1736" s="83" t="str">
        <f>HYPERLINK("https://twitter.com/galvngmez/status/1663540813299609604")</f>
        <v>https://twitter.com/galvngmez/status/1663540813299609604</v>
      </c>
      <c r="AF1736" s="79">
        <v>45076.569571759261</v>
      </c>
      <c r="AG1736" s="85">
        <v>45076</v>
      </c>
      <c r="AH1736" s="81" t="s">
        <v>7370</v>
      </c>
      <c r="AI1736" s="77" t="b">
        <v>0</v>
      </c>
      <c r="AJ1736" s="77"/>
      <c r="AK1736" s="77"/>
      <c r="AL1736" s="77"/>
      <c r="AM1736" s="77"/>
      <c r="AN1736" s="77"/>
      <c r="AO1736" s="77"/>
      <c r="AP1736" s="77"/>
      <c r="AQ1736" s="77" t="s">
        <v>9045</v>
      </c>
      <c r="AR1736" s="77"/>
      <c r="AS1736" s="77"/>
      <c r="AT1736" s="77"/>
      <c r="AU1736" s="77"/>
      <c r="AV1736" s="83" t="str">
        <f>HYPERLINK("https://pbs.twimg.com/media/FxYVjasXoAAyCEi.jpg")</f>
        <v>https://pbs.twimg.com/media/FxYVjasXoAAyCEi.jpg</v>
      </c>
      <c r="AW1736" s="81" t="s">
        <v>10849</v>
      </c>
      <c r="AX1736" s="81" t="s">
        <v>10849</v>
      </c>
      <c r="AY1736" s="77"/>
      <c r="AZ1736" s="81" t="s">
        <v>11359</v>
      </c>
      <c r="BA1736" s="81" t="s">
        <v>11359</v>
      </c>
      <c r="BB1736" s="81" t="s">
        <v>11359</v>
      </c>
      <c r="BC1736" s="81" t="s">
        <v>10849</v>
      </c>
      <c r="BD1736" s="77">
        <v>1084210986</v>
      </c>
      <c r="BE1736" s="77"/>
      <c r="BF1736" s="77"/>
      <c r="BG1736" s="77"/>
      <c r="BH1736" s="77"/>
      <c r="BI1736" s="77"/>
    </row>
    <row r="1737" spans="1:61" x14ac:dyDescent="0.25">
      <c r="A1737" s="62" t="s">
        <v>702</v>
      </c>
      <c r="B1737" s="62" t="s">
        <v>702</v>
      </c>
      <c r="C1737" s="63"/>
      <c r="D1737" s="64"/>
      <c r="E1737" s="65"/>
      <c r="F1737" s="66"/>
      <c r="G1737" s="63"/>
      <c r="H1737" s="67"/>
      <c r="I1737" s="68"/>
      <c r="J1737" s="68"/>
      <c r="K1737" s="32"/>
      <c r="L1737" s="75">
        <v>1737</v>
      </c>
      <c r="M1737" s="75"/>
      <c r="N1737" s="70"/>
      <c r="O1737" s="77" t="s">
        <v>179</v>
      </c>
      <c r="P1737" s="79">
        <v>45045.000185185185</v>
      </c>
      <c r="Q1737" s="77" t="s">
        <v>2521</v>
      </c>
      <c r="R1737" s="77">
        <v>0</v>
      </c>
      <c r="S1737" s="77">
        <v>0</v>
      </c>
      <c r="T1737" s="77">
        <v>0</v>
      </c>
      <c r="U1737" s="77">
        <v>0</v>
      </c>
      <c r="V1737" s="77">
        <v>24</v>
      </c>
      <c r="W1737" s="81" t="s">
        <v>3865</v>
      </c>
      <c r="X1737" s="77"/>
      <c r="Y1737" s="77"/>
      <c r="Z1737" s="77"/>
      <c r="AA1737" s="77" t="s">
        <v>5543</v>
      </c>
      <c r="AB1737" s="77" t="s">
        <v>5795</v>
      </c>
      <c r="AC1737" s="81" t="s">
        <v>5802</v>
      </c>
      <c r="AD1737" s="77" t="s">
        <v>5850</v>
      </c>
      <c r="AE1737" s="83" t="str">
        <f>HYPERLINK("https://twitter.com/galvngmez/status/1652100449867124736")</f>
        <v>https://twitter.com/galvngmez/status/1652100449867124736</v>
      </c>
      <c r="AF1737" s="79">
        <v>45045.000185185185</v>
      </c>
      <c r="AG1737" s="85">
        <v>45045</v>
      </c>
      <c r="AH1737" s="81" t="s">
        <v>7371</v>
      </c>
      <c r="AI1737" s="77" t="b">
        <v>0</v>
      </c>
      <c r="AJ1737" s="77"/>
      <c r="AK1737" s="77"/>
      <c r="AL1737" s="77"/>
      <c r="AM1737" s="77"/>
      <c r="AN1737" s="77"/>
      <c r="AO1737" s="77"/>
      <c r="AP1737" s="77"/>
      <c r="AQ1737" s="77" t="s">
        <v>9046</v>
      </c>
      <c r="AR1737" s="77">
        <v>54805</v>
      </c>
      <c r="AS1737" s="77"/>
      <c r="AT1737" s="77"/>
      <c r="AU1737" s="77"/>
      <c r="AV1737" s="83" t="str">
        <f>HYPERLINK("https://pbs.twimg.com/ext_tw_video_thumb/1652099210957795328/pu/img/I9RQQ6d_LZJFTxEo.jpg")</f>
        <v>https://pbs.twimg.com/ext_tw_video_thumb/1652099210957795328/pu/img/I9RQQ6d_LZJFTxEo.jpg</v>
      </c>
      <c r="AW1737" s="81" t="s">
        <v>10850</v>
      </c>
      <c r="AX1737" s="81" t="s">
        <v>10850</v>
      </c>
      <c r="AY1737" s="77"/>
      <c r="AZ1737" s="81" t="s">
        <v>11359</v>
      </c>
      <c r="BA1737" s="81" t="s">
        <v>11359</v>
      </c>
      <c r="BB1737" s="81" t="s">
        <v>11359</v>
      </c>
      <c r="BC1737" s="81" t="s">
        <v>10850</v>
      </c>
      <c r="BD1737" s="77">
        <v>1084210986</v>
      </c>
      <c r="BE1737" s="77"/>
      <c r="BF1737" s="77"/>
      <c r="BG1737" s="77"/>
      <c r="BH1737" s="77"/>
      <c r="BI1737" s="77"/>
    </row>
    <row r="1738" spans="1:61" x14ac:dyDescent="0.25">
      <c r="A1738" s="62" t="s">
        <v>702</v>
      </c>
      <c r="B1738" s="62" t="s">
        <v>702</v>
      </c>
      <c r="C1738" s="63"/>
      <c r="D1738" s="64"/>
      <c r="E1738" s="65"/>
      <c r="F1738" s="66"/>
      <c r="G1738" s="63"/>
      <c r="H1738" s="67"/>
      <c r="I1738" s="68"/>
      <c r="J1738" s="68"/>
      <c r="K1738" s="32"/>
      <c r="L1738" s="75">
        <v>1738</v>
      </c>
      <c r="M1738" s="75"/>
      <c r="N1738" s="70"/>
      <c r="O1738" s="77" t="s">
        <v>969</v>
      </c>
      <c r="P1738" s="79">
        <v>45125.955393518518</v>
      </c>
      <c r="Q1738" s="77" t="s">
        <v>2522</v>
      </c>
      <c r="R1738" s="77">
        <v>0</v>
      </c>
      <c r="S1738" s="77">
        <v>0</v>
      </c>
      <c r="T1738" s="77">
        <v>1</v>
      </c>
      <c r="U1738" s="77">
        <v>0</v>
      </c>
      <c r="V1738" s="77">
        <v>2</v>
      </c>
      <c r="W1738" s="81" t="s">
        <v>3866</v>
      </c>
      <c r="X1738" s="77"/>
      <c r="Y1738" s="77"/>
      <c r="Z1738" s="77"/>
      <c r="AA1738" s="77"/>
      <c r="AB1738" s="77"/>
      <c r="AC1738" s="81" t="s">
        <v>5805</v>
      </c>
      <c r="AD1738" s="77" t="s">
        <v>5850</v>
      </c>
      <c r="AE1738" s="83" t="str">
        <f>HYPERLINK("https://twitter.com/galvngmez/status/1681437634361720838")</f>
        <v>https://twitter.com/galvngmez/status/1681437634361720838</v>
      </c>
      <c r="AF1738" s="79">
        <v>45125.955393518518</v>
      </c>
      <c r="AG1738" s="85">
        <v>45125</v>
      </c>
      <c r="AH1738" s="81" t="s">
        <v>7372</v>
      </c>
      <c r="AI1738" s="77"/>
      <c r="AJ1738" s="77"/>
      <c r="AK1738" s="77"/>
      <c r="AL1738" s="77"/>
      <c r="AM1738" s="77"/>
      <c r="AN1738" s="77"/>
      <c r="AO1738" s="77"/>
      <c r="AP1738" s="77"/>
      <c r="AQ1738" s="77"/>
      <c r="AR1738" s="77"/>
      <c r="AS1738" s="77"/>
      <c r="AT1738" s="77"/>
      <c r="AU1738" s="77"/>
      <c r="AV1738" s="83" t="str">
        <f>HYPERLINK("https://pbs.twimg.com/profile_images/1648753807117910017/nSubEm7s_normal.jpg")</f>
        <v>https://pbs.twimg.com/profile_images/1648753807117910017/nSubEm7s_normal.jpg</v>
      </c>
      <c r="AW1738" s="81" t="s">
        <v>10851</v>
      </c>
      <c r="AX1738" s="81" t="s">
        <v>11308</v>
      </c>
      <c r="AY1738" s="81" t="s">
        <v>11350</v>
      </c>
      <c r="AZ1738" s="81" t="s">
        <v>11308</v>
      </c>
      <c r="BA1738" s="81" t="s">
        <v>11359</v>
      </c>
      <c r="BB1738" s="81" t="s">
        <v>11359</v>
      </c>
      <c r="BC1738" s="81" t="s">
        <v>11308</v>
      </c>
      <c r="BD1738" s="77">
        <v>1084210986</v>
      </c>
      <c r="BE1738" s="77"/>
      <c r="BF1738" s="77"/>
      <c r="BG1738" s="77"/>
      <c r="BH1738" s="77"/>
      <c r="BI1738" s="77"/>
    </row>
    <row r="1739" spans="1:61" x14ac:dyDescent="0.25">
      <c r="A1739" s="62" t="s">
        <v>702</v>
      </c>
      <c r="B1739" s="62" t="s">
        <v>702</v>
      </c>
      <c r="C1739" s="63"/>
      <c r="D1739" s="64"/>
      <c r="E1739" s="65"/>
      <c r="F1739" s="66"/>
      <c r="G1739" s="63"/>
      <c r="H1739" s="67"/>
      <c r="I1739" s="68"/>
      <c r="J1739" s="68"/>
      <c r="K1739" s="32"/>
      <c r="L1739" s="75">
        <v>1739</v>
      </c>
      <c r="M1739" s="75"/>
      <c r="N1739" s="70"/>
      <c r="O1739" s="77" t="s">
        <v>179</v>
      </c>
      <c r="P1739" s="79">
        <v>45102.791863425926</v>
      </c>
      <c r="Q1739" s="77" t="s">
        <v>2523</v>
      </c>
      <c r="R1739" s="77">
        <v>0</v>
      </c>
      <c r="S1739" s="77">
        <v>0</v>
      </c>
      <c r="T1739" s="77">
        <v>0</v>
      </c>
      <c r="U1739" s="77">
        <v>0</v>
      </c>
      <c r="V1739" s="77">
        <v>10</v>
      </c>
      <c r="W1739" s="81" t="s">
        <v>2947</v>
      </c>
      <c r="X1739" s="77"/>
      <c r="Y1739" s="77"/>
      <c r="Z1739" s="77"/>
      <c r="AA1739" s="77"/>
      <c r="AB1739" s="77"/>
      <c r="AC1739" s="81" t="s">
        <v>5802</v>
      </c>
      <c r="AD1739" s="77" t="s">
        <v>5850</v>
      </c>
      <c r="AE1739" s="83" t="str">
        <f>HYPERLINK("https://twitter.com/galvngmez/status/1673043452848635905")</f>
        <v>https://twitter.com/galvngmez/status/1673043452848635905</v>
      </c>
      <c r="AF1739" s="79">
        <v>45102.791863425926</v>
      </c>
      <c r="AG1739" s="85">
        <v>45102</v>
      </c>
      <c r="AH1739" s="81" t="s">
        <v>7373</v>
      </c>
      <c r="AI1739" s="77"/>
      <c r="AJ1739" s="77"/>
      <c r="AK1739" s="77"/>
      <c r="AL1739" s="77"/>
      <c r="AM1739" s="77"/>
      <c r="AN1739" s="77"/>
      <c r="AO1739" s="77"/>
      <c r="AP1739" s="77"/>
      <c r="AQ1739" s="77"/>
      <c r="AR1739" s="77"/>
      <c r="AS1739" s="77"/>
      <c r="AT1739" s="77"/>
      <c r="AU1739" s="77"/>
      <c r="AV1739" s="83" t="str">
        <f>HYPERLINK("https://pbs.twimg.com/profile_images/1648753807117910017/nSubEm7s_normal.jpg")</f>
        <v>https://pbs.twimg.com/profile_images/1648753807117910017/nSubEm7s_normal.jpg</v>
      </c>
      <c r="AW1739" s="81" t="s">
        <v>10852</v>
      </c>
      <c r="AX1739" s="81" t="s">
        <v>10852</v>
      </c>
      <c r="AY1739" s="77"/>
      <c r="AZ1739" s="81" t="s">
        <v>11359</v>
      </c>
      <c r="BA1739" s="81" t="s">
        <v>11359</v>
      </c>
      <c r="BB1739" s="81" t="s">
        <v>11359</v>
      </c>
      <c r="BC1739" s="81" t="s">
        <v>10852</v>
      </c>
      <c r="BD1739" s="77">
        <v>1084210986</v>
      </c>
      <c r="BE1739" s="77"/>
      <c r="BF1739" s="77"/>
      <c r="BG1739" s="77"/>
      <c r="BH1739" s="77"/>
      <c r="BI1739" s="77"/>
    </row>
    <row r="1740" spans="1:61" x14ac:dyDescent="0.25">
      <c r="A1740" s="62" t="s">
        <v>702</v>
      </c>
      <c r="B1740" s="62" t="s">
        <v>702</v>
      </c>
      <c r="C1740" s="63"/>
      <c r="D1740" s="64"/>
      <c r="E1740" s="65"/>
      <c r="F1740" s="66"/>
      <c r="G1740" s="63"/>
      <c r="H1740" s="67"/>
      <c r="I1740" s="68"/>
      <c r="J1740" s="68"/>
      <c r="K1740" s="32"/>
      <c r="L1740" s="75">
        <v>1740</v>
      </c>
      <c r="M1740" s="75"/>
      <c r="N1740" s="70"/>
      <c r="O1740" s="77" t="s">
        <v>179</v>
      </c>
      <c r="P1740" s="79">
        <v>45028.115439814814</v>
      </c>
      <c r="Q1740" s="77" t="s">
        <v>2524</v>
      </c>
      <c r="R1740" s="77">
        <v>0</v>
      </c>
      <c r="S1740" s="77">
        <v>0</v>
      </c>
      <c r="T1740" s="77">
        <v>0</v>
      </c>
      <c r="U1740" s="77">
        <v>0</v>
      </c>
      <c r="V1740" s="77">
        <v>9</v>
      </c>
      <c r="W1740" s="81" t="s">
        <v>3867</v>
      </c>
      <c r="X1740" s="77"/>
      <c r="Y1740" s="77"/>
      <c r="Z1740" s="77"/>
      <c r="AA1740" s="77"/>
      <c r="AB1740" s="77"/>
      <c r="AC1740" s="81" t="s">
        <v>5801</v>
      </c>
      <c r="AD1740" s="77" t="s">
        <v>5850</v>
      </c>
      <c r="AE1740" s="83" t="str">
        <f>HYPERLINK("https://twitter.com/galvngmez/status/1645981623765090307")</f>
        <v>https://twitter.com/galvngmez/status/1645981623765090307</v>
      </c>
      <c r="AF1740" s="79">
        <v>45028.115439814814</v>
      </c>
      <c r="AG1740" s="85">
        <v>45028</v>
      </c>
      <c r="AH1740" s="81" t="s">
        <v>7374</v>
      </c>
      <c r="AI1740" s="77" t="b">
        <v>0</v>
      </c>
      <c r="AJ1740" s="77"/>
      <c r="AK1740" s="77"/>
      <c r="AL1740" s="77"/>
      <c r="AM1740" s="77"/>
      <c r="AN1740" s="77"/>
      <c r="AO1740" s="77"/>
      <c r="AP1740" s="77"/>
      <c r="AQ1740" s="77"/>
      <c r="AR1740" s="77"/>
      <c r="AS1740" s="77"/>
      <c r="AT1740" s="77"/>
      <c r="AU1740" s="77"/>
      <c r="AV1740" s="83" t="str">
        <f>HYPERLINK("https://pbs.twimg.com/profile_images/1648753807117910017/nSubEm7s_normal.jpg")</f>
        <v>https://pbs.twimg.com/profile_images/1648753807117910017/nSubEm7s_normal.jpg</v>
      </c>
      <c r="AW1740" s="81" t="s">
        <v>10853</v>
      </c>
      <c r="AX1740" s="81" t="s">
        <v>10853</v>
      </c>
      <c r="AY1740" s="77"/>
      <c r="AZ1740" s="81" t="s">
        <v>11359</v>
      </c>
      <c r="BA1740" s="81" t="s">
        <v>11359</v>
      </c>
      <c r="BB1740" s="81" t="s">
        <v>11359</v>
      </c>
      <c r="BC1740" s="81" t="s">
        <v>10853</v>
      </c>
      <c r="BD1740" s="77">
        <v>1084210986</v>
      </c>
      <c r="BE1740" s="77"/>
      <c r="BF1740" s="77"/>
      <c r="BG1740" s="77"/>
      <c r="BH1740" s="77"/>
      <c r="BI1740" s="77"/>
    </row>
    <row r="1741" spans="1:61" x14ac:dyDescent="0.25">
      <c r="A1741" s="62" t="s">
        <v>702</v>
      </c>
      <c r="B1741" s="62" t="s">
        <v>702</v>
      </c>
      <c r="C1741" s="63"/>
      <c r="D1741" s="64"/>
      <c r="E1741" s="65"/>
      <c r="F1741" s="66"/>
      <c r="G1741" s="63"/>
      <c r="H1741" s="67"/>
      <c r="I1741" s="68"/>
      <c r="J1741" s="68"/>
      <c r="K1741" s="32"/>
      <c r="L1741" s="75">
        <v>1741</v>
      </c>
      <c r="M1741" s="75"/>
      <c r="N1741" s="70"/>
      <c r="O1741" s="77" t="s">
        <v>179</v>
      </c>
      <c r="P1741" s="79">
        <v>45027.667511574073</v>
      </c>
      <c r="Q1741" s="77" t="s">
        <v>2525</v>
      </c>
      <c r="R1741" s="77">
        <v>0</v>
      </c>
      <c r="S1741" s="77">
        <v>0</v>
      </c>
      <c r="T1741" s="77">
        <v>0</v>
      </c>
      <c r="U1741" s="77">
        <v>0</v>
      </c>
      <c r="V1741" s="77">
        <v>4</v>
      </c>
      <c r="W1741" s="81" t="s">
        <v>3868</v>
      </c>
      <c r="X1741" s="77"/>
      <c r="Y1741" s="77"/>
      <c r="Z1741" s="77"/>
      <c r="AA1741" s="77" t="s">
        <v>5544</v>
      </c>
      <c r="AB1741" s="77" t="s">
        <v>5796</v>
      </c>
      <c r="AC1741" s="81" t="s">
        <v>5802</v>
      </c>
      <c r="AD1741" s="77" t="s">
        <v>5850</v>
      </c>
      <c r="AE1741" s="83" t="str">
        <f>HYPERLINK("https://twitter.com/galvngmez/status/1645819299779551232")</f>
        <v>https://twitter.com/galvngmez/status/1645819299779551232</v>
      </c>
      <c r="AF1741" s="79">
        <v>45027.667511574073</v>
      </c>
      <c r="AG1741" s="85">
        <v>45027</v>
      </c>
      <c r="AH1741" s="81" t="s">
        <v>7375</v>
      </c>
      <c r="AI1741" s="77" t="b">
        <v>0</v>
      </c>
      <c r="AJ1741" s="77"/>
      <c r="AK1741" s="77"/>
      <c r="AL1741" s="77"/>
      <c r="AM1741" s="77"/>
      <c r="AN1741" s="77"/>
      <c r="AO1741" s="77"/>
      <c r="AP1741" s="77"/>
      <c r="AQ1741" s="77" t="s">
        <v>9047</v>
      </c>
      <c r="AR1741" s="77"/>
      <c r="AS1741" s="77"/>
      <c r="AT1741" s="77"/>
      <c r="AU1741" s="77"/>
      <c r="AV1741" s="83" t="str">
        <f>HYPERLINK("https://pbs.twimg.com/tweet_video_thumb/Ftcf7lRWwAAvNwK.jpg")</f>
        <v>https://pbs.twimg.com/tweet_video_thumb/Ftcf7lRWwAAvNwK.jpg</v>
      </c>
      <c r="AW1741" s="81" t="s">
        <v>10854</v>
      </c>
      <c r="AX1741" s="81" t="s">
        <v>10854</v>
      </c>
      <c r="AY1741" s="77"/>
      <c r="AZ1741" s="81" t="s">
        <v>11359</v>
      </c>
      <c r="BA1741" s="81" t="s">
        <v>11359</v>
      </c>
      <c r="BB1741" s="81" t="s">
        <v>11359</v>
      </c>
      <c r="BC1741" s="81" t="s">
        <v>10854</v>
      </c>
      <c r="BD1741" s="77">
        <v>1084210986</v>
      </c>
      <c r="BE1741" s="77"/>
      <c r="BF1741" s="77"/>
      <c r="BG1741" s="77"/>
      <c r="BH1741" s="77"/>
      <c r="BI1741" s="77"/>
    </row>
    <row r="1742" spans="1:61" x14ac:dyDescent="0.25">
      <c r="A1742" s="62" t="s">
        <v>702</v>
      </c>
      <c r="B1742" s="62" t="s">
        <v>702</v>
      </c>
      <c r="C1742" s="63"/>
      <c r="D1742" s="64"/>
      <c r="E1742" s="65"/>
      <c r="F1742" s="66"/>
      <c r="G1742" s="63"/>
      <c r="H1742" s="67"/>
      <c r="I1742" s="68"/>
      <c r="J1742" s="68"/>
      <c r="K1742" s="32"/>
      <c r="L1742" s="75">
        <v>1742</v>
      </c>
      <c r="M1742" s="75"/>
      <c r="N1742" s="70"/>
      <c r="O1742" s="77" t="s">
        <v>179</v>
      </c>
      <c r="P1742" s="79">
        <v>45132.708715277775</v>
      </c>
      <c r="Q1742" s="77" t="s">
        <v>2526</v>
      </c>
      <c r="R1742" s="77">
        <v>0</v>
      </c>
      <c r="S1742" s="77">
        <v>0</v>
      </c>
      <c r="T1742" s="77">
        <v>0</v>
      </c>
      <c r="U1742" s="77">
        <v>0</v>
      </c>
      <c r="V1742" s="77">
        <v>6</v>
      </c>
      <c r="W1742" s="81" t="s">
        <v>3869</v>
      </c>
      <c r="X1742" s="77"/>
      <c r="Y1742" s="77"/>
      <c r="Z1742" s="77"/>
      <c r="AA1742" s="77" t="s">
        <v>5545</v>
      </c>
      <c r="AB1742" s="77" t="s">
        <v>5796</v>
      </c>
      <c r="AC1742" s="81" t="s">
        <v>5802</v>
      </c>
      <c r="AD1742" s="77" t="s">
        <v>5850</v>
      </c>
      <c r="AE1742" s="83" t="str">
        <f>HYPERLINK("https://twitter.com/galvngmez/status/1683884958245433361")</f>
        <v>https://twitter.com/galvngmez/status/1683884958245433361</v>
      </c>
      <c r="AF1742" s="79">
        <v>45132.708715277775</v>
      </c>
      <c r="AG1742" s="85">
        <v>45132</v>
      </c>
      <c r="AH1742" s="81" t="s">
        <v>7376</v>
      </c>
      <c r="AI1742" s="77" t="b">
        <v>0</v>
      </c>
      <c r="AJ1742" s="77"/>
      <c r="AK1742" s="77"/>
      <c r="AL1742" s="77"/>
      <c r="AM1742" s="77"/>
      <c r="AN1742" s="77"/>
      <c r="AO1742" s="77"/>
      <c r="AP1742" s="77"/>
      <c r="AQ1742" s="77" t="s">
        <v>9048</v>
      </c>
      <c r="AR1742" s="77"/>
      <c r="AS1742" s="77"/>
      <c r="AT1742" s="77"/>
      <c r="AU1742" s="77"/>
      <c r="AV1742" s="83" t="str">
        <f>HYPERLINK("https://pbs.twimg.com/tweet_video_thumb/F15cchWXsBESjSc.jpg")</f>
        <v>https://pbs.twimg.com/tweet_video_thumb/F15cchWXsBESjSc.jpg</v>
      </c>
      <c r="AW1742" s="81" t="s">
        <v>10855</v>
      </c>
      <c r="AX1742" s="81" t="s">
        <v>10855</v>
      </c>
      <c r="AY1742" s="77"/>
      <c r="AZ1742" s="81" t="s">
        <v>11359</v>
      </c>
      <c r="BA1742" s="81" t="s">
        <v>11359</v>
      </c>
      <c r="BB1742" s="81" t="s">
        <v>11359</v>
      </c>
      <c r="BC1742" s="81" t="s">
        <v>10855</v>
      </c>
      <c r="BD1742" s="77">
        <v>1084210986</v>
      </c>
      <c r="BE1742" s="77"/>
      <c r="BF1742" s="77"/>
      <c r="BG1742" s="77"/>
      <c r="BH1742" s="77"/>
      <c r="BI1742" s="77"/>
    </row>
    <row r="1743" spans="1:61" x14ac:dyDescent="0.25">
      <c r="A1743" s="62" t="s">
        <v>702</v>
      </c>
      <c r="B1743" s="62" t="s">
        <v>702</v>
      </c>
      <c r="C1743" s="63"/>
      <c r="D1743" s="64"/>
      <c r="E1743" s="65"/>
      <c r="F1743" s="66"/>
      <c r="G1743" s="63"/>
      <c r="H1743" s="67"/>
      <c r="I1743" s="68"/>
      <c r="J1743" s="68"/>
      <c r="K1743" s="32"/>
      <c r="L1743" s="75">
        <v>1743</v>
      </c>
      <c r="M1743" s="75"/>
      <c r="N1743" s="70"/>
      <c r="O1743" s="77" t="s">
        <v>179</v>
      </c>
      <c r="P1743" s="79">
        <v>45118.802488425928</v>
      </c>
      <c r="Q1743" s="77" t="s">
        <v>2527</v>
      </c>
      <c r="R1743" s="77">
        <v>1</v>
      </c>
      <c r="S1743" s="77">
        <v>1</v>
      </c>
      <c r="T1743" s="77">
        <v>1</v>
      </c>
      <c r="U1743" s="77">
        <v>0</v>
      </c>
      <c r="V1743" s="77">
        <v>11</v>
      </c>
      <c r="W1743" s="81" t="s">
        <v>3870</v>
      </c>
      <c r="X1743" s="77"/>
      <c r="Y1743" s="77"/>
      <c r="Z1743" s="77"/>
      <c r="AA1743" s="77"/>
      <c r="AB1743" s="77"/>
      <c r="AC1743" s="81" t="s">
        <v>5801</v>
      </c>
      <c r="AD1743" s="77" t="s">
        <v>5850</v>
      </c>
      <c r="AE1743" s="83" t="str">
        <f>HYPERLINK("https://twitter.com/galvngmez/status/1678845507483979782")</f>
        <v>https://twitter.com/galvngmez/status/1678845507483979782</v>
      </c>
      <c r="AF1743" s="79">
        <v>45118.802488425928</v>
      </c>
      <c r="AG1743" s="85">
        <v>45118</v>
      </c>
      <c r="AH1743" s="81" t="s">
        <v>7377</v>
      </c>
      <c r="AI1743" s="77"/>
      <c r="AJ1743" s="77"/>
      <c r="AK1743" s="77"/>
      <c r="AL1743" s="77"/>
      <c r="AM1743" s="77"/>
      <c r="AN1743" s="77"/>
      <c r="AO1743" s="77"/>
      <c r="AP1743" s="77"/>
      <c r="AQ1743" s="77"/>
      <c r="AR1743" s="77"/>
      <c r="AS1743" s="77"/>
      <c r="AT1743" s="77"/>
      <c r="AU1743" s="77"/>
      <c r="AV1743" s="83" t="str">
        <f>HYPERLINK("https://pbs.twimg.com/profile_images/1648753807117910017/nSubEm7s_normal.jpg")</f>
        <v>https://pbs.twimg.com/profile_images/1648753807117910017/nSubEm7s_normal.jpg</v>
      </c>
      <c r="AW1743" s="81" t="s">
        <v>10856</v>
      </c>
      <c r="AX1743" s="81" t="s">
        <v>10856</v>
      </c>
      <c r="AY1743" s="77"/>
      <c r="AZ1743" s="81" t="s">
        <v>11359</v>
      </c>
      <c r="BA1743" s="81" t="s">
        <v>11359</v>
      </c>
      <c r="BB1743" s="81" t="s">
        <v>11359</v>
      </c>
      <c r="BC1743" s="81" t="s">
        <v>10856</v>
      </c>
      <c r="BD1743" s="77">
        <v>1084210986</v>
      </c>
      <c r="BE1743" s="77"/>
      <c r="BF1743" s="77"/>
      <c r="BG1743" s="77"/>
      <c r="BH1743" s="77"/>
      <c r="BI1743" s="77"/>
    </row>
    <row r="1744" spans="1:61" x14ac:dyDescent="0.25">
      <c r="A1744" s="62" t="s">
        <v>702</v>
      </c>
      <c r="B1744" s="62" t="s">
        <v>702</v>
      </c>
      <c r="C1744" s="63"/>
      <c r="D1744" s="64"/>
      <c r="E1744" s="65"/>
      <c r="F1744" s="66"/>
      <c r="G1744" s="63"/>
      <c r="H1744" s="67"/>
      <c r="I1744" s="68"/>
      <c r="J1744" s="68"/>
      <c r="K1744" s="32"/>
      <c r="L1744" s="75">
        <v>1744</v>
      </c>
      <c r="M1744" s="75"/>
      <c r="N1744" s="70"/>
      <c r="O1744" s="77" t="s">
        <v>179</v>
      </c>
      <c r="P1744" s="79">
        <v>45153.70853009259</v>
      </c>
      <c r="Q1744" s="77" t="s">
        <v>2528</v>
      </c>
      <c r="R1744" s="77">
        <v>0</v>
      </c>
      <c r="S1744" s="77">
        <v>0</v>
      </c>
      <c r="T1744" s="77">
        <v>0</v>
      </c>
      <c r="U1744" s="77">
        <v>0</v>
      </c>
      <c r="V1744" s="77">
        <v>4</v>
      </c>
      <c r="W1744" s="81" t="s">
        <v>3871</v>
      </c>
      <c r="X1744" s="77"/>
      <c r="Y1744" s="77"/>
      <c r="Z1744" s="77"/>
      <c r="AA1744" s="77"/>
      <c r="AB1744" s="77"/>
      <c r="AC1744" s="81" t="s">
        <v>5802</v>
      </c>
      <c r="AD1744" s="77" t="s">
        <v>5850</v>
      </c>
      <c r="AE1744" s="83" t="str">
        <f>HYPERLINK("https://twitter.com/galvngmez/status/1691495035466919955")</f>
        <v>https://twitter.com/galvngmez/status/1691495035466919955</v>
      </c>
      <c r="AF1744" s="79">
        <v>45153.70853009259</v>
      </c>
      <c r="AG1744" s="85">
        <v>45153</v>
      </c>
      <c r="AH1744" s="81" t="s">
        <v>7378</v>
      </c>
      <c r="AI1744" s="77"/>
      <c r="AJ1744" s="77"/>
      <c r="AK1744" s="77"/>
      <c r="AL1744" s="77"/>
      <c r="AM1744" s="77"/>
      <c r="AN1744" s="77"/>
      <c r="AO1744" s="77"/>
      <c r="AP1744" s="77"/>
      <c r="AQ1744" s="77"/>
      <c r="AR1744" s="77"/>
      <c r="AS1744" s="77"/>
      <c r="AT1744" s="77"/>
      <c r="AU1744" s="77"/>
      <c r="AV1744" s="83" t="str">
        <f>HYPERLINK("https://pbs.twimg.com/profile_images/1648753807117910017/nSubEm7s_normal.jpg")</f>
        <v>https://pbs.twimg.com/profile_images/1648753807117910017/nSubEm7s_normal.jpg</v>
      </c>
      <c r="AW1744" s="81" t="s">
        <v>10857</v>
      </c>
      <c r="AX1744" s="81" t="s">
        <v>10857</v>
      </c>
      <c r="AY1744" s="77"/>
      <c r="AZ1744" s="81" t="s">
        <v>11359</v>
      </c>
      <c r="BA1744" s="81" t="s">
        <v>11359</v>
      </c>
      <c r="BB1744" s="81" t="s">
        <v>11359</v>
      </c>
      <c r="BC1744" s="81" t="s">
        <v>10857</v>
      </c>
      <c r="BD1744" s="77">
        <v>1084210986</v>
      </c>
      <c r="BE1744" s="77"/>
      <c r="BF1744" s="77"/>
      <c r="BG1744" s="77"/>
      <c r="BH1744" s="77"/>
      <c r="BI1744" s="77"/>
    </row>
    <row r="1745" spans="1:61" x14ac:dyDescent="0.25">
      <c r="A1745" s="62" t="s">
        <v>702</v>
      </c>
      <c r="B1745" s="62" t="s">
        <v>702</v>
      </c>
      <c r="C1745" s="63"/>
      <c r="D1745" s="64"/>
      <c r="E1745" s="65"/>
      <c r="F1745" s="66"/>
      <c r="G1745" s="63"/>
      <c r="H1745" s="67"/>
      <c r="I1745" s="68"/>
      <c r="J1745" s="68"/>
      <c r="K1745" s="32"/>
      <c r="L1745" s="75">
        <v>1745</v>
      </c>
      <c r="M1745" s="75"/>
      <c r="N1745" s="70"/>
      <c r="O1745" s="77" t="s">
        <v>179</v>
      </c>
      <c r="P1745" s="79">
        <v>45020.667291666665</v>
      </c>
      <c r="Q1745" s="77" t="s">
        <v>2529</v>
      </c>
      <c r="R1745" s="77">
        <v>0</v>
      </c>
      <c r="S1745" s="77">
        <v>0</v>
      </c>
      <c r="T1745" s="77">
        <v>0</v>
      </c>
      <c r="U1745" s="77">
        <v>0</v>
      </c>
      <c r="V1745" s="77">
        <v>5</v>
      </c>
      <c r="W1745" s="81" t="s">
        <v>3872</v>
      </c>
      <c r="X1745" s="77"/>
      <c r="Y1745" s="77"/>
      <c r="Z1745" s="77"/>
      <c r="AA1745" s="77" t="s">
        <v>5546</v>
      </c>
      <c r="AB1745" s="77" t="s">
        <v>5796</v>
      </c>
      <c r="AC1745" s="81" t="s">
        <v>5802</v>
      </c>
      <c r="AD1745" s="77" t="s">
        <v>5850</v>
      </c>
      <c r="AE1745" s="83" t="str">
        <f>HYPERLINK("https://twitter.com/galvngmez/status/1643282505900883970")</f>
        <v>https://twitter.com/galvngmez/status/1643282505900883970</v>
      </c>
      <c r="AF1745" s="79">
        <v>45020.667291666665</v>
      </c>
      <c r="AG1745" s="85">
        <v>45020</v>
      </c>
      <c r="AH1745" s="81" t="s">
        <v>7379</v>
      </c>
      <c r="AI1745" s="77" t="b">
        <v>0</v>
      </c>
      <c r="AJ1745" s="77"/>
      <c r="AK1745" s="77"/>
      <c r="AL1745" s="77"/>
      <c r="AM1745" s="77"/>
      <c r="AN1745" s="77"/>
      <c r="AO1745" s="77"/>
      <c r="AP1745" s="77"/>
      <c r="AQ1745" s="77" t="s">
        <v>9049</v>
      </c>
      <c r="AR1745" s="77"/>
      <c r="AS1745" s="77"/>
      <c r="AT1745" s="77"/>
      <c r="AU1745" s="77"/>
      <c r="AV1745" s="83" t="str">
        <f>HYPERLINK("https://pbs.twimg.com/tweet_video_thumb/Fs4curLXsAM9vFR.jpg")</f>
        <v>https://pbs.twimg.com/tweet_video_thumb/Fs4curLXsAM9vFR.jpg</v>
      </c>
      <c r="AW1745" s="81" t="s">
        <v>10858</v>
      </c>
      <c r="AX1745" s="81" t="s">
        <v>10858</v>
      </c>
      <c r="AY1745" s="77"/>
      <c r="AZ1745" s="81" t="s">
        <v>11359</v>
      </c>
      <c r="BA1745" s="81" t="s">
        <v>11359</v>
      </c>
      <c r="BB1745" s="81" t="s">
        <v>11359</v>
      </c>
      <c r="BC1745" s="81" t="s">
        <v>10858</v>
      </c>
      <c r="BD1745" s="77">
        <v>1084210986</v>
      </c>
      <c r="BE1745" s="77"/>
      <c r="BF1745" s="77"/>
      <c r="BG1745" s="77"/>
      <c r="BH1745" s="77"/>
      <c r="BI1745" s="77"/>
    </row>
    <row r="1746" spans="1:61" x14ac:dyDescent="0.25">
      <c r="A1746" s="62" t="s">
        <v>703</v>
      </c>
      <c r="B1746" s="62" t="s">
        <v>703</v>
      </c>
      <c r="C1746" s="63"/>
      <c r="D1746" s="64"/>
      <c r="E1746" s="65"/>
      <c r="F1746" s="66"/>
      <c r="G1746" s="63"/>
      <c r="H1746" s="67"/>
      <c r="I1746" s="68"/>
      <c r="J1746" s="68"/>
      <c r="K1746" s="32"/>
      <c r="L1746" s="75">
        <v>1746</v>
      </c>
      <c r="M1746" s="75"/>
      <c r="N1746" s="70"/>
      <c r="O1746" s="77" t="s">
        <v>179</v>
      </c>
      <c r="P1746" s="79">
        <v>45090.708865740744</v>
      </c>
      <c r="Q1746" s="77" t="s">
        <v>2530</v>
      </c>
      <c r="R1746" s="77">
        <v>0</v>
      </c>
      <c r="S1746" s="77">
        <v>0</v>
      </c>
      <c r="T1746" s="77">
        <v>0</v>
      </c>
      <c r="U1746" s="77">
        <v>0</v>
      </c>
      <c r="V1746" s="77">
        <v>15</v>
      </c>
      <c r="W1746" s="81" t="s">
        <v>3873</v>
      </c>
      <c r="X1746" s="83" t="str">
        <f>HYPERLINK("https://buff.ly/2Qz8lxT")</f>
        <v>https://buff.ly/2Qz8lxT</v>
      </c>
      <c r="Y1746" s="77" t="s">
        <v>4281</v>
      </c>
      <c r="Z1746" s="77"/>
      <c r="AA1746" s="77" t="s">
        <v>5547</v>
      </c>
      <c r="AB1746" s="77" t="s">
        <v>5794</v>
      </c>
      <c r="AC1746" s="81" t="s">
        <v>5828</v>
      </c>
      <c r="AD1746" s="77" t="s">
        <v>5850</v>
      </c>
      <c r="AE1746" s="83" t="str">
        <f>HYPERLINK("https://twitter.com/creces/status/1668664722831421463")</f>
        <v>https://twitter.com/creces/status/1668664722831421463</v>
      </c>
      <c r="AF1746" s="79">
        <v>45090.708865740744</v>
      </c>
      <c r="AG1746" s="85">
        <v>45090</v>
      </c>
      <c r="AH1746" s="81" t="s">
        <v>7380</v>
      </c>
      <c r="AI1746" s="77" t="b">
        <v>0</v>
      </c>
      <c r="AJ1746" s="77"/>
      <c r="AK1746" s="77"/>
      <c r="AL1746" s="77"/>
      <c r="AM1746" s="77"/>
      <c r="AN1746" s="77"/>
      <c r="AO1746" s="77"/>
      <c r="AP1746" s="77"/>
      <c r="AQ1746" s="77" t="s">
        <v>9050</v>
      </c>
      <c r="AR1746" s="77"/>
      <c r="AS1746" s="77"/>
      <c r="AT1746" s="77"/>
      <c r="AU1746" s="77"/>
      <c r="AV1746" s="83" t="str">
        <f>HYPERLINK("https://pbs.twimg.com/media/FyhJuPMWYAAvDUF.jpg")</f>
        <v>https://pbs.twimg.com/media/FyhJuPMWYAAvDUF.jpg</v>
      </c>
      <c r="AW1746" s="81" t="s">
        <v>10859</v>
      </c>
      <c r="AX1746" s="81" t="s">
        <v>10859</v>
      </c>
      <c r="AY1746" s="77"/>
      <c r="AZ1746" s="81" t="s">
        <v>11359</v>
      </c>
      <c r="BA1746" s="81" t="s">
        <v>11359</v>
      </c>
      <c r="BB1746" s="81" t="s">
        <v>11359</v>
      </c>
      <c r="BC1746" s="81" t="s">
        <v>10859</v>
      </c>
      <c r="BD1746" s="77">
        <v>57179740</v>
      </c>
      <c r="BE1746" s="77"/>
      <c r="BF1746" s="77"/>
      <c r="BG1746" s="77"/>
      <c r="BH1746" s="77"/>
      <c r="BI1746" s="77"/>
    </row>
    <row r="1747" spans="1:61" x14ac:dyDescent="0.25">
      <c r="A1747" s="62" t="s">
        <v>703</v>
      </c>
      <c r="B1747" s="62" t="s">
        <v>703</v>
      </c>
      <c r="C1747" s="63"/>
      <c r="D1747" s="64"/>
      <c r="E1747" s="65"/>
      <c r="F1747" s="66"/>
      <c r="G1747" s="63"/>
      <c r="H1747" s="67"/>
      <c r="I1747" s="68"/>
      <c r="J1747" s="68"/>
      <c r="K1747" s="32"/>
      <c r="L1747" s="75">
        <v>1747</v>
      </c>
      <c r="M1747" s="75"/>
      <c r="N1747" s="70"/>
      <c r="O1747" s="77" t="s">
        <v>179</v>
      </c>
      <c r="P1747" s="79">
        <v>45110.708564814813</v>
      </c>
      <c r="Q1747" s="77" t="s">
        <v>2531</v>
      </c>
      <c r="R1747" s="77">
        <v>0</v>
      </c>
      <c r="S1747" s="77">
        <v>0</v>
      </c>
      <c r="T1747" s="77">
        <v>0</v>
      </c>
      <c r="U1747" s="77">
        <v>0</v>
      </c>
      <c r="V1747" s="77">
        <v>14</v>
      </c>
      <c r="W1747" s="81" t="s">
        <v>3874</v>
      </c>
      <c r="X1747" s="77"/>
      <c r="Y1747" s="77"/>
      <c r="Z1747" s="77"/>
      <c r="AA1747" s="77" t="s">
        <v>5548</v>
      </c>
      <c r="AB1747" s="77" t="s">
        <v>5795</v>
      </c>
      <c r="AC1747" s="81" t="s">
        <v>5828</v>
      </c>
      <c r="AD1747" s="77" t="s">
        <v>5850</v>
      </c>
      <c r="AE1747" s="83" t="str">
        <f>HYPERLINK("https://twitter.com/creces/status/1675912370915356687")</f>
        <v>https://twitter.com/creces/status/1675912370915356687</v>
      </c>
      <c r="AF1747" s="79">
        <v>45110.708564814813</v>
      </c>
      <c r="AG1747" s="85">
        <v>45110</v>
      </c>
      <c r="AH1747" s="81" t="s">
        <v>7381</v>
      </c>
      <c r="AI1747" s="77" t="b">
        <v>0</v>
      </c>
      <c r="AJ1747" s="77"/>
      <c r="AK1747" s="77"/>
      <c r="AL1747" s="77"/>
      <c r="AM1747" s="77"/>
      <c r="AN1747" s="77"/>
      <c r="AO1747" s="77"/>
      <c r="AP1747" s="77"/>
      <c r="AQ1747" s="77" t="s">
        <v>9051</v>
      </c>
      <c r="AR1747" s="77">
        <v>5366</v>
      </c>
      <c r="AS1747" s="77"/>
      <c r="AT1747" s="77"/>
      <c r="AU1747" s="77"/>
      <c r="AV1747" s="83" t="str">
        <f>HYPERLINK("https://pbs.twimg.com/ext_tw_video_thumb/1675912346005385234/pu/img/ZI8onQc08S6Gp9_A.jpg")</f>
        <v>https://pbs.twimg.com/ext_tw_video_thumb/1675912346005385234/pu/img/ZI8onQc08S6Gp9_A.jpg</v>
      </c>
      <c r="AW1747" s="81" t="s">
        <v>10860</v>
      </c>
      <c r="AX1747" s="81" t="s">
        <v>10860</v>
      </c>
      <c r="AY1747" s="77"/>
      <c r="AZ1747" s="81" t="s">
        <v>11359</v>
      </c>
      <c r="BA1747" s="81" t="s">
        <v>11359</v>
      </c>
      <c r="BB1747" s="81" t="s">
        <v>11359</v>
      </c>
      <c r="BC1747" s="81" t="s">
        <v>10860</v>
      </c>
      <c r="BD1747" s="77">
        <v>57179740</v>
      </c>
      <c r="BE1747" s="77"/>
      <c r="BF1747" s="77"/>
      <c r="BG1747" s="77"/>
      <c r="BH1747" s="77"/>
      <c r="BI1747" s="77"/>
    </row>
    <row r="1748" spans="1:61" x14ac:dyDescent="0.25">
      <c r="A1748" s="62" t="s">
        <v>704</v>
      </c>
      <c r="B1748" s="62" t="s">
        <v>704</v>
      </c>
      <c r="C1748" s="63"/>
      <c r="D1748" s="64"/>
      <c r="E1748" s="65"/>
      <c r="F1748" s="66"/>
      <c r="G1748" s="63"/>
      <c r="H1748" s="67"/>
      <c r="I1748" s="68"/>
      <c r="J1748" s="68"/>
      <c r="K1748" s="32"/>
      <c r="L1748" s="75">
        <v>1748</v>
      </c>
      <c r="M1748" s="75"/>
      <c r="N1748" s="70"/>
      <c r="O1748" s="77" t="s">
        <v>179</v>
      </c>
      <c r="P1748" s="79">
        <v>44998.038240740738</v>
      </c>
      <c r="Q1748" s="77" t="s">
        <v>2532</v>
      </c>
      <c r="R1748" s="77">
        <v>0</v>
      </c>
      <c r="S1748" s="77">
        <v>0</v>
      </c>
      <c r="T1748" s="77">
        <v>0</v>
      </c>
      <c r="U1748" s="77">
        <v>0</v>
      </c>
      <c r="V1748" s="77">
        <v>8</v>
      </c>
      <c r="W1748" s="81" t="s">
        <v>3875</v>
      </c>
      <c r="X1748" s="77"/>
      <c r="Y1748" s="77"/>
      <c r="Z1748" s="77"/>
      <c r="AA1748" s="77"/>
      <c r="AB1748" s="77"/>
      <c r="AC1748" s="81" t="s">
        <v>5801</v>
      </c>
      <c r="AD1748" s="77" t="s">
        <v>5850</v>
      </c>
      <c r="AE1748" s="83" t="str">
        <f>HYPERLINK("https://twitter.com/krinavalencia/status/1635082011198246913")</f>
        <v>https://twitter.com/krinavalencia/status/1635082011198246913</v>
      </c>
      <c r="AF1748" s="79">
        <v>44998.038240740738</v>
      </c>
      <c r="AG1748" s="85">
        <v>44998</v>
      </c>
      <c r="AH1748" s="81" t="s">
        <v>7382</v>
      </c>
      <c r="AI1748" s="77"/>
      <c r="AJ1748" s="77"/>
      <c r="AK1748" s="77"/>
      <c r="AL1748" s="77"/>
      <c r="AM1748" s="77"/>
      <c r="AN1748" s="77"/>
      <c r="AO1748" s="77"/>
      <c r="AP1748" s="77"/>
      <c r="AQ1748" s="77"/>
      <c r="AR1748" s="77"/>
      <c r="AS1748" s="77"/>
      <c r="AT1748" s="77"/>
      <c r="AU1748" s="77"/>
      <c r="AV1748" s="83" t="str">
        <f>HYPERLINK("https://pbs.twimg.com/profile_images/1635081480404627456/bWCc0MtL_normal.jpg")</f>
        <v>https://pbs.twimg.com/profile_images/1635081480404627456/bWCc0MtL_normal.jpg</v>
      </c>
      <c r="AW1748" s="81" t="s">
        <v>10861</v>
      </c>
      <c r="AX1748" s="81" t="s">
        <v>10861</v>
      </c>
      <c r="AY1748" s="77"/>
      <c r="AZ1748" s="81" t="s">
        <v>11359</v>
      </c>
      <c r="BA1748" s="81" t="s">
        <v>11359</v>
      </c>
      <c r="BB1748" s="81" t="s">
        <v>11359</v>
      </c>
      <c r="BC1748" s="81" t="s">
        <v>10861</v>
      </c>
      <c r="BD1748" s="77">
        <v>227835275</v>
      </c>
      <c r="BE1748" s="77"/>
      <c r="BF1748" s="77"/>
      <c r="BG1748" s="77"/>
      <c r="BH1748" s="77"/>
      <c r="BI1748" s="77"/>
    </row>
    <row r="1749" spans="1:61" x14ac:dyDescent="0.25">
      <c r="A1749" s="62" t="s">
        <v>705</v>
      </c>
      <c r="B1749" s="62" t="s">
        <v>705</v>
      </c>
      <c r="C1749" s="63"/>
      <c r="D1749" s="64"/>
      <c r="E1749" s="65"/>
      <c r="F1749" s="66"/>
      <c r="G1749" s="63"/>
      <c r="H1749" s="67"/>
      <c r="I1749" s="68"/>
      <c r="J1749" s="68"/>
      <c r="K1749" s="32"/>
      <c r="L1749" s="75">
        <v>1749</v>
      </c>
      <c r="M1749" s="75"/>
      <c r="N1749" s="70"/>
      <c r="O1749" s="77" t="s">
        <v>179</v>
      </c>
      <c r="P1749" s="79">
        <v>45050.552268518521</v>
      </c>
      <c r="Q1749" s="77" t="s">
        <v>2533</v>
      </c>
      <c r="R1749" s="77">
        <v>0</v>
      </c>
      <c r="S1749" s="77">
        <v>0</v>
      </c>
      <c r="T1749" s="77">
        <v>0</v>
      </c>
      <c r="U1749" s="77">
        <v>0</v>
      </c>
      <c r="V1749" s="77">
        <v>57</v>
      </c>
      <c r="W1749" s="81" t="s">
        <v>2947</v>
      </c>
      <c r="X1749" s="83" t="str">
        <f>HYPERLINK("https://andina.pe/agencia/noticia-transformacion-digital-estas-son-las-habilidades-deben-dominar-vendedores-peruanos-938667.aspx")</f>
        <v>https://andina.pe/agencia/noticia-transformacion-digital-estas-son-las-habilidades-deben-dominar-vendedores-peruanos-938667.aspx</v>
      </c>
      <c r="Y1749" s="77" t="s">
        <v>4322</v>
      </c>
      <c r="Z1749" s="77"/>
      <c r="AA1749" s="77"/>
      <c r="AB1749" s="77"/>
      <c r="AC1749" s="81" t="s">
        <v>5802</v>
      </c>
      <c r="AD1749" s="77" t="s">
        <v>5850</v>
      </c>
      <c r="AE1749" s="83" t="str">
        <f>HYPERLINK("https://twitter.com/gruposalesland/status/1654112456812240896")</f>
        <v>https://twitter.com/gruposalesland/status/1654112456812240896</v>
      </c>
      <c r="AF1749" s="79">
        <v>45050.552268518521</v>
      </c>
      <c r="AG1749" s="85">
        <v>45050</v>
      </c>
      <c r="AH1749" s="81" t="s">
        <v>7383</v>
      </c>
      <c r="AI1749" s="77" t="b">
        <v>0</v>
      </c>
      <c r="AJ1749" s="77"/>
      <c r="AK1749" s="77"/>
      <c r="AL1749" s="77"/>
      <c r="AM1749" s="77"/>
      <c r="AN1749" s="77"/>
      <c r="AO1749" s="77"/>
      <c r="AP1749" s="77"/>
      <c r="AQ1749" s="77"/>
      <c r="AR1749" s="77"/>
      <c r="AS1749" s="77"/>
      <c r="AT1749" s="77"/>
      <c r="AU1749" s="77"/>
      <c r="AV1749" s="83" t="str">
        <f>HYPERLINK("https://pbs.twimg.com/profile_images/1577231190683275264/qfeQ6NeY_normal.jpg")</f>
        <v>https://pbs.twimg.com/profile_images/1577231190683275264/qfeQ6NeY_normal.jpg</v>
      </c>
      <c r="AW1749" s="81" t="s">
        <v>10862</v>
      </c>
      <c r="AX1749" s="81" t="s">
        <v>10862</v>
      </c>
      <c r="AY1749" s="77"/>
      <c r="AZ1749" s="81" t="s">
        <v>11359</v>
      </c>
      <c r="BA1749" s="81" t="s">
        <v>11359</v>
      </c>
      <c r="BB1749" s="81" t="s">
        <v>11359</v>
      </c>
      <c r="BC1749" s="81" t="s">
        <v>10862</v>
      </c>
      <c r="BD1749" s="77">
        <v>297322947</v>
      </c>
      <c r="BE1749" s="77"/>
      <c r="BF1749" s="77"/>
      <c r="BG1749" s="77"/>
      <c r="BH1749" s="77"/>
      <c r="BI1749" s="77"/>
    </row>
    <row r="1750" spans="1:61" x14ac:dyDescent="0.25">
      <c r="A1750" s="62" t="s">
        <v>706</v>
      </c>
      <c r="B1750" s="62" t="s">
        <v>706</v>
      </c>
      <c r="C1750" s="63"/>
      <c r="D1750" s="64"/>
      <c r="E1750" s="65"/>
      <c r="F1750" s="66"/>
      <c r="G1750" s="63"/>
      <c r="H1750" s="67"/>
      <c r="I1750" s="68"/>
      <c r="J1750" s="68"/>
      <c r="K1750" s="32"/>
      <c r="L1750" s="75">
        <v>1750</v>
      </c>
      <c r="M1750" s="75"/>
      <c r="N1750" s="70"/>
      <c r="O1750" s="77" t="s">
        <v>179</v>
      </c>
      <c r="P1750" s="79">
        <v>44939.763437499998</v>
      </c>
      <c r="Q1750" s="77" t="s">
        <v>2534</v>
      </c>
      <c r="R1750" s="77">
        <v>0</v>
      </c>
      <c r="S1750" s="77">
        <v>0</v>
      </c>
      <c r="T1750" s="77">
        <v>0</v>
      </c>
      <c r="U1750" s="77">
        <v>0</v>
      </c>
      <c r="V1750" s="77">
        <v>22</v>
      </c>
      <c r="W1750" s="81" t="s">
        <v>3876</v>
      </c>
      <c r="X1750" s="77"/>
      <c r="Y1750" s="77"/>
      <c r="Z1750" s="77"/>
      <c r="AA1750" s="77" t="s">
        <v>5549</v>
      </c>
      <c r="AB1750" s="77" t="s">
        <v>5794</v>
      </c>
      <c r="AC1750" s="81" t="s">
        <v>5830</v>
      </c>
      <c r="AD1750" s="77" t="s">
        <v>5851</v>
      </c>
      <c r="AE1750" s="83" t="str">
        <f>HYPERLINK("https://twitter.com/joaoserpasantos/status/1613963928970592287")</f>
        <v>https://twitter.com/joaoserpasantos/status/1613963928970592287</v>
      </c>
      <c r="AF1750" s="79">
        <v>44939.763437499998</v>
      </c>
      <c r="AG1750" s="85">
        <v>44939</v>
      </c>
      <c r="AH1750" s="81" t="s">
        <v>7384</v>
      </c>
      <c r="AI1750" s="77" t="b">
        <v>0</v>
      </c>
      <c r="AJ1750" s="77"/>
      <c r="AK1750" s="77"/>
      <c r="AL1750" s="77"/>
      <c r="AM1750" s="77"/>
      <c r="AN1750" s="77"/>
      <c r="AO1750" s="77"/>
      <c r="AP1750" s="77"/>
      <c r="AQ1750" s="77" t="s">
        <v>9052</v>
      </c>
      <c r="AR1750" s="77"/>
      <c r="AS1750" s="77"/>
      <c r="AT1750" s="77"/>
      <c r="AU1750" s="77"/>
      <c r="AV1750" s="83" t="str">
        <f>HYPERLINK("https://pbs.twimg.com/media/FmXzo8sWAAEg97d.jpg")</f>
        <v>https://pbs.twimg.com/media/FmXzo8sWAAEg97d.jpg</v>
      </c>
      <c r="AW1750" s="81" t="s">
        <v>10863</v>
      </c>
      <c r="AX1750" s="81" t="s">
        <v>10863</v>
      </c>
      <c r="AY1750" s="77"/>
      <c r="AZ1750" s="81" t="s">
        <v>11359</v>
      </c>
      <c r="BA1750" s="81" t="s">
        <v>11359</v>
      </c>
      <c r="BB1750" s="81" t="s">
        <v>11359</v>
      </c>
      <c r="BC1750" s="81" t="s">
        <v>10863</v>
      </c>
      <c r="BD1750" s="77">
        <v>269829929</v>
      </c>
      <c r="BE1750" s="77"/>
      <c r="BF1750" s="77"/>
      <c r="BG1750" s="77"/>
      <c r="BH1750" s="77"/>
      <c r="BI1750" s="77"/>
    </row>
    <row r="1751" spans="1:61" x14ac:dyDescent="0.25">
      <c r="A1751" s="62" t="s">
        <v>707</v>
      </c>
      <c r="B1751" s="62" t="s">
        <v>707</v>
      </c>
      <c r="C1751" s="63"/>
      <c r="D1751" s="64"/>
      <c r="E1751" s="65"/>
      <c r="F1751" s="66"/>
      <c r="G1751" s="63"/>
      <c r="H1751" s="67"/>
      <c r="I1751" s="68"/>
      <c r="J1751" s="68"/>
      <c r="K1751" s="32"/>
      <c r="L1751" s="75">
        <v>1751</v>
      </c>
      <c r="M1751" s="75"/>
      <c r="N1751" s="70"/>
      <c r="O1751" s="77" t="s">
        <v>179</v>
      </c>
      <c r="P1751" s="79">
        <v>45108.558032407411</v>
      </c>
      <c r="Q1751" s="77" t="s">
        <v>2535</v>
      </c>
      <c r="R1751" s="77">
        <v>0</v>
      </c>
      <c r="S1751" s="77">
        <v>0</v>
      </c>
      <c r="T1751" s="77">
        <v>0</v>
      </c>
      <c r="U1751" s="77">
        <v>0</v>
      </c>
      <c r="V1751" s="77">
        <v>12</v>
      </c>
      <c r="W1751" s="81" t="s">
        <v>3877</v>
      </c>
      <c r="X1751" s="77"/>
      <c r="Y1751" s="77"/>
      <c r="Z1751" s="77"/>
      <c r="AA1751" s="77" t="s">
        <v>5550</v>
      </c>
      <c r="AB1751" s="77" t="s">
        <v>5795</v>
      </c>
      <c r="AC1751" s="81" t="s">
        <v>5803</v>
      </c>
      <c r="AD1751" s="77" t="s">
        <v>5851</v>
      </c>
      <c r="AE1751" s="83" t="str">
        <f>HYPERLINK("https://twitter.com/francocomprebem/status/1675133042761900032")</f>
        <v>https://twitter.com/francocomprebem/status/1675133042761900032</v>
      </c>
      <c r="AF1751" s="79">
        <v>45108.558032407411</v>
      </c>
      <c r="AG1751" s="85">
        <v>45108</v>
      </c>
      <c r="AH1751" s="81" t="s">
        <v>7385</v>
      </c>
      <c r="AI1751" s="77" t="b">
        <v>0</v>
      </c>
      <c r="AJ1751" s="77"/>
      <c r="AK1751" s="77"/>
      <c r="AL1751" s="77"/>
      <c r="AM1751" s="77"/>
      <c r="AN1751" s="77"/>
      <c r="AO1751" s="77"/>
      <c r="AP1751" s="77"/>
      <c r="AQ1751" s="77" t="s">
        <v>9053</v>
      </c>
      <c r="AR1751" s="77">
        <v>13600</v>
      </c>
      <c r="AS1751" s="77"/>
      <c r="AT1751" s="77"/>
      <c r="AU1751" s="77"/>
      <c r="AV1751" s="83" t="str">
        <f>HYPERLINK("https://pbs.twimg.com/ext_tw_video_thumb/1675133007550717952/pu/img/VcImqPcyhYXlXNYL.jpg")</f>
        <v>https://pbs.twimg.com/ext_tw_video_thumb/1675133007550717952/pu/img/VcImqPcyhYXlXNYL.jpg</v>
      </c>
      <c r="AW1751" s="81" t="s">
        <v>10864</v>
      </c>
      <c r="AX1751" s="81" t="s">
        <v>10864</v>
      </c>
      <c r="AY1751" s="77"/>
      <c r="AZ1751" s="81" t="s">
        <v>11359</v>
      </c>
      <c r="BA1751" s="81" t="s">
        <v>11359</v>
      </c>
      <c r="BB1751" s="81" t="s">
        <v>11359</v>
      </c>
      <c r="BC1751" s="81" t="s">
        <v>10864</v>
      </c>
      <c r="BD1751" s="81" t="s">
        <v>11644</v>
      </c>
      <c r="BE1751" s="77"/>
      <c r="BF1751" s="77"/>
      <c r="BG1751" s="77"/>
      <c r="BH1751" s="77"/>
      <c r="BI1751" s="77"/>
    </row>
    <row r="1752" spans="1:61" x14ac:dyDescent="0.25">
      <c r="A1752" s="62" t="s">
        <v>708</v>
      </c>
      <c r="B1752" s="62" t="s">
        <v>948</v>
      </c>
      <c r="C1752" s="63"/>
      <c r="D1752" s="64"/>
      <c r="E1752" s="65"/>
      <c r="F1752" s="66"/>
      <c r="G1752" s="63"/>
      <c r="H1752" s="67"/>
      <c r="I1752" s="68"/>
      <c r="J1752" s="68"/>
      <c r="K1752" s="32"/>
      <c r="L1752" s="75">
        <v>1752</v>
      </c>
      <c r="M1752" s="75"/>
      <c r="N1752" s="70"/>
      <c r="O1752" s="77" t="s">
        <v>967</v>
      </c>
      <c r="P1752" s="79">
        <v>45098.96503472222</v>
      </c>
      <c r="Q1752" s="77" t="s">
        <v>2536</v>
      </c>
      <c r="R1752" s="77">
        <v>1</v>
      </c>
      <c r="S1752" s="77">
        <v>2</v>
      </c>
      <c r="T1752" s="77">
        <v>0</v>
      </c>
      <c r="U1752" s="77">
        <v>0</v>
      </c>
      <c r="V1752" s="77">
        <v>95</v>
      </c>
      <c r="W1752" s="81" t="s">
        <v>3878</v>
      </c>
      <c r="X1752" s="77"/>
      <c r="Y1752" s="77"/>
      <c r="Z1752" s="77" t="s">
        <v>948</v>
      </c>
      <c r="AA1752" s="77" t="s">
        <v>5551</v>
      </c>
      <c r="AB1752" s="77" t="s">
        <v>5794</v>
      </c>
      <c r="AC1752" s="81" t="s">
        <v>5805</v>
      </c>
      <c r="AD1752" s="77" t="s">
        <v>5850</v>
      </c>
      <c r="AE1752" s="83" t="str">
        <f>HYPERLINK("https://twitter.com/ateliermidnight/status/1671656655472279554")</f>
        <v>https://twitter.com/ateliermidnight/status/1671656655472279554</v>
      </c>
      <c r="AF1752" s="79">
        <v>45098.96503472222</v>
      </c>
      <c r="AG1752" s="85">
        <v>45098</v>
      </c>
      <c r="AH1752" s="81" t="s">
        <v>7386</v>
      </c>
      <c r="AI1752" s="77" t="b">
        <v>0</v>
      </c>
      <c r="AJ1752" s="77"/>
      <c r="AK1752" s="77"/>
      <c r="AL1752" s="77"/>
      <c r="AM1752" s="77"/>
      <c r="AN1752" s="77"/>
      <c r="AO1752" s="77"/>
      <c r="AP1752" s="77"/>
      <c r="AQ1752" s="77" t="s">
        <v>9054</v>
      </c>
      <c r="AR1752" s="77"/>
      <c r="AS1752" s="77"/>
      <c r="AT1752" s="77"/>
      <c r="AU1752" s="77"/>
      <c r="AV1752" s="83" t="str">
        <f>HYPERLINK("https://pbs.twimg.com/media/FzLq3GsWIAEcr6t.jpg")</f>
        <v>https://pbs.twimg.com/media/FzLq3GsWIAEcr6t.jpg</v>
      </c>
      <c r="AW1752" s="81" t="s">
        <v>10865</v>
      </c>
      <c r="AX1752" s="81" t="s">
        <v>10865</v>
      </c>
      <c r="AY1752" s="77"/>
      <c r="AZ1752" s="81" t="s">
        <v>11359</v>
      </c>
      <c r="BA1752" s="81" t="s">
        <v>11359</v>
      </c>
      <c r="BB1752" s="81" t="s">
        <v>11359</v>
      </c>
      <c r="BC1752" s="81" t="s">
        <v>10865</v>
      </c>
      <c r="BD1752" s="77">
        <v>3298292592</v>
      </c>
      <c r="BE1752" s="77"/>
      <c r="BF1752" s="77"/>
      <c r="BG1752" s="77"/>
      <c r="BH1752" s="77"/>
      <c r="BI1752" s="77"/>
    </row>
    <row r="1753" spans="1:61" x14ac:dyDescent="0.25">
      <c r="A1753" s="62" t="s">
        <v>708</v>
      </c>
      <c r="B1753" s="62" t="s">
        <v>708</v>
      </c>
      <c r="C1753" s="63"/>
      <c r="D1753" s="64"/>
      <c r="E1753" s="65"/>
      <c r="F1753" s="66"/>
      <c r="G1753" s="63"/>
      <c r="H1753" s="67"/>
      <c r="I1753" s="68"/>
      <c r="J1753" s="68"/>
      <c r="K1753" s="32"/>
      <c r="L1753" s="75">
        <v>1753</v>
      </c>
      <c r="M1753" s="75"/>
      <c r="N1753" s="70"/>
      <c r="O1753" s="77" t="s">
        <v>179</v>
      </c>
      <c r="P1753" s="79">
        <v>45003.998842592591</v>
      </c>
      <c r="Q1753" s="77" t="s">
        <v>2537</v>
      </c>
      <c r="R1753" s="77">
        <v>0</v>
      </c>
      <c r="S1753" s="77">
        <v>4</v>
      </c>
      <c r="T1753" s="77">
        <v>0</v>
      </c>
      <c r="U1753" s="77">
        <v>0</v>
      </c>
      <c r="V1753" s="77">
        <v>82</v>
      </c>
      <c r="W1753" s="81" t="s">
        <v>3879</v>
      </c>
      <c r="X1753" s="77"/>
      <c r="Y1753" s="77"/>
      <c r="Z1753" s="77"/>
      <c r="AA1753" s="77" t="s">
        <v>5552</v>
      </c>
      <c r="AB1753" s="77" t="s">
        <v>5794</v>
      </c>
      <c r="AC1753" s="81" t="s">
        <v>5805</v>
      </c>
      <c r="AD1753" s="77" t="s">
        <v>5855</v>
      </c>
      <c r="AE1753" s="83" t="str">
        <f>HYPERLINK("https://twitter.com/ateliermidnight/status/1637242062352400384")</f>
        <v>https://twitter.com/ateliermidnight/status/1637242062352400384</v>
      </c>
      <c r="AF1753" s="79">
        <v>45003.998842592591</v>
      </c>
      <c r="AG1753" s="85">
        <v>45003</v>
      </c>
      <c r="AH1753" s="81" t="s">
        <v>7387</v>
      </c>
      <c r="AI1753" s="77" t="b">
        <v>0</v>
      </c>
      <c r="AJ1753" s="77"/>
      <c r="AK1753" s="77"/>
      <c r="AL1753" s="77"/>
      <c r="AM1753" s="77"/>
      <c r="AN1753" s="77"/>
      <c r="AO1753" s="77"/>
      <c r="AP1753" s="77"/>
      <c r="AQ1753" s="77" t="s">
        <v>9055</v>
      </c>
      <c r="AR1753" s="77"/>
      <c r="AS1753" s="77"/>
      <c r="AT1753" s="77"/>
      <c r="AU1753" s="77"/>
      <c r="AV1753" s="83" t="str">
        <f>HYPERLINK("https://pbs.twimg.com/media/Frim-SAX0AAQR88.jpg")</f>
        <v>https://pbs.twimg.com/media/Frim-SAX0AAQR88.jpg</v>
      </c>
      <c r="AW1753" s="81" t="s">
        <v>10866</v>
      </c>
      <c r="AX1753" s="81" t="s">
        <v>10866</v>
      </c>
      <c r="AY1753" s="77"/>
      <c r="AZ1753" s="81" t="s">
        <v>11359</v>
      </c>
      <c r="BA1753" s="81" t="s">
        <v>11359</v>
      </c>
      <c r="BB1753" s="81" t="s">
        <v>11359</v>
      </c>
      <c r="BC1753" s="81" t="s">
        <v>10866</v>
      </c>
      <c r="BD1753" s="77">
        <v>3298292592</v>
      </c>
      <c r="BE1753" s="77"/>
      <c r="BF1753" s="77"/>
      <c r="BG1753" s="77"/>
      <c r="BH1753" s="77"/>
      <c r="BI1753" s="77"/>
    </row>
    <row r="1754" spans="1:61" x14ac:dyDescent="0.25">
      <c r="A1754" s="62" t="s">
        <v>708</v>
      </c>
      <c r="B1754" s="62" t="s">
        <v>708</v>
      </c>
      <c r="C1754" s="63"/>
      <c r="D1754" s="64"/>
      <c r="E1754" s="65"/>
      <c r="F1754" s="66"/>
      <c r="G1754" s="63"/>
      <c r="H1754" s="67"/>
      <c r="I1754" s="68"/>
      <c r="J1754" s="68"/>
      <c r="K1754" s="32"/>
      <c r="L1754" s="75">
        <v>1754</v>
      </c>
      <c r="M1754" s="75"/>
      <c r="N1754" s="70"/>
      <c r="O1754" s="77" t="s">
        <v>179</v>
      </c>
      <c r="P1754" s="79">
        <v>44999.043888888889</v>
      </c>
      <c r="Q1754" s="77" t="s">
        <v>2538</v>
      </c>
      <c r="R1754" s="77">
        <v>0</v>
      </c>
      <c r="S1754" s="77">
        <v>2</v>
      </c>
      <c r="T1754" s="77">
        <v>0</v>
      </c>
      <c r="U1754" s="77">
        <v>0</v>
      </c>
      <c r="V1754" s="77">
        <v>60</v>
      </c>
      <c r="W1754" s="81" t="s">
        <v>3880</v>
      </c>
      <c r="X1754" s="77"/>
      <c r="Y1754" s="77"/>
      <c r="Z1754" s="77"/>
      <c r="AA1754" s="77" t="s">
        <v>5553</v>
      </c>
      <c r="AB1754" s="77" t="s">
        <v>5794</v>
      </c>
      <c r="AC1754" s="81" t="s">
        <v>5805</v>
      </c>
      <c r="AD1754" s="77" t="s">
        <v>5855</v>
      </c>
      <c r="AE1754" s="83" t="str">
        <f>HYPERLINK("https://twitter.com/ateliermidnight/status/1635446446664163329")</f>
        <v>https://twitter.com/ateliermidnight/status/1635446446664163329</v>
      </c>
      <c r="AF1754" s="79">
        <v>44999.043888888889</v>
      </c>
      <c r="AG1754" s="85">
        <v>44999</v>
      </c>
      <c r="AH1754" s="81" t="s">
        <v>7388</v>
      </c>
      <c r="AI1754" s="77" t="b">
        <v>0</v>
      </c>
      <c r="AJ1754" s="77"/>
      <c r="AK1754" s="77"/>
      <c r="AL1754" s="77"/>
      <c r="AM1754" s="77"/>
      <c r="AN1754" s="77"/>
      <c r="AO1754" s="77"/>
      <c r="AP1754" s="77"/>
      <c r="AQ1754" s="77" t="s">
        <v>9056</v>
      </c>
      <c r="AR1754" s="77"/>
      <c r="AS1754" s="77"/>
      <c r="AT1754" s="77"/>
      <c r="AU1754" s="77"/>
      <c r="AV1754" s="83" t="str">
        <f>HYPERLINK("https://pbs.twimg.com/media/FrJF3vWWAAIuZSy.jpg")</f>
        <v>https://pbs.twimg.com/media/FrJF3vWWAAIuZSy.jpg</v>
      </c>
      <c r="AW1754" s="81" t="s">
        <v>10867</v>
      </c>
      <c r="AX1754" s="81" t="s">
        <v>10867</v>
      </c>
      <c r="AY1754" s="77"/>
      <c r="AZ1754" s="81" t="s">
        <v>11359</v>
      </c>
      <c r="BA1754" s="81" t="s">
        <v>11359</v>
      </c>
      <c r="BB1754" s="81" t="s">
        <v>11359</v>
      </c>
      <c r="BC1754" s="81" t="s">
        <v>10867</v>
      </c>
      <c r="BD1754" s="77">
        <v>3298292592</v>
      </c>
      <c r="BE1754" s="77"/>
      <c r="BF1754" s="77"/>
      <c r="BG1754" s="77"/>
      <c r="BH1754" s="77"/>
      <c r="BI1754" s="77"/>
    </row>
    <row r="1755" spans="1:61" x14ac:dyDescent="0.25">
      <c r="A1755" s="62" t="s">
        <v>708</v>
      </c>
      <c r="B1755" s="62" t="s">
        <v>708</v>
      </c>
      <c r="C1755" s="63"/>
      <c r="D1755" s="64"/>
      <c r="E1755" s="65"/>
      <c r="F1755" s="66"/>
      <c r="G1755" s="63"/>
      <c r="H1755" s="67"/>
      <c r="I1755" s="68"/>
      <c r="J1755" s="68"/>
      <c r="K1755" s="32"/>
      <c r="L1755" s="75">
        <v>1755</v>
      </c>
      <c r="M1755" s="75"/>
      <c r="N1755" s="70"/>
      <c r="O1755" s="77" t="s">
        <v>179</v>
      </c>
      <c r="P1755" s="79">
        <v>44999.725659722222</v>
      </c>
      <c r="Q1755" s="77" t="s">
        <v>2539</v>
      </c>
      <c r="R1755" s="77">
        <v>0</v>
      </c>
      <c r="S1755" s="77">
        <v>2</v>
      </c>
      <c r="T1755" s="77">
        <v>0</v>
      </c>
      <c r="U1755" s="77">
        <v>0</v>
      </c>
      <c r="V1755" s="77">
        <v>85</v>
      </c>
      <c r="W1755" s="81" t="s">
        <v>3881</v>
      </c>
      <c r="X1755" s="77"/>
      <c r="Y1755" s="77"/>
      <c r="Z1755" s="77"/>
      <c r="AA1755" s="77" t="s">
        <v>5554</v>
      </c>
      <c r="AB1755" s="77" t="s">
        <v>5794</v>
      </c>
      <c r="AC1755" s="81" t="s">
        <v>5805</v>
      </c>
      <c r="AD1755" s="77" t="s">
        <v>5850</v>
      </c>
      <c r="AE1755" s="83" t="str">
        <f>HYPERLINK("https://twitter.com/ateliermidnight/status/1635693511306518529")</f>
        <v>https://twitter.com/ateliermidnight/status/1635693511306518529</v>
      </c>
      <c r="AF1755" s="79">
        <v>44999.725659722222</v>
      </c>
      <c r="AG1755" s="85">
        <v>44999</v>
      </c>
      <c r="AH1755" s="81" t="s">
        <v>7389</v>
      </c>
      <c r="AI1755" s="77" t="b">
        <v>0</v>
      </c>
      <c r="AJ1755" s="77"/>
      <c r="AK1755" s="77"/>
      <c r="AL1755" s="77"/>
      <c r="AM1755" s="77"/>
      <c r="AN1755" s="77"/>
      <c r="AO1755" s="77"/>
      <c r="AP1755" s="77"/>
      <c r="AQ1755" s="77" t="s">
        <v>9057</v>
      </c>
      <c r="AR1755" s="77"/>
      <c r="AS1755" s="77"/>
      <c r="AT1755" s="77"/>
      <c r="AU1755" s="77"/>
      <c r="AV1755" s="83" t="str">
        <f>HYPERLINK("https://pbs.twimg.com/media/FrMmktXXsBo7tFQ.jpg")</f>
        <v>https://pbs.twimg.com/media/FrMmktXXsBo7tFQ.jpg</v>
      </c>
      <c r="AW1755" s="81" t="s">
        <v>10868</v>
      </c>
      <c r="AX1755" s="81" t="s">
        <v>10868</v>
      </c>
      <c r="AY1755" s="77"/>
      <c r="AZ1755" s="81" t="s">
        <v>11359</v>
      </c>
      <c r="BA1755" s="81" t="s">
        <v>11359</v>
      </c>
      <c r="BB1755" s="81" t="s">
        <v>11359</v>
      </c>
      <c r="BC1755" s="81" t="s">
        <v>10868</v>
      </c>
      <c r="BD1755" s="77">
        <v>3298292592</v>
      </c>
      <c r="BE1755" s="77"/>
      <c r="BF1755" s="77"/>
      <c r="BG1755" s="77"/>
      <c r="BH1755" s="77"/>
      <c r="BI1755" s="77"/>
    </row>
    <row r="1756" spans="1:61" x14ac:dyDescent="0.25">
      <c r="A1756" s="62" t="s">
        <v>709</v>
      </c>
      <c r="B1756" s="62" t="s">
        <v>709</v>
      </c>
      <c r="C1756" s="63"/>
      <c r="D1756" s="64"/>
      <c r="E1756" s="65"/>
      <c r="F1756" s="66"/>
      <c r="G1756" s="63"/>
      <c r="H1756" s="67"/>
      <c r="I1756" s="68"/>
      <c r="J1756" s="68"/>
      <c r="K1756" s="32"/>
      <c r="L1756" s="75">
        <v>1756</v>
      </c>
      <c r="M1756" s="75"/>
      <c r="N1756" s="70"/>
      <c r="O1756" s="77" t="s">
        <v>179</v>
      </c>
      <c r="P1756" s="79">
        <v>45161.47960648148</v>
      </c>
      <c r="Q1756" s="77" t="s">
        <v>2540</v>
      </c>
      <c r="R1756" s="77">
        <v>0</v>
      </c>
      <c r="S1756" s="77">
        <v>0</v>
      </c>
      <c r="T1756" s="77">
        <v>0</v>
      </c>
      <c r="U1756" s="77">
        <v>0</v>
      </c>
      <c r="V1756" s="77">
        <v>5</v>
      </c>
      <c r="W1756" s="81" t="s">
        <v>3882</v>
      </c>
      <c r="X1756" s="83" t="str">
        <f>HYPERLINK("https://doxaadministrativo.blogspot.com/2023/08/doxa-1750.html")</f>
        <v>https://doxaadministrativo.blogspot.com/2023/08/doxa-1750.html</v>
      </c>
      <c r="Y1756" s="77" t="s">
        <v>4216</v>
      </c>
      <c r="Z1756" s="77"/>
      <c r="AA1756" s="77"/>
      <c r="AB1756" s="77"/>
      <c r="AC1756" s="81" t="s">
        <v>5805</v>
      </c>
      <c r="AD1756" s="77" t="s">
        <v>5850</v>
      </c>
      <c r="AE1756" s="83" t="str">
        <f>HYPERLINK("https://twitter.com/oscarhbp1/status/1694311180657983508")</f>
        <v>https://twitter.com/oscarhbp1/status/1694311180657983508</v>
      </c>
      <c r="AF1756" s="79">
        <v>45161.47960648148</v>
      </c>
      <c r="AG1756" s="85">
        <v>45161</v>
      </c>
      <c r="AH1756" s="81" t="s">
        <v>7390</v>
      </c>
      <c r="AI1756" s="77" t="b">
        <v>0</v>
      </c>
      <c r="AJ1756" s="77"/>
      <c r="AK1756" s="77"/>
      <c r="AL1756" s="77"/>
      <c r="AM1756" s="77"/>
      <c r="AN1756" s="77"/>
      <c r="AO1756" s="77"/>
      <c r="AP1756" s="77"/>
      <c r="AQ1756" s="77"/>
      <c r="AR1756" s="77"/>
      <c r="AS1756" s="77"/>
      <c r="AT1756" s="77"/>
      <c r="AU1756" s="77"/>
      <c r="AV1756" s="83" t="str">
        <f>HYPERLINK("https://pbs.twimg.com/profile_images/1440351820321198080/U89d8HIn_normal.jpg")</f>
        <v>https://pbs.twimg.com/profile_images/1440351820321198080/U89d8HIn_normal.jpg</v>
      </c>
      <c r="AW1756" s="81" t="s">
        <v>10869</v>
      </c>
      <c r="AX1756" s="81" t="s">
        <v>10869</v>
      </c>
      <c r="AY1756" s="77"/>
      <c r="AZ1756" s="81" t="s">
        <v>11359</v>
      </c>
      <c r="BA1756" s="81" t="s">
        <v>11359</v>
      </c>
      <c r="BB1756" s="81" t="s">
        <v>11359</v>
      </c>
      <c r="BC1756" s="81" t="s">
        <v>10869</v>
      </c>
      <c r="BD1756" s="81" t="s">
        <v>11645</v>
      </c>
      <c r="BE1756" s="77"/>
      <c r="BF1756" s="77"/>
      <c r="BG1756" s="77"/>
      <c r="BH1756" s="77"/>
      <c r="BI1756" s="77"/>
    </row>
    <row r="1757" spans="1:61" x14ac:dyDescent="0.25">
      <c r="A1757" s="62" t="s">
        <v>709</v>
      </c>
      <c r="B1757" s="62" t="s">
        <v>709</v>
      </c>
      <c r="C1757" s="63"/>
      <c r="D1757" s="64"/>
      <c r="E1757" s="65"/>
      <c r="F1757" s="66"/>
      <c r="G1757" s="63"/>
      <c r="H1757" s="67"/>
      <c r="I1757" s="68"/>
      <c r="J1757" s="68"/>
      <c r="K1757" s="32"/>
      <c r="L1757" s="75">
        <v>1757</v>
      </c>
      <c r="M1757" s="75"/>
      <c r="N1757" s="70"/>
      <c r="O1757" s="77" t="s">
        <v>179</v>
      </c>
      <c r="P1757" s="79">
        <v>45001.439201388886</v>
      </c>
      <c r="Q1757" s="77" t="s">
        <v>2541</v>
      </c>
      <c r="R1757" s="77">
        <v>0</v>
      </c>
      <c r="S1757" s="77">
        <v>1</v>
      </c>
      <c r="T1757" s="77">
        <v>0</v>
      </c>
      <c r="U1757" s="77">
        <v>2</v>
      </c>
      <c r="V1757" s="77">
        <v>4</v>
      </c>
      <c r="W1757" s="81" t="s">
        <v>3883</v>
      </c>
      <c r="X1757" s="83" t="str">
        <f>HYPERLINK("https://doxaadministrativo.blogspot.com/2023/03/doxa-1637.html")</f>
        <v>https://doxaadministrativo.blogspot.com/2023/03/doxa-1637.html</v>
      </c>
      <c r="Y1757" s="77" t="s">
        <v>4216</v>
      </c>
      <c r="Z1757" s="77"/>
      <c r="AA1757" s="77"/>
      <c r="AB1757" s="77"/>
      <c r="AC1757" s="81" t="s">
        <v>5805</v>
      </c>
      <c r="AD1757" s="77" t="s">
        <v>5850</v>
      </c>
      <c r="AE1757" s="83" t="str">
        <f>HYPERLINK("https://twitter.com/oscarhbp1/status/1636314476608724992")</f>
        <v>https://twitter.com/oscarhbp1/status/1636314476608724992</v>
      </c>
      <c r="AF1757" s="79">
        <v>45001.439201388886</v>
      </c>
      <c r="AG1757" s="85">
        <v>45001</v>
      </c>
      <c r="AH1757" s="81" t="s">
        <v>7391</v>
      </c>
      <c r="AI1757" s="77" t="b">
        <v>0</v>
      </c>
      <c r="AJ1757" s="77"/>
      <c r="AK1757" s="77"/>
      <c r="AL1757" s="77"/>
      <c r="AM1757" s="77"/>
      <c r="AN1757" s="77"/>
      <c r="AO1757" s="77"/>
      <c r="AP1757" s="77"/>
      <c r="AQ1757" s="77"/>
      <c r="AR1757" s="77"/>
      <c r="AS1757" s="77"/>
      <c r="AT1757" s="77"/>
      <c r="AU1757" s="77"/>
      <c r="AV1757" s="83" t="str">
        <f>HYPERLINK("https://pbs.twimg.com/profile_images/1440351820321198080/U89d8HIn_normal.jpg")</f>
        <v>https://pbs.twimg.com/profile_images/1440351820321198080/U89d8HIn_normal.jpg</v>
      </c>
      <c r="AW1757" s="81" t="s">
        <v>10870</v>
      </c>
      <c r="AX1757" s="81" t="s">
        <v>10870</v>
      </c>
      <c r="AY1757" s="77"/>
      <c r="AZ1757" s="81" t="s">
        <v>11359</v>
      </c>
      <c r="BA1757" s="81" t="s">
        <v>11359</v>
      </c>
      <c r="BB1757" s="81" t="s">
        <v>11359</v>
      </c>
      <c r="BC1757" s="81" t="s">
        <v>10870</v>
      </c>
      <c r="BD1757" s="81" t="s">
        <v>11645</v>
      </c>
      <c r="BE1757" s="77"/>
      <c r="BF1757" s="77"/>
      <c r="BG1757" s="77"/>
      <c r="BH1757" s="77"/>
      <c r="BI1757" s="77"/>
    </row>
    <row r="1758" spans="1:61" x14ac:dyDescent="0.25">
      <c r="A1758" s="62" t="s">
        <v>710</v>
      </c>
      <c r="B1758" s="62" t="s">
        <v>710</v>
      </c>
      <c r="C1758" s="63"/>
      <c r="D1758" s="64"/>
      <c r="E1758" s="65"/>
      <c r="F1758" s="66"/>
      <c r="G1758" s="63"/>
      <c r="H1758" s="67"/>
      <c r="I1758" s="68"/>
      <c r="J1758" s="68"/>
      <c r="K1758" s="32"/>
      <c r="L1758" s="75">
        <v>1758</v>
      </c>
      <c r="M1758" s="75"/>
      <c r="N1758" s="70"/>
      <c r="O1758" s="77" t="s">
        <v>179</v>
      </c>
      <c r="P1758" s="79">
        <v>45104.589421296296</v>
      </c>
      <c r="Q1758" s="77" t="s">
        <v>2542</v>
      </c>
      <c r="R1758" s="77">
        <v>1</v>
      </c>
      <c r="S1758" s="77">
        <v>1</v>
      </c>
      <c r="T1758" s="77">
        <v>0</v>
      </c>
      <c r="U1758" s="77">
        <v>0</v>
      </c>
      <c r="V1758" s="77">
        <v>27</v>
      </c>
      <c r="W1758" s="81" t="s">
        <v>3884</v>
      </c>
      <c r="X1758" s="77"/>
      <c r="Y1758" s="77"/>
      <c r="Z1758" s="77"/>
      <c r="AA1758" s="77" t="s">
        <v>5555</v>
      </c>
      <c r="AB1758" s="77" t="s">
        <v>5794</v>
      </c>
      <c r="AC1758" s="81" t="s">
        <v>5801</v>
      </c>
      <c r="AD1758" s="77" t="s">
        <v>5850</v>
      </c>
      <c r="AE1758" s="83" t="str">
        <f>HYPERLINK("https://twitter.com/araareclut67717/status/1673694867191394305")</f>
        <v>https://twitter.com/araareclut67717/status/1673694867191394305</v>
      </c>
      <c r="AF1758" s="79">
        <v>45104.589421296296</v>
      </c>
      <c r="AG1758" s="85">
        <v>45104</v>
      </c>
      <c r="AH1758" s="81" t="s">
        <v>7392</v>
      </c>
      <c r="AI1758" s="77" t="b">
        <v>0</v>
      </c>
      <c r="AJ1758" s="77"/>
      <c r="AK1758" s="77"/>
      <c r="AL1758" s="77"/>
      <c r="AM1758" s="77"/>
      <c r="AN1758" s="77"/>
      <c r="AO1758" s="77"/>
      <c r="AP1758" s="77"/>
      <c r="AQ1758" s="77" t="s">
        <v>9058</v>
      </c>
      <c r="AR1758" s="77"/>
      <c r="AS1758" s="77"/>
      <c r="AT1758" s="77"/>
      <c r="AU1758" s="77"/>
      <c r="AV1758" s="83" t="str">
        <f>HYPERLINK("https://pbs.twimg.com/media/FzoonJsWcAAr8SH.jpg")</f>
        <v>https://pbs.twimg.com/media/FzoonJsWcAAr8SH.jpg</v>
      </c>
      <c r="AW1758" s="81" t="s">
        <v>10871</v>
      </c>
      <c r="AX1758" s="81" t="s">
        <v>10871</v>
      </c>
      <c r="AY1758" s="77"/>
      <c r="AZ1758" s="81" t="s">
        <v>11359</v>
      </c>
      <c r="BA1758" s="81" t="s">
        <v>11359</v>
      </c>
      <c r="BB1758" s="81" t="s">
        <v>11359</v>
      </c>
      <c r="BC1758" s="81" t="s">
        <v>10871</v>
      </c>
      <c r="BD1758" s="81" t="s">
        <v>11646</v>
      </c>
      <c r="BE1758" s="77"/>
      <c r="BF1758" s="77"/>
      <c r="BG1758" s="77"/>
      <c r="BH1758" s="77"/>
      <c r="BI1758" s="77"/>
    </row>
    <row r="1759" spans="1:61" x14ac:dyDescent="0.25">
      <c r="A1759" s="62" t="s">
        <v>711</v>
      </c>
      <c r="B1759" s="62" t="s">
        <v>711</v>
      </c>
      <c r="C1759" s="63"/>
      <c r="D1759" s="64"/>
      <c r="E1759" s="65"/>
      <c r="F1759" s="66"/>
      <c r="G1759" s="63"/>
      <c r="H1759" s="67"/>
      <c r="I1759" s="68"/>
      <c r="J1759" s="68"/>
      <c r="K1759" s="32"/>
      <c r="L1759" s="75">
        <v>1759</v>
      </c>
      <c r="M1759" s="75"/>
      <c r="N1759" s="70"/>
      <c r="O1759" s="77" t="s">
        <v>179</v>
      </c>
      <c r="P1759" s="79">
        <v>45124.616435185184</v>
      </c>
      <c r="Q1759" s="77" t="s">
        <v>2543</v>
      </c>
      <c r="R1759" s="77">
        <v>0</v>
      </c>
      <c r="S1759" s="77">
        <v>0</v>
      </c>
      <c r="T1759" s="77">
        <v>0</v>
      </c>
      <c r="U1759" s="77">
        <v>0</v>
      </c>
      <c r="V1759" s="77">
        <v>58</v>
      </c>
      <c r="W1759" s="81" t="s">
        <v>3885</v>
      </c>
      <c r="X1759" s="77"/>
      <c r="Y1759" s="77"/>
      <c r="Z1759" s="77"/>
      <c r="AA1759" s="77" t="s">
        <v>5556</v>
      </c>
      <c r="AB1759" s="77" t="s">
        <v>5794</v>
      </c>
      <c r="AC1759" s="81" t="s">
        <v>5805</v>
      </c>
      <c r="AD1759" s="77" t="s">
        <v>5850</v>
      </c>
      <c r="AE1759" s="83" t="str">
        <f>HYPERLINK("https://twitter.com/fsimilaresnorte/status/1680952412532535297")</f>
        <v>https://twitter.com/fsimilaresnorte/status/1680952412532535297</v>
      </c>
      <c r="AF1759" s="79">
        <v>45124.616435185184</v>
      </c>
      <c r="AG1759" s="85">
        <v>45124</v>
      </c>
      <c r="AH1759" s="81" t="s">
        <v>7393</v>
      </c>
      <c r="AI1759" s="77" t="b">
        <v>0</v>
      </c>
      <c r="AJ1759" s="77"/>
      <c r="AK1759" s="77"/>
      <c r="AL1759" s="77"/>
      <c r="AM1759" s="77"/>
      <c r="AN1759" s="77"/>
      <c r="AO1759" s="77"/>
      <c r="AP1759" s="77"/>
      <c r="AQ1759" s="77" t="s">
        <v>9059</v>
      </c>
      <c r="AR1759" s="77"/>
      <c r="AS1759" s="77"/>
      <c r="AT1759" s="77"/>
      <c r="AU1759" s="77"/>
      <c r="AV1759" s="83" t="str">
        <f>HYPERLINK("https://pbs.twimg.com/media/F1PwqXOWcAATrGt.jpg")</f>
        <v>https://pbs.twimg.com/media/F1PwqXOWcAATrGt.jpg</v>
      </c>
      <c r="AW1759" s="81" t="s">
        <v>10872</v>
      </c>
      <c r="AX1759" s="81" t="s">
        <v>10872</v>
      </c>
      <c r="AY1759" s="77"/>
      <c r="AZ1759" s="81" t="s">
        <v>11359</v>
      </c>
      <c r="BA1759" s="81" t="s">
        <v>11359</v>
      </c>
      <c r="BB1759" s="81" t="s">
        <v>11359</v>
      </c>
      <c r="BC1759" s="81" t="s">
        <v>10872</v>
      </c>
      <c r="BD1759" s="81" t="s">
        <v>11647</v>
      </c>
      <c r="BE1759" s="77"/>
      <c r="BF1759" s="77"/>
      <c r="BG1759" s="77"/>
      <c r="BH1759" s="77"/>
      <c r="BI1759" s="77"/>
    </row>
    <row r="1760" spans="1:61" x14ac:dyDescent="0.25">
      <c r="A1760" s="62" t="s">
        <v>712</v>
      </c>
      <c r="B1760" s="62" t="s">
        <v>712</v>
      </c>
      <c r="C1760" s="63"/>
      <c r="D1760" s="64"/>
      <c r="E1760" s="65"/>
      <c r="F1760" s="66"/>
      <c r="G1760" s="63"/>
      <c r="H1760" s="67"/>
      <c r="I1760" s="68"/>
      <c r="J1760" s="68"/>
      <c r="K1760" s="32"/>
      <c r="L1760" s="75">
        <v>1760</v>
      </c>
      <c r="M1760" s="75"/>
      <c r="N1760" s="70"/>
      <c r="O1760" s="77" t="s">
        <v>179</v>
      </c>
      <c r="P1760" s="79">
        <v>45150.584618055553</v>
      </c>
      <c r="Q1760" s="77" t="s">
        <v>2544</v>
      </c>
      <c r="R1760" s="77">
        <v>0</v>
      </c>
      <c r="S1760" s="77">
        <v>2</v>
      </c>
      <c r="T1760" s="77">
        <v>0</v>
      </c>
      <c r="U1760" s="77">
        <v>0</v>
      </c>
      <c r="V1760" s="77">
        <v>26</v>
      </c>
      <c r="W1760" s="81" t="s">
        <v>3886</v>
      </c>
      <c r="X1760" s="77"/>
      <c r="Y1760" s="77"/>
      <c r="Z1760" s="77"/>
      <c r="AA1760" s="77" t="s">
        <v>5557</v>
      </c>
      <c r="AB1760" s="77" t="s">
        <v>5794</v>
      </c>
      <c r="AC1760" s="81" t="s">
        <v>5803</v>
      </c>
      <c r="AD1760" s="77" t="s">
        <v>5851</v>
      </c>
      <c r="AE1760" s="83" t="str">
        <f>HYPERLINK("https://twitter.com/erikpenna/status/1690362966636457985")</f>
        <v>https://twitter.com/erikpenna/status/1690362966636457985</v>
      </c>
      <c r="AF1760" s="79">
        <v>45150.584618055553</v>
      </c>
      <c r="AG1760" s="85">
        <v>45150</v>
      </c>
      <c r="AH1760" s="81" t="s">
        <v>7394</v>
      </c>
      <c r="AI1760" s="77" t="b">
        <v>0</v>
      </c>
      <c r="AJ1760" s="77"/>
      <c r="AK1760" s="77"/>
      <c r="AL1760" s="77"/>
      <c r="AM1760" s="77"/>
      <c r="AN1760" s="77"/>
      <c r="AO1760" s="77"/>
      <c r="AP1760" s="77"/>
      <c r="AQ1760" s="77" t="s">
        <v>9060</v>
      </c>
      <c r="AR1760" s="77"/>
      <c r="AS1760" s="77"/>
      <c r="AT1760" s="77"/>
      <c r="AU1760" s="77"/>
      <c r="AV1760" s="83" t="str">
        <f>HYPERLINK("https://pbs.twimg.com/media/F3VgKIeW0AADcnF.jpg")</f>
        <v>https://pbs.twimg.com/media/F3VgKIeW0AADcnF.jpg</v>
      </c>
      <c r="AW1760" s="81" t="s">
        <v>10873</v>
      </c>
      <c r="AX1760" s="81" t="s">
        <v>10873</v>
      </c>
      <c r="AY1760" s="77"/>
      <c r="AZ1760" s="81" t="s">
        <v>11359</v>
      </c>
      <c r="BA1760" s="81" t="s">
        <v>11359</v>
      </c>
      <c r="BB1760" s="81" t="s">
        <v>11359</v>
      </c>
      <c r="BC1760" s="81" t="s">
        <v>10873</v>
      </c>
      <c r="BD1760" s="77">
        <v>2340159666</v>
      </c>
      <c r="BE1760" s="77"/>
      <c r="BF1760" s="77"/>
      <c r="BG1760" s="77"/>
      <c r="BH1760" s="77"/>
      <c r="BI1760" s="77"/>
    </row>
    <row r="1761" spans="1:61" x14ac:dyDescent="0.25">
      <c r="A1761" s="62" t="s">
        <v>712</v>
      </c>
      <c r="B1761" s="62" t="s">
        <v>712</v>
      </c>
      <c r="C1761" s="63"/>
      <c r="D1761" s="64"/>
      <c r="E1761" s="65"/>
      <c r="F1761" s="66"/>
      <c r="G1761" s="63"/>
      <c r="H1761" s="67"/>
      <c r="I1761" s="68"/>
      <c r="J1761" s="68"/>
      <c r="K1761" s="32"/>
      <c r="L1761" s="75">
        <v>1761</v>
      </c>
      <c r="M1761" s="75"/>
      <c r="N1761" s="70"/>
      <c r="O1761" s="77" t="s">
        <v>179</v>
      </c>
      <c r="P1761" s="79">
        <v>45153.497349537036</v>
      </c>
      <c r="Q1761" s="77" t="s">
        <v>2545</v>
      </c>
      <c r="R1761" s="77">
        <v>0</v>
      </c>
      <c r="S1761" s="77">
        <v>1</v>
      </c>
      <c r="T1761" s="77">
        <v>0</v>
      </c>
      <c r="U1761" s="77">
        <v>0</v>
      </c>
      <c r="V1761" s="77">
        <v>27</v>
      </c>
      <c r="W1761" s="81" t="s">
        <v>3887</v>
      </c>
      <c r="X1761" s="77"/>
      <c r="Y1761" s="77"/>
      <c r="Z1761" s="77"/>
      <c r="AA1761" s="77" t="s">
        <v>5558</v>
      </c>
      <c r="AB1761" s="77" t="s">
        <v>5795</v>
      </c>
      <c r="AC1761" s="81" t="s">
        <v>5803</v>
      </c>
      <c r="AD1761" s="77" t="s">
        <v>5851</v>
      </c>
      <c r="AE1761" s="83" t="str">
        <f>HYPERLINK("https://twitter.com/erikpenna/status/1691418507731189760")</f>
        <v>https://twitter.com/erikpenna/status/1691418507731189760</v>
      </c>
      <c r="AF1761" s="79">
        <v>45153.497349537036</v>
      </c>
      <c r="AG1761" s="85">
        <v>45153</v>
      </c>
      <c r="AH1761" s="81" t="s">
        <v>7395</v>
      </c>
      <c r="AI1761" s="77" t="b">
        <v>0</v>
      </c>
      <c r="AJ1761" s="77"/>
      <c r="AK1761" s="77"/>
      <c r="AL1761" s="77"/>
      <c r="AM1761" s="77"/>
      <c r="AN1761" s="77"/>
      <c r="AO1761" s="77"/>
      <c r="AP1761" s="77"/>
      <c r="AQ1761" s="77" t="s">
        <v>9061</v>
      </c>
      <c r="AR1761" s="77">
        <v>14125</v>
      </c>
      <c r="AS1761" s="77"/>
      <c r="AT1761" s="77"/>
      <c r="AU1761" s="77"/>
      <c r="AV1761" s="83" t="str">
        <f>HYPERLINK("https://pbs.twimg.com/ext_tw_video_thumb/1691418439175266304/pu/img/xue6WcpYTegrElk6.jpg")</f>
        <v>https://pbs.twimg.com/ext_tw_video_thumb/1691418439175266304/pu/img/xue6WcpYTegrElk6.jpg</v>
      </c>
      <c r="AW1761" s="81" t="s">
        <v>10874</v>
      </c>
      <c r="AX1761" s="81" t="s">
        <v>10874</v>
      </c>
      <c r="AY1761" s="77"/>
      <c r="AZ1761" s="81" t="s">
        <v>11359</v>
      </c>
      <c r="BA1761" s="81" t="s">
        <v>11359</v>
      </c>
      <c r="BB1761" s="81" t="s">
        <v>11359</v>
      </c>
      <c r="BC1761" s="81" t="s">
        <v>10874</v>
      </c>
      <c r="BD1761" s="77">
        <v>2340159666</v>
      </c>
      <c r="BE1761" s="77"/>
      <c r="BF1761" s="77"/>
      <c r="BG1761" s="77"/>
      <c r="BH1761" s="77"/>
      <c r="BI1761" s="77"/>
    </row>
    <row r="1762" spans="1:61" x14ac:dyDescent="0.25">
      <c r="A1762" s="62" t="s">
        <v>713</v>
      </c>
      <c r="B1762" s="62" t="s">
        <v>713</v>
      </c>
      <c r="C1762" s="63"/>
      <c r="D1762" s="64"/>
      <c r="E1762" s="65"/>
      <c r="F1762" s="66"/>
      <c r="G1762" s="63"/>
      <c r="H1762" s="67"/>
      <c r="I1762" s="68"/>
      <c r="J1762" s="68"/>
      <c r="K1762" s="32"/>
      <c r="L1762" s="75">
        <v>1762</v>
      </c>
      <c r="M1762" s="75"/>
      <c r="N1762" s="70"/>
      <c r="O1762" s="77" t="s">
        <v>179</v>
      </c>
      <c r="P1762" s="79">
        <v>44943.651030092595</v>
      </c>
      <c r="Q1762" s="77" t="s">
        <v>2546</v>
      </c>
      <c r="R1762" s="77">
        <v>0</v>
      </c>
      <c r="S1762" s="77">
        <v>0</v>
      </c>
      <c r="T1762" s="77">
        <v>0</v>
      </c>
      <c r="U1762" s="77">
        <v>0</v>
      </c>
      <c r="V1762" s="77">
        <v>14</v>
      </c>
      <c r="W1762" s="81" t="s">
        <v>3888</v>
      </c>
      <c r="X1762" s="83" t="str">
        <f>HYPERLINK("http://bit.ly/3Hbobr1")</f>
        <v>http://bit.ly/3Hbobr1</v>
      </c>
      <c r="Y1762" s="77" t="s">
        <v>4213</v>
      </c>
      <c r="Z1762" s="77"/>
      <c r="AA1762" s="77"/>
      <c r="AB1762" s="77"/>
      <c r="AC1762" s="81" t="s">
        <v>5805</v>
      </c>
      <c r="AD1762" s="77" t="s">
        <v>5850</v>
      </c>
      <c r="AE1762" s="83" t="str">
        <f>HYPERLINK("https://twitter.com/cgcopywriter/status/1615372747521118209")</f>
        <v>https://twitter.com/cgcopywriter/status/1615372747521118209</v>
      </c>
      <c r="AF1762" s="79">
        <v>44943.651030092595</v>
      </c>
      <c r="AG1762" s="85">
        <v>44943</v>
      </c>
      <c r="AH1762" s="81" t="s">
        <v>7396</v>
      </c>
      <c r="AI1762" s="77" t="b">
        <v>0</v>
      </c>
      <c r="AJ1762" s="77"/>
      <c r="AK1762" s="77"/>
      <c r="AL1762" s="77"/>
      <c r="AM1762" s="77"/>
      <c r="AN1762" s="77"/>
      <c r="AO1762" s="77"/>
      <c r="AP1762" s="77"/>
      <c r="AQ1762" s="77"/>
      <c r="AR1762" s="77"/>
      <c r="AS1762" s="77"/>
      <c r="AT1762" s="77"/>
      <c r="AU1762" s="77"/>
      <c r="AV1762" s="83" t="str">
        <f>HYPERLINK("https://pbs.twimg.com/profile_images/1525850979287056389/mTDu-Atb_normal.jpg")</f>
        <v>https://pbs.twimg.com/profile_images/1525850979287056389/mTDu-Atb_normal.jpg</v>
      </c>
      <c r="AW1762" s="81" t="s">
        <v>10875</v>
      </c>
      <c r="AX1762" s="81" t="s">
        <v>10875</v>
      </c>
      <c r="AY1762" s="77"/>
      <c r="AZ1762" s="81" t="s">
        <v>11359</v>
      </c>
      <c r="BA1762" s="81" t="s">
        <v>11359</v>
      </c>
      <c r="BB1762" s="81" t="s">
        <v>11359</v>
      </c>
      <c r="BC1762" s="81" t="s">
        <v>10875</v>
      </c>
      <c r="BD1762" s="77">
        <v>2572443301</v>
      </c>
      <c r="BE1762" s="77"/>
      <c r="BF1762" s="77"/>
      <c r="BG1762" s="77"/>
      <c r="BH1762" s="77"/>
      <c r="BI1762" s="77"/>
    </row>
    <row r="1763" spans="1:61" x14ac:dyDescent="0.25">
      <c r="A1763" s="62" t="s">
        <v>714</v>
      </c>
      <c r="B1763" s="62" t="s">
        <v>714</v>
      </c>
      <c r="C1763" s="63"/>
      <c r="D1763" s="64"/>
      <c r="E1763" s="65"/>
      <c r="F1763" s="66"/>
      <c r="G1763" s="63"/>
      <c r="H1763" s="67"/>
      <c r="I1763" s="68"/>
      <c r="J1763" s="68"/>
      <c r="K1763" s="32"/>
      <c r="L1763" s="75">
        <v>1763</v>
      </c>
      <c r="M1763" s="75"/>
      <c r="N1763" s="70"/>
      <c r="O1763" s="77" t="s">
        <v>179</v>
      </c>
      <c r="P1763" s="79">
        <v>45175.873402777775</v>
      </c>
      <c r="Q1763" s="77" t="s">
        <v>2547</v>
      </c>
      <c r="R1763" s="77">
        <v>0</v>
      </c>
      <c r="S1763" s="77">
        <v>0</v>
      </c>
      <c r="T1763" s="77">
        <v>0</v>
      </c>
      <c r="U1763" s="77">
        <v>0</v>
      </c>
      <c r="V1763" s="77">
        <v>19</v>
      </c>
      <c r="W1763" s="81" t="s">
        <v>3889</v>
      </c>
      <c r="X1763" s="83" t="str">
        <f>HYPERLINK("https://qualityassist.mx/empleo/cdmx/agente-comercial/")</f>
        <v>https://qualityassist.mx/empleo/cdmx/agente-comercial/</v>
      </c>
      <c r="Y1763" s="77" t="s">
        <v>4323</v>
      </c>
      <c r="Z1763" s="77"/>
      <c r="AA1763" s="77"/>
      <c r="AB1763" s="77"/>
      <c r="AC1763" s="81" t="s">
        <v>5805</v>
      </c>
      <c r="AD1763" s="77" t="s">
        <v>5850</v>
      </c>
      <c r="AE1763" s="83" t="str">
        <f>HYPERLINK("https://twitter.com/qualityassist_/status/1699527314487345495")</f>
        <v>https://twitter.com/qualityassist_/status/1699527314487345495</v>
      </c>
      <c r="AF1763" s="79">
        <v>45175.873402777775</v>
      </c>
      <c r="AG1763" s="85">
        <v>45175</v>
      </c>
      <c r="AH1763" s="81" t="s">
        <v>7397</v>
      </c>
      <c r="AI1763" s="77" t="b">
        <v>1</v>
      </c>
      <c r="AJ1763" s="77"/>
      <c r="AK1763" s="77"/>
      <c r="AL1763" s="77"/>
      <c r="AM1763" s="77"/>
      <c r="AN1763" s="77"/>
      <c r="AO1763" s="77"/>
      <c r="AP1763" s="77"/>
      <c r="AQ1763" s="77"/>
      <c r="AR1763" s="77"/>
      <c r="AS1763" s="77"/>
      <c r="AT1763" s="77"/>
      <c r="AU1763" s="77"/>
      <c r="AV1763" s="83" t="str">
        <f>HYPERLINK("https://pbs.twimg.com/profile_images/1426240335118848006/ujZeyBR-_normal.jpg")</f>
        <v>https://pbs.twimg.com/profile_images/1426240335118848006/ujZeyBR-_normal.jpg</v>
      </c>
      <c r="AW1763" s="81" t="s">
        <v>10876</v>
      </c>
      <c r="AX1763" s="81" t="s">
        <v>10876</v>
      </c>
      <c r="AY1763" s="77"/>
      <c r="AZ1763" s="81" t="s">
        <v>11359</v>
      </c>
      <c r="BA1763" s="81" t="s">
        <v>11359</v>
      </c>
      <c r="BB1763" s="81" t="s">
        <v>11359</v>
      </c>
      <c r="BC1763" s="81" t="s">
        <v>10876</v>
      </c>
      <c r="BD1763" s="77">
        <v>3349230734</v>
      </c>
      <c r="BE1763" s="77"/>
      <c r="BF1763" s="77"/>
      <c r="BG1763" s="77"/>
      <c r="BH1763" s="77"/>
      <c r="BI1763" s="77"/>
    </row>
    <row r="1764" spans="1:61" x14ac:dyDescent="0.25">
      <c r="A1764" s="62" t="s">
        <v>715</v>
      </c>
      <c r="B1764" s="62" t="s">
        <v>715</v>
      </c>
      <c r="C1764" s="63"/>
      <c r="D1764" s="64"/>
      <c r="E1764" s="65"/>
      <c r="F1764" s="66"/>
      <c r="G1764" s="63"/>
      <c r="H1764" s="67"/>
      <c r="I1764" s="68"/>
      <c r="J1764" s="68"/>
      <c r="K1764" s="32"/>
      <c r="L1764" s="75">
        <v>1764</v>
      </c>
      <c r="M1764" s="75"/>
      <c r="N1764" s="70"/>
      <c r="O1764" s="77" t="s">
        <v>179</v>
      </c>
      <c r="P1764" s="79">
        <v>44928.726574074077</v>
      </c>
      <c r="Q1764" s="77" t="s">
        <v>2548</v>
      </c>
      <c r="R1764" s="77">
        <v>0</v>
      </c>
      <c r="S1764" s="77">
        <v>0</v>
      </c>
      <c r="T1764" s="77">
        <v>0</v>
      </c>
      <c r="U1764" s="77">
        <v>0</v>
      </c>
      <c r="V1764" s="77">
        <v>7</v>
      </c>
      <c r="W1764" s="81" t="s">
        <v>3890</v>
      </c>
      <c r="X1764" s="83" t="str">
        <f>HYPERLINK("https://instagr.am/p/Cm66aWmur_V/")</f>
        <v>https://instagr.am/p/Cm66aWmur_V/</v>
      </c>
      <c r="Y1764" s="77" t="s">
        <v>4324</v>
      </c>
      <c r="Z1764" s="77"/>
      <c r="AA1764" s="77" t="s">
        <v>5559</v>
      </c>
      <c r="AB1764" s="77" t="s">
        <v>5794</v>
      </c>
      <c r="AC1764" s="81" t="s">
        <v>5830</v>
      </c>
      <c r="AD1764" s="77" t="s">
        <v>5851</v>
      </c>
      <c r="AE1764" s="83" t="str">
        <f>HYPERLINK("https://twitter.com/joaonatas/status/1609964303301361674")</f>
        <v>https://twitter.com/joaonatas/status/1609964303301361674</v>
      </c>
      <c r="AF1764" s="79">
        <v>44928.726574074077</v>
      </c>
      <c r="AG1764" s="85">
        <v>44928</v>
      </c>
      <c r="AH1764" s="81" t="s">
        <v>7398</v>
      </c>
      <c r="AI1764" s="77" t="b">
        <v>0</v>
      </c>
      <c r="AJ1764" s="77"/>
      <c r="AK1764" s="77"/>
      <c r="AL1764" s="77"/>
      <c r="AM1764" s="77"/>
      <c r="AN1764" s="77"/>
      <c r="AO1764" s="77"/>
      <c r="AP1764" s="77"/>
      <c r="AQ1764" s="77" t="s">
        <v>9062</v>
      </c>
      <c r="AR1764" s="77"/>
      <c r="AS1764" s="77"/>
      <c r="AT1764" s="77"/>
      <c r="AU1764" s="77"/>
      <c r="AV1764" s="83" t="str">
        <f>HYPERLINK("https://pbs.twimg.com/media/Fle-AKfXoAE6Hvq.jpg")</f>
        <v>https://pbs.twimg.com/media/Fle-AKfXoAE6Hvq.jpg</v>
      </c>
      <c r="AW1764" s="81" t="s">
        <v>10877</v>
      </c>
      <c r="AX1764" s="81" t="s">
        <v>10877</v>
      </c>
      <c r="AY1764" s="77"/>
      <c r="AZ1764" s="81" t="s">
        <v>11359</v>
      </c>
      <c r="BA1764" s="81" t="s">
        <v>11359</v>
      </c>
      <c r="BB1764" s="81" t="s">
        <v>11359</v>
      </c>
      <c r="BC1764" s="81" t="s">
        <v>10877</v>
      </c>
      <c r="BD1764" s="77">
        <v>141961556</v>
      </c>
      <c r="BE1764" s="77"/>
      <c r="BF1764" s="77"/>
      <c r="BG1764" s="77"/>
      <c r="BH1764" s="77"/>
      <c r="BI1764" s="77"/>
    </row>
    <row r="1765" spans="1:61" x14ac:dyDescent="0.25">
      <c r="A1765" s="62" t="s">
        <v>715</v>
      </c>
      <c r="B1765" s="62" t="s">
        <v>715</v>
      </c>
      <c r="C1765" s="63"/>
      <c r="D1765" s="64"/>
      <c r="E1765" s="65"/>
      <c r="F1765" s="66"/>
      <c r="G1765" s="63"/>
      <c r="H1765" s="67"/>
      <c r="I1765" s="68"/>
      <c r="J1765" s="68"/>
      <c r="K1765" s="32"/>
      <c r="L1765" s="75">
        <v>1765</v>
      </c>
      <c r="M1765" s="75"/>
      <c r="N1765" s="70"/>
      <c r="O1765" s="77" t="s">
        <v>179</v>
      </c>
      <c r="P1765" s="79">
        <v>44928.711712962962</v>
      </c>
      <c r="Q1765" s="77" t="s">
        <v>2549</v>
      </c>
      <c r="R1765" s="77">
        <v>0</v>
      </c>
      <c r="S1765" s="77">
        <v>0</v>
      </c>
      <c r="T1765" s="77">
        <v>0</v>
      </c>
      <c r="U1765" s="77">
        <v>0</v>
      </c>
      <c r="V1765" s="77">
        <v>4</v>
      </c>
      <c r="W1765" s="81" t="s">
        <v>3890</v>
      </c>
      <c r="X1765" s="83" t="str">
        <f>HYPERLINK("https://www.instagram.com/p/Cm66aWmur_V/?igshid=YTgzYjQ4ZTY=")</f>
        <v>https://www.instagram.com/p/Cm66aWmur_V/?igshid=YTgzYjQ4ZTY=</v>
      </c>
      <c r="Y1765" s="77" t="s">
        <v>4215</v>
      </c>
      <c r="Z1765" s="77"/>
      <c r="AA1765" s="77"/>
      <c r="AB1765" s="77"/>
      <c r="AC1765" s="81" t="s">
        <v>5804</v>
      </c>
      <c r="AD1765" s="77" t="s">
        <v>5851</v>
      </c>
      <c r="AE1765" s="83" t="str">
        <f>HYPERLINK("https://twitter.com/joaonatas/status/1609958918813261826")</f>
        <v>https://twitter.com/joaonatas/status/1609958918813261826</v>
      </c>
      <c r="AF1765" s="79">
        <v>44928.711712962962</v>
      </c>
      <c r="AG1765" s="85">
        <v>44928</v>
      </c>
      <c r="AH1765" s="81" t="s">
        <v>7399</v>
      </c>
      <c r="AI1765" s="77" t="b">
        <v>0</v>
      </c>
      <c r="AJ1765" s="77" t="s">
        <v>7752</v>
      </c>
      <c r="AK1765" s="77" t="s">
        <v>7763</v>
      </c>
      <c r="AL1765" s="77" t="s">
        <v>7772</v>
      </c>
      <c r="AM1765" s="77" t="s">
        <v>7806</v>
      </c>
      <c r="AN1765" s="77" t="s">
        <v>7842</v>
      </c>
      <c r="AO1765" s="77" t="s">
        <v>7878</v>
      </c>
      <c r="AP1765" s="77" t="s">
        <v>7889</v>
      </c>
      <c r="AQ1765" s="77"/>
      <c r="AR1765" s="77"/>
      <c r="AS1765" s="77"/>
      <c r="AT1765" s="77"/>
      <c r="AU1765" s="77"/>
      <c r="AV1765" s="83" t="str">
        <f>HYPERLINK("https://pbs.twimg.com/profile_images/1702540508365529088/lM92xR9y_normal.jpg")</f>
        <v>https://pbs.twimg.com/profile_images/1702540508365529088/lM92xR9y_normal.jpg</v>
      </c>
      <c r="AW1765" s="81" t="s">
        <v>10878</v>
      </c>
      <c r="AX1765" s="81" t="s">
        <v>10878</v>
      </c>
      <c r="AY1765" s="77"/>
      <c r="AZ1765" s="81" t="s">
        <v>11359</v>
      </c>
      <c r="BA1765" s="81" t="s">
        <v>11359</v>
      </c>
      <c r="BB1765" s="81" t="s">
        <v>11359</v>
      </c>
      <c r="BC1765" s="81" t="s">
        <v>10878</v>
      </c>
      <c r="BD1765" s="77">
        <v>141961556</v>
      </c>
      <c r="BE1765" s="77"/>
      <c r="BF1765" s="77"/>
      <c r="BG1765" s="77"/>
      <c r="BH1765" s="77"/>
      <c r="BI1765" s="77"/>
    </row>
    <row r="1766" spans="1:61" x14ac:dyDescent="0.25">
      <c r="A1766" s="62" t="s">
        <v>716</v>
      </c>
      <c r="B1766" s="62" t="s">
        <v>716</v>
      </c>
      <c r="C1766" s="63"/>
      <c r="D1766" s="64"/>
      <c r="E1766" s="65"/>
      <c r="F1766" s="66"/>
      <c r="G1766" s="63"/>
      <c r="H1766" s="67"/>
      <c r="I1766" s="68"/>
      <c r="J1766" s="68"/>
      <c r="K1766" s="32"/>
      <c r="L1766" s="75">
        <v>1766</v>
      </c>
      <c r="M1766" s="75"/>
      <c r="N1766" s="70"/>
      <c r="O1766" s="77" t="s">
        <v>179</v>
      </c>
      <c r="P1766" s="79">
        <v>44935.478842592594</v>
      </c>
      <c r="Q1766" s="77" t="s">
        <v>2550</v>
      </c>
      <c r="R1766" s="77">
        <v>0</v>
      </c>
      <c r="S1766" s="77">
        <v>0</v>
      </c>
      <c r="T1766" s="77">
        <v>0</v>
      </c>
      <c r="U1766" s="77">
        <v>0</v>
      </c>
      <c r="V1766" s="77">
        <v>20</v>
      </c>
      <c r="W1766" s="81" t="s">
        <v>3891</v>
      </c>
      <c r="X1766" s="83" t="str">
        <f>HYPERLINK("https://agoradelpensamiento.com/2013/10/22/vender-o-hacer-clientes/")</f>
        <v>https://agoradelpensamiento.com/2013/10/22/vender-o-hacer-clientes/</v>
      </c>
      <c r="Y1766" s="77" t="s">
        <v>4325</v>
      </c>
      <c r="Z1766" s="77"/>
      <c r="AA1766" s="77" t="s">
        <v>5560</v>
      </c>
      <c r="AB1766" s="77" t="s">
        <v>5794</v>
      </c>
      <c r="AC1766" s="81" t="s">
        <v>5803</v>
      </c>
      <c r="AD1766" s="77" t="s">
        <v>5850</v>
      </c>
      <c r="AE1766" s="83" t="str">
        <f>HYPERLINK("https://twitter.com/lorenteandia/status/1612411242529918977")</f>
        <v>https://twitter.com/lorenteandia/status/1612411242529918977</v>
      </c>
      <c r="AF1766" s="79">
        <v>44935.478842592594</v>
      </c>
      <c r="AG1766" s="85">
        <v>44935</v>
      </c>
      <c r="AH1766" s="81" t="s">
        <v>7400</v>
      </c>
      <c r="AI1766" s="77" t="b">
        <v>0</v>
      </c>
      <c r="AJ1766" s="77"/>
      <c r="AK1766" s="77"/>
      <c r="AL1766" s="77"/>
      <c r="AM1766" s="77"/>
      <c r="AN1766" s="77"/>
      <c r="AO1766" s="77"/>
      <c r="AP1766" s="77"/>
      <c r="AQ1766" s="77" t="s">
        <v>9063</v>
      </c>
      <c r="AR1766" s="77"/>
      <c r="AS1766" s="77"/>
      <c r="AT1766" s="77"/>
      <c r="AU1766" s="77"/>
      <c r="AV1766" s="83" t="str">
        <f>HYPERLINK("https://pbs.twimg.com/media/FmBvelkXgAAshzs.jpg")</f>
        <v>https://pbs.twimg.com/media/FmBvelkXgAAshzs.jpg</v>
      </c>
      <c r="AW1766" s="81" t="s">
        <v>10879</v>
      </c>
      <c r="AX1766" s="81" t="s">
        <v>10879</v>
      </c>
      <c r="AY1766" s="77"/>
      <c r="AZ1766" s="81" t="s">
        <v>11359</v>
      </c>
      <c r="BA1766" s="81" t="s">
        <v>11359</v>
      </c>
      <c r="BB1766" s="81" t="s">
        <v>11359</v>
      </c>
      <c r="BC1766" s="81" t="s">
        <v>10879</v>
      </c>
      <c r="BD1766" s="77">
        <v>864724308</v>
      </c>
      <c r="BE1766" s="77"/>
      <c r="BF1766" s="77"/>
      <c r="BG1766" s="77"/>
      <c r="BH1766" s="77"/>
      <c r="BI1766" s="77"/>
    </row>
    <row r="1767" spans="1:61" x14ac:dyDescent="0.25">
      <c r="A1767" s="62" t="s">
        <v>717</v>
      </c>
      <c r="B1767" s="62" t="s">
        <v>717</v>
      </c>
      <c r="C1767" s="63"/>
      <c r="D1767" s="64"/>
      <c r="E1767" s="65"/>
      <c r="F1767" s="66"/>
      <c r="G1767" s="63"/>
      <c r="H1767" s="67"/>
      <c r="I1767" s="68"/>
      <c r="J1767" s="68"/>
      <c r="K1767" s="32"/>
      <c r="L1767" s="75">
        <v>1767</v>
      </c>
      <c r="M1767" s="75"/>
      <c r="N1767" s="70"/>
      <c r="O1767" s="77" t="s">
        <v>179</v>
      </c>
      <c r="P1767" s="79">
        <v>45045.584050925929</v>
      </c>
      <c r="Q1767" s="77" t="s">
        <v>2551</v>
      </c>
      <c r="R1767" s="77">
        <v>0</v>
      </c>
      <c r="S1767" s="77">
        <v>0</v>
      </c>
      <c r="T1767" s="77">
        <v>0</v>
      </c>
      <c r="U1767" s="77">
        <v>0</v>
      </c>
      <c r="V1767" s="77">
        <v>36</v>
      </c>
      <c r="W1767" s="81" t="s">
        <v>3892</v>
      </c>
      <c r="X1767" s="77"/>
      <c r="Y1767" s="77"/>
      <c r="Z1767" s="77"/>
      <c r="AA1767" s="77" t="s">
        <v>5561</v>
      </c>
      <c r="AB1767" s="77" t="s">
        <v>5794</v>
      </c>
      <c r="AC1767" s="81" t="s">
        <v>5828</v>
      </c>
      <c r="AD1767" s="77" t="s">
        <v>5850</v>
      </c>
      <c r="AE1767" s="83" t="str">
        <f>HYPERLINK("https://twitter.com/asismedl/status/1652312035844038658")</f>
        <v>https://twitter.com/asismedl/status/1652312035844038658</v>
      </c>
      <c r="AF1767" s="79">
        <v>45045.584050925929</v>
      </c>
      <c r="AG1767" s="85">
        <v>45045</v>
      </c>
      <c r="AH1767" s="81" t="s">
        <v>7401</v>
      </c>
      <c r="AI1767" s="77" t="b">
        <v>0</v>
      </c>
      <c r="AJ1767" s="77"/>
      <c r="AK1767" s="77"/>
      <c r="AL1767" s="77"/>
      <c r="AM1767" s="77"/>
      <c r="AN1767" s="77"/>
      <c r="AO1767" s="77"/>
      <c r="AP1767" s="77"/>
      <c r="AQ1767" s="77" t="s">
        <v>9064</v>
      </c>
      <c r="AR1767" s="77"/>
      <c r="AS1767" s="77"/>
      <c r="AT1767" s="77"/>
      <c r="AU1767" s="77"/>
      <c r="AV1767" s="83" t="str">
        <f>HYPERLINK("https://pbs.twimg.com/media/Fu4xCiAWwAAD8A8.jpg")</f>
        <v>https://pbs.twimg.com/media/Fu4xCiAWwAAD8A8.jpg</v>
      </c>
      <c r="AW1767" s="81" t="s">
        <v>10880</v>
      </c>
      <c r="AX1767" s="81" t="s">
        <v>10880</v>
      </c>
      <c r="AY1767" s="77"/>
      <c r="AZ1767" s="81" t="s">
        <v>11359</v>
      </c>
      <c r="BA1767" s="81" t="s">
        <v>11359</v>
      </c>
      <c r="BB1767" s="81" t="s">
        <v>11359</v>
      </c>
      <c r="BC1767" s="81" t="s">
        <v>10880</v>
      </c>
      <c r="BD1767" s="77">
        <v>2490429660</v>
      </c>
      <c r="BE1767" s="77"/>
      <c r="BF1767" s="77"/>
      <c r="BG1767" s="77"/>
      <c r="BH1767" s="77"/>
      <c r="BI1767" s="77"/>
    </row>
    <row r="1768" spans="1:61" x14ac:dyDescent="0.25">
      <c r="A1768" s="62" t="s">
        <v>718</v>
      </c>
      <c r="B1768" s="62" t="s">
        <v>718</v>
      </c>
      <c r="C1768" s="63"/>
      <c r="D1768" s="64"/>
      <c r="E1768" s="65"/>
      <c r="F1768" s="66"/>
      <c r="G1768" s="63"/>
      <c r="H1768" s="67"/>
      <c r="I1768" s="68"/>
      <c r="J1768" s="68"/>
      <c r="K1768" s="32"/>
      <c r="L1768" s="75">
        <v>1768</v>
      </c>
      <c r="M1768" s="75"/>
      <c r="N1768" s="70"/>
      <c r="O1768" s="77" t="s">
        <v>179</v>
      </c>
      <c r="P1768" s="79">
        <v>45012.840960648151</v>
      </c>
      <c r="Q1768" s="77" t="s">
        <v>2552</v>
      </c>
      <c r="R1768" s="77">
        <v>0</v>
      </c>
      <c r="S1768" s="77">
        <v>0</v>
      </c>
      <c r="T1768" s="77">
        <v>0</v>
      </c>
      <c r="U1768" s="77">
        <v>0</v>
      </c>
      <c r="V1768" s="77">
        <v>57</v>
      </c>
      <c r="W1768" s="81" t="s">
        <v>3893</v>
      </c>
      <c r="X1768" s="83" t="str">
        <f>HYPERLINK("https://mla.bs/8b049026")</f>
        <v>https://mla.bs/8b049026</v>
      </c>
      <c r="Y1768" s="77" t="s">
        <v>4326</v>
      </c>
      <c r="Z1768" s="77"/>
      <c r="AA1768" s="77" t="s">
        <v>5562</v>
      </c>
      <c r="AB1768" s="77" t="s">
        <v>5794</v>
      </c>
      <c r="AC1768" s="81" t="s">
        <v>5808</v>
      </c>
      <c r="AD1768" s="77" t="s">
        <v>5851</v>
      </c>
      <c r="AE1768" s="83" t="str">
        <f>HYPERLINK("https://twitter.com/sb_osite/status/1640446338666987520")</f>
        <v>https://twitter.com/sb_osite/status/1640446338666987520</v>
      </c>
      <c r="AF1768" s="79">
        <v>45012.840960648151</v>
      </c>
      <c r="AG1768" s="85">
        <v>45012</v>
      </c>
      <c r="AH1768" s="81" t="s">
        <v>7402</v>
      </c>
      <c r="AI1768" s="77" t="b">
        <v>0</v>
      </c>
      <c r="AJ1768" s="77"/>
      <c r="AK1768" s="77"/>
      <c r="AL1768" s="77"/>
      <c r="AM1768" s="77"/>
      <c r="AN1768" s="77"/>
      <c r="AO1768" s="77"/>
      <c r="AP1768" s="77"/>
      <c r="AQ1768" s="77" t="s">
        <v>9065</v>
      </c>
      <c r="AR1768" s="77"/>
      <c r="AS1768" s="77"/>
      <c r="AT1768" s="77"/>
      <c r="AU1768" s="77"/>
      <c r="AV1768" s="83" t="str">
        <f>HYPERLINK("https://pbs.twimg.com/media/FsQJQC5WIBgxDgT.jpg")</f>
        <v>https://pbs.twimg.com/media/FsQJQC5WIBgxDgT.jpg</v>
      </c>
      <c r="AW1768" s="81" t="s">
        <v>10881</v>
      </c>
      <c r="AX1768" s="81" t="s">
        <v>10881</v>
      </c>
      <c r="AY1768" s="77"/>
      <c r="AZ1768" s="81" t="s">
        <v>11359</v>
      </c>
      <c r="BA1768" s="81" t="s">
        <v>11359</v>
      </c>
      <c r="BB1768" s="81" t="s">
        <v>11359</v>
      </c>
      <c r="BC1768" s="81" t="s">
        <v>10881</v>
      </c>
      <c r="BD1768" s="77">
        <v>66441568</v>
      </c>
      <c r="BE1768" s="77"/>
      <c r="BF1768" s="77"/>
      <c r="BG1768" s="77"/>
      <c r="BH1768" s="77"/>
      <c r="BI1768" s="77"/>
    </row>
    <row r="1769" spans="1:61" x14ac:dyDescent="0.25">
      <c r="A1769" s="62" t="s">
        <v>719</v>
      </c>
      <c r="B1769" s="62" t="s">
        <v>949</v>
      </c>
      <c r="C1769" s="63"/>
      <c r="D1769" s="64"/>
      <c r="E1769" s="65"/>
      <c r="F1769" s="66"/>
      <c r="G1769" s="63"/>
      <c r="H1769" s="67"/>
      <c r="I1769" s="68"/>
      <c r="J1769" s="68"/>
      <c r="K1769" s="32"/>
      <c r="L1769" s="75">
        <v>1769</v>
      </c>
      <c r="M1769" s="75"/>
      <c r="N1769" s="70"/>
      <c r="O1769" s="77" t="s">
        <v>967</v>
      </c>
      <c r="P1769" s="79">
        <v>45018.402777777781</v>
      </c>
      <c r="Q1769" s="77" t="s">
        <v>2553</v>
      </c>
      <c r="R1769" s="77">
        <v>1</v>
      </c>
      <c r="S1769" s="77">
        <v>2</v>
      </c>
      <c r="T1769" s="77">
        <v>0</v>
      </c>
      <c r="U1769" s="77">
        <v>0</v>
      </c>
      <c r="V1769" s="77">
        <v>49</v>
      </c>
      <c r="W1769" s="81" t="s">
        <v>3894</v>
      </c>
      <c r="X1769" s="83" t="str">
        <f>HYPERLINK("http://t.ly/692W")</f>
        <v>http://t.ly/692W</v>
      </c>
      <c r="Y1769" s="77" t="s">
        <v>4327</v>
      </c>
      <c r="Z1769" s="77" t="s">
        <v>949</v>
      </c>
      <c r="AA1769" s="77"/>
      <c r="AB1769" s="77"/>
      <c r="AC1769" s="81" t="s">
        <v>5811</v>
      </c>
      <c r="AD1769" s="77" t="s">
        <v>5850</v>
      </c>
      <c r="AE1769" s="83" t="str">
        <f>HYPERLINK("https://twitter.com/rafapm_marbella/status/1642461871331774464")</f>
        <v>https://twitter.com/rafapm_marbella/status/1642461871331774464</v>
      </c>
      <c r="AF1769" s="79">
        <v>45018.402777777781</v>
      </c>
      <c r="AG1769" s="85">
        <v>45018</v>
      </c>
      <c r="AH1769" s="81" t="s">
        <v>7403</v>
      </c>
      <c r="AI1769" s="77" t="b">
        <v>0</v>
      </c>
      <c r="AJ1769" s="77"/>
      <c r="AK1769" s="77"/>
      <c r="AL1769" s="77"/>
      <c r="AM1769" s="77"/>
      <c r="AN1769" s="77"/>
      <c r="AO1769" s="77"/>
      <c r="AP1769" s="77"/>
      <c r="AQ1769" s="77"/>
      <c r="AR1769" s="77"/>
      <c r="AS1769" s="77"/>
      <c r="AT1769" s="77"/>
      <c r="AU1769" s="77"/>
      <c r="AV1769" s="83" t="str">
        <f>HYPERLINK("https://pbs.twimg.com/profile_images/1554001992053309442/XLJkyqc0_normal.jpg")</f>
        <v>https://pbs.twimg.com/profile_images/1554001992053309442/XLJkyqc0_normal.jpg</v>
      </c>
      <c r="AW1769" s="81" t="s">
        <v>10882</v>
      </c>
      <c r="AX1769" s="81" t="s">
        <v>10882</v>
      </c>
      <c r="AY1769" s="77"/>
      <c r="AZ1769" s="81" t="s">
        <v>11359</v>
      </c>
      <c r="BA1769" s="81" t="s">
        <v>11359</v>
      </c>
      <c r="BB1769" s="81" t="s">
        <v>11359</v>
      </c>
      <c r="BC1769" s="81" t="s">
        <v>10882</v>
      </c>
      <c r="BD1769" s="77">
        <v>168141341</v>
      </c>
      <c r="BE1769" s="77"/>
      <c r="BF1769" s="77"/>
      <c r="BG1769" s="77"/>
      <c r="BH1769" s="77"/>
      <c r="BI1769" s="77"/>
    </row>
    <row r="1770" spans="1:61" x14ac:dyDescent="0.25">
      <c r="A1770" s="62" t="s">
        <v>720</v>
      </c>
      <c r="B1770" s="62" t="s">
        <v>720</v>
      </c>
      <c r="C1770" s="63"/>
      <c r="D1770" s="64"/>
      <c r="E1770" s="65"/>
      <c r="F1770" s="66"/>
      <c r="G1770" s="63"/>
      <c r="H1770" s="67"/>
      <c r="I1770" s="68"/>
      <c r="J1770" s="68"/>
      <c r="K1770" s="32"/>
      <c r="L1770" s="75">
        <v>1770</v>
      </c>
      <c r="M1770" s="75"/>
      <c r="N1770" s="70"/>
      <c r="O1770" s="77" t="s">
        <v>179</v>
      </c>
      <c r="P1770" s="79">
        <v>45044.615798611114</v>
      </c>
      <c r="Q1770" s="77" t="s">
        <v>2554</v>
      </c>
      <c r="R1770" s="77">
        <v>1</v>
      </c>
      <c r="S1770" s="77">
        <v>6</v>
      </c>
      <c r="T1770" s="77">
        <v>0</v>
      </c>
      <c r="U1770" s="77">
        <v>0</v>
      </c>
      <c r="V1770" s="77">
        <v>1612</v>
      </c>
      <c r="W1770" s="81" t="s">
        <v>2947</v>
      </c>
      <c r="X1770" s="83" t="str">
        <f>HYPERLINK("https://bit.ly/4278rNr")</f>
        <v>https://bit.ly/4278rNr</v>
      </c>
      <c r="Y1770" s="77" t="s">
        <v>4213</v>
      </c>
      <c r="Z1770" s="77"/>
      <c r="AA1770" s="77"/>
      <c r="AB1770" s="77"/>
      <c r="AC1770" s="81" t="s">
        <v>5811</v>
      </c>
      <c r="AD1770" s="77" t="s">
        <v>5850</v>
      </c>
      <c r="AE1770" s="83" t="str">
        <f>HYPERLINK("https://twitter.com/telediariogt/status/1651961154636247043")</f>
        <v>https://twitter.com/telediariogt/status/1651961154636247043</v>
      </c>
      <c r="AF1770" s="79">
        <v>45044.615798611114</v>
      </c>
      <c r="AG1770" s="85">
        <v>45044</v>
      </c>
      <c r="AH1770" s="81" t="s">
        <v>7404</v>
      </c>
      <c r="AI1770" s="77" t="b">
        <v>0</v>
      </c>
      <c r="AJ1770" s="77"/>
      <c r="AK1770" s="77"/>
      <c r="AL1770" s="77"/>
      <c r="AM1770" s="77"/>
      <c r="AN1770" s="77"/>
      <c r="AO1770" s="77"/>
      <c r="AP1770" s="77"/>
      <c r="AQ1770" s="77"/>
      <c r="AR1770" s="77"/>
      <c r="AS1770" s="77"/>
      <c r="AT1770" s="77"/>
      <c r="AU1770" s="77"/>
      <c r="AV1770" s="83" t="str">
        <f>HYPERLINK("https://pbs.twimg.com/profile_images/1078298983498432512/XI0LCGW8_normal.jpg")</f>
        <v>https://pbs.twimg.com/profile_images/1078298983498432512/XI0LCGW8_normal.jpg</v>
      </c>
      <c r="AW1770" s="81" t="s">
        <v>10883</v>
      </c>
      <c r="AX1770" s="81" t="s">
        <v>10883</v>
      </c>
      <c r="AY1770" s="77"/>
      <c r="AZ1770" s="81" t="s">
        <v>11359</v>
      </c>
      <c r="BA1770" s="81" t="s">
        <v>11359</v>
      </c>
      <c r="BB1770" s="81" t="s">
        <v>11359</v>
      </c>
      <c r="BC1770" s="81" t="s">
        <v>10883</v>
      </c>
      <c r="BD1770" s="77">
        <v>74015550</v>
      </c>
      <c r="BE1770" s="77"/>
      <c r="BF1770" s="77"/>
      <c r="BG1770" s="77"/>
      <c r="BH1770" s="77"/>
      <c r="BI1770" s="77"/>
    </row>
    <row r="1771" spans="1:61" x14ac:dyDescent="0.25">
      <c r="A1771" s="62" t="s">
        <v>721</v>
      </c>
      <c r="B1771" s="62" t="s">
        <v>721</v>
      </c>
      <c r="C1771" s="63"/>
      <c r="D1771" s="64"/>
      <c r="E1771" s="65"/>
      <c r="F1771" s="66"/>
      <c r="G1771" s="63"/>
      <c r="H1771" s="67"/>
      <c r="I1771" s="68"/>
      <c r="J1771" s="68"/>
      <c r="K1771" s="32"/>
      <c r="L1771" s="75">
        <v>1771</v>
      </c>
      <c r="M1771" s="75"/>
      <c r="N1771" s="70"/>
      <c r="O1771" s="77" t="s">
        <v>179</v>
      </c>
      <c r="P1771" s="79">
        <v>44949.806701388887</v>
      </c>
      <c r="Q1771" s="77" t="s">
        <v>2555</v>
      </c>
      <c r="R1771" s="77">
        <v>0</v>
      </c>
      <c r="S1771" s="77">
        <v>0</v>
      </c>
      <c r="T1771" s="77">
        <v>0</v>
      </c>
      <c r="U1771" s="77">
        <v>0</v>
      </c>
      <c r="V1771" s="77">
        <v>24</v>
      </c>
      <c r="W1771" s="81" t="s">
        <v>3895</v>
      </c>
      <c r="X1771" s="77"/>
      <c r="Y1771" s="77"/>
      <c r="Z1771" s="77"/>
      <c r="AA1771" s="77" t="s">
        <v>5563</v>
      </c>
      <c r="AB1771" s="77" t="s">
        <v>5794</v>
      </c>
      <c r="AC1771" s="81" t="s">
        <v>5808</v>
      </c>
      <c r="AD1771" s="77" t="s">
        <v>5851</v>
      </c>
      <c r="AE1771" s="83" t="str">
        <f>HYPERLINK("https://twitter.com/cyromello/status/1617603484852883477")</f>
        <v>https://twitter.com/cyromello/status/1617603484852883477</v>
      </c>
      <c r="AF1771" s="79">
        <v>44949.806701388887</v>
      </c>
      <c r="AG1771" s="85">
        <v>44949</v>
      </c>
      <c r="AH1771" s="81" t="s">
        <v>7405</v>
      </c>
      <c r="AI1771" s="77" t="b">
        <v>0</v>
      </c>
      <c r="AJ1771" s="77"/>
      <c r="AK1771" s="77"/>
      <c r="AL1771" s="77"/>
      <c r="AM1771" s="77"/>
      <c r="AN1771" s="77"/>
      <c r="AO1771" s="77"/>
      <c r="AP1771" s="77"/>
      <c r="AQ1771" s="77" t="s">
        <v>9066</v>
      </c>
      <c r="AR1771" s="77"/>
      <c r="AS1771" s="77"/>
      <c r="AT1771" s="77"/>
      <c r="AU1771" s="77"/>
      <c r="AV1771" s="83" t="str">
        <f>HYPERLINK("https://pbs.twimg.com/media/FnLhy-pXwAAln-U.jpg")</f>
        <v>https://pbs.twimg.com/media/FnLhy-pXwAAln-U.jpg</v>
      </c>
      <c r="AW1771" s="81" t="s">
        <v>10884</v>
      </c>
      <c r="AX1771" s="81" t="s">
        <v>10884</v>
      </c>
      <c r="AY1771" s="77"/>
      <c r="AZ1771" s="81" t="s">
        <v>11359</v>
      </c>
      <c r="BA1771" s="81" t="s">
        <v>11359</v>
      </c>
      <c r="BB1771" s="81" t="s">
        <v>11359</v>
      </c>
      <c r="BC1771" s="81" t="s">
        <v>10884</v>
      </c>
      <c r="BD1771" s="77">
        <v>57072817</v>
      </c>
      <c r="BE1771" s="77"/>
      <c r="BF1771" s="77"/>
      <c r="BG1771" s="77"/>
      <c r="BH1771" s="77"/>
      <c r="BI1771" s="77"/>
    </row>
    <row r="1772" spans="1:61" x14ac:dyDescent="0.25">
      <c r="A1772" s="62" t="s">
        <v>721</v>
      </c>
      <c r="B1772" s="62" t="s">
        <v>721</v>
      </c>
      <c r="C1772" s="63"/>
      <c r="D1772" s="64"/>
      <c r="E1772" s="65"/>
      <c r="F1772" s="66"/>
      <c r="G1772" s="63"/>
      <c r="H1772" s="67"/>
      <c r="I1772" s="68"/>
      <c r="J1772" s="68"/>
      <c r="K1772" s="32"/>
      <c r="L1772" s="75">
        <v>1772</v>
      </c>
      <c r="M1772" s="75"/>
      <c r="N1772" s="70"/>
      <c r="O1772" s="77" t="s">
        <v>179</v>
      </c>
      <c r="P1772" s="79">
        <v>44972.58</v>
      </c>
      <c r="Q1772" s="77" t="s">
        <v>2556</v>
      </c>
      <c r="R1772" s="77">
        <v>0</v>
      </c>
      <c r="S1772" s="77">
        <v>0</v>
      </c>
      <c r="T1772" s="77">
        <v>0</v>
      </c>
      <c r="U1772" s="77">
        <v>0</v>
      </c>
      <c r="V1772" s="77">
        <v>19</v>
      </c>
      <c r="W1772" s="81" t="s">
        <v>3896</v>
      </c>
      <c r="X1772" s="77"/>
      <c r="Y1772" s="77"/>
      <c r="Z1772" s="77"/>
      <c r="AA1772" s="77" t="s">
        <v>5564</v>
      </c>
      <c r="AB1772" s="77" t="s">
        <v>5794</v>
      </c>
      <c r="AC1772" s="81" t="s">
        <v>5808</v>
      </c>
      <c r="AD1772" s="77" t="s">
        <v>5851</v>
      </c>
      <c r="AE1772" s="83" t="str">
        <f>HYPERLINK("https://twitter.com/cyromello/status/1625856253410054146")</f>
        <v>https://twitter.com/cyromello/status/1625856253410054146</v>
      </c>
      <c r="AF1772" s="79">
        <v>44972.58</v>
      </c>
      <c r="AG1772" s="85">
        <v>44972</v>
      </c>
      <c r="AH1772" s="81" t="s">
        <v>7406</v>
      </c>
      <c r="AI1772" s="77" t="b">
        <v>0</v>
      </c>
      <c r="AJ1772" s="77"/>
      <c r="AK1772" s="77"/>
      <c r="AL1772" s="77"/>
      <c r="AM1772" s="77"/>
      <c r="AN1772" s="77"/>
      <c r="AO1772" s="77"/>
      <c r="AP1772" s="77"/>
      <c r="AQ1772" s="77" t="s">
        <v>9067</v>
      </c>
      <c r="AR1772" s="77"/>
      <c r="AS1772" s="77"/>
      <c r="AT1772" s="77"/>
      <c r="AU1772" s="77"/>
      <c r="AV1772" s="83" t="str">
        <f>HYPERLINK("https://pbs.twimg.com/media/FpAzpMhaAAQzKEr.jpg")</f>
        <v>https://pbs.twimg.com/media/FpAzpMhaAAQzKEr.jpg</v>
      </c>
      <c r="AW1772" s="81" t="s">
        <v>10885</v>
      </c>
      <c r="AX1772" s="81" t="s">
        <v>10885</v>
      </c>
      <c r="AY1772" s="77"/>
      <c r="AZ1772" s="81" t="s">
        <v>11359</v>
      </c>
      <c r="BA1772" s="81" t="s">
        <v>11359</v>
      </c>
      <c r="BB1772" s="81" t="s">
        <v>11359</v>
      </c>
      <c r="BC1772" s="81" t="s">
        <v>10885</v>
      </c>
      <c r="BD1772" s="77">
        <v>57072817</v>
      </c>
      <c r="BE1772" s="77"/>
      <c r="BF1772" s="77"/>
      <c r="BG1772" s="77"/>
      <c r="BH1772" s="77"/>
      <c r="BI1772" s="77"/>
    </row>
    <row r="1773" spans="1:61" x14ac:dyDescent="0.25">
      <c r="A1773" s="62" t="s">
        <v>722</v>
      </c>
      <c r="B1773" s="62" t="s">
        <v>722</v>
      </c>
      <c r="C1773" s="63"/>
      <c r="D1773" s="64"/>
      <c r="E1773" s="65"/>
      <c r="F1773" s="66"/>
      <c r="G1773" s="63"/>
      <c r="H1773" s="67"/>
      <c r="I1773" s="68"/>
      <c r="J1773" s="68"/>
      <c r="K1773" s="32"/>
      <c r="L1773" s="75">
        <v>1773</v>
      </c>
      <c r="M1773" s="75"/>
      <c r="N1773" s="70"/>
      <c r="O1773" s="77" t="s">
        <v>179</v>
      </c>
      <c r="P1773" s="79">
        <v>44981.723321759258</v>
      </c>
      <c r="Q1773" s="77" t="s">
        <v>2557</v>
      </c>
      <c r="R1773" s="77">
        <v>0</v>
      </c>
      <c r="S1773" s="77">
        <v>0</v>
      </c>
      <c r="T1773" s="77">
        <v>0</v>
      </c>
      <c r="U1773" s="77">
        <v>0</v>
      </c>
      <c r="V1773" s="77">
        <v>30</v>
      </c>
      <c r="W1773" s="81" t="s">
        <v>3897</v>
      </c>
      <c r="X1773" s="83" t="str">
        <f>HYPERLINK("https://www.mercadolibre.com.ar/alta-ahora-12")</f>
        <v>https://www.mercadolibre.com.ar/alta-ahora-12</v>
      </c>
      <c r="Y1773" s="77" t="s">
        <v>4231</v>
      </c>
      <c r="Z1773" s="77"/>
      <c r="AA1773" s="77"/>
      <c r="AB1773" s="77"/>
      <c r="AC1773" s="81" t="s">
        <v>5803</v>
      </c>
      <c r="AD1773" s="77" t="s">
        <v>5850</v>
      </c>
      <c r="AE1773" s="83" t="str">
        <f>HYPERLINK("https://twitter.com/lucasdtoledo/status/1629169682514157568")</f>
        <v>https://twitter.com/lucasdtoledo/status/1629169682514157568</v>
      </c>
      <c r="AF1773" s="79">
        <v>44981.723321759258</v>
      </c>
      <c r="AG1773" s="85">
        <v>44981</v>
      </c>
      <c r="AH1773" s="81" t="s">
        <v>7407</v>
      </c>
      <c r="AI1773" s="77" t="b">
        <v>0</v>
      </c>
      <c r="AJ1773" s="77"/>
      <c r="AK1773" s="77"/>
      <c r="AL1773" s="77"/>
      <c r="AM1773" s="77"/>
      <c r="AN1773" s="77"/>
      <c r="AO1773" s="77"/>
      <c r="AP1773" s="77"/>
      <c r="AQ1773" s="77"/>
      <c r="AR1773" s="77"/>
      <c r="AS1773" s="77"/>
      <c r="AT1773" s="77"/>
      <c r="AU1773" s="77"/>
      <c r="AV1773" s="83" t="str">
        <f>HYPERLINK("https://pbs.twimg.com/profile_images/801995774913548288/XVqQegnz_normal.jpg")</f>
        <v>https://pbs.twimg.com/profile_images/801995774913548288/XVqQegnz_normal.jpg</v>
      </c>
      <c r="AW1773" s="81" t="s">
        <v>10886</v>
      </c>
      <c r="AX1773" s="81" t="s">
        <v>10886</v>
      </c>
      <c r="AY1773" s="77"/>
      <c r="AZ1773" s="81" t="s">
        <v>11359</v>
      </c>
      <c r="BA1773" s="81" t="s">
        <v>11359</v>
      </c>
      <c r="BB1773" s="81" t="s">
        <v>11359</v>
      </c>
      <c r="BC1773" s="81" t="s">
        <v>10886</v>
      </c>
      <c r="BD1773" s="77">
        <v>346636216</v>
      </c>
      <c r="BE1773" s="77"/>
      <c r="BF1773" s="77"/>
      <c r="BG1773" s="77"/>
      <c r="BH1773" s="77"/>
      <c r="BI1773" s="77"/>
    </row>
    <row r="1774" spans="1:61" x14ac:dyDescent="0.25">
      <c r="A1774" s="62" t="s">
        <v>723</v>
      </c>
      <c r="B1774" s="62" t="s">
        <v>842</v>
      </c>
      <c r="C1774" s="63"/>
      <c r="D1774" s="64"/>
      <c r="E1774" s="65"/>
      <c r="F1774" s="66"/>
      <c r="G1774" s="63"/>
      <c r="H1774" s="67"/>
      <c r="I1774" s="68"/>
      <c r="J1774" s="68"/>
      <c r="K1774" s="32"/>
      <c r="L1774" s="75">
        <v>1774</v>
      </c>
      <c r="M1774" s="75"/>
      <c r="N1774" s="70"/>
      <c r="O1774" s="77" t="s">
        <v>968</v>
      </c>
      <c r="P1774" s="79">
        <v>45195.742384259262</v>
      </c>
      <c r="Q1774" s="77" t="s">
        <v>1256</v>
      </c>
      <c r="R1774" s="77">
        <v>6</v>
      </c>
      <c r="S1774" s="77">
        <v>0</v>
      </c>
      <c r="T1774" s="77">
        <v>0</v>
      </c>
      <c r="U1774" s="77">
        <v>0</v>
      </c>
      <c r="V1774" s="77"/>
      <c r="W1774" s="81" t="s">
        <v>3131</v>
      </c>
      <c r="X1774" s="77"/>
      <c r="Y1774" s="77"/>
      <c r="Z1774" s="77" t="s">
        <v>842</v>
      </c>
      <c r="AA1774" s="77" t="s">
        <v>4557</v>
      </c>
      <c r="AB1774" s="77" t="s">
        <v>5794</v>
      </c>
      <c r="AC1774" s="81" t="s">
        <v>5805</v>
      </c>
      <c r="AD1774" s="77" t="s">
        <v>5850</v>
      </c>
      <c r="AE1774" s="83" t="str">
        <f>HYPERLINK("https://twitter.com/alejand44877881/status/1706727594132226189")</f>
        <v>https://twitter.com/alejand44877881/status/1706727594132226189</v>
      </c>
      <c r="AF1774" s="79">
        <v>45195.742384259262</v>
      </c>
      <c r="AG1774" s="85">
        <v>45195</v>
      </c>
      <c r="AH1774" s="81" t="s">
        <v>7408</v>
      </c>
      <c r="AI1774" s="77" t="b">
        <v>0</v>
      </c>
      <c r="AJ1774" s="77"/>
      <c r="AK1774" s="77"/>
      <c r="AL1774" s="77"/>
      <c r="AM1774" s="77"/>
      <c r="AN1774" s="77"/>
      <c r="AO1774" s="77"/>
      <c r="AP1774" s="77"/>
      <c r="AQ1774" s="77" t="s">
        <v>8060</v>
      </c>
      <c r="AR1774" s="77"/>
      <c r="AS1774" s="77"/>
      <c r="AT1774" s="77"/>
      <c r="AU1774" s="77"/>
      <c r="AV1774" s="83" t="str">
        <f>HYPERLINK("https://pbs.twimg.com/media/F6zNlOyWcAA7NH5.jpg")</f>
        <v>https://pbs.twimg.com/media/F6zNlOyWcAA7NH5.jpg</v>
      </c>
      <c r="AW1774" s="81" t="s">
        <v>10887</v>
      </c>
      <c r="AX1774" s="81" t="s">
        <v>10887</v>
      </c>
      <c r="AY1774" s="77"/>
      <c r="AZ1774" s="81" t="s">
        <v>11359</v>
      </c>
      <c r="BA1774" s="81" t="s">
        <v>11359</v>
      </c>
      <c r="BB1774" s="81" t="s">
        <v>11160</v>
      </c>
      <c r="BC1774" s="81" t="s">
        <v>11160</v>
      </c>
      <c r="BD1774" s="81" t="s">
        <v>11648</v>
      </c>
      <c r="BE1774" s="77"/>
      <c r="BF1774" s="77"/>
      <c r="BG1774" s="77"/>
      <c r="BH1774" s="77"/>
      <c r="BI1774" s="77"/>
    </row>
    <row r="1775" spans="1:61" x14ac:dyDescent="0.25">
      <c r="A1775" s="62" t="s">
        <v>724</v>
      </c>
      <c r="B1775" s="62" t="s">
        <v>950</v>
      </c>
      <c r="C1775" s="63"/>
      <c r="D1775" s="64"/>
      <c r="E1775" s="65"/>
      <c r="F1775" s="66"/>
      <c r="G1775" s="63"/>
      <c r="H1775" s="67"/>
      <c r="I1775" s="68"/>
      <c r="J1775" s="68"/>
      <c r="K1775" s="32"/>
      <c r="L1775" s="75">
        <v>1775</v>
      </c>
      <c r="M1775" s="75"/>
      <c r="N1775" s="70"/>
      <c r="O1775" s="77" t="s">
        <v>967</v>
      </c>
      <c r="P1775" s="79">
        <v>44952.453715277778</v>
      </c>
      <c r="Q1775" s="77" t="s">
        <v>2558</v>
      </c>
      <c r="R1775" s="77">
        <v>0</v>
      </c>
      <c r="S1775" s="77">
        <v>0</v>
      </c>
      <c r="T1775" s="77">
        <v>0</v>
      </c>
      <c r="U1775" s="77">
        <v>0</v>
      </c>
      <c r="V1775" s="77">
        <v>101</v>
      </c>
      <c r="W1775" s="81" t="s">
        <v>3898</v>
      </c>
      <c r="X1775" s="77"/>
      <c r="Y1775" s="77"/>
      <c r="Z1775" s="77" t="s">
        <v>950</v>
      </c>
      <c r="AA1775" s="77" t="s">
        <v>5565</v>
      </c>
      <c r="AB1775" s="77" t="s">
        <v>5795</v>
      </c>
      <c r="AC1775" s="81" t="s">
        <v>5801</v>
      </c>
      <c r="AD1775" s="77" t="s">
        <v>5853</v>
      </c>
      <c r="AE1775" s="83" t="str">
        <f>HYPERLINK("https://twitter.com/go_nater/status/1618562733401866241")</f>
        <v>https://twitter.com/go_nater/status/1618562733401866241</v>
      </c>
      <c r="AF1775" s="79">
        <v>44952.453715277778</v>
      </c>
      <c r="AG1775" s="85">
        <v>44952</v>
      </c>
      <c r="AH1775" s="81" t="s">
        <v>7409</v>
      </c>
      <c r="AI1775" s="77" t="b">
        <v>0</v>
      </c>
      <c r="AJ1775" s="77"/>
      <c r="AK1775" s="77"/>
      <c r="AL1775" s="77"/>
      <c r="AM1775" s="77"/>
      <c r="AN1775" s="77"/>
      <c r="AO1775" s="77"/>
      <c r="AP1775" s="77"/>
      <c r="AQ1775" s="77" t="s">
        <v>9068</v>
      </c>
      <c r="AR1775" s="77">
        <v>44975</v>
      </c>
      <c r="AS1775" s="77"/>
      <c r="AT1775" s="77"/>
      <c r="AU1775" s="77"/>
      <c r="AV1775" s="83" t="str">
        <f>HYPERLINK("https://pbs.twimg.com/ext_tw_video_thumb/1618562666074673152/pu/img/lwazrlMmbgrQfouz.jpg")</f>
        <v>https://pbs.twimg.com/ext_tw_video_thumb/1618562666074673152/pu/img/lwazrlMmbgrQfouz.jpg</v>
      </c>
      <c r="AW1775" s="81" t="s">
        <v>10888</v>
      </c>
      <c r="AX1775" s="81" t="s">
        <v>10888</v>
      </c>
      <c r="AY1775" s="77"/>
      <c r="AZ1775" s="81" t="s">
        <v>11359</v>
      </c>
      <c r="BA1775" s="81" t="s">
        <v>11359</v>
      </c>
      <c r="BB1775" s="81" t="s">
        <v>11359</v>
      </c>
      <c r="BC1775" s="81" t="s">
        <v>10888</v>
      </c>
      <c r="BD1775" s="81" t="s">
        <v>11649</v>
      </c>
      <c r="BE1775" s="77"/>
      <c r="BF1775" s="77"/>
      <c r="BG1775" s="77"/>
      <c r="BH1775" s="77"/>
      <c r="BI1775" s="77"/>
    </row>
    <row r="1776" spans="1:61" x14ac:dyDescent="0.25">
      <c r="A1776" s="62" t="s">
        <v>725</v>
      </c>
      <c r="B1776" s="62" t="s">
        <v>725</v>
      </c>
      <c r="C1776" s="63"/>
      <c r="D1776" s="64"/>
      <c r="E1776" s="65"/>
      <c r="F1776" s="66"/>
      <c r="G1776" s="63"/>
      <c r="H1776" s="67"/>
      <c r="I1776" s="68"/>
      <c r="J1776" s="68"/>
      <c r="K1776" s="32"/>
      <c r="L1776" s="75">
        <v>1776</v>
      </c>
      <c r="M1776" s="75"/>
      <c r="N1776" s="70"/>
      <c r="O1776" s="77" t="s">
        <v>179</v>
      </c>
      <c r="P1776" s="79">
        <v>45132.7109375</v>
      </c>
      <c r="Q1776" s="77" t="s">
        <v>2559</v>
      </c>
      <c r="R1776" s="77">
        <v>2</v>
      </c>
      <c r="S1776" s="77">
        <v>6</v>
      </c>
      <c r="T1776" s="77">
        <v>0</v>
      </c>
      <c r="U1776" s="77">
        <v>0</v>
      </c>
      <c r="V1776" s="77">
        <v>1732</v>
      </c>
      <c r="W1776" s="81" t="s">
        <v>3899</v>
      </c>
      <c r="X1776" s="77"/>
      <c r="Y1776" s="77"/>
      <c r="Z1776" s="77"/>
      <c r="AA1776" s="77" t="s">
        <v>5566</v>
      </c>
      <c r="AB1776" s="77" t="s">
        <v>5795</v>
      </c>
      <c r="AC1776" s="81" t="s">
        <v>5801</v>
      </c>
      <c r="AD1776" s="77" t="s">
        <v>5853</v>
      </c>
      <c r="AE1776" s="83" t="str">
        <f>HYPERLINK("https://twitter.com/jumizlukas23/status/1683885761429483530")</f>
        <v>https://twitter.com/jumizlukas23/status/1683885761429483530</v>
      </c>
      <c r="AF1776" s="79">
        <v>45132.7109375</v>
      </c>
      <c r="AG1776" s="85">
        <v>45132</v>
      </c>
      <c r="AH1776" s="81" t="s">
        <v>7410</v>
      </c>
      <c r="AI1776" s="77" t="b">
        <v>0</v>
      </c>
      <c r="AJ1776" s="77"/>
      <c r="AK1776" s="77"/>
      <c r="AL1776" s="77"/>
      <c r="AM1776" s="77"/>
      <c r="AN1776" s="77"/>
      <c r="AO1776" s="77"/>
      <c r="AP1776" s="77"/>
      <c r="AQ1776" s="77" t="s">
        <v>9069</v>
      </c>
      <c r="AR1776" s="77">
        <v>26266</v>
      </c>
      <c r="AS1776" s="77"/>
      <c r="AT1776" s="77"/>
      <c r="AU1776" s="77"/>
      <c r="AV1776" s="83" t="str">
        <f>HYPERLINK("https://pbs.twimg.com/ext_tw_video_thumb/1683885713517862913/pu/img/TUksuPPeQR7h_agC.jpg")</f>
        <v>https://pbs.twimg.com/ext_tw_video_thumb/1683885713517862913/pu/img/TUksuPPeQR7h_agC.jpg</v>
      </c>
      <c r="AW1776" s="81" t="s">
        <v>10889</v>
      </c>
      <c r="AX1776" s="81" t="s">
        <v>10889</v>
      </c>
      <c r="AY1776" s="77"/>
      <c r="AZ1776" s="81" t="s">
        <v>11359</v>
      </c>
      <c r="BA1776" s="81" t="s">
        <v>11359</v>
      </c>
      <c r="BB1776" s="81" t="s">
        <v>11359</v>
      </c>
      <c r="BC1776" s="81" t="s">
        <v>10889</v>
      </c>
      <c r="BD1776" s="81" t="s">
        <v>11650</v>
      </c>
      <c r="BE1776" s="77"/>
      <c r="BF1776" s="77"/>
      <c r="BG1776" s="77"/>
      <c r="BH1776" s="77"/>
      <c r="BI1776" s="77"/>
    </row>
    <row r="1777" spans="1:61" x14ac:dyDescent="0.25">
      <c r="A1777" s="62" t="s">
        <v>726</v>
      </c>
      <c r="B1777" s="62" t="s">
        <v>726</v>
      </c>
      <c r="C1777" s="63"/>
      <c r="D1777" s="64"/>
      <c r="E1777" s="65"/>
      <c r="F1777" s="66"/>
      <c r="G1777" s="63"/>
      <c r="H1777" s="67"/>
      <c r="I1777" s="68"/>
      <c r="J1777" s="68"/>
      <c r="K1777" s="32"/>
      <c r="L1777" s="75">
        <v>1777</v>
      </c>
      <c r="M1777" s="75"/>
      <c r="N1777" s="70"/>
      <c r="O1777" s="77" t="s">
        <v>179</v>
      </c>
      <c r="P1777" s="79">
        <v>45002.347418981481</v>
      </c>
      <c r="Q1777" s="77" t="s">
        <v>2560</v>
      </c>
      <c r="R1777" s="77">
        <v>0</v>
      </c>
      <c r="S1777" s="77">
        <v>1</v>
      </c>
      <c r="T1777" s="77">
        <v>0</v>
      </c>
      <c r="U1777" s="77">
        <v>0</v>
      </c>
      <c r="V1777" s="77">
        <v>31</v>
      </c>
      <c r="W1777" s="81" t="s">
        <v>3900</v>
      </c>
      <c r="X1777" s="83" t="str">
        <f>HYPERLINK("https://www.amazon.es/dp/B0B37BBNSM/")</f>
        <v>https://www.amazon.es/dp/B0B37BBNSM/</v>
      </c>
      <c r="Y1777" s="77" t="s">
        <v>4328</v>
      </c>
      <c r="Z1777" s="77"/>
      <c r="AA1777" s="77" t="s">
        <v>5567</v>
      </c>
      <c r="AB1777" s="77" t="s">
        <v>5794</v>
      </c>
      <c r="AC1777" s="81" t="s">
        <v>5805</v>
      </c>
      <c r="AD1777" s="77" t="s">
        <v>5853</v>
      </c>
      <c r="AE1777" s="83" t="str">
        <f>HYPERLINK("https://twitter.com/berth99studio/status/1636643605237452801")</f>
        <v>https://twitter.com/berth99studio/status/1636643605237452801</v>
      </c>
      <c r="AF1777" s="79">
        <v>45002.347418981481</v>
      </c>
      <c r="AG1777" s="85">
        <v>45002</v>
      </c>
      <c r="AH1777" s="81" t="s">
        <v>7031</v>
      </c>
      <c r="AI1777" s="77" t="b">
        <v>0</v>
      </c>
      <c r="AJ1777" s="77"/>
      <c r="AK1777" s="77"/>
      <c r="AL1777" s="77"/>
      <c r="AM1777" s="77"/>
      <c r="AN1777" s="77"/>
      <c r="AO1777" s="77"/>
      <c r="AP1777" s="77"/>
      <c r="AQ1777" s="77" t="s">
        <v>9070</v>
      </c>
      <c r="AR1777" s="77"/>
      <c r="AS1777" s="77"/>
      <c r="AT1777" s="77"/>
      <c r="AU1777" s="77"/>
      <c r="AV1777" s="83" t="str">
        <f>HYPERLINK("https://pbs.twimg.com/media/FraGrfUWYAAzIbN.jpg")</f>
        <v>https://pbs.twimg.com/media/FraGrfUWYAAzIbN.jpg</v>
      </c>
      <c r="AW1777" s="81" t="s">
        <v>10890</v>
      </c>
      <c r="AX1777" s="81" t="s">
        <v>10890</v>
      </c>
      <c r="AY1777" s="77"/>
      <c r="AZ1777" s="81" t="s">
        <v>11359</v>
      </c>
      <c r="BA1777" s="81" t="s">
        <v>11359</v>
      </c>
      <c r="BB1777" s="81" t="s">
        <v>11359</v>
      </c>
      <c r="BC1777" s="81" t="s">
        <v>10890</v>
      </c>
      <c r="BD1777" s="77">
        <v>800908256</v>
      </c>
      <c r="BE1777" s="77"/>
      <c r="BF1777" s="77"/>
      <c r="BG1777" s="77"/>
      <c r="BH1777" s="77"/>
      <c r="BI1777" s="77"/>
    </row>
    <row r="1778" spans="1:61" x14ac:dyDescent="0.25">
      <c r="A1778" s="62" t="s">
        <v>727</v>
      </c>
      <c r="B1778" s="62" t="s">
        <v>727</v>
      </c>
      <c r="C1778" s="63"/>
      <c r="D1778" s="64"/>
      <c r="E1778" s="65"/>
      <c r="F1778" s="66"/>
      <c r="G1778" s="63"/>
      <c r="H1778" s="67"/>
      <c r="I1778" s="68"/>
      <c r="J1778" s="68"/>
      <c r="K1778" s="32"/>
      <c r="L1778" s="75">
        <v>1778</v>
      </c>
      <c r="M1778" s="75"/>
      <c r="N1778" s="70"/>
      <c r="O1778" s="77" t="s">
        <v>179</v>
      </c>
      <c r="P1778" s="79">
        <v>45020.466863425929</v>
      </c>
      <c r="Q1778" s="77" t="s">
        <v>2561</v>
      </c>
      <c r="R1778" s="77">
        <v>0</v>
      </c>
      <c r="S1778" s="77">
        <v>0</v>
      </c>
      <c r="T1778" s="77">
        <v>0</v>
      </c>
      <c r="U1778" s="77">
        <v>0</v>
      </c>
      <c r="V1778" s="77">
        <v>17</v>
      </c>
      <c r="W1778" s="81" t="s">
        <v>3901</v>
      </c>
      <c r="X1778" s="77"/>
      <c r="Y1778" s="77"/>
      <c r="Z1778" s="77"/>
      <c r="AA1778" s="77" t="s">
        <v>5568</v>
      </c>
      <c r="AB1778" s="77" t="s">
        <v>5795</v>
      </c>
      <c r="AC1778" s="81" t="s">
        <v>5803</v>
      </c>
      <c r="AD1778" s="77" t="s">
        <v>5851</v>
      </c>
      <c r="AE1778" s="83" t="str">
        <f>HYPERLINK("https://twitter.com/soudiegooliveir/status/1643209870496210944")</f>
        <v>https://twitter.com/soudiegooliveir/status/1643209870496210944</v>
      </c>
      <c r="AF1778" s="79">
        <v>45020.466863425929</v>
      </c>
      <c r="AG1778" s="85">
        <v>45020</v>
      </c>
      <c r="AH1778" s="81" t="s">
        <v>7411</v>
      </c>
      <c r="AI1778" s="77" t="b">
        <v>0</v>
      </c>
      <c r="AJ1778" s="77"/>
      <c r="AK1778" s="77"/>
      <c r="AL1778" s="77"/>
      <c r="AM1778" s="77"/>
      <c r="AN1778" s="77"/>
      <c r="AO1778" s="77"/>
      <c r="AP1778" s="77"/>
      <c r="AQ1778" s="77" t="s">
        <v>9071</v>
      </c>
      <c r="AR1778" s="77">
        <v>38573</v>
      </c>
      <c r="AS1778" s="77"/>
      <c r="AT1778" s="77"/>
      <c r="AU1778" s="77"/>
      <c r="AV1778" s="83" t="str">
        <f>HYPERLINK("https://pbs.twimg.com/ext_tw_video_thumb/1643208969777815555/pu/img/MXaTc-61Cz47VBDR.jpg")</f>
        <v>https://pbs.twimg.com/ext_tw_video_thumb/1643208969777815555/pu/img/MXaTc-61Cz47VBDR.jpg</v>
      </c>
      <c r="AW1778" s="81" t="s">
        <v>10891</v>
      </c>
      <c r="AX1778" s="81" t="s">
        <v>10891</v>
      </c>
      <c r="AY1778" s="77"/>
      <c r="AZ1778" s="81" t="s">
        <v>11359</v>
      </c>
      <c r="BA1778" s="81" t="s">
        <v>11359</v>
      </c>
      <c r="BB1778" s="81" t="s">
        <v>11359</v>
      </c>
      <c r="BC1778" s="81" t="s">
        <v>10891</v>
      </c>
      <c r="BD1778" s="81" t="s">
        <v>11651</v>
      </c>
      <c r="BE1778" s="77"/>
      <c r="BF1778" s="77"/>
      <c r="BG1778" s="77"/>
      <c r="BH1778" s="77"/>
      <c r="BI1778" s="77"/>
    </row>
    <row r="1779" spans="1:61" x14ac:dyDescent="0.25">
      <c r="A1779" s="62" t="s">
        <v>728</v>
      </c>
      <c r="B1779" s="62" t="s">
        <v>951</v>
      </c>
      <c r="C1779" s="63"/>
      <c r="D1779" s="64"/>
      <c r="E1779" s="65"/>
      <c r="F1779" s="66"/>
      <c r="G1779" s="63"/>
      <c r="H1779" s="67"/>
      <c r="I1779" s="68"/>
      <c r="J1779" s="68"/>
      <c r="K1779" s="32"/>
      <c r="L1779" s="75">
        <v>1779</v>
      </c>
      <c r="M1779" s="75"/>
      <c r="N1779" s="70"/>
      <c r="O1779" s="77" t="s">
        <v>969</v>
      </c>
      <c r="P1779" s="79">
        <v>44954.719606481478</v>
      </c>
      <c r="Q1779" s="77" t="s">
        <v>2562</v>
      </c>
      <c r="R1779" s="77">
        <v>0</v>
      </c>
      <c r="S1779" s="77">
        <v>0</v>
      </c>
      <c r="T1779" s="77">
        <v>0</v>
      </c>
      <c r="U1779" s="77">
        <v>0</v>
      </c>
      <c r="V1779" s="77">
        <v>1</v>
      </c>
      <c r="W1779" s="81" t="s">
        <v>3902</v>
      </c>
      <c r="X1779" s="77"/>
      <c r="Y1779" s="77"/>
      <c r="Z1779" s="77" t="s">
        <v>951</v>
      </c>
      <c r="AA1779" s="77"/>
      <c r="AB1779" s="77"/>
      <c r="AC1779" s="81" t="s">
        <v>5801</v>
      </c>
      <c r="AD1779" s="77" t="s">
        <v>5851</v>
      </c>
      <c r="AE1779" s="83" t="str">
        <f>HYPERLINK("https://twitter.com/souza_dis/status/1619383865717719042")</f>
        <v>https://twitter.com/souza_dis/status/1619383865717719042</v>
      </c>
      <c r="AF1779" s="79">
        <v>44954.719606481478</v>
      </c>
      <c r="AG1779" s="85">
        <v>44954</v>
      </c>
      <c r="AH1779" s="81" t="s">
        <v>7412</v>
      </c>
      <c r="AI1779" s="77"/>
      <c r="AJ1779" s="77"/>
      <c r="AK1779" s="77"/>
      <c r="AL1779" s="77"/>
      <c r="AM1779" s="77"/>
      <c r="AN1779" s="77"/>
      <c r="AO1779" s="77"/>
      <c r="AP1779" s="77"/>
      <c r="AQ1779" s="77"/>
      <c r="AR1779" s="77"/>
      <c r="AS1779" s="77"/>
      <c r="AT1779" s="77"/>
      <c r="AU1779" s="77"/>
      <c r="AV1779" s="83" t="str">
        <f>HYPERLINK("https://pbs.twimg.com/profile_images/1611355469695574016/mcP4O3bS_normal.jpg")</f>
        <v>https://pbs.twimg.com/profile_images/1611355469695574016/mcP4O3bS_normal.jpg</v>
      </c>
      <c r="AW1779" s="81" t="s">
        <v>10892</v>
      </c>
      <c r="AX1779" s="81" t="s">
        <v>11309</v>
      </c>
      <c r="AY1779" s="81" t="s">
        <v>11351</v>
      </c>
      <c r="AZ1779" s="81" t="s">
        <v>11309</v>
      </c>
      <c r="BA1779" s="81" t="s">
        <v>11359</v>
      </c>
      <c r="BB1779" s="81" t="s">
        <v>11359</v>
      </c>
      <c r="BC1779" s="81" t="s">
        <v>11309</v>
      </c>
      <c r="BD1779" s="81" t="s">
        <v>11652</v>
      </c>
      <c r="BE1779" s="77"/>
      <c r="BF1779" s="77"/>
      <c r="BG1779" s="77"/>
      <c r="BH1779" s="77"/>
      <c r="BI1779" s="77"/>
    </row>
    <row r="1780" spans="1:61" x14ac:dyDescent="0.25">
      <c r="A1780" s="62" t="s">
        <v>729</v>
      </c>
      <c r="B1780" s="62" t="s">
        <v>729</v>
      </c>
      <c r="C1780" s="63"/>
      <c r="D1780" s="64"/>
      <c r="E1780" s="65"/>
      <c r="F1780" s="66"/>
      <c r="G1780" s="63"/>
      <c r="H1780" s="67"/>
      <c r="I1780" s="68"/>
      <c r="J1780" s="68"/>
      <c r="K1780" s="32"/>
      <c r="L1780" s="75">
        <v>1780</v>
      </c>
      <c r="M1780" s="75"/>
      <c r="N1780" s="70"/>
      <c r="O1780" s="77" t="s">
        <v>179</v>
      </c>
      <c r="P1780" s="79">
        <v>44952.771006944444</v>
      </c>
      <c r="Q1780" s="77" t="s">
        <v>2563</v>
      </c>
      <c r="R1780" s="77">
        <v>30</v>
      </c>
      <c r="S1780" s="77">
        <v>69</v>
      </c>
      <c r="T1780" s="77">
        <v>3</v>
      </c>
      <c r="U1780" s="77">
        <v>0</v>
      </c>
      <c r="V1780" s="77">
        <v>1048</v>
      </c>
      <c r="W1780" s="81" t="s">
        <v>3903</v>
      </c>
      <c r="X1780" s="83" t="str">
        <f>HYPERLINK("http://ow.ly/9Ts950MB9qE")</f>
        <v>http://ow.ly/9Ts950MB9qE</v>
      </c>
      <c r="Y1780" s="77" t="s">
        <v>4321</v>
      </c>
      <c r="Z1780" s="77"/>
      <c r="AA1780" s="77"/>
      <c r="AB1780" s="77"/>
      <c r="AC1780" s="81" t="s">
        <v>5802</v>
      </c>
      <c r="AD1780" s="77" t="s">
        <v>5850</v>
      </c>
      <c r="AE1780" s="83" t="str">
        <f>HYPERLINK("https://twitter.com/contralinea/status/1618677715954974720")</f>
        <v>https://twitter.com/contralinea/status/1618677715954974720</v>
      </c>
      <c r="AF1780" s="79">
        <v>44952.771006944444</v>
      </c>
      <c r="AG1780" s="85">
        <v>44952</v>
      </c>
      <c r="AH1780" s="81" t="s">
        <v>7413</v>
      </c>
      <c r="AI1780" s="77" t="b">
        <v>0</v>
      </c>
      <c r="AJ1780" s="77"/>
      <c r="AK1780" s="77"/>
      <c r="AL1780" s="77"/>
      <c r="AM1780" s="77"/>
      <c r="AN1780" s="77"/>
      <c r="AO1780" s="77"/>
      <c r="AP1780" s="77"/>
      <c r="AQ1780" s="77"/>
      <c r="AR1780" s="77"/>
      <c r="AS1780" s="77"/>
      <c r="AT1780" s="77"/>
      <c r="AU1780" s="77"/>
      <c r="AV1780" s="83" t="str">
        <f>HYPERLINK("https://pbs.twimg.com/profile_images/1384683466835599360/dxojpGw2_normal.jpg")</f>
        <v>https://pbs.twimg.com/profile_images/1384683466835599360/dxojpGw2_normal.jpg</v>
      </c>
      <c r="AW1780" s="81" t="s">
        <v>10893</v>
      </c>
      <c r="AX1780" s="81" t="s">
        <v>10893</v>
      </c>
      <c r="AY1780" s="77"/>
      <c r="AZ1780" s="81" t="s">
        <v>11359</v>
      </c>
      <c r="BA1780" s="81" t="s">
        <v>11359</v>
      </c>
      <c r="BB1780" s="81" t="s">
        <v>11359</v>
      </c>
      <c r="BC1780" s="81" t="s">
        <v>10893</v>
      </c>
      <c r="BD1780" s="77">
        <v>28608099</v>
      </c>
      <c r="BE1780" s="77"/>
      <c r="BF1780" s="77"/>
      <c r="BG1780" s="77"/>
      <c r="BH1780" s="77"/>
      <c r="BI1780" s="77"/>
    </row>
    <row r="1781" spans="1:61" x14ac:dyDescent="0.25">
      <c r="A1781" s="62" t="s">
        <v>730</v>
      </c>
      <c r="B1781" s="62" t="s">
        <v>730</v>
      </c>
      <c r="C1781" s="63"/>
      <c r="D1781" s="64"/>
      <c r="E1781" s="65"/>
      <c r="F1781" s="66"/>
      <c r="G1781" s="63"/>
      <c r="H1781" s="67"/>
      <c r="I1781" s="68"/>
      <c r="J1781" s="68"/>
      <c r="K1781" s="32"/>
      <c r="L1781" s="75">
        <v>1781</v>
      </c>
      <c r="M1781" s="75"/>
      <c r="N1781" s="70"/>
      <c r="O1781" s="77" t="s">
        <v>179</v>
      </c>
      <c r="P1781" s="79">
        <v>45000.875011574077</v>
      </c>
      <c r="Q1781" s="77" t="s">
        <v>2564</v>
      </c>
      <c r="R1781" s="77">
        <v>0</v>
      </c>
      <c r="S1781" s="77">
        <v>1</v>
      </c>
      <c r="T1781" s="77">
        <v>0</v>
      </c>
      <c r="U1781" s="77">
        <v>0</v>
      </c>
      <c r="V1781" s="77">
        <v>151</v>
      </c>
      <c r="W1781" s="81" t="s">
        <v>3904</v>
      </c>
      <c r="X1781" s="83" t="str">
        <f>HYPERLINK("http://bit.ly/3I6IuGu")</f>
        <v>http://bit.ly/3I6IuGu</v>
      </c>
      <c r="Y1781" s="77" t="s">
        <v>4213</v>
      </c>
      <c r="Z1781" s="77"/>
      <c r="AA1781" s="77" t="s">
        <v>5569</v>
      </c>
      <c r="AB1781" s="77" t="s">
        <v>5795</v>
      </c>
      <c r="AC1781" s="81" t="s">
        <v>5805</v>
      </c>
      <c r="AD1781" s="77" t="s">
        <v>5850</v>
      </c>
      <c r="AE1781" s="83" t="str">
        <f>HYPERLINK("https://twitter.com/wortev/status/1636110021003214848")</f>
        <v>https://twitter.com/wortev/status/1636110021003214848</v>
      </c>
      <c r="AF1781" s="79">
        <v>45000.875011574077</v>
      </c>
      <c r="AG1781" s="85">
        <v>45000</v>
      </c>
      <c r="AH1781" s="81" t="s">
        <v>7248</v>
      </c>
      <c r="AI1781" s="77" t="b">
        <v>0</v>
      </c>
      <c r="AJ1781" s="77"/>
      <c r="AK1781" s="77"/>
      <c r="AL1781" s="77"/>
      <c r="AM1781" s="77"/>
      <c r="AN1781" s="77"/>
      <c r="AO1781" s="77"/>
      <c r="AP1781" s="77"/>
      <c r="AQ1781" s="77" t="s">
        <v>9072</v>
      </c>
      <c r="AR1781" s="77">
        <v>53286</v>
      </c>
      <c r="AS1781" s="77"/>
      <c r="AT1781" s="77"/>
      <c r="AU1781" s="77"/>
      <c r="AV1781" s="83" t="str">
        <f>HYPERLINK("https://pbs.twimg.com/ext_tw_video_thumb/1631428603610120192/pu/img/T49--2lxXtkdSR5l.jpg")</f>
        <v>https://pbs.twimg.com/ext_tw_video_thumb/1631428603610120192/pu/img/T49--2lxXtkdSR5l.jpg</v>
      </c>
      <c r="AW1781" s="81" t="s">
        <v>10894</v>
      </c>
      <c r="AX1781" s="81" t="s">
        <v>10894</v>
      </c>
      <c r="AY1781" s="77"/>
      <c r="AZ1781" s="81" t="s">
        <v>11359</v>
      </c>
      <c r="BA1781" s="81" t="s">
        <v>11359</v>
      </c>
      <c r="BB1781" s="81" t="s">
        <v>11359</v>
      </c>
      <c r="BC1781" s="81" t="s">
        <v>10894</v>
      </c>
      <c r="BD1781" s="77">
        <v>2840351843</v>
      </c>
      <c r="BE1781" s="77"/>
      <c r="BF1781" s="77"/>
      <c r="BG1781" s="77"/>
      <c r="BH1781" s="77"/>
      <c r="BI1781" s="77"/>
    </row>
    <row r="1782" spans="1:61" x14ac:dyDescent="0.25">
      <c r="A1782" s="62" t="s">
        <v>730</v>
      </c>
      <c r="B1782" s="62" t="s">
        <v>730</v>
      </c>
      <c r="C1782" s="63"/>
      <c r="D1782" s="64"/>
      <c r="E1782" s="65"/>
      <c r="F1782" s="66"/>
      <c r="G1782" s="63"/>
      <c r="H1782" s="67"/>
      <c r="I1782" s="68"/>
      <c r="J1782" s="68"/>
      <c r="K1782" s="32"/>
      <c r="L1782" s="75">
        <v>1782</v>
      </c>
      <c r="M1782" s="75"/>
      <c r="N1782" s="70"/>
      <c r="O1782" s="77" t="s">
        <v>179</v>
      </c>
      <c r="P1782" s="79">
        <v>45012.000011574077</v>
      </c>
      <c r="Q1782" s="77" t="s">
        <v>2565</v>
      </c>
      <c r="R1782" s="77">
        <v>0</v>
      </c>
      <c r="S1782" s="77">
        <v>0</v>
      </c>
      <c r="T1782" s="77">
        <v>0</v>
      </c>
      <c r="U1782" s="77">
        <v>0</v>
      </c>
      <c r="V1782" s="77">
        <v>173</v>
      </c>
      <c r="W1782" s="81" t="s">
        <v>3905</v>
      </c>
      <c r="X1782" s="83" t="str">
        <f>HYPERLINK("https://youtu.be/Syvp5t9mqzI")</f>
        <v>https://youtu.be/Syvp5t9mqzI</v>
      </c>
      <c r="Y1782" s="77" t="s">
        <v>4214</v>
      </c>
      <c r="Z1782" s="77"/>
      <c r="AA1782" s="77" t="s">
        <v>5570</v>
      </c>
      <c r="AB1782" s="77" t="s">
        <v>5794</v>
      </c>
      <c r="AC1782" s="81" t="s">
        <v>5805</v>
      </c>
      <c r="AD1782" s="77" t="s">
        <v>5850</v>
      </c>
      <c r="AE1782" s="83" t="str">
        <f>HYPERLINK("https://twitter.com/wortev/status/1640141586829910017")</f>
        <v>https://twitter.com/wortev/status/1640141586829910017</v>
      </c>
      <c r="AF1782" s="79">
        <v>45012.000011574077</v>
      </c>
      <c r="AG1782" s="85">
        <v>45012</v>
      </c>
      <c r="AH1782" s="81" t="s">
        <v>7317</v>
      </c>
      <c r="AI1782" s="77" t="b">
        <v>0</v>
      </c>
      <c r="AJ1782" s="77"/>
      <c r="AK1782" s="77"/>
      <c r="AL1782" s="77"/>
      <c r="AM1782" s="77"/>
      <c r="AN1782" s="77"/>
      <c r="AO1782" s="77"/>
      <c r="AP1782" s="77"/>
      <c r="AQ1782" s="77" t="s">
        <v>9073</v>
      </c>
      <c r="AR1782" s="77"/>
      <c r="AS1782" s="77"/>
      <c r="AT1782" s="77"/>
      <c r="AU1782" s="77"/>
      <c r="AV1782" s="83" t="str">
        <f>HYPERLINK("https://pbs.twimg.com/media/FrXZDAxWIBA1K7M.jpg")</f>
        <v>https://pbs.twimg.com/media/FrXZDAxWIBA1K7M.jpg</v>
      </c>
      <c r="AW1782" s="81" t="s">
        <v>10895</v>
      </c>
      <c r="AX1782" s="81" t="s">
        <v>10895</v>
      </c>
      <c r="AY1782" s="77"/>
      <c r="AZ1782" s="81" t="s">
        <v>11359</v>
      </c>
      <c r="BA1782" s="81" t="s">
        <v>11359</v>
      </c>
      <c r="BB1782" s="81" t="s">
        <v>11359</v>
      </c>
      <c r="BC1782" s="81" t="s">
        <v>10895</v>
      </c>
      <c r="BD1782" s="77">
        <v>2840351843</v>
      </c>
      <c r="BE1782" s="77"/>
      <c r="BF1782" s="77"/>
      <c r="BG1782" s="77"/>
      <c r="BH1782" s="77"/>
      <c r="BI1782" s="77"/>
    </row>
    <row r="1783" spans="1:61" x14ac:dyDescent="0.25">
      <c r="A1783" s="62" t="s">
        <v>730</v>
      </c>
      <c r="B1783" s="62" t="s">
        <v>730</v>
      </c>
      <c r="C1783" s="63"/>
      <c r="D1783" s="64"/>
      <c r="E1783" s="65"/>
      <c r="F1783" s="66"/>
      <c r="G1783" s="63"/>
      <c r="H1783" s="67"/>
      <c r="I1783" s="68"/>
      <c r="J1783" s="68"/>
      <c r="K1783" s="32"/>
      <c r="L1783" s="75">
        <v>1783</v>
      </c>
      <c r="M1783" s="75"/>
      <c r="N1783" s="70"/>
      <c r="O1783" s="77" t="s">
        <v>179</v>
      </c>
      <c r="P1783" s="79">
        <v>45046.083333333336</v>
      </c>
      <c r="Q1783" s="77" t="s">
        <v>2566</v>
      </c>
      <c r="R1783" s="77">
        <v>0</v>
      </c>
      <c r="S1783" s="77">
        <v>4</v>
      </c>
      <c r="T1783" s="77">
        <v>0</v>
      </c>
      <c r="U1783" s="77">
        <v>0</v>
      </c>
      <c r="V1783" s="77">
        <v>199</v>
      </c>
      <c r="W1783" s="81" t="s">
        <v>3905</v>
      </c>
      <c r="X1783" s="83" t="str">
        <f>HYPERLINK("https://youtu.be/Syvp5t9mqzI")</f>
        <v>https://youtu.be/Syvp5t9mqzI</v>
      </c>
      <c r="Y1783" s="77" t="s">
        <v>4214</v>
      </c>
      <c r="Z1783" s="77"/>
      <c r="AA1783" s="77" t="s">
        <v>5571</v>
      </c>
      <c r="AB1783" s="77" t="s">
        <v>5795</v>
      </c>
      <c r="AC1783" s="81" t="s">
        <v>5805</v>
      </c>
      <c r="AD1783" s="77" t="s">
        <v>5850</v>
      </c>
      <c r="AE1783" s="83" t="str">
        <f>HYPERLINK("https://twitter.com/wortev/status/1652492971131146242")</f>
        <v>https://twitter.com/wortev/status/1652492971131146242</v>
      </c>
      <c r="AF1783" s="79">
        <v>45046.083333333336</v>
      </c>
      <c r="AG1783" s="85">
        <v>45046</v>
      </c>
      <c r="AH1783" s="81" t="s">
        <v>7414</v>
      </c>
      <c r="AI1783" s="77" t="b">
        <v>0</v>
      </c>
      <c r="AJ1783" s="77"/>
      <c r="AK1783" s="77"/>
      <c r="AL1783" s="77"/>
      <c r="AM1783" s="77"/>
      <c r="AN1783" s="77"/>
      <c r="AO1783" s="77"/>
      <c r="AP1783" s="77"/>
      <c r="AQ1783" s="77" t="s">
        <v>9074</v>
      </c>
      <c r="AR1783" s="77">
        <v>43877</v>
      </c>
      <c r="AS1783" s="77"/>
      <c r="AT1783" s="77"/>
      <c r="AU1783" s="77"/>
      <c r="AV1783" s="83" t="str">
        <f>HYPERLINK("https://pbs.twimg.com/ext_tw_video_thumb/1650579512352989197/pu/img/Jt5juX1n-oBYqfmF.jpg")</f>
        <v>https://pbs.twimg.com/ext_tw_video_thumb/1650579512352989197/pu/img/Jt5juX1n-oBYqfmF.jpg</v>
      </c>
      <c r="AW1783" s="81" t="s">
        <v>10896</v>
      </c>
      <c r="AX1783" s="81" t="s">
        <v>10896</v>
      </c>
      <c r="AY1783" s="77"/>
      <c r="AZ1783" s="81" t="s">
        <v>11359</v>
      </c>
      <c r="BA1783" s="81" t="s">
        <v>11359</v>
      </c>
      <c r="BB1783" s="81" t="s">
        <v>11359</v>
      </c>
      <c r="BC1783" s="81" t="s">
        <v>10896</v>
      </c>
      <c r="BD1783" s="77">
        <v>2840351843</v>
      </c>
      <c r="BE1783" s="77"/>
      <c r="BF1783" s="77"/>
      <c r="BG1783" s="77"/>
      <c r="BH1783" s="77"/>
      <c r="BI1783" s="77"/>
    </row>
    <row r="1784" spans="1:61" x14ac:dyDescent="0.25">
      <c r="A1784" s="62" t="s">
        <v>731</v>
      </c>
      <c r="B1784" s="62" t="s">
        <v>731</v>
      </c>
      <c r="C1784" s="63"/>
      <c r="D1784" s="64"/>
      <c r="E1784" s="65"/>
      <c r="F1784" s="66"/>
      <c r="G1784" s="63"/>
      <c r="H1784" s="67"/>
      <c r="I1784" s="68"/>
      <c r="J1784" s="68"/>
      <c r="K1784" s="32"/>
      <c r="L1784" s="75">
        <v>1784</v>
      </c>
      <c r="M1784" s="75"/>
      <c r="N1784" s="70"/>
      <c r="O1784" s="77" t="s">
        <v>179</v>
      </c>
      <c r="P1784" s="79">
        <v>45049.702268518522</v>
      </c>
      <c r="Q1784" s="77" t="s">
        <v>2567</v>
      </c>
      <c r="R1784" s="77">
        <v>1</v>
      </c>
      <c r="S1784" s="77">
        <v>1</v>
      </c>
      <c r="T1784" s="77">
        <v>0</v>
      </c>
      <c r="U1784" s="77">
        <v>0</v>
      </c>
      <c r="V1784" s="77">
        <v>141</v>
      </c>
      <c r="W1784" s="81" t="s">
        <v>3906</v>
      </c>
      <c r="X1784" s="77"/>
      <c r="Y1784" s="77"/>
      <c r="Z1784" s="77"/>
      <c r="AA1784" s="77" t="s">
        <v>5572</v>
      </c>
      <c r="AB1784" s="77" t="s">
        <v>5794</v>
      </c>
      <c r="AC1784" s="81" t="s">
        <v>5805</v>
      </c>
      <c r="AD1784" s="77" t="s">
        <v>5850</v>
      </c>
      <c r="AE1784" s="83" t="str">
        <f>HYPERLINK("https://twitter.com/asap_news/status/1653804427323531264")</f>
        <v>https://twitter.com/asap_news/status/1653804427323531264</v>
      </c>
      <c r="AF1784" s="79">
        <v>45049.702268518522</v>
      </c>
      <c r="AG1784" s="85">
        <v>45049</v>
      </c>
      <c r="AH1784" s="81" t="s">
        <v>7415</v>
      </c>
      <c r="AI1784" s="77" t="b">
        <v>0</v>
      </c>
      <c r="AJ1784" s="77"/>
      <c r="AK1784" s="77"/>
      <c r="AL1784" s="77"/>
      <c r="AM1784" s="77"/>
      <c r="AN1784" s="77"/>
      <c r="AO1784" s="77"/>
      <c r="AP1784" s="77"/>
      <c r="AQ1784" s="77" t="s">
        <v>9075</v>
      </c>
      <c r="AR1784" s="77"/>
      <c r="AS1784" s="77"/>
      <c r="AT1784" s="77"/>
      <c r="AU1784" s="77"/>
      <c r="AV1784" s="83" t="str">
        <f>HYPERLINK("https://pbs.twimg.com/media/FvN-TtEWYAEohmh.jpg")</f>
        <v>https://pbs.twimg.com/media/FvN-TtEWYAEohmh.jpg</v>
      </c>
      <c r="AW1784" s="81" t="s">
        <v>10897</v>
      </c>
      <c r="AX1784" s="81" t="s">
        <v>10897</v>
      </c>
      <c r="AY1784" s="77"/>
      <c r="AZ1784" s="81" t="s">
        <v>11359</v>
      </c>
      <c r="BA1784" s="81" t="s">
        <v>11359</v>
      </c>
      <c r="BB1784" s="81" t="s">
        <v>11359</v>
      </c>
      <c r="BC1784" s="81" t="s">
        <v>10897</v>
      </c>
      <c r="BD1784" s="77">
        <v>250160102</v>
      </c>
      <c r="BE1784" s="77"/>
      <c r="BF1784" s="77"/>
      <c r="BG1784" s="77"/>
      <c r="BH1784" s="77"/>
      <c r="BI1784" s="77"/>
    </row>
    <row r="1785" spans="1:61" x14ac:dyDescent="0.25">
      <c r="A1785" s="62" t="s">
        <v>731</v>
      </c>
      <c r="B1785" s="62" t="s">
        <v>731</v>
      </c>
      <c r="C1785" s="63"/>
      <c r="D1785" s="64"/>
      <c r="E1785" s="65"/>
      <c r="F1785" s="66"/>
      <c r="G1785" s="63"/>
      <c r="H1785" s="67"/>
      <c r="I1785" s="68"/>
      <c r="J1785" s="68"/>
      <c r="K1785" s="32"/>
      <c r="L1785" s="75">
        <v>1785</v>
      </c>
      <c r="M1785" s="75"/>
      <c r="N1785" s="70"/>
      <c r="O1785" s="77" t="s">
        <v>179</v>
      </c>
      <c r="P1785" s="79">
        <v>45075.687094907407</v>
      </c>
      <c r="Q1785" s="77" t="s">
        <v>2568</v>
      </c>
      <c r="R1785" s="77">
        <v>0</v>
      </c>
      <c r="S1785" s="77">
        <v>1</v>
      </c>
      <c r="T1785" s="77">
        <v>0</v>
      </c>
      <c r="U1785" s="77">
        <v>0</v>
      </c>
      <c r="V1785" s="77">
        <v>131</v>
      </c>
      <c r="W1785" s="81" t="s">
        <v>3906</v>
      </c>
      <c r="X1785" s="77"/>
      <c r="Y1785" s="77"/>
      <c r="Z1785" s="77"/>
      <c r="AA1785" s="77" t="s">
        <v>5573</v>
      </c>
      <c r="AB1785" s="77" t="s">
        <v>5794</v>
      </c>
      <c r="AC1785" s="81" t="s">
        <v>5805</v>
      </c>
      <c r="AD1785" s="77" t="s">
        <v>5850</v>
      </c>
      <c r="AE1785" s="83" t="str">
        <f>HYPERLINK("https://twitter.com/asap_news/status/1663221014455541761")</f>
        <v>https://twitter.com/asap_news/status/1663221014455541761</v>
      </c>
      <c r="AF1785" s="79">
        <v>45075.687094907407</v>
      </c>
      <c r="AG1785" s="85">
        <v>45075</v>
      </c>
      <c r="AH1785" s="81" t="s">
        <v>7416</v>
      </c>
      <c r="AI1785" s="77" t="b">
        <v>0</v>
      </c>
      <c r="AJ1785" s="77"/>
      <c r="AK1785" s="77"/>
      <c r="AL1785" s="77"/>
      <c r="AM1785" s="77"/>
      <c r="AN1785" s="77"/>
      <c r="AO1785" s="77"/>
      <c r="AP1785" s="77"/>
      <c r="AQ1785" s="77" t="s">
        <v>9076</v>
      </c>
      <c r="AR1785" s="77"/>
      <c r="AS1785" s="77"/>
      <c r="AT1785" s="77"/>
      <c r="AU1785" s="77"/>
      <c r="AV1785" s="83" t="str">
        <f>HYPERLINK("https://pbs.twimg.com/media/FxTyrwOXwAEzq_k.jpg")</f>
        <v>https://pbs.twimg.com/media/FxTyrwOXwAEzq_k.jpg</v>
      </c>
      <c r="AW1785" s="81" t="s">
        <v>10898</v>
      </c>
      <c r="AX1785" s="81" t="s">
        <v>10898</v>
      </c>
      <c r="AY1785" s="77"/>
      <c r="AZ1785" s="81" t="s">
        <v>11359</v>
      </c>
      <c r="BA1785" s="81" t="s">
        <v>11359</v>
      </c>
      <c r="BB1785" s="81" t="s">
        <v>11359</v>
      </c>
      <c r="BC1785" s="81" t="s">
        <v>10898</v>
      </c>
      <c r="BD1785" s="77">
        <v>250160102</v>
      </c>
      <c r="BE1785" s="77"/>
      <c r="BF1785" s="77"/>
      <c r="BG1785" s="77"/>
      <c r="BH1785" s="77"/>
      <c r="BI1785" s="77"/>
    </row>
    <row r="1786" spans="1:61" x14ac:dyDescent="0.25">
      <c r="A1786" s="62" t="s">
        <v>731</v>
      </c>
      <c r="B1786" s="62" t="s">
        <v>731</v>
      </c>
      <c r="C1786" s="63"/>
      <c r="D1786" s="64"/>
      <c r="E1786" s="65"/>
      <c r="F1786" s="66"/>
      <c r="G1786" s="63"/>
      <c r="H1786" s="67"/>
      <c r="I1786" s="68"/>
      <c r="J1786" s="68"/>
      <c r="K1786" s="32"/>
      <c r="L1786" s="75">
        <v>1786</v>
      </c>
      <c r="M1786" s="75"/>
      <c r="N1786" s="70"/>
      <c r="O1786" s="77" t="s">
        <v>179</v>
      </c>
      <c r="P1786" s="79">
        <v>45120.042280092595</v>
      </c>
      <c r="Q1786" s="77" t="s">
        <v>2569</v>
      </c>
      <c r="R1786" s="77">
        <v>0</v>
      </c>
      <c r="S1786" s="77">
        <v>0</v>
      </c>
      <c r="T1786" s="77">
        <v>0</v>
      </c>
      <c r="U1786" s="77">
        <v>0</v>
      </c>
      <c r="V1786" s="77">
        <v>105</v>
      </c>
      <c r="W1786" s="81" t="s">
        <v>3906</v>
      </c>
      <c r="X1786" s="77"/>
      <c r="Y1786" s="77"/>
      <c r="Z1786" s="77"/>
      <c r="AA1786" s="77" t="s">
        <v>5574</v>
      </c>
      <c r="AB1786" s="77" t="s">
        <v>5794</v>
      </c>
      <c r="AC1786" s="81" t="s">
        <v>5801</v>
      </c>
      <c r="AD1786" s="77" t="s">
        <v>5850</v>
      </c>
      <c r="AE1786" s="83" t="str">
        <f>HYPERLINK("https://twitter.com/asap_news/status/1679294795729059840")</f>
        <v>https://twitter.com/asap_news/status/1679294795729059840</v>
      </c>
      <c r="AF1786" s="79">
        <v>45120.042280092595</v>
      </c>
      <c r="AG1786" s="85">
        <v>45120</v>
      </c>
      <c r="AH1786" s="81" t="s">
        <v>7417</v>
      </c>
      <c r="AI1786" s="77" t="b">
        <v>0</v>
      </c>
      <c r="AJ1786" s="77" t="s">
        <v>7753</v>
      </c>
      <c r="AK1786" s="77" t="s">
        <v>7769</v>
      </c>
      <c r="AL1786" s="77" t="s">
        <v>7778</v>
      </c>
      <c r="AM1786" s="77" t="s">
        <v>7807</v>
      </c>
      <c r="AN1786" s="77" t="s">
        <v>7843</v>
      </c>
      <c r="AO1786" s="77" t="s">
        <v>7879</v>
      </c>
      <c r="AP1786" s="77" t="s">
        <v>7889</v>
      </c>
      <c r="AQ1786" s="77" t="s">
        <v>9077</v>
      </c>
      <c r="AR1786" s="77"/>
      <c r="AS1786" s="77"/>
      <c r="AT1786" s="77"/>
      <c r="AU1786" s="77"/>
      <c r="AV1786" s="83" t="str">
        <f>HYPERLINK("https://pbs.twimg.com/media/F04Nt2IWwAA7rFs.jpg")</f>
        <v>https://pbs.twimg.com/media/F04Nt2IWwAA7rFs.jpg</v>
      </c>
      <c r="AW1786" s="81" t="s">
        <v>10899</v>
      </c>
      <c r="AX1786" s="81" t="s">
        <v>10899</v>
      </c>
      <c r="AY1786" s="77"/>
      <c r="AZ1786" s="81" t="s">
        <v>11359</v>
      </c>
      <c r="BA1786" s="81" t="s">
        <v>11359</v>
      </c>
      <c r="BB1786" s="81" t="s">
        <v>11359</v>
      </c>
      <c r="BC1786" s="81" t="s">
        <v>10899</v>
      </c>
      <c r="BD1786" s="77">
        <v>250160102</v>
      </c>
      <c r="BE1786" s="77"/>
      <c r="BF1786" s="77"/>
      <c r="BG1786" s="77"/>
      <c r="BH1786" s="77"/>
      <c r="BI1786" s="77"/>
    </row>
    <row r="1787" spans="1:61" x14ac:dyDescent="0.25">
      <c r="A1787" s="62" t="s">
        <v>731</v>
      </c>
      <c r="B1787" s="62" t="s">
        <v>731</v>
      </c>
      <c r="C1787" s="63"/>
      <c r="D1787" s="64"/>
      <c r="E1787" s="65"/>
      <c r="F1787" s="66"/>
      <c r="G1787" s="63"/>
      <c r="H1787" s="67"/>
      <c r="I1787" s="68"/>
      <c r="J1787" s="68"/>
      <c r="K1787" s="32"/>
      <c r="L1787" s="75">
        <v>1787</v>
      </c>
      <c r="M1787" s="75"/>
      <c r="N1787" s="70"/>
      <c r="O1787" s="77" t="s">
        <v>179</v>
      </c>
      <c r="P1787" s="79">
        <v>45155.823055555556</v>
      </c>
      <c r="Q1787" s="77" t="s">
        <v>2570</v>
      </c>
      <c r="R1787" s="77">
        <v>0</v>
      </c>
      <c r="S1787" s="77">
        <v>0</v>
      </c>
      <c r="T1787" s="77">
        <v>0</v>
      </c>
      <c r="U1787" s="77">
        <v>0</v>
      </c>
      <c r="V1787" s="77">
        <v>133</v>
      </c>
      <c r="W1787" s="81" t="s">
        <v>3906</v>
      </c>
      <c r="X1787" s="77"/>
      <c r="Y1787" s="77"/>
      <c r="Z1787" s="77"/>
      <c r="AA1787" s="77" t="s">
        <v>5575</v>
      </c>
      <c r="AB1787" s="77" t="s">
        <v>5794</v>
      </c>
      <c r="AC1787" s="81" t="s">
        <v>5805</v>
      </c>
      <c r="AD1787" s="77" t="s">
        <v>5850</v>
      </c>
      <c r="AE1787" s="83" t="str">
        <f>HYPERLINK("https://twitter.com/asap_news/status/1692261315161587803")</f>
        <v>https://twitter.com/asap_news/status/1692261315161587803</v>
      </c>
      <c r="AF1787" s="79">
        <v>45155.823055555556</v>
      </c>
      <c r="AG1787" s="85">
        <v>45155</v>
      </c>
      <c r="AH1787" s="81" t="s">
        <v>7418</v>
      </c>
      <c r="AI1787" s="77" t="b">
        <v>0</v>
      </c>
      <c r="AJ1787" s="77"/>
      <c r="AK1787" s="77"/>
      <c r="AL1787" s="77"/>
      <c r="AM1787" s="77"/>
      <c r="AN1787" s="77"/>
      <c r="AO1787" s="77"/>
      <c r="AP1787" s="77"/>
      <c r="AQ1787" s="77" t="s">
        <v>9078</v>
      </c>
      <c r="AR1787" s="77"/>
      <c r="AS1787" s="77"/>
      <c r="AT1787" s="77"/>
      <c r="AU1787" s="77"/>
      <c r="AV1787" s="83" t="str">
        <f>HYPERLINK("https://pbs.twimg.com/media/F3werozWgAAetSV.jpg")</f>
        <v>https://pbs.twimg.com/media/F3werozWgAAetSV.jpg</v>
      </c>
      <c r="AW1787" s="81" t="s">
        <v>10900</v>
      </c>
      <c r="AX1787" s="81" t="s">
        <v>10900</v>
      </c>
      <c r="AY1787" s="77"/>
      <c r="AZ1787" s="81" t="s">
        <v>11359</v>
      </c>
      <c r="BA1787" s="81" t="s">
        <v>11359</v>
      </c>
      <c r="BB1787" s="81" t="s">
        <v>11359</v>
      </c>
      <c r="BC1787" s="81" t="s">
        <v>10900</v>
      </c>
      <c r="BD1787" s="77">
        <v>250160102</v>
      </c>
      <c r="BE1787" s="77"/>
      <c r="BF1787" s="77"/>
      <c r="BG1787" s="77"/>
      <c r="BH1787" s="77"/>
      <c r="BI1787" s="77"/>
    </row>
    <row r="1788" spans="1:61" x14ac:dyDescent="0.25">
      <c r="A1788" s="62" t="s">
        <v>731</v>
      </c>
      <c r="B1788" s="62" t="s">
        <v>731</v>
      </c>
      <c r="C1788" s="63"/>
      <c r="D1788" s="64"/>
      <c r="E1788" s="65"/>
      <c r="F1788" s="66"/>
      <c r="G1788" s="63"/>
      <c r="H1788" s="67"/>
      <c r="I1788" s="68"/>
      <c r="J1788" s="68"/>
      <c r="K1788" s="32"/>
      <c r="L1788" s="75">
        <v>1788</v>
      </c>
      <c r="M1788" s="75"/>
      <c r="N1788" s="70"/>
      <c r="O1788" s="77" t="s">
        <v>179</v>
      </c>
      <c r="P1788" s="79">
        <v>45154.68577546296</v>
      </c>
      <c r="Q1788" s="77" t="s">
        <v>2571</v>
      </c>
      <c r="R1788" s="77">
        <v>0</v>
      </c>
      <c r="S1788" s="77">
        <v>1</v>
      </c>
      <c r="T1788" s="77">
        <v>0</v>
      </c>
      <c r="U1788" s="77">
        <v>0</v>
      </c>
      <c r="V1788" s="77">
        <v>163</v>
      </c>
      <c r="W1788" s="81" t="s">
        <v>3907</v>
      </c>
      <c r="X1788" s="77"/>
      <c r="Y1788" s="77"/>
      <c r="Z1788" s="77"/>
      <c r="AA1788" s="77" t="s">
        <v>5576</v>
      </c>
      <c r="AB1788" s="77" t="s">
        <v>5794</v>
      </c>
      <c r="AC1788" s="81" t="s">
        <v>5805</v>
      </c>
      <c r="AD1788" s="77" t="s">
        <v>5850</v>
      </c>
      <c r="AE1788" s="83" t="str">
        <f>HYPERLINK("https://twitter.com/asap_news/status/1691849176194187504")</f>
        <v>https://twitter.com/asap_news/status/1691849176194187504</v>
      </c>
      <c r="AF1788" s="79">
        <v>45154.68577546296</v>
      </c>
      <c r="AG1788" s="85">
        <v>45154</v>
      </c>
      <c r="AH1788" s="81" t="s">
        <v>7419</v>
      </c>
      <c r="AI1788" s="77" t="b">
        <v>0</v>
      </c>
      <c r="AJ1788" s="77"/>
      <c r="AK1788" s="77"/>
      <c r="AL1788" s="77"/>
      <c r="AM1788" s="77"/>
      <c r="AN1788" s="77"/>
      <c r="AO1788" s="77"/>
      <c r="AP1788" s="77"/>
      <c r="AQ1788" s="77" t="s">
        <v>9079</v>
      </c>
      <c r="AR1788" s="77"/>
      <c r="AS1788" s="77"/>
      <c r="AT1788" s="77"/>
      <c r="AU1788" s="77"/>
      <c r="AV1788" s="83" t="str">
        <f>HYPERLINK("https://pbs.twimg.com/media/F3qn0oxXgAk2Ttg.jpg")</f>
        <v>https://pbs.twimg.com/media/F3qn0oxXgAk2Ttg.jpg</v>
      </c>
      <c r="AW1788" s="81" t="s">
        <v>10901</v>
      </c>
      <c r="AX1788" s="81" t="s">
        <v>10901</v>
      </c>
      <c r="AY1788" s="77"/>
      <c r="AZ1788" s="81" t="s">
        <v>11359</v>
      </c>
      <c r="BA1788" s="81" t="s">
        <v>11359</v>
      </c>
      <c r="BB1788" s="81" t="s">
        <v>11359</v>
      </c>
      <c r="BC1788" s="81" t="s">
        <v>10901</v>
      </c>
      <c r="BD1788" s="77">
        <v>250160102</v>
      </c>
      <c r="BE1788" s="77"/>
      <c r="BF1788" s="77"/>
      <c r="BG1788" s="77"/>
      <c r="BH1788" s="77"/>
      <c r="BI1788" s="77"/>
    </row>
    <row r="1789" spans="1:61" x14ac:dyDescent="0.25">
      <c r="A1789" s="62" t="s">
        <v>731</v>
      </c>
      <c r="B1789" s="62" t="s">
        <v>731</v>
      </c>
      <c r="C1789" s="63"/>
      <c r="D1789" s="64"/>
      <c r="E1789" s="65"/>
      <c r="F1789" s="66"/>
      <c r="G1789" s="63"/>
      <c r="H1789" s="67"/>
      <c r="I1789" s="68"/>
      <c r="J1789" s="68"/>
      <c r="K1789" s="32"/>
      <c r="L1789" s="75">
        <v>1789</v>
      </c>
      <c r="M1789" s="75"/>
      <c r="N1789" s="70"/>
      <c r="O1789" s="77" t="s">
        <v>179</v>
      </c>
      <c r="P1789" s="79">
        <v>45112.936898148146</v>
      </c>
      <c r="Q1789" s="77" t="s">
        <v>2572</v>
      </c>
      <c r="R1789" s="77">
        <v>0</v>
      </c>
      <c r="S1789" s="77">
        <v>0</v>
      </c>
      <c r="T1789" s="77">
        <v>0</v>
      </c>
      <c r="U1789" s="77">
        <v>0</v>
      </c>
      <c r="V1789" s="77">
        <v>117</v>
      </c>
      <c r="W1789" s="81" t="s">
        <v>3906</v>
      </c>
      <c r="X1789" s="77"/>
      <c r="Y1789" s="77"/>
      <c r="Z1789" s="77"/>
      <c r="AA1789" s="77" t="s">
        <v>5577</v>
      </c>
      <c r="AB1789" s="77" t="s">
        <v>5794</v>
      </c>
      <c r="AC1789" s="81" t="s">
        <v>5805</v>
      </c>
      <c r="AD1789" s="77" t="s">
        <v>5850</v>
      </c>
      <c r="AE1789" s="83" t="str">
        <f>HYPERLINK("https://twitter.com/asap_news/status/1676719889912848384")</f>
        <v>https://twitter.com/asap_news/status/1676719889912848384</v>
      </c>
      <c r="AF1789" s="79">
        <v>45112.936898148146</v>
      </c>
      <c r="AG1789" s="85">
        <v>45112</v>
      </c>
      <c r="AH1789" s="81" t="s">
        <v>7420</v>
      </c>
      <c r="AI1789" s="77" t="b">
        <v>0</v>
      </c>
      <c r="AJ1789" s="77"/>
      <c r="AK1789" s="77"/>
      <c r="AL1789" s="77"/>
      <c r="AM1789" s="77"/>
      <c r="AN1789" s="77"/>
      <c r="AO1789" s="77"/>
      <c r="AP1789" s="77"/>
      <c r="AQ1789" s="77" t="s">
        <v>9080</v>
      </c>
      <c r="AR1789" s="77"/>
      <c r="AS1789" s="77"/>
      <c r="AT1789" s="77"/>
      <c r="AU1789" s="77"/>
      <c r="AV1789" s="83" t="str">
        <f>HYPERLINK("https://pbs.twimg.com/media/F0TnzB6X0AEHq0D.jpg")</f>
        <v>https://pbs.twimg.com/media/F0TnzB6X0AEHq0D.jpg</v>
      </c>
      <c r="AW1789" s="81" t="s">
        <v>10902</v>
      </c>
      <c r="AX1789" s="81" t="s">
        <v>10902</v>
      </c>
      <c r="AY1789" s="77"/>
      <c r="AZ1789" s="81" t="s">
        <v>11359</v>
      </c>
      <c r="BA1789" s="81" t="s">
        <v>11359</v>
      </c>
      <c r="BB1789" s="81" t="s">
        <v>11359</v>
      </c>
      <c r="BC1789" s="81" t="s">
        <v>10902</v>
      </c>
      <c r="BD1789" s="77">
        <v>250160102</v>
      </c>
      <c r="BE1789" s="77"/>
      <c r="BF1789" s="77"/>
      <c r="BG1789" s="77"/>
      <c r="BH1789" s="77"/>
      <c r="BI1789" s="77"/>
    </row>
    <row r="1790" spans="1:61" x14ac:dyDescent="0.25">
      <c r="A1790" s="62" t="s">
        <v>732</v>
      </c>
      <c r="B1790" s="62" t="s">
        <v>732</v>
      </c>
      <c r="C1790" s="63"/>
      <c r="D1790" s="64"/>
      <c r="E1790" s="65"/>
      <c r="F1790" s="66"/>
      <c r="G1790" s="63"/>
      <c r="H1790" s="67"/>
      <c r="I1790" s="68"/>
      <c r="J1790" s="68"/>
      <c r="K1790" s="32"/>
      <c r="L1790" s="75">
        <v>1790</v>
      </c>
      <c r="M1790" s="75"/>
      <c r="N1790" s="70"/>
      <c r="O1790" s="77" t="s">
        <v>179</v>
      </c>
      <c r="P1790" s="79">
        <v>45153.682442129626</v>
      </c>
      <c r="Q1790" s="77" t="s">
        <v>2573</v>
      </c>
      <c r="R1790" s="77">
        <v>0</v>
      </c>
      <c r="S1790" s="77">
        <v>0</v>
      </c>
      <c r="T1790" s="77">
        <v>0</v>
      </c>
      <c r="U1790" s="77">
        <v>0</v>
      </c>
      <c r="V1790" s="77">
        <v>24</v>
      </c>
      <c r="W1790" s="81" t="s">
        <v>3908</v>
      </c>
      <c r="X1790" s="77"/>
      <c r="Y1790" s="77"/>
      <c r="Z1790" s="77"/>
      <c r="AA1790" s="77" t="s">
        <v>5578</v>
      </c>
      <c r="AB1790" s="77" t="s">
        <v>5797</v>
      </c>
      <c r="AC1790" s="81" t="s">
        <v>5805</v>
      </c>
      <c r="AD1790" s="77" t="s">
        <v>5850</v>
      </c>
      <c r="AE1790" s="83" t="str">
        <f>HYPERLINK("https://twitter.com/pronavicolasa/status/1691485580499070981")</f>
        <v>https://twitter.com/pronavicolasa/status/1691485580499070981</v>
      </c>
      <c r="AF1790" s="79">
        <v>45153.682442129626</v>
      </c>
      <c r="AG1790" s="85">
        <v>45153</v>
      </c>
      <c r="AH1790" s="81" t="s">
        <v>7421</v>
      </c>
      <c r="AI1790" s="77" t="b">
        <v>0</v>
      </c>
      <c r="AJ1790" s="77"/>
      <c r="AK1790" s="77"/>
      <c r="AL1790" s="77"/>
      <c r="AM1790" s="77"/>
      <c r="AN1790" s="77"/>
      <c r="AO1790" s="77"/>
      <c r="AP1790" s="77"/>
      <c r="AQ1790" s="77" t="s">
        <v>9081</v>
      </c>
      <c r="AR1790" s="77"/>
      <c r="AS1790" s="77"/>
      <c r="AT1790" s="77"/>
      <c r="AU1790" s="77"/>
      <c r="AV1790" s="83" t="str">
        <f>HYPERLINK("https://pbs.twimg.com/media/F3ldGRbXsAU5S69.png")</f>
        <v>https://pbs.twimg.com/media/F3ldGRbXsAU5S69.png</v>
      </c>
      <c r="AW1790" s="81" t="s">
        <v>10903</v>
      </c>
      <c r="AX1790" s="81" t="s">
        <v>10903</v>
      </c>
      <c r="AY1790" s="77"/>
      <c r="AZ1790" s="81" t="s">
        <v>11359</v>
      </c>
      <c r="BA1790" s="81" t="s">
        <v>11359</v>
      </c>
      <c r="BB1790" s="81" t="s">
        <v>11359</v>
      </c>
      <c r="BC1790" s="81" t="s">
        <v>10903</v>
      </c>
      <c r="BD1790" s="77">
        <v>2426147671</v>
      </c>
      <c r="BE1790" s="77"/>
      <c r="BF1790" s="77"/>
      <c r="BG1790" s="77"/>
      <c r="BH1790" s="77"/>
      <c r="BI1790" s="77"/>
    </row>
    <row r="1791" spans="1:61" x14ac:dyDescent="0.25">
      <c r="A1791" s="62" t="s">
        <v>733</v>
      </c>
      <c r="B1791" s="62" t="s">
        <v>733</v>
      </c>
      <c r="C1791" s="63"/>
      <c r="D1791" s="64"/>
      <c r="E1791" s="65"/>
      <c r="F1791" s="66"/>
      <c r="G1791" s="63"/>
      <c r="H1791" s="67"/>
      <c r="I1791" s="68"/>
      <c r="J1791" s="68"/>
      <c r="K1791" s="32"/>
      <c r="L1791" s="75">
        <v>1791</v>
      </c>
      <c r="M1791" s="75"/>
      <c r="N1791" s="70"/>
      <c r="O1791" s="77" t="s">
        <v>179</v>
      </c>
      <c r="P1791" s="79">
        <v>44991.792881944442</v>
      </c>
      <c r="Q1791" s="77" t="s">
        <v>2574</v>
      </c>
      <c r="R1791" s="77">
        <v>0</v>
      </c>
      <c r="S1791" s="77">
        <v>0</v>
      </c>
      <c r="T1791" s="77">
        <v>0</v>
      </c>
      <c r="U1791" s="77">
        <v>0</v>
      </c>
      <c r="V1791" s="77">
        <v>22</v>
      </c>
      <c r="W1791" s="81" t="s">
        <v>3909</v>
      </c>
      <c r="X1791" s="83" t="str">
        <f>HYPERLINK("https://www.grupodimolk.com/trabaja-con-nosotros/")</f>
        <v>https://www.grupodimolk.com/trabaja-con-nosotros/</v>
      </c>
      <c r="Y1791" s="77" t="s">
        <v>4329</v>
      </c>
      <c r="Z1791" s="77"/>
      <c r="AA1791" s="77" t="s">
        <v>5579</v>
      </c>
      <c r="AB1791" s="77" t="s">
        <v>5798</v>
      </c>
      <c r="AC1791" s="81" t="s">
        <v>5812</v>
      </c>
      <c r="AD1791" s="77" t="s">
        <v>5850</v>
      </c>
      <c r="AE1791" s="83" t="str">
        <f>HYPERLINK("https://twitter.com/grupodimolk/status/1632818770057068545")</f>
        <v>https://twitter.com/grupodimolk/status/1632818770057068545</v>
      </c>
      <c r="AF1791" s="79">
        <v>44991.792881944442</v>
      </c>
      <c r="AG1791" s="85">
        <v>44991</v>
      </c>
      <c r="AH1791" s="81" t="s">
        <v>7422</v>
      </c>
      <c r="AI1791" s="77" t="b">
        <v>0</v>
      </c>
      <c r="AJ1791" s="77"/>
      <c r="AK1791" s="77"/>
      <c r="AL1791" s="77"/>
      <c r="AM1791" s="77"/>
      <c r="AN1791" s="77"/>
      <c r="AO1791" s="77"/>
      <c r="AP1791" s="77"/>
      <c r="AQ1791" s="77" t="s">
        <v>9082</v>
      </c>
      <c r="AR1791" s="77"/>
      <c r="AS1791" s="77"/>
      <c r="AT1791" s="77"/>
      <c r="AU1791" s="77"/>
      <c r="AV1791" s="83" t="str">
        <f>HYPERLINK("https://pbs.twimg.com/media/FqjwAX1XoAklHRG.jpg")</f>
        <v>https://pbs.twimg.com/media/FqjwAX1XoAklHRG.jpg</v>
      </c>
      <c r="AW1791" s="81" t="s">
        <v>10904</v>
      </c>
      <c r="AX1791" s="81" t="s">
        <v>10904</v>
      </c>
      <c r="AY1791" s="77"/>
      <c r="AZ1791" s="81" t="s">
        <v>11359</v>
      </c>
      <c r="BA1791" s="81" t="s">
        <v>11359</v>
      </c>
      <c r="BB1791" s="81" t="s">
        <v>11359</v>
      </c>
      <c r="BC1791" s="81" t="s">
        <v>10904</v>
      </c>
      <c r="BD1791" s="81" t="s">
        <v>11653</v>
      </c>
      <c r="BE1791" s="77"/>
      <c r="BF1791" s="77"/>
      <c r="BG1791" s="77"/>
      <c r="BH1791" s="77"/>
      <c r="BI1791" s="77"/>
    </row>
    <row r="1792" spans="1:61" x14ac:dyDescent="0.25">
      <c r="A1792" s="62" t="s">
        <v>734</v>
      </c>
      <c r="B1792" s="62" t="s">
        <v>734</v>
      </c>
      <c r="C1792" s="63"/>
      <c r="D1792" s="64"/>
      <c r="E1792" s="65"/>
      <c r="F1792" s="66"/>
      <c r="G1792" s="63"/>
      <c r="H1792" s="67"/>
      <c r="I1792" s="68"/>
      <c r="J1792" s="68"/>
      <c r="K1792" s="32"/>
      <c r="L1792" s="75">
        <v>1792</v>
      </c>
      <c r="M1792" s="75"/>
      <c r="N1792" s="70"/>
      <c r="O1792" s="77" t="s">
        <v>971</v>
      </c>
      <c r="P1792" s="79">
        <v>45135.522129629629</v>
      </c>
      <c r="Q1792" s="77" t="s">
        <v>2575</v>
      </c>
      <c r="R1792" s="77">
        <v>0</v>
      </c>
      <c r="S1792" s="77">
        <v>0</v>
      </c>
      <c r="T1792" s="77">
        <v>0</v>
      </c>
      <c r="U1792" s="77">
        <v>0</v>
      </c>
      <c r="V1792" s="77">
        <v>1</v>
      </c>
      <c r="W1792" s="81" t="s">
        <v>3019</v>
      </c>
      <c r="X1792" s="77"/>
      <c r="Y1792" s="77"/>
      <c r="Z1792" s="77"/>
      <c r="AA1792" s="77"/>
      <c r="AB1792" s="77"/>
      <c r="AC1792" s="81" t="s">
        <v>5844</v>
      </c>
      <c r="AD1792" s="77" t="s">
        <v>5851</v>
      </c>
      <c r="AE1792" s="83" t="str">
        <f>HYPERLINK("https://twitter.com/flouds_/status/1684904504368443392")</f>
        <v>https://twitter.com/flouds_/status/1684904504368443392</v>
      </c>
      <c r="AF1792" s="79">
        <v>45135.522129629629</v>
      </c>
      <c r="AG1792" s="85">
        <v>45135</v>
      </c>
      <c r="AH1792" s="81" t="s">
        <v>7423</v>
      </c>
      <c r="AI1792" s="77"/>
      <c r="AJ1792" s="77"/>
      <c r="AK1792" s="77"/>
      <c r="AL1792" s="77"/>
      <c r="AM1792" s="77"/>
      <c r="AN1792" s="77"/>
      <c r="AO1792" s="77"/>
      <c r="AP1792" s="77"/>
      <c r="AQ1792" s="77"/>
      <c r="AR1792" s="77"/>
      <c r="AS1792" s="77"/>
      <c r="AT1792" s="77"/>
      <c r="AU1792" s="77"/>
      <c r="AV1792" s="83" t="str">
        <f>HYPERLINK("https://pbs.twimg.com/profile_images/1653858971923406849/hWq2I06b_normal.jpg")</f>
        <v>https://pbs.twimg.com/profile_images/1653858971923406849/hWq2I06b_normal.jpg</v>
      </c>
      <c r="AW1792" s="81" t="s">
        <v>10905</v>
      </c>
      <c r="AX1792" s="81" t="s">
        <v>10905</v>
      </c>
      <c r="AY1792" s="77"/>
      <c r="AZ1792" s="81" t="s">
        <v>11359</v>
      </c>
      <c r="BA1792" s="81" t="s">
        <v>11398</v>
      </c>
      <c r="BB1792" s="81" t="s">
        <v>11359</v>
      </c>
      <c r="BC1792" s="81" t="s">
        <v>11398</v>
      </c>
      <c r="BD1792" s="81" t="s">
        <v>11654</v>
      </c>
      <c r="BE1792" s="77"/>
      <c r="BF1792" s="77"/>
      <c r="BG1792" s="77"/>
      <c r="BH1792" s="77"/>
      <c r="BI1792" s="77"/>
    </row>
    <row r="1793" spans="1:61" x14ac:dyDescent="0.25">
      <c r="A1793" s="62" t="s">
        <v>735</v>
      </c>
      <c r="B1793" s="62" t="s">
        <v>735</v>
      </c>
      <c r="C1793" s="63"/>
      <c r="D1793" s="64"/>
      <c r="E1793" s="65"/>
      <c r="F1793" s="66"/>
      <c r="G1793" s="63"/>
      <c r="H1793" s="67"/>
      <c r="I1793" s="68"/>
      <c r="J1793" s="68"/>
      <c r="K1793" s="32"/>
      <c r="L1793" s="75">
        <v>1793</v>
      </c>
      <c r="M1793" s="75"/>
      <c r="N1793" s="70"/>
      <c r="O1793" s="77" t="s">
        <v>179</v>
      </c>
      <c r="P1793" s="79">
        <v>44995.664641203701</v>
      </c>
      <c r="Q1793" s="77" t="s">
        <v>2576</v>
      </c>
      <c r="R1793" s="77">
        <v>0</v>
      </c>
      <c r="S1793" s="77">
        <v>0</v>
      </c>
      <c r="T1793" s="77">
        <v>0</v>
      </c>
      <c r="U1793" s="77">
        <v>0</v>
      </c>
      <c r="V1793" s="77">
        <v>51</v>
      </c>
      <c r="W1793" s="81" t="s">
        <v>3910</v>
      </c>
      <c r="X1793" s="83" t="str">
        <f>HYPERLINK("https://miscorpsa.com/empleos/1511/ver")</f>
        <v>https://miscorpsa.com/empleos/1511/ver</v>
      </c>
      <c r="Y1793" s="77" t="s">
        <v>4330</v>
      </c>
      <c r="Z1793" s="77"/>
      <c r="AA1793" s="77" t="s">
        <v>5580</v>
      </c>
      <c r="AB1793" s="77" t="s">
        <v>5794</v>
      </c>
      <c r="AC1793" s="81" t="s">
        <v>5805</v>
      </c>
      <c r="AD1793" s="77" t="s">
        <v>5850</v>
      </c>
      <c r="AE1793" s="83" t="str">
        <f>HYPERLINK("https://twitter.com/agenciamiscorp/status/1634221846395604994")</f>
        <v>https://twitter.com/agenciamiscorp/status/1634221846395604994</v>
      </c>
      <c r="AF1793" s="79">
        <v>44995.664641203701</v>
      </c>
      <c r="AG1793" s="85">
        <v>44995</v>
      </c>
      <c r="AH1793" s="81" t="s">
        <v>7424</v>
      </c>
      <c r="AI1793" s="77" t="b">
        <v>0</v>
      </c>
      <c r="AJ1793" s="77"/>
      <c r="AK1793" s="77"/>
      <c r="AL1793" s="77"/>
      <c r="AM1793" s="77"/>
      <c r="AN1793" s="77"/>
      <c r="AO1793" s="77"/>
      <c r="AP1793" s="77"/>
      <c r="AQ1793" s="77" t="s">
        <v>9083</v>
      </c>
      <c r="AR1793" s="77"/>
      <c r="AS1793" s="77"/>
      <c r="AT1793" s="77"/>
      <c r="AU1793" s="77"/>
      <c r="AV1793" s="83" t="str">
        <f>HYPERLINK("https://pbs.twimg.com/media/Fq3sGM2WwAAvefN.jpg")</f>
        <v>https://pbs.twimg.com/media/Fq3sGM2WwAAvefN.jpg</v>
      </c>
      <c r="AW1793" s="81" t="s">
        <v>10906</v>
      </c>
      <c r="AX1793" s="81" t="s">
        <v>10906</v>
      </c>
      <c r="AY1793" s="77"/>
      <c r="AZ1793" s="81" t="s">
        <v>11359</v>
      </c>
      <c r="BA1793" s="81" t="s">
        <v>11359</v>
      </c>
      <c r="BB1793" s="81" t="s">
        <v>11359</v>
      </c>
      <c r="BC1793" s="81" t="s">
        <v>10906</v>
      </c>
      <c r="BD1793" s="77">
        <v>599412370</v>
      </c>
      <c r="BE1793" s="77"/>
      <c r="BF1793" s="77"/>
      <c r="BG1793" s="77"/>
      <c r="BH1793" s="77"/>
      <c r="BI1793" s="77"/>
    </row>
    <row r="1794" spans="1:61" x14ac:dyDescent="0.25">
      <c r="A1794" s="62" t="s">
        <v>736</v>
      </c>
      <c r="B1794" s="62" t="s">
        <v>736</v>
      </c>
      <c r="C1794" s="63"/>
      <c r="D1794" s="64"/>
      <c r="E1794" s="65"/>
      <c r="F1794" s="66"/>
      <c r="G1794" s="63"/>
      <c r="H1794" s="67"/>
      <c r="I1794" s="68"/>
      <c r="J1794" s="68"/>
      <c r="K1794" s="32"/>
      <c r="L1794" s="75">
        <v>1794</v>
      </c>
      <c r="M1794" s="75"/>
      <c r="N1794" s="70"/>
      <c r="O1794" s="77" t="s">
        <v>179</v>
      </c>
      <c r="P1794" s="79">
        <v>45100.38013888889</v>
      </c>
      <c r="Q1794" s="77" t="s">
        <v>2577</v>
      </c>
      <c r="R1794" s="77">
        <v>0</v>
      </c>
      <c r="S1794" s="77">
        <v>1</v>
      </c>
      <c r="T1794" s="77">
        <v>0</v>
      </c>
      <c r="U1794" s="77">
        <v>0</v>
      </c>
      <c r="V1794" s="77">
        <v>45</v>
      </c>
      <c r="W1794" s="81" t="s">
        <v>3911</v>
      </c>
      <c r="X1794" s="83" t="str">
        <f>HYPERLINK("https://www.pisos.com/aldia/y-si-me-quedo-con-la-hipoteca-del-que-me-vende-la-casa-10-consejos-esenciales/1660183/")</f>
        <v>https://www.pisos.com/aldia/y-si-me-quedo-con-la-hipoteca-del-que-me-vende-la-casa-10-consejos-esenciales/1660183/</v>
      </c>
      <c r="Y1794" s="77" t="s">
        <v>4331</v>
      </c>
      <c r="Z1794" s="77"/>
      <c r="AA1794" s="77"/>
      <c r="AB1794" s="77"/>
      <c r="AC1794" s="81" t="s">
        <v>5812</v>
      </c>
      <c r="AD1794" s="77" t="s">
        <v>5850</v>
      </c>
      <c r="AE1794" s="83" t="str">
        <f>HYPERLINK("https://twitter.com/consejocoapi/status/1672169473032241153")</f>
        <v>https://twitter.com/consejocoapi/status/1672169473032241153</v>
      </c>
      <c r="AF1794" s="79">
        <v>45100.38013888889</v>
      </c>
      <c r="AG1794" s="85">
        <v>45100</v>
      </c>
      <c r="AH1794" s="81" t="s">
        <v>7425</v>
      </c>
      <c r="AI1794" s="77" t="b">
        <v>0</v>
      </c>
      <c r="AJ1794" s="77"/>
      <c r="AK1794" s="77"/>
      <c r="AL1794" s="77"/>
      <c r="AM1794" s="77"/>
      <c r="AN1794" s="77"/>
      <c r="AO1794" s="77"/>
      <c r="AP1794" s="77"/>
      <c r="AQ1794" s="77"/>
      <c r="AR1794" s="77"/>
      <c r="AS1794" s="77"/>
      <c r="AT1794" s="77"/>
      <c r="AU1794" s="77"/>
      <c r="AV1794" s="83" t="str">
        <f>HYPERLINK("https://pbs.twimg.com/profile_images/1268863480247070724/MDFoyVLW_normal.jpg")</f>
        <v>https://pbs.twimg.com/profile_images/1268863480247070724/MDFoyVLW_normal.jpg</v>
      </c>
      <c r="AW1794" s="81" t="s">
        <v>10907</v>
      </c>
      <c r="AX1794" s="81" t="s">
        <v>10907</v>
      </c>
      <c r="AY1794" s="77"/>
      <c r="AZ1794" s="81" t="s">
        <v>11359</v>
      </c>
      <c r="BA1794" s="81" t="s">
        <v>11359</v>
      </c>
      <c r="BB1794" s="81" t="s">
        <v>11359</v>
      </c>
      <c r="BC1794" s="81" t="s">
        <v>10907</v>
      </c>
      <c r="BD1794" s="77">
        <v>3239151573</v>
      </c>
      <c r="BE1794" s="77"/>
      <c r="BF1794" s="77"/>
      <c r="BG1794" s="77"/>
      <c r="BH1794" s="77"/>
      <c r="BI1794" s="77"/>
    </row>
    <row r="1795" spans="1:61" x14ac:dyDescent="0.25">
      <c r="A1795" s="62" t="s">
        <v>737</v>
      </c>
      <c r="B1795" s="62" t="s">
        <v>737</v>
      </c>
      <c r="C1795" s="63"/>
      <c r="D1795" s="64"/>
      <c r="E1795" s="65"/>
      <c r="F1795" s="66"/>
      <c r="G1795" s="63"/>
      <c r="H1795" s="67"/>
      <c r="I1795" s="68"/>
      <c r="J1795" s="68"/>
      <c r="K1795" s="32"/>
      <c r="L1795" s="75">
        <v>1795</v>
      </c>
      <c r="M1795" s="75"/>
      <c r="N1795" s="70"/>
      <c r="O1795" s="77" t="s">
        <v>179</v>
      </c>
      <c r="P1795" s="79">
        <v>45161.862754629627</v>
      </c>
      <c r="Q1795" s="77" t="s">
        <v>2578</v>
      </c>
      <c r="R1795" s="77">
        <v>0</v>
      </c>
      <c r="S1795" s="77">
        <v>0</v>
      </c>
      <c r="T1795" s="77">
        <v>0</v>
      </c>
      <c r="U1795" s="77">
        <v>0</v>
      </c>
      <c r="V1795" s="77">
        <v>64</v>
      </c>
      <c r="W1795" s="81" t="s">
        <v>3912</v>
      </c>
      <c r="X1795" s="77"/>
      <c r="Y1795" s="77"/>
      <c r="Z1795" s="77"/>
      <c r="AA1795" s="77" t="s">
        <v>5581</v>
      </c>
      <c r="AB1795" s="77" t="s">
        <v>5794</v>
      </c>
      <c r="AC1795" s="81" t="s">
        <v>5805</v>
      </c>
      <c r="AD1795" s="77" t="s">
        <v>5850</v>
      </c>
      <c r="AE1795" s="83" t="str">
        <f>HYPERLINK("https://twitter.com/cricocaro/status/1694450027203322318")</f>
        <v>https://twitter.com/cricocaro/status/1694450027203322318</v>
      </c>
      <c r="AF1795" s="79">
        <v>45161.862754629627</v>
      </c>
      <c r="AG1795" s="85">
        <v>45161</v>
      </c>
      <c r="AH1795" s="81" t="s">
        <v>7426</v>
      </c>
      <c r="AI1795" s="77" t="b">
        <v>0</v>
      </c>
      <c r="AJ1795" s="77"/>
      <c r="AK1795" s="77"/>
      <c r="AL1795" s="77"/>
      <c r="AM1795" s="77"/>
      <c r="AN1795" s="77"/>
      <c r="AO1795" s="77"/>
      <c r="AP1795" s="77"/>
      <c r="AQ1795" s="77" t="s">
        <v>9084</v>
      </c>
      <c r="AR1795" s="77"/>
      <c r="AS1795" s="77"/>
      <c r="AT1795" s="77"/>
      <c r="AU1795" s="77"/>
      <c r="AV1795" s="83" t="str">
        <f>HYPERLINK("https://pbs.twimg.com/media/F4PlNi9agAAhlIy.jpg")</f>
        <v>https://pbs.twimg.com/media/F4PlNi9agAAhlIy.jpg</v>
      </c>
      <c r="AW1795" s="81" t="s">
        <v>10908</v>
      </c>
      <c r="AX1795" s="81" t="s">
        <v>10908</v>
      </c>
      <c r="AY1795" s="77"/>
      <c r="AZ1795" s="81" t="s">
        <v>11359</v>
      </c>
      <c r="BA1795" s="81" t="s">
        <v>11359</v>
      </c>
      <c r="BB1795" s="81" t="s">
        <v>11359</v>
      </c>
      <c r="BC1795" s="81" t="s">
        <v>10908</v>
      </c>
      <c r="BD1795" s="77">
        <v>624863944</v>
      </c>
      <c r="BE1795" s="77"/>
      <c r="BF1795" s="77"/>
      <c r="BG1795" s="77"/>
      <c r="BH1795" s="77"/>
      <c r="BI1795" s="77"/>
    </row>
    <row r="1796" spans="1:61" x14ac:dyDescent="0.25">
      <c r="A1796" s="62" t="s">
        <v>738</v>
      </c>
      <c r="B1796" s="62" t="s">
        <v>952</v>
      </c>
      <c r="C1796" s="63"/>
      <c r="D1796" s="64"/>
      <c r="E1796" s="65"/>
      <c r="F1796" s="66"/>
      <c r="G1796" s="63"/>
      <c r="H1796" s="67"/>
      <c r="I1796" s="68"/>
      <c r="J1796" s="68"/>
      <c r="K1796" s="32"/>
      <c r="L1796" s="75">
        <v>1796</v>
      </c>
      <c r="M1796" s="75"/>
      <c r="N1796" s="70"/>
      <c r="O1796" s="77" t="s">
        <v>967</v>
      </c>
      <c r="P1796" s="79">
        <v>45086.986689814818</v>
      </c>
      <c r="Q1796" s="77" t="s">
        <v>2579</v>
      </c>
      <c r="R1796" s="77">
        <v>3</v>
      </c>
      <c r="S1796" s="77">
        <v>4</v>
      </c>
      <c r="T1796" s="77">
        <v>1</v>
      </c>
      <c r="U1796" s="77">
        <v>0</v>
      </c>
      <c r="V1796" s="77">
        <v>316</v>
      </c>
      <c r="W1796" s="81" t="s">
        <v>3913</v>
      </c>
      <c r="X1796" s="77"/>
      <c r="Y1796" s="77"/>
      <c r="Z1796" s="77" t="s">
        <v>952</v>
      </c>
      <c r="AA1796" s="77" t="s">
        <v>5582</v>
      </c>
      <c r="AB1796" s="77" t="s">
        <v>5795</v>
      </c>
      <c r="AC1796" s="81" t="s">
        <v>5805</v>
      </c>
      <c r="AD1796" s="77" t="s">
        <v>5851</v>
      </c>
      <c r="AE1796" s="83" t="str">
        <f>HYPERLINK("https://twitter.com/fernandovitolo/status/1667315851337367552")</f>
        <v>https://twitter.com/fernandovitolo/status/1667315851337367552</v>
      </c>
      <c r="AF1796" s="79">
        <v>45086.986689814818</v>
      </c>
      <c r="AG1796" s="85">
        <v>45086</v>
      </c>
      <c r="AH1796" s="81" t="s">
        <v>7427</v>
      </c>
      <c r="AI1796" s="77" t="b">
        <v>0</v>
      </c>
      <c r="AJ1796" s="77"/>
      <c r="AK1796" s="77"/>
      <c r="AL1796" s="77"/>
      <c r="AM1796" s="77"/>
      <c r="AN1796" s="77"/>
      <c r="AO1796" s="77"/>
      <c r="AP1796" s="77"/>
      <c r="AQ1796" s="77" t="s">
        <v>9085</v>
      </c>
      <c r="AR1796" s="77">
        <v>40874</v>
      </c>
      <c r="AS1796" s="77"/>
      <c r="AT1796" s="77"/>
      <c r="AU1796" s="77"/>
      <c r="AV1796" s="83" t="str">
        <f>HYPERLINK("https://pbs.twimg.com/ext_tw_video_thumb/1667315307457785858/pu/img/E_v56zhUzyf2-z8R.jpg")</f>
        <v>https://pbs.twimg.com/ext_tw_video_thumb/1667315307457785858/pu/img/E_v56zhUzyf2-z8R.jpg</v>
      </c>
      <c r="AW1796" s="81" t="s">
        <v>10909</v>
      </c>
      <c r="AX1796" s="81" t="s">
        <v>10909</v>
      </c>
      <c r="AY1796" s="77"/>
      <c r="AZ1796" s="81" t="s">
        <v>11359</v>
      </c>
      <c r="BA1796" s="81" t="s">
        <v>11359</v>
      </c>
      <c r="BB1796" s="81" t="s">
        <v>11359</v>
      </c>
      <c r="BC1796" s="81" t="s">
        <v>10909</v>
      </c>
      <c r="BD1796" s="77">
        <v>80182692</v>
      </c>
      <c r="BE1796" s="77"/>
      <c r="BF1796" s="77"/>
      <c r="BG1796" s="77"/>
      <c r="BH1796" s="77"/>
      <c r="BI1796" s="77"/>
    </row>
    <row r="1797" spans="1:61" x14ac:dyDescent="0.25">
      <c r="A1797" s="62" t="s">
        <v>738</v>
      </c>
      <c r="B1797" s="62" t="s">
        <v>738</v>
      </c>
      <c r="C1797" s="63"/>
      <c r="D1797" s="64"/>
      <c r="E1797" s="65"/>
      <c r="F1797" s="66"/>
      <c r="G1797" s="63"/>
      <c r="H1797" s="67"/>
      <c r="I1797" s="68"/>
      <c r="J1797" s="68"/>
      <c r="K1797" s="32"/>
      <c r="L1797" s="75">
        <v>1797</v>
      </c>
      <c r="M1797" s="75"/>
      <c r="N1797" s="70"/>
      <c r="O1797" s="77" t="s">
        <v>179</v>
      </c>
      <c r="P1797" s="79">
        <v>45005.045868055553</v>
      </c>
      <c r="Q1797" s="77" t="s">
        <v>2580</v>
      </c>
      <c r="R1797" s="77">
        <v>0</v>
      </c>
      <c r="S1797" s="77">
        <v>0</v>
      </c>
      <c r="T1797" s="77">
        <v>0</v>
      </c>
      <c r="U1797" s="77">
        <v>0</v>
      </c>
      <c r="V1797" s="77">
        <v>19</v>
      </c>
      <c r="W1797" s="81" t="s">
        <v>3914</v>
      </c>
      <c r="X1797" s="77"/>
      <c r="Y1797" s="77"/>
      <c r="Z1797" s="77"/>
      <c r="AA1797" s="77" t="s">
        <v>5583</v>
      </c>
      <c r="AB1797" s="77" t="s">
        <v>5795</v>
      </c>
      <c r="AC1797" s="81" t="s">
        <v>5805</v>
      </c>
      <c r="AD1797" s="77" t="s">
        <v>5851</v>
      </c>
      <c r="AE1797" s="83" t="str">
        <f>HYPERLINK("https://twitter.com/fernandovitolo/status/1637621488932073500")</f>
        <v>https://twitter.com/fernandovitolo/status/1637621488932073500</v>
      </c>
      <c r="AF1797" s="79">
        <v>45005.045868055553</v>
      </c>
      <c r="AG1797" s="85">
        <v>45005</v>
      </c>
      <c r="AH1797" s="81" t="s">
        <v>7428</v>
      </c>
      <c r="AI1797" s="77" t="b">
        <v>0</v>
      </c>
      <c r="AJ1797" s="77"/>
      <c r="AK1797" s="77"/>
      <c r="AL1797" s="77"/>
      <c r="AM1797" s="77"/>
      <c r="AN1797" s="77"/>
      <c r="AO1797" s="77"/>
      <c r="AP1797" s="77"/>
      <c r="AQ1797" s="77" t="s">
        <v>9086</v>
      </c>
      <c r="AR1797" s="77">
        <v>56222</v>
      </c>
      <c r="AS1797" s="77"/>
      <c r="AT1797" s="77"/>
      <c r="AU1797" s="77"/>
      <c r="AV1797" s="83" t="str">
        <f>HYPERLINK("https://pbs.twimg.com/ext_tw_video_thumb/1637621348695519238/pu/img/rhNGZk9U9BuyZZng.jpg")</f>
        <v>https://pbs.twimg.com/ext_tw_video_thumb/1637621348695519238/pu/img/rhNGZk9U9BuyZZng.jpg</v>
      </c>
      <c r="AW1797" s="81" t="s">
        <v>10910</v>
      </c>
      <c r="AX1797" s="81" t="s">
        <v>10910</v>
      </c>
      <c r="AY1797" s="77"/>
      <c r="AZ1797" s="81" t="s">
        <v>11359</v>
      </c>
      <c r="BA1797" s="81" t="s">
        <v>11359</v>
      </c>
      <c r="BB1797" s="81" t="s">
        <v>11359</v>
      </c>
      <c r="BC1797" s="81" t="s">
        <v>10910</v>
      </c>
      <c r="BD1797" s="77">
        <v>80182692</v>
      </c>
      <c r="BE1797" s="77"/>
      <c r="BF1797" s="77"/>
      <c r="BG1797" s="77"/>
      <c r="BH1797" s="77"/>
      <c r="BI1797" s="77"/>
    </row>
    <row r="1798" spans="1:61" x14ac:dyDescent="0.25">
      <c r="A1798" s="62" t="s">
        <v>738</v>
      </c>
      <c r="B1798" s="62" t="s">
        <v>738</v>
      </c>
      <c r="C1798" s="63"/>
      <c r="D1798" s="64"/>
      <c r="E1798" s="65"/>
      <c r="F1798" s="66"/>
      <c r="G1798" s="63"/>
      <c r="H1798" s="67"/>
      <c r="I1798" s="68"/>
      <c r="J1798" s="68"/>
      <c r="K1798" s="32"/>
      <c r="L1798" s="75">
        <v>1798</v>
      </c>
      <c r="M1798" s="75"/>
      <c r="N1798" s="70"/>
      <c r="O1798" s="77" t="s">
        <v>179</v>
      </c>
      <c r="P1798" s="79">
        <v>45041.87940972222</v>
      </c>
      <c r="Q1798" s="77" t="s">
        <v>2581</v>
      </c>
      <c r="R1798" s="77">
        <v>0</v>
      </c>
      <c r="S1798" s="77">
        <v>0</v>
      </c>
      <c r="T1798" s="77">
        <v>0</v>
      </c>
      <c r="U1798" s="77">
        <v>0</v>
      </c>
      <c r="V1798" s="77">
        <v>16</v>
      </c>
      <c r="W1798" s="81" t="s">
        <v>3915</v>
      </c>
      <c r="X1798" s="77"/>
      <c r="Y1798" s="77"/>
      <c r="Z1798" s="77"/>
      <c r="AA1798" s="77" t="s">
        <v>5584</v>
      </c>
      <c r="AB1798" s="77" t="s">
        <v>5795</v>
      </c>
      <c r="AC1798" s="81" t="s">
        <v>5805</v>
      </c>
      <c r="AD1798" s="77" t="s">
        <v>5851</v>
      </c>
      <c r="AE1798" s="83" t="str">
        <f>HYPERLINK("https://twitter.com/fernandovitolo/status/1650969520171806720")</f>
        <v>https://twitter.com/fernandovitolo/status/1650969520171806720</v>
      </c>
      <c r="AF1798" s="79">
        <v>45041.87940972222</v>
      </c>
      <c r="AG1798" s="85">
        <v>45041</v>
      </c>
      <c r="AH1798" s="81" t="s">
        <v>7429</v>
      </c>
      <c r="AI1798" s="77" t="b">
        <v>0</v>
      </c>
      <c r="AJ1798" s="77"/>
      <c r="AK1798" s="77"/>
      <c r="AL1798" s="77"/>
      <c r="AM1798" s="77"/>
      <c r="AN1798" s="77"/>
      <c r="AO1798" s="77"/>
      <c r="AP1798" s="77"/>
      <c r="AQ1798" s="77" t="s">
        <v>9087</v>
      </c>
      <c r="AR1798" s="77">
        <v>55930</v>
      </c>
      <c r="AS1798" s="77"/>
      <c r="AT1798" s="77"/>
      <c r="AU1798" s="77"/>
      <c r="AV1798" s="83" t="str">
        <f>HYPERLINK("https://pbs.twimg.com/ext_tw_video_thumb/1650969299966623746/pu/img/UlAfbxAPKy02rqmx.jpg")</f>
        <v>https://pbs.twimg.com/ext_tw_video_thumb/1650969299966623746/pu/img/UlAfbxAPKy02rqmx.jpg</v>
      </c>
      <c r="AW1798" s="81" t="s">
        <v>10911</v>
      </c>
      <c r="AX1798" s="81" t="s">
        <v>10911</v>
      </c>
      <c r="AY1798" s="77"/>
      <c r="AZ1798" s="81" t="s">
        <v>11359</v>
      </c>
      <c r="BA1798" s="81" t="s">
        <v>11359</v>
      </c>
      <c r="BB1798" s="81" t="s">
        <v>11359</v>
      </c>
      <c r="BC1798" s="81" t="s">
        <v>10911</v>
      </c>
      <c r="BD1798" s="77">
        <v>80182692</v>
      </c>
      <c r="BE1798" s="77"/>
      <c r="BF1798" s="77"/>
      <c r="BG1798" s="77"/>
      <c r="BH1798" s="77"/>
      <c r="BI1798" s="77"/>
    </row>
    <row r="1799" spans="1:61" x14ac:dyDescent="0.25">
      <c r="A1799" s="62" t="s">
        <v>738</v>
      </c>
      <c r="B1799" s="62" t="s">
        <v>738</v>
      </c>
      <c r="C1799" s="63"/>
      <c r="D1799" s="64"/>
      <c r="E1799" s="65"/>
      <c r="F1799" s="66"/>
      <c r="G1799" s="63"/>
      <c r="H1799" s="67"/>
      <c r="I1799" s="68"/>
      <c r="J1799" s="68"/>
      <c r="K1799" s="32"/>
      <c r="L1799" s="75">
        <v>1799</v>
      </c>
      <c r="M1799" s="75"/>
      <c r="N1799" s="70"/>
      <c r="O1799" s="77" t="s">
        <v>179</v>
      </c>
      <c r="P1799" s="79">
        <v>45072.927268518521</v>
      </c>
      <c r="Q1799" s="77" t="s">
        <v>2582</v>
      </c>
      <c r="R1799" s="77">
        <v>0</v>
      </c>
      <c r="S1799" s="77">
        <v>0</v>
      </c>
      <c r="T1799" s="77">
        <v>0</v>
      </c>
      <c r="U1799" s="77">
        <v>0</v>
      </c>
      <c r="V1799" s="77">
        <v>18</v>
      </c>
      <c r="W1799" s="81" t="s">
        <v>3916</v>
      </c>
      <c r="X1799" s="77"/>
      <c r="Y1799" s="77"/>
      <c r="Z1799" s="77"/>
      <c r="AA1799" s="77" t="s">
        <v>5585</v>
      </c>
      <c r="AB1799" s="77" t="s">
        <v>5795</v>
      </c>
      <c r="AC1799" s="81" t="s">
        <v>5805</v>
      </c>
      <c r="AD1799" s="77" t="s">
        <v>5851</v>
      </c>
      <c r="AE1799" s="83" t="str">
        <f>HYPERLINK("https://twitter.com/fernandovitolo/status/1662220886634815489")</f>
        <v>https://twitter.com/fernandovitolo/status/1662220886634815489</v>
      </c>
      <c r="AF1799" s="79">
        <v>45072.927268518521</v>
      </c>
      <c r="AG1799" s="85">
        <v>45072</v>
      </c>
      <c r="AH1799" s="81" t="s">
        <v>7430</v>
      </c>
      <c r="AI1799" s="77" t="b">
        <v>0</v>
      </c>
      <c r="AJ1799" s="77"/>
      <c r="AK1799" s="77"/>
      <c r="AL1799" s="77"/>
      <c r="AM1799" s="77"/>
      <c r="AN1799" s="77"/>
      <c r="AO1799" s="77"/>
      <c r="AP1799" s="77"/>
      <c r="AQ1799" s="77" t="s">
        <v>9088</v>
      </c>
      <c r="AR1799" s="77">
        <v>43293</v>
      </c>
      <c r="AS1799" s="77"/>
      <c r="AT1799" s="77"/>
      <c r="AU1799" s="77"/>
      <c r="AV1799" s="83" t="str">
        <f>HYPERLINK("https://pbs.twimg.com/ext_tw_video_thumb/1662220794670219265/pu/img/6TFvAqtY4HrzZOx3.jpg")</f>
        <v>https://pbs.twimg.com/ext_tw_video_thumb/1662220794670219265/pu/img/6TFvAqtY4HrzZOx3.jpg</v>
      </c>
      <c r="AW1799" s="81" t="s">
        <v>10912</v>
      </c>
      <c r="AX1799" s="81" t="s">
        <v>10912</v>
      </c>
      <c r="AY1799" s="77"/>
      <c r="AZ1799" s="81" t="s">
        <v>11359</v>
      </c>
      <c r="BA1799" s="81" t="s">
        <v>11359</v>
      </c>
      <c r="BB1799" s="81" t="s">
        <v>11359</v>
      </c>
      <c r="BC1799" s="81" t="s">
        <v>10912</v>
      </c>
      <c r="BD1799" s="77">
        <v>80182692</v>
      </c>
      <c r="BE1799" s="77"/>
      <c r="BF1799" s="77"/>
      <c r="BG1799" s="77"/>
      <c r="BH1799" s="77"/>
      <c r="BI1799" s="77"/>
    </row>
    <row r="1800" spans="1:61" x14ac:dyDescent="0.25">
      <c r="A1800" s="62" t="s">
        <v>738</v>
      </c>
      <c r="B1800" s="62" t="s">
        <v>738</v>
      </c>
      <c r="C1800" s="63"/>
      <c r="D1800" s="64"/>
      <c r="E1800" s="65"/>
      <c r="F1800" s="66"/>
      <c r="G1800" s="63"/>
      <c r="H1800" s="67"/>
      <c r="I1800" s="68"/>
      <c r="J1800" s="68"/>
      <c r="K1800" s="32"/>
      <c r="L1800" s="75">
        <v>1800</v>
      </c>
      <c r="M1800" s="75"/>
      <c r="N1800" s="70"/>
      <c r="O1800" s="77" t="s">
        <v>179</v>
      </c>
      <c r="P1800" s="79">
        <v>45084.935335648152</v>
      </c>
      <c r="Q1800" s="77" t="s">
        <v>2583</v>
      </c>
      <c r="R1800" s="77">
        <v>0</v>
      </c>
      <c r="S1800" s="77">
        <v>1</v>
      </c>
      <c r="T1800" s="77">
        <v>0</v>
      </c>
      <c r="U1800" s="77">
        <v>0</v>
      </c>
      <c r="V1800" s="77">
        <v>22</v>
      </c>
      <c r="W1800" s="81" t="s">
        <v>3917</v>
      </c>
      <c r="X1800" s="77"/>
      <c r="Y1800" s="77"/>
      <c r="Z1800" s="77"/>
      <c r="AA1800" s="77" t="s">
        <v>5586</v>
      </c>
      <c r="AB1800" s="77" t="s">
        <v>5795</v>
      </c>
      <c r="AC1800" s="81" t="s">
        <v>5805</v>
      </c>
      <c r="AD1800" s="77" t="s">
        <v>5851</v>
      </c>
      <c r="AE1800" s="83" t="str">
        <f>HYPERLINK("https://twitter.com/fernandovitolo/status/1666572462207782912")</f>
        <v>https://twitter.com/fernandovitolo/status/1666572462207782912</v>
      </c>
      <c r="AF1800" s="79">
        <v>45084.935335648152</v>
      </c>
      <c r="AG1800" s="85">
        <v>45084</v>
      </c>
      <c r="AH1800" s="81" t="s">
        <v>7431</v>
      </c>
      <c r="AI1800" s="77" t="b">
        <v>0</v>
      </c>
      <c r="AJ1800" s="77"/>
      <c r="AK1800" s="77"/>
      <c r="AL1800" s="77"/>
      <c r="AM1800" s="77"/>
      <c r="AN1800" s="77"/>
      <c r="AO1800" s="77"/>
      <c r="AP1800" s="77"/>
      <c r="AQ1800" s="77" t="s">
        <v>9089</v>
      </c>
      <c r="AR1800" s="77">
        <v>60026</v>
      </c>
      <c r="AS1800" s="77"/>
      <c r="AT1800" s="77"/>
      <c r="AU1800" s="77"/>
      <c r="AV1800" s="83" t="str">
        <f>HYPERLINK("https://pbs.twimg.com/ext_tw_video_thumb/1666572331043389440/pu/img/9RDhsjFZTN3aQCEw.jpg")</f>
        <v>https://pbs.twimg.com/ext_tw_video_thumb/1666572331043389440/pu/img/9RDhsjFZTN3aQCEw.jpg</v>
      </c>
      <c r="AW1800" s="81" t="s">
        <v>10913</v>
      </c>
      <c r="AX1800" s="81" t="s">
        <v>10913</v>
      </c>
      <c r="AY1800" s="77"/>
      <c r="AZ1800" s="81" t="s">
        <v>11359</v>
      </c>
      <c r="BA1800" s="81" t="s">
        <v>11359</v>
      </c>
      <c r="BB1800" s="81" t="s">
        <v>11359</v>
      </c>
      <c r="BC1800" s="81" t="s">
        <v>10913</v>
      </c>
      <c r="BD1800" s="77">
        <v>80182692</v>
      </c>
      <c r="BE1800" s="77"/>
      <c r="BF1800" s="77"/>
      <c r="BG1800" s="77"/>
      <c r="BH1800" s="77"/>
      <c r="BI1800" s="77"/>
    </row>
    <row r="1801" spans="1:61" x14ac:dyDescent="0.25">
      <c r="A1801" s="62" t="s">
        <v>739</v>
      </c>
      <c r="B1801" s="62" t="s">
        <v>739</v>
      </c>
      <c r="C1801" s="63"/>
      <c r="D1801" s="64"/>
      <c r="E1801" s="65"/>
      <c r="F1801" s="66"/>
      <c r="G1801" s="63"/>
      <c r="H1801" s="67"/>
      <c r="I1801" s="68"/>
      <c r="J1801" s="68"/>
      <c r="K1801" s="32"/>
      <c r="L1801" s="75">
        <v>1801</v>
      </c>
      <c r="M1801" s="75"/>
      <c r="N1801" s="70"/>
      <c r="O1801" s="77" t="s">
        <v>179</v>
      </c>
      <c r="P1801" s="79">
        <v>45143.021516203706</v>
      </c>
      <c r="Q1801" s="77" t="s">
        <v>2584</v>
      </c>
      <c r="R1801" s="77">
        <v>0</v>
      </c>
      <c r="S1801" s="77">
        <v>0</v>
      </c>
      <c r="T1801" s="77">
        <v>0</v>
      </c>
      <c r="U1801" s="77">
        <v>0</v>
      </c>
      <c r="V1801" s="77">
        <v>5</v>
      </c>
      <c r="W1801" s="81" t="s">
        <v>3918</v>
      </c>
      <c r="X1801" s="77"/>
      <c r="Y1801" s="77"/>
      <c r="Z1801" s="77"/>
      <c r="AA1801" s="77" t="s">
        <v>5587</v>
      </c>
      <c r="AB1801" s="77" t="s">
        <v>5795</v>
      </c>
      <c r="AC1801" s="81" t="s">
        <v>5812</v>
      </c>
      <c r="AD1801" s="77" t="s">
        <v>5850</v>
      </c>
      <c r="AE1801" s="83" t="str">
        <f>HYPERLINK("https://twitter.com/ferrendonx/status/1687622191708246016")</f>
        <v>https://twitter.com/ferrendonx/status/1687622191708246016</v>
      </c>
      <c r="AF1801" s="79">
        <v>45143.021516203706</v>
      </c>
      <c r="AG1801" s="85">
        <v>45143</v>
      </c>
      <c r="AH1801" s="81" t="s">
        <v>7432</v>
      </c>
      <c r="AI1801" s="77" t="b">
        <v>0</v>
      </c>
      <c r="AJ1801" s="77"/>
      <c r="AK1801" s="77"/>
      <c r="AL1801" s="77"/>
      <c r="AM1801" s="77"/>
      <c r="AN1801" s="77"/>
      <c r="AO1801" s="77"/>
      <c r="AP1801" s="77"/>
      <c r="AQ1801" s="77" t="s">
        <v>9090</v>
      </c>
      <c r="AR1801" s="77">
        <v>38125</v>
      </c>
      <c r="AS1801" s="77"/>
      <c r="AT1801" s="77"/>
      <c r="AU1801" s="77"/>
      <c r="AV1801" s="83" t="str">
        <f>HYPERLINK("https://pbs.twimg.com/ext_tw_video_thumb/1687622074074869760/pu/img/EIkpPZd7P5R60T04.jpg")</f>
        <v>https://pbs.twimg.com/ext_tw_video_thumb/1687622074074869760/pu/img/EIkpPZd7P5R60T04.jpg</v>
      </c>
      <c r="AW1801" s="81" t="s">
        <v>10914</v>
      </c>
      <c r="AX1801" s="81" t="s">
        <v>10914</v>
      </c>
      <c r="AY1801" s="77"/>
      <c r="AZ1801" s="81" t="s">
        <v>11359</v>
      </c>
      <c r="BA1801" s="81" t="s">
        <v>11359</v>
      </c>
      <c r="BB1801" s="81" t="s">
        <v>11359</v>
      </c>
      <c r="BC1801" s="81" t="s">
        <v>10914</v>
      </c>
      <c r="BD1801" s="81" t="s">
        <v>11655</v>
      </c>
      <c r="BE1801" s="77"/>
      <c r="BF1801" s="77"/>
      <c r="BG1801" s="77"/>
      <c r="BH1801" s="77"/>
      <c r="BI1801" s="77"/>
    </row>
    <row r="1802" spans="1:61" x14ac:dyDescent="0.25">
      <c r="A1802" s="62" t="s">
        <v>739</v>
      </c>
      <c r="B1802" s="62" t="s">
        <v>739</v>
      </c>
      <c r="C1802" s="63"/>
      <c r="D1802" s="64"/>
      <c r="E1802" s="65"/>
      <c r="F1802" s="66"/>
      <c r="G1802" s="63"/>
      <c r="H1802" s="67"/>
      <c r="I1802" s="68"/>
      <c r="J1802" s="68"/>
      <c r="K1802" s="32"/>
      <c r="L1802" s="75">
        <v>1802</v>
      </c>
      <c r="M1802" s="75"/>
      <c r="N1802" s="70"/>
      <c r="O1802" s="77" t="s">
        <v>179</v>
      </c>
      <c r="P1802" s="79">
        <v>45101.766261574077</v>
      </c>
      <c r="Q1802" s="77" t="s">
        <v>2585</v>
      </c>
      <c r="R1802" s="77">
        <v>0</v>
      </c>
      <c r="S1802" s="77">
        <v>0</v>
      </c>
      <c r="T1802" s="77">
        <v>0</v>
      </c>
      <c r="U1802" s="77">
        <v>0</v>
      </c>
      <c r="V1802" s="77">
        <v>30</v>
      </c>
      <c r="W1802" s="81" t="s">
        <v>3919</v>
      </c>
      <c r="X1802" s="77"/>
      <c r="Y1802" s="77"/>
      <c r="Z1802" s="77"/>
      <c r="AA1802" s="77" t="s">
        <v>5588</v>
      </c>
      <c r="AB1802" s="77" t="s">
        <v>5795</v>
      </c>
      <c r="AC1802" s="81" t="s">
        <v>5812</v>
      </c>
      <c r="AD1802" s="77" t="s">
        <v>5850</v>
      </c>
      <c r="AE1802" s="83" t="str">
        <f>HYPERLINK("https://twitter.com/ferrendonx/status/1672671785823752196")</f>
        <v>https://twitter.com/ferrendonx/status/1672671785823752196</v>
      </c>
      <c r="AF1802" s="79">
        <v>45101.766261574077</v>
      </c>
      <c r="AG1802" s="85">
        <v>45101</v>
      </c>
      <c r="AH1802" s="81" t="s">
        <v>7433</v>
      </c>
      <c r="AI1802" s="77" t="b">
        <v>0</v>
      </c>
      <c r="AJ1802" s="77"/>
      <c r="AK1802" s="77"/>
      <c r="AL1802" s="77"/>
      <c r="AM1802" s="77"/>
      <c r="AN1802" s="77"/>
      <c r="AO1802" s="77"/>
      <c r="AP1802" s="77"/>
      <c r="AQ1802" s="77" t="s">
        <v>9091</v>
      </c>
      <c r="AR1802" s="77">
        <v>58416</v>
      </c>
      <c r="AS1802" s="77"/>
      <c r="AT1802" s="77"/>
      <c r="AU1802" s="77"/>
      <c r="AV1802" s="83" t="str">
        <f>HYPERLINK("https://pbs.twimg.com/ext_tw_video_thumb/1672671737677316098/pu/img/fs2coaT6FGC8ER89.jpg")</f>
        <v>https://pbs.twimg.com/ext_tw_video_thumb/1672671737677316098/pu/img/fs2coaT6FGC8ER89.jpg</v>
      </c>
      <c r="AW1802" s="81" t="s">
        <v>10915</v>
      </c>
      <c r="AX1802" s="81" t="s">
        <v>10915</v>
      </c>
      <c r="AY1802" s="77"/>
      <c r="AZ1802" s="81" t="s">
        <v>11359</v>
      </c>
      <c r="BA1802" s="81" t="s">
        <v>11359</v>
      </c>
      <c r="BB1802" s="81" t="s">
        <v>11359</v>
      </c>
      <c r="BC1802" s="81" t="s">
        <v>10915</v>
      </c>
      <c r="BD1802" s="81" t="s">
        <v>11655</v>
      </c>
      <c r="BE1802" s="77"/>
      <c r="BF1802" s="77"/>
      <c r="BG1802" s="77"/>
      <c r="BH1802" s="77"/>
      <c r="BI1802" s="77"/>
    </row>
    <row r="1803" spans="1:61" x14ac:dyDescent="0.25">
      <c r="A1803" s="62" t="s">
        <v>740</v>
      </c>
      <c r="B1803" s="62" t="s">
        <v>740</v>
      </c>
      <c r="C1803" s="63"/>
      <c r="D1803" s="64"/>
      <c r="E1803" s="65"/>
      <c r="F1803" s="66"/>
      <c r="G1803" s="63"/>
      <c r="H1803" s="67"/>
      <c r="I1803" s="68"/>
      <c r="J1803" s="68"/>
      <c r="K1803" s="32"/>
      <c r="L1803" s="75">
        <v>1803</v>
      </c>
      <c r="M1803" s="75"/>
      <c r="N1803" s="70"/>
      <c r="O1803" s="77" t="s">
        <v>971</v>
      </c>
      <c r="P1803" s="79">
        <v>45035.726770833331</v>
      </c>
      <c r="Q1803" s="77" t="s">
        <v>2586</v>
      </c>
      <c r="R1803" s="77">
        <v>2</v>
      </c>
      <c r="S1803" s="77">
        <v>0</v>
      </c>
      <c r="T1803" s="77">
        <v>0</v>
      </c>
      <c r="U1803" s="77">
        <v>0</v>
      </c>
      <c r="V1803" s="77">
        <v>21</v>
      </c>
      <c r="W1803" s="81" t="s">
        <v>3920</v>
      </c>
      <c r="X1803" s="77"/>
      <c r="Y1803" s="77"/>
      <c r="Z1803" s="77"/>
      <c r="AA1803" s="77" t="s">
        <v>5589</v>
      </c>
      <c r="AB1803" s="77" t="s">
        <v>5796</v>
      </c>
      <c r="AC1803" s="81" t="s">
        <v>5801</v>
      </c>
      <c r="AD1803" s="77" t="s">
        <v>5850</v>
      </c>
      <c r="AE1803" s="83" t="str">
        <f>HYPERLINK("https://twitter.com/loquetemotiva/status/1648739876047552526")</f>
        <v>https://twitter.com/loquetemotiva/status/1648739876047552526</v>
      </c>
      <c r="AF1803" s="79">
        <v>45035.726770833331</v>
      </c>
      <c r="AG1803" s="85">
        <v>45035</v>
      </c>
      <c r="AH1803" s="81" t="s">
        <v>7434</v>
      </c>
      <c r="AI1803" s="77" t="b">
        <v>0</v>
      </c>
      <c r="AJ1803" s="77" t="s">
        <v>7754</v>
      </c>
      <c r="AK1803" s="77" t="s">
        <v>7768</v>
      </c>
      <c r="AL1803" s="77" t="s">
        <v>7777</v>
      </c>
      <c r="AM1803" s="77" t="s">
        <v>7808</v>
      </c>
      <c r="AN1803" s="77" t="s">
        <v>7844</v>
      </c>
      <c r="AO1803" s="77" t="s">
        <v>7880</v>
      </c>
      <c r="AP1803" s="77" t="s">
        <v>7889</v>
      </c>
      <c r="AQ1803" s="77" t="s">
        <v>9092</v>
      </c>
      <c r="AR1803" s="77"/>
      <c r="AS1803" s="77"/>
      <c r="AT1803" s="77"/>
      <c r="AU1803" s="77"/>
      <c r="AV1803" s="83" t="str">
        <f>HYPERLINK("https://pbs.twimg.com/tweet_video_thumb/FuGAK34WAAAvqS8.jpg")</f>
        <v>https://pbs.twimg.com/tweet_video_thumb/FuGAK34WAAAvqS8.jpg</v>
      </c>
      <c r="AW1803" s="81" t="s">
        <v>10916</v>
      </c>
      <c r="AX1803" s="81" t="s">
        <v>10916</v>
      </c>
      <c r="AY1803" s="77"/>
      <c r="AZ1803" s="81" t="s">
        <v>11359</v>
      </c>
      <c r="BA1803" s="81" t="s">
        <v>11399</v>
      </c>
      <c r="BB1803" s="81" t="s">
        <v>11359</v>
      </c>
      <c r="BC1803" s="81" t="s">
        <v>11399</v>
      </c>
      <c r="BD1803" s="81" t="s">
        <v>11656</v>
      </c>
      <c r="BE1803" s="77"/>
      <c r="BF1803" s="77"/>
      <c r="BG1803" s="77"/>
      <c r="BH1803" s="77"/>
      <c r="BI1803" s="77"/>
    </row>
    <row r="1804" spans="1:61" x14ac:dyDescent="0.25">
      <c r="A1804" s="62" t="s">
        <v>741</v>
      </c>
      <c r="B1804" s="62" t="s">
        <v>741</v>
      </c>
      <c r="C1804" s="63"/>
      <c r="D1804" s="64"/>
      <c r="E1804" s="65"/>
      <c r="F1804" s="66"/>
      <c r="G1804" s="63"/>
      <c r="H1804" s="67"/>
      <c r="I1804" s="68"/>
      <c r="J1804" s="68"/>
      <c r="K1804" s="32"/>
      <c r="L1804" s="75">
        <v>1804</v>
      </c>
      <c r="M1804" s="75"/>
      <c r="N1804" s="70"/>
      <c r="O1804" s="77" t="s">
        <v>179</v>
      </c>
      <c r="P1804" s="79">
        <v>45161.118287037039</v>
      </c>
      <c r="Q1804" s="77" t="s">
        <v>2587</v>
      </c>
      <c r="R1804" s="77">
        <v>0</v>
      </c>
      <c r="S1804" s="77">
        <v>0</v>
      </c>
      <c r="T1804" s="77">
        <v>0</v>
      </c>
      <c r="U1804" s="77">
        <v>0</v>
      </c>
      <c r="V1804" s="77">
        <v>42</v>
      </c>
      <c r="W1804" s="81" t="s">
        <v>3921</v>
      </c>
      <c r="X1804" s="83" t="str">
        <f>HYPERLINK("https://www.abranoticias.com/2023/08/23/en-samaniego-mataron-a-reconocido-vendedor-de-morocho/")</f>
        <v>https://www.abranoticias.com/2023/08/23/en-samaniego-mataron-a-reconocido-vendedor-de-morocho/</v>
      </c>
      <c r="Y1804" s="77" t="s">
        <v>4332</v>
      </c>
      <c r="Z1804" s="77"/>
      <c r="AA1804" s="77"/>
      <c r="AB1804" s="77"/>
      <c r="AC1804" s="81" t="s">
        <v>5805</v>
      </c>
      <c r="AD1804" s="77" t="s">
        <v>5850</v>
      </c>
      <c r="AE1804" s="83" t="str">
        <f>HYPERLINK("https://twitter.com/abranoticias/status/1694180240849805574")</f>
        <v>https://twitter.com/abranoticias/status/1694180240849805574</v>
      </c>
      <c r="AF1804" s="79">
        <v>45161.118287037039</v>
      </c>
      <c r="AG1804" s="85">
        <v>45161</v>
      </c>
      <c r="AH1804" s="81" t="s">
        <v>7435</v>
      </c>
      <c r="AI1804" s="77" t="b">
        <v>0</v>
      </c>
      <c r="AJ1804" s="77"/>
      <c r="AK1804" s="77"/>
      <c r="AL1804" s="77"/>
      <c r="AM1804" s="77"/>
      <c r="AN1804" s="77"/>
      <c r="AO1804" s="77"/>
      <c r="AP1804" s="77"/>
      <c r="AQ1804" s="77"/>
      <c r="AR1804" s="77"/>
      <c r="AS1804" s="77"/>
      <c r="AT1804" s="77"/>
      <c r="AU1804" s="77"/>
      <c r="AV1804" s="83" t="str">
        <f>HYPERLINK("https://pbs.twimg.com/profile_images/853982647739199489/qPyAr9oO_normal.jpg")</f>
        <v>https://pbs.twimg.com/profile_images/853982647739199489/qPyAr9oO_normal.jpg</v>
      </c>
      <c r="AW1804" s="81" t="s">
        <v>10917</v>
      </c>
      <c r="AX1804" s="81" t="s">
        <v>10917</v>
      </c>
      <c r="AY1804" s="77"/>
      <c r="AZ1804" s="81" t="s">
        <v>11359</v>
      </c>
      <c r="BA1804" s="81" t="s">
        <v>11359</v>
      </c>
      <c r="BB1804" s="81" t="s">
        <v>11359</v>
      </c>
      <c r="BC1804" s="81" t="s">
        <v>10917</v>
      </c>
      <c r="BD1804" s="77">
        <v>267190341</v>
      </c>
      <c r="BE1804" s="77"/>
      <c r="BF1804" s="77"/>
      <c r="BG1804" s="77"/>
      <c r="BH1804" s="77"/>
      <c r="BI1804" s="77"/>
    </row>
    <row r="1805" spans="1:61" x14ac:dyDescent="0.25">
      <c r="A1805" s="62" t="s">
        <v>742</v>
      </c>
      <c r="B1805" s="62" t="s">
        <v>742</v>
      </c>
      <c r="C1805" s="63"/>
      <c r="D1805" s="64"/>
      <c r="E1805" s="65"/>
      <c r="F1805" s="66"/>
      <c r="G1805" s="63"/>
      <c r="H1805" s="67"/>
      <c r="I1805" s="68"/>
      <c r="J1805" s="68"/>
      <c r="K1805" s="32"/>
      <c r="L1805" s="75">
        <v>1805</v>
      </c>
      <c r="M1805" s="75"/>
      <c r="N1805" s="70"/>
      <c r="O1805" s="77" t="s">
        <v>179</v>
      </c>
      <c r="P1805" s="79">
        <v>45122.489606481482</v>
      </c>
      <c r="Q1805" s="77" t="s">
        <v>2588</v>
      </c>
      <c r="R1805" s="77">
        <v>0</v>
      </c>
      <c r="S1805" s="77">
        <v>1</v>
      </c>
      <c r="T1805" s="77">
        <v>0</v>
      </c>
      <c r="U1805" s="77">
        <v>0</v>
      </c>
      <c r="V1805" s="77">
        <v>33</v>
      </c>
      <c r="W1805" s="81" t="s">
        <v>3922</v>
      </c>
      <c r="X1805" s="77"/>
      <c r="Y1805" s="77"/>
      <c r="Z1805" s="77"/>
      <c r="AA1805" s="77"/>
      <c r="AB1805" s="77"/>
      <c r="AC1805" s="81" t="s">
        <v>5801</v>
      </c>
      <c r="AD1805" s="77" t="s">
        <v>5850</v>
      </c>
      <c r="AE1805" s="83" t="str">
        <f>HYPERLINK("https://twitter.com/contenidos_y/status/1680181675764973571")</f>
        <v>https://twitter.com/contenidos_y/status/1680181675764973571</v>
      </c>
      <c r="AF1805" s="79">
        <v>45122.489606481482</v>
      </c>
      <c r="AG1805" s="85">
        <v>45122</v>
      </c>
      <c r="AH1805" s="81" t="s">
        <v>7436</v>
      </c>
      <c r="AI1805" s="77"/>
      <c r="AJ1805" s="77"/>
      <c r="AK1805" s="77"/>
      <c r="AL1805" s="77"/>
      <c r="AM1805" s="77"/>
      <c r="AN1805" s="77"/>
      <c r="AO1805" s="77"/>
      <c r="AP1805" s="77"/>
      <c r="AQ1805" s="77"/>
      <c r="AR1805" s="77"/>
      <c r="AS1805" s="77"/>
      <c r="AT1805" s="77"/>
      <c r="AU1805" s="77"/>
      <c r="AV1805" s="83" t="str">
        <f>HYPERLINK("https://pbs.twimg.com/profile_images/1236350901188730880/2or74RdP_normal.jpg")</f>
        <v>https://pbs.twimg.com/profile_images/1236350901188730880/2or74RdP_normal.jpg</v>
      </c>
      <c r="AW1805" s="81" t="s">
        <v>10918</v>
      </c>
      <c r="AX1805" s="81" t="s">
        <v>10918</v>
      </c>
      <c r="AY1805" s="77"/>
      <c r="AZ1805" s="81" t="s">
        <v>11359</v>
      </c>
      <c r="BA1805" s="81" t="s">
        <v>11359</v>
      </c>
      <c r="BB1805" s="81" t="s">
        <v>11359</v>
      </c>
      <c r="BC1805" s="81" t="s">
        <v>10918</v>
      </c>
      <c r="BD1805" s="81" t="s">
        <v>11657</v>
      </c>
      <c r="BE1805" s="77"/>
      <c r="BF1805" s="77"/>
      <c r="BG1805" s="77"/>
      <c r="BH1805" s="77"/>
      <c r="BI1805" s="77"/>
    </row>
    <row r="1806" spans="1:61" x14ac:dyDescent="0.25">
      <c r="A1806" s="62" t="s">
        <v>743</v>
      </c>
      <c r="B1806" s="62" t="s">
        <v>743</v>
      </c>
      <c r="C1806" s="63"/>
      <c r="D1806" s="64"/>
      <c r="E1806" s="65"/>
      <c r="F1806" s="66"/>
      <c r="G1806" s="63"/>
      <c r="H1806" s="67"/>
      <c r="I1806" s="68"/>
      <c r="J1806" s="68"/>
      <c r="K1806" s="32"/>
      <c r="L1806" s="75">
        <v>1806</v>
      </c>
      <c r="M1806" s="75"/>
      <c r="N1806" s="70"/>
      <c r="O1806" s="77" t="s">
        <v>179</v>
      </c>
      <c r="P1806" s="79">
        <v>45159.925428240742</v>
      </c>
      <c r="Q1806" s="77" t="s">
        <v>2589</v>
      </c>
      <c r="R1806" s="77">
        <v>0</v>
      </c>
      <c r="S1806" s="77">
        <v>1</v>
      </c>
      <c r="T1806" s="77">
        <v>0</v>
      </c>
      <c r="U1806" s="77">
        <v>1</v>
      </c>
      <c r="V1806" s="77">
        <v>96</v>
      </c>
      <c r="W1806" s="81" t="s">
        <v>3923</v>
      </c>
      <c r="X1806" s="77"/>
      <c r="Y1806" s="77"/>
      <c r="Z1806" s="77"/>
      <c r="AA1806" s="77" t="s">
        <v>5590</v>
      </c>
      <c r="AB1806" s="77" t="s">
        <v>5795</v>
      </c>
      <c r="AC1806" s="81" t="s">
        <v>5805</v>
      </c>
      <c r="AD1806" s="77" t="s">
        <v>5850</v>
      </c>
      <c r="AE1806" s="83" t="str">
        <f>HYPERLINK("https://twitter.com/sinnafta/status/1693747963401470229")</f>
        <v>https://twitter.com/sinnafta/status/1693747963401470229</v>
      </c>
      <c r="AF1806" s="79">
        <v>45159.925428240742</v>
      </c>
      <c r="AG1806" s="85">
        <v>45159</v>
      </c>
      <c r="AH1806" s="81" t="s">
        <v>7437</v>
      </c>
      <c r="AI1806" s="77" t="b">
        <v>0</v>
      </c>
      <c r="AJ1806" s="77"/>
      <c r="AK1806" s="77"/>
      <c r="AL1806" s="77"/>
      <c r="AM1806" s="77"/>
      <c r="AN1806" s="77"/>
      <c r="AO1806" s="77"/>
      <c r="AP1806" s="77"/>
      <c r="AQ1806" s="77" t="s">
        <v>9093</v>
      </c>
      <c r="AR1806" s="77">
        <v>59208</v>
      </c>
      <c r="AS1806" s="77"/>
      <c r="AT1806" s="77"/>
      <c r="AU1806" s="77"/>
      <c r="AV1806" s="83" t="str">
        <f>HYPERLINK("https://pbs.twimg.com/ext_tw_video_thumb/1693747766181105665/pu/img/5itfVZQ-Pk86sbYU.jpg")</f>
        <v>https://pbs.twimg.com/ext_tw_video_thumb/1693747766181105665/pu/img/5itfVZQ-Pk86sbYU.jpg</v>
      </c>
      <c r="AW1806" s="81" t="s">
        <v>10919</v>
      </c>
      <c r="AX1806" s="81" t="s">
        <v>10919</v>
      </c>
      <c r="AY1806" s="77"/>
      <c r="AZ1806" s="81" t="s">
        <v>11359</v>
      </c>
      <c r="BA1806" s="81" t="s">
        <v>11359</v>
      </c>
      <c r="BB1806" s="81" t="s">
        <v>11359</v>
      </c>
      <c r="BC1806" s="81" t="s">
        <v>10919</v>
      </c>
      <c r="BD1806" s="77">
        <v>1146315194</v>
      </c>
      <c r="BE1806" s="77"/>
      <c r="BF1806" s="77"/>
      <c r="BG1806" s="77"/>
      <c r="BH1806" s="77"/>
      <c r="BI1806" s="77"/>
    </row>
    <row r="1807" spans="1:61" x14ac:dyDescent="0.25">
      <c r="A1807" s="62" t="s">
        <v>744</v>
      </c>
      <c r="B1807" s="62" t="s">
        <v>744</v>
      </c>
      <c r="C1807" s="63"/>
      <c r="D1807" s="64"/>
      <c r="E1807" s="65"/>
      <c r="F1807" s="66"/>
      <c r="G1807" s="63"/>
      <c r="H1807" s="67"/>
      <c r="I1807" s="68"/>
      <c r="J1807" s="68"/>
      <c r="K1807" s="32"/>
      <c r="L1807" s="75">
        <v>1807</v>
      </c>
      <c r="M1807" s="75"/>
      <c r="N1807" s="70"/>
      <c r="O1807" s="77" t="s">
        <v>967</v>
      </c>
      <c r="P1807" s="79">
        <v>45007.905995370369</v>
      </c>
      <c r="Q1807" s="77" t="s">
        <v>2590</v>
      </c>
      <c r="R1807" s="77">
        <v>0</v>
      </c>
      <c r="S1807" s="77">
        <v>1</v>
      </c>
      <c r="T1807" s="77">
        <v>0</v>
      </c>
      <c r="U1807" s="77">
        <v>0</v>
      </c>
      <c r="V1807" s="77">
        <v>59</v>
      </c>
      <c r="W1807" s="81" t="s">
        <v>3924</v>
      </c>
      <c r="X1807" s="77"/>
      <c r="Y1807" s="77"/>
      <c r="Z1807" s="77" t="s">
        <v>744</v>
      </c>
      <c r="AA1807" s="77" t="s">
        <v>5591</v>
      </c>
      <c r="AB1807" s="77" t="s">
        <v>5795</v>
      </c>
      <c r="AC1807" s="81" t="s">
        <v>5801</v>
      </c>
      <c r="AD1807" s="77" t="s">
        <v>5851</v>
      </c>
      <c r="AE1807" s="83" t="str">
        <f>HYPERLINK("https://twitter.com/grsilengenharia/status/1638657964801245186")</f>
        <v>https://twitter.com/grsilengenharia/status/1638657964801245186</v>
      </c>
      <c r="AF1807" s="79">
        <v>45007.905995370369</v>
      </c>
      <c r="AG1807" s="85">
        <v>45007</v>
      </c>
      <c r="AH1807" s="81" t="s">
        <v>7438</v>
      </c>
      <c r="AI1807" s="77" t="b">
        <v>0</v>
      </c>
      <c r="AJ1807" s="77" t="s">
        <v>7755</v>
      </c>
      <c r="AK1807" s="77" t="s">
        <v>7763</v>
      </c>
      <c r="AL1807" s="77" t="s">
        <v>7772</v>
      </c>
      <c r="AM1807" s="77" t="s">
        <v>7809</v>
      </c>
      <c r="AN1807" s="77" t="s">
        <v>7845</v>
      </c>
      <c r="AO1807" s="77" t="s">
        <v>7881</v>
      </c>
      <c r="AP1807" s="77" t="s">
        <v>7889</v>
      </c>
      <c r="AQ1807" s="77" t="s">
        <v>9094</v>
      </c>
      <c r="AR1807" s="77">
        <v>85422</v>
      </c>
      <c r="AS1807" s="77"/>
      <c r="AT1807" s="77"/>
      <c r="AU1807" s="77"/>
      <c r="AV1807" s="83" t="str">
        <f>HYPERLINK("https://pbs.twimg.com/ext_tw_video_thumb/1638657848207986689/pu/img/FcrATZyf58JHBoow.jpg")</f>
        <v>https://pbs.twimg.com/ext_tw_video_thumb/1638657848207986689/pu/img/FcrATZyf58JHBoow.jpg</v>
      </c>
      <c r="AW1807" s="81" t="s">
        <v>10920</v>
      </c>
      <c r="AX1807" s="81" t="s">
        <v>10920</v>
      </c>
      <c r="AY1807" s="77"/>
      <c r="AZ1807" s="81" t="s">
        <v>11359</v>
      </c>
      <c r="BA1807" s="81" t="s">
        <v>11359</v>
      </c>
      <c r="BB1807" s="81" t="s">
        <v>11359</v>
      </c>
      <c r="BC1807" s="81" t="s">
        <v>10920</v>
      </c>
      <c r="BD1807" s="81" t="s">
        <v>11658</v>
      </c>
      <c r="BE1807" s="77"/>
      <c r="BF1807" s="77"/>
      <c r="BG1807" s="77"/>
      <c r="BH1807" s="77"/>
      <c r="BI1807" s="77"/>
    </row>
    <row r="1808" spans="1:61" x14ac:dyDescent="0.25">
      <c r="A1808" s="62" t="s">
        <v>745</v>
      </c>
      <c r="B1808" s="62" t="s">
        <v>883</v>
      </c>
      <c r="C1808" s="63"/>
      <c r="D1808" s="64"/>
      <c r="E1808" s="65"/>
      <c r="F1808" s="66"/>
      <c r="G1808" s="63"/>
      <c r="H1808" s="67"/>
      <c r="I1808" s="68"/>
      <c r="J1808" s="68"/>
      <c r="K1808" s="32"/>
      <c r="L1808" s="75">
        <v>1808</v>
      </c>
      <c r="M1808" s="75"/>
      <c r="N1808" s="70"/>
      <c r="O1808" s="77" t="s">
        <v>967</v>
      </c>
      <c r="P1808" s="79">
        <v>45009.750393518516</v>
      </c>
      <c r="Q1808" s="77" t="s">
        <v>2591</v>
      </c>
      <c r="R1808" s="77">
        <v>0</v>
      </c>
      <c r="S1808" s="77">
        <v>1</v>
      </c>
      <c r="T1808" s="77">
        <v>0</v>
      </c>
      <c r="U1808" s="77">
        <v>0</v>
      </c>
      <c r="V1808" s="77">
        <v>10</v>
      </c>
      <c r="W1808" s="81" t="s">
        <v>3925</v>
      </c>
      <c r="X1808" s="83" t="str">
        <f>HYPERLINK("https://www.spreaker.com/user/jlozoya/episode-106-como-elegir-un-proveedor-de-")</f>
        <v>https://www.spreaker.com/user/jlozoya/episode-106-como-elegir-un-proveedor-de-</v>
      </c>
      <c r="Y1808" s="77" t="s">
        <v>4235</v>
      </c>
      <c r="Z1808" s="77" t="s">
        <v>883</v>
      </c>
      <c r="AA1808" s="77"/>
      <c r="AB1808" s="77"/>
      <c r="AC1808" s="81" t="s">
        <v>5817</v>
      </c>
      <c r="AD1808" s="77" t="s">
        <v>5850</v>
      </c>
      <c r="AE1808" s="83" t="str">
        <f>HYPERLINK("https://twitter.com/juliolozoya/status/1639326355082067968")</f>
        <v>https://twitter.com/juliolozoya/status/1639326355082067968</v>
      </c>
      <c r="AF1808" s="79">
        <v>45009.750393518516</v>
      </c>
      <c r="AG1808" s="85">
        <v>45009</v>
      </c>
      <c r="AH1808" s="81" t="s">
        <v>7439</v>
      </c>
      <c r="AI1808" s="77" t="b">
        <v>0</v>
      </c>
      <c r="AJ1808" s="77"/>
      <c r="AK1808" s="77"/>
      <c r="AL1808" s="77"/>
      <c r="AM1808" s="77"/>
      <c r="AN1808" s="77"/>
      <c r="AO1808" s="77"/>
      <c r="AP1808" s="77"/>
      <c r="AQ1808" s="77"/>
      <c r="AR1808" s="77"/>
      <c r="AS1808" s="77"/>
      <c r="AT1808" s="77"/>
      <c r="AU1808" s="77"/>
      <c r="AV1808" s="83" t="str">
        <f>HYPERLINK("https://pbs.twimg.com/profile_images/1151345986964377600/N9FlL7m9_normal.jpg")</f>
        <v>https://pbs.twimg.com/profile_images/1151345986964377600/N9FlL7m9_normal.jpg</v>
      </c>
      <c r="AW1808" s="81" t="s">
        <v>10921</v>
      </c>
      <c r="AX1808" s="81" t="s">
        <v>10921</v>
      </c>
      <c r="AY1808" s="77"/>
      <c r="AZ1808" s="81" t="s">
        <v>11359</v>
      </c>
      <c r="BA1808" s="81" t="s">
        <v>11359</v>
      </c>
      <c r="BB1808" s="81" t="s">
        <v>11359</v>
      </c>
      <c r="BC1808" s="81" t="s">
        <v>10921</v>
      </c>
      <c r="BD1808" s="81" t="s">
        <v>11659</v>
      </c>
      <c r="BE1808" s="77"/>
      <c r="BF1808" s="77"/>
      <c r="BG1808" s="77"/>
      <c r="BH1808" s="77"/>
      <c r="BI1808" s="77"/>
    </row>
    <row r="1809" spans="1:61" x14ac:dyDescent="0.25">
      <c r="A1809" s="62" t="s">
        <v>746</v>
      </c>
      <c r="B1809" s="62" t="s">
        <v>746</v>
      </c>
      <c r="C1809" s="63"/>
      <c r="D1809" s="64"/>
      <c r="E1809" s="65"/>
      <c r="F1809" s="66"/>
      <c r="G1809" s="63"/>
      <c r="H1809" s="67"/>
      <c r="I1809" s="68"/>
      <c r="J1809" s="68"/>
      <c r="K1809" s="32"/>
      <c r="L1809" s="75">
        <v>1809</v>
      </c>
      <c r="M1809" s="75"/>
      <c r="N1809" s="70"/>
      <c r="O1809" s="77" t="s">
        <v>179</v>
      </c>
      <c r="P1809" s="79">
        <v>45057.727280092593</v>
      </c>
      <c r="Q1809" s="77" t="s">
        <v>2592</v>
      </c>
      <c r="R1809" s="77">
        <v>0</v>
      </c>
      <c r="S1809" s="77">
        <v>1</v>
      </c>
      <c r="T1809" s="77">
        <v>0</v>
      </c>
      <c r="U1809" s="77">
        <v>0</v>
      </c>
      <c r="V1809" s="77">
        <v>42</v>
      </c>
      <c r="W1809" s="81" t="s">
        <v>3926</v>
      </c>
      <c r="X1809" s="77"/>
      <c r="Y1809" s="77"/>
      <c r="Z1809" s="77"/>
      <c r="AA1809" s="77" t="s">
        <v>5592</v>
      </c>
      <c r="AB1809" s="77" t="s">
        <v>5794</v>
      </c>
      <c r="AC1809" s="81" t="s">
        <v>5801</v>
      </c>
      <c r="AD1809" s="77" t="s">
        <v>5851</v>
      </c>
      <c r="AE1809" s="83" t="str">
        <f>HYPERLINK("https://twitter.com/rangelwebsite/status/1656712594609127427")</f>
        <v>https://twitter.com/rangelwebsite/status/1656712594609127427</v>
      </c>
      <c r="AF1809" s="79">
        <v>45057.727280092593</v>
      </c>
      <c r="AG1809" s="85">
        <v>45057</v>
      </c>
      <c r="AH1809" s="81" t="s">
        <v>7440</v>
      </c>
      <c r="AI1809" s="77" t="b">
        <v>0</v>
      </c>
      <c r="AJ1809" s="77"/>
      <c r="AK1809" s="77"/>
      <c r="AL1809" s="77"/>
      <c r="AM1809" s="77"/>
      <c r="AN1809" s="77"/>
      <c r="AO1809" s="77"/>
      <c r="AP1809" s="77"/>
      <c r="AQ1809" s="77" t="s">
        <v>9095</v>
      </c>
      <c r="AR1809" s="77"/>
      <c r="AS1809" s="77"/>
      <c r="AT1809" s="77"/>
      <c r="AU1809" s="77"/>
      <c r="AV1809" s="83" t="str">
        <f>HYPERLINK("https://pbs.twimg.com/media/Fv3TUywXwAkwxBv.jpg")</f>
        <v>https://pbs.twimg.com/media/Fv3TUywXwAkwxBv.jpg</v>
      </c>
      <c r="AW1809" s="81" t="s">
        <v>10922</v>
      </c>
      <c r="AX1809" s="81" t="s">
        <v>10922</v>
      </c>
      <c r="AY1809" s="77"/>
      <c r="AZ1809" s="81" t="s">
        <v>11359</v>
      </c>
      <c r="BA1809" s="81" t="s">
        <v>11359</v>
      </c>
      <c r="BB1809" s="81" t="s">
        <v>11359</v>
      </c>
      <c r="BC1809" s="81" t="s">
        <v>10922</v>
      </c>
      <c r="BD1809" s="81" t="s">
        <v>11660</v>
      </c>
      <c r="BE1809" s="77"/>
      <c r="BF1809" s="77"/>
      <c r="BG1809" s="77"/>
      <c r="BH1809" s="77"/>
      <c r="BI1809" s="77"/>
    </row>
    <row r="1810" spans="1:61" x14ac:dyDescent="0.25">
      <c r="A1810" s="62" t="s">
        <v>747</v>
      </c>
      <c r="B1810" s="62" t="s">
        <v>747</v>
      </c>
      <c r="C1810" s="63"/>
      <c r="D1810" s="64"/>
      <c r="E1810" s="65"/>
      <c r="F1810" s="66"/>
      <c r="G1810" s="63"/>
      <c r="H1810" s="67"/>
      <c r="I1810" s="68"/>
      <c r="J1810" s="68"/>
      <c r="K1810" s="32"/>
      <c r="L1810" s="75">
        <v>1810</v>
      </c>
      <c r="M1810" s="75"/>
      <c r="N1810" s="70"/>
      <c r="O1810" s="77" t="s">
        <v>179</v>
      </c>
      <c r="P1810" s="79">
        <v>45088.958865740744</v>
      </c>
      <c r="Q1810" s="77" t="s">
        <v>2593</v>
      </c>
      <c r="R1810" s="77">
        <v>0</v>
      </c>
      <c r="S1810" s="77">
        <v>1</v>
      </c>
      <c r="T1810" s="77">
        <v>0</v>
      </c>
      <c r="U1810" s="77">
        <v>0</v>
      </c>
      <c r="V1810" s="77">
        <v>42</v>
      </c>
      <c r="W1810" s="81" t="s">
        <v>3927</v>
      </c>
      <c r="X1810" s="77"/>
      <c r="Y1810" s="77"/>
      <c r="Z1810" s="77"/>
      <c r="AA1810" s="77" t="s">
        <v>5593</v>
      </c>
      <c r="AB1810" s="77" t="s">
        <v>5795</v>
      </c>
      <c r="AC1810" s="81" t="s">
        <v>5808</v>
      </c>
      <c r="AD1810" s="77" t="s">
        <v>5851</v>
      </c>
      <c r="AE1810" s="83" t="str">
        <f>HYPERLINK("https://twitter.com/andreluis_vsw/status/1668030541352820736")</f>
        <v>https://twitter.com/andreluis_vsw/status/1668030541352820736</v>
      </c>
      <c r="AF1810" s="79">
        <v>45088.958865740744</v>
      </c>
      <c r="AG1810" s="85">
        <v>45088</v>
      </c>
      <c r="AH1810" s="81" t="s">
        <v>7441</v>
      </c>
      <c r="AI1810" s="77" t="b">
        <v>0</v>
      </c>
      <c r="AJ1810" s="77"/>
      <c r="AK1810" s="77"/>
      <c r="AL1810" s="77"/>
      <c r="AM1810" s="77"/>
      <c r="AN1810" s="77"/>
      <c r="AO1810" s="77"/>
      <c r="AP1810" s="77"/>
      <c r="AQ1810" s="77" t="s">
        <v>9096</v>
      </c>
      <c r="AR1810" s="77">
        <v>15000</v>
      </c>
      <c r="AS1810" s="77"/>
      <c r="AT1810" s="77"/>
      <c r="AU1810" s="77"/>
      <c r="AV1810" s="83" t="str">
        <f>HYPERLINK("https://pbs.twimg.com/ext_tw_video_thumb/1668030491717513223/pu/img/xqwrcRvhIgeUpCQv.jpg")</f>
        <v>https://pbs.twimg.com/ext_tw_video_thumb/1668030491717513223/pu/img/xqwrcRvhIgeUpCQv.jpg</v>
      </c>
      <c r="AW1810" s="81" t="s">
        <v>10923</v>
      </c>
      <c r="AX1810" s="81" t="s">
        <v>10923</v>
      </c>
      <c r="AY1810" s="77"/>
      <c r="AZ1810" s="81" t="s">
        <v>11359</v>
      </c>
      <c r="BA1810" s="81" t="s">
        <v>11359</v>
      </c>
      <c r="BB1810" s="81" t="s">
        <v>11359</v>
      </c>
      <c r="BC1810" s="81" t="s">
        <v>10923</v>
      </c>
      <c r="BD1810" s="77">
        <v>2867846249</v>
      </c>
      <c r="BE1810" s="77"/>
      <c r="BF1810" s="77"/>
      <c r="BG1810" s="77"/>
      <c r="BH1810" s="77"/>
      <c r="BI1810" s="77"/>
    </row>
    <row r="1811" spans="1:61" x14ac:dyDescent="0.25">
      <c r="A1811" s="62" t="s">
        <v>748</v>
      </c>
      <c r="B1811" s="62" t="s">
        <v>748</v>
      </c>
      <c r="C1811" s="63"/>
      <c r="D1811" s="64"/>
      <c r="E1811" s="65"/>
      <c r="F1811" s="66"/>
      <c r="G1811" s="63"/>
      <c r="H1811" s="67"/>
      <c r="I1811" s="68"/>
      <c r="J1811" s="68"/>
      <c r="K1811" s="32"/>
      <c r="L1811" s="75">
        <v>1811</v>
      </c>
      <c r="M1811" s="75"/>
      <c r="N1811" s="70"/>
      <c r="O1811" s="77" t="s">
        <v>179</v>
      </c>
      <c r="P1811" s="79">
        <v>44967.704224537039</v>
      </c>
      <c r="Q1811" s="77" t="s">
        <v>2594</v>
      </c>
      <c r="R1811" s="77">
        <v>0</v>
      </c>
      <c r="S1811" s="77">
        <v>1</v>
      </c>
      <c r="T1811" s="77">
        <v>0</v>
      </c>
      <c r="U1811" s="77">
        <v>0</v>
      </c>
      <c r="V1811" s="77">
        <v>92</v>
      </c>
      <c r="W1811" s="81" t="s">
        <v>3928</v>
      </c>
      <c r="X1811" s="77"/>
      <c r="Y1811" s="77"/>
      <c r="Z1811" s="77"/>
      <c r="AA1811" s="77" t="s">
        <v>5594</v>
      </c>
      <c r="AB1811" s="77" t="s">
        <v>5795</v>
      </c>
      <c r="AC1811" s="81" t="s">
        <v>5805</v>
      </c>
      <c r="AD1811" s="77" t="s">
        <v>5851</v>
      </c>
      <c r="AE1811" s="83" t="str">
        <f>HYPERLINK("https://twitter.com/grigopeca/status/1624089331420827648")</f>
        <v>https://twitter.com/grigopeca/status/1624089331420827648</v>
      </c>
      <c r="AF1811" s="79">
        <v>44967.704224537039</v>
      </c>
      <c r="AG1811" s="85">
        <v>44967</v>
      </c>
      <c r="AH1811" s="81" t="s">
        <v>7442</v>
      </c>
      <c r="AI1811" s="77" t="b">
        <v>0</v>
      </c>
      <c r="AJ1811" s="77"/>
      <c r="AK1811" s="77"/>
      <c r="AL1811" s="77"/>
      <c r="AM1811" s="77"/>
      <c r="AN1811" s="77"/>
      <c r="AO1811" s="77"/>
      <c r="AP1811" s="77"/>
      <c r="AQ1811" s="77" t="s">
        <v>9097</v>
      </c>
      <c r="AR1811" s="77">
        <v>13722</v>
      </c>
      <c r="AS1811" s="77"/>
      <c r="AT1811" s="77"/>
      <c r="AU1811" s="77"/>
      <c r="AV1811" s="83" t="str">
        <f>HYPERLINK("https://pbs.twimg.com/ext_tw_video_thumb/1624088966969405455/pu/img/Otf4VOXpcvrhaJDC.jpg")</f>
        <v>https://pbs.twimg.com/ext_tw_video_thumb/1624088966969405455/pu/img/Otf4VOXpcvrhaJDC.jpg</v>
      </c>
      <c r="AW1811" s="81" t="s">
        <v>10924</v>
      </c>
      <c r="AX1811" s="81" t="s">
        <v>10924</v>
      </c>
      <c r="AY1811" s="77"/>
      <c r="AZ1811" s="81" t="s">
        <v>11359</v>
      </c>
      <c r="BA1811" s="81" t="s">
        <v>11359</v>
      </c>
      <c r="BB1811" s="81" t="s">
        <v>11359</v>
      </c>
      <c r="BC1811" s="81" t="s">
        <v>10924</v>
      </c>
      <c r="BD1811" s="81" t="s">
        <v>11661</v>
      </c>
      <c r="BE1811" s="77"/>
      <c r="BF1811" s="77"/>
      <c r="BG1811" s="77"/>
      <c r="BH1811" s="77"/>
      <c r="BI1811" s="77"/>
    </row>
    <row r="1812" spans="1:61" x14ac:dyDescent="0.25">
      <c r="A1812" s="62" t="s">
        <v>749</v>
      </c>
      <c r="B1812" s="62" t="s">
        <v>749</v>
      </c>
      <c r="C1812" s="63"/>
      <c r="D1812" s="64"/>
      <c r="E1812" s="65"/>
      <c r="F1812" s="66"/>
      <c r="G1812" s="63"/>
      <c r="H1812" s="67"/>
      <c r="I1812" s="68"/>
      <c r="J1812" s="68"/>
      <c r="K1812" s="32"/>
      <c r="L1812" s="75">
        <v>1812</v>
      </c>
      <c r="M1812" s="75"/>
      <c r="N1812" s="70"/>
      <c r="O1812" s="77" t="s">
        <v>179</v>
      </c>
      <c r="P1812" s="79">
        <v>44989.646238425928</v>
      </c>
      <c r="Q1812" s="77" t="s">
        <v>2595</v>
      </c>
      <c r="R1812" s="77">
        <v>0</v>
      </c>
      <c r="S1812" s="77">
        <v>0</v>
      </c>
      <c r="T1812" s="77">
        <v>0</v>
      </c>
      <c r="U1812" s="77">
        <v>0</v>
      </c>
      <c r="V1812" s="77">
        <v>20</v>
      </c>
      <c r="W1812" s="81" t="s">
        <v>3929</v>
      </c>
      <c r="X1812" s="77"/>
      <c r="Y1812" s="77"/>
      <c r="Z1812" s="77"/>
      <c r="AA1812" s="77" t="s">
        <v>5595</v>
      </c>
      <c r="AB1812" s="77" t="s">
        <v>5795</v>
      </c>
      <c r="AC1812" s="81" t="s">
        <v>5805</v>
      </c>
      <c r="AD1812" s="77" t="s">
        <v>5851</v>
      </c>
      <c r="AE1812" s="83" t="str">
        <f>HYPERLINK("https://twitter.com/quinaribeiro/status/1632040852070563844")</f>
        <v>https://twitter.com/quinaribeiro/status/1632040852070563844</v>
      </c>
      <c r="AF1812" s="79">
        <v>44989.646238425928</v>
      </c>
      <c r="AG1812" s="85">
        <v>44989</v>
      </c>
      <c r="AH1812" s="81" t="s">
        <v>7443</v>
      </c>
      <c r="AI1812" s="77" t="b">
        <v>0</v>
      </c>
      <c r="AJ1812" s="77"/>
      <c r="AK1812" s="77"/>
      <c r="AL1812" s="77"/>
      <c r="AM1812" s="77"/>
      <c r="AN1812" s="77"/>
      <c r="AO1812" s="77"/>
      <c r="AP1812" s="77"/>
      <c r="AQ1812" s="77" t="s">
        <v>9098</v>
      </c>
      <c r="AR1812" s="77">
        <v>24100</v>
      </c>
      <c r="AS1812" s="77"/>
      <c r="AT1812" s="77"/>
      <c r="AU1812" s="77"/>
      <c r="AV1812" s="83" t="str">
        <f>HYPERLINK("https://pbs.twimg.com/ext_tw_video_thumb/1632040715650727941/pu/img/XP3iI_F0ENqmF2R9.jpg")</f>
        <v>https://pbs.twimg.com/ext_tw_video_thumb/1632040715650727941/pu/img/XP3iI_F0ENqmF2R9.jpg</v>
      </c>
      <c r="AW1812" s="81" t="s">
        <v>10925</v>
      </c>
      <c r="AX1812" s="81" t="s">
        <v>10925</v>
      </c>
      <c r="AY1812" s="77"/>
      <c r="AZ1812" s="81" t="s">
        <v>11359</v>
      </c>
      <c r="BA1812" s="81" t="s">
        <v>11359</v>
      </c>
      <c r="BB1812" s="81" t="s">
        <v>11359</v>
      </c>
      <c r="BC1812" s="81" t="s">
        <v>10925</v>
      </c>
      <c r="BD1812" s="77">
        <v>18564263</v>
      </c>
      <c r="BE1812" s="77"/>
      <c r="BF1812" s="77"/>
      <c r="BG1812" s="77"/>
      <c r="BH1812" s="77"/>
      <c r="BI1812" s="77"/>
    </row>
    <row r="1813" spans="1:61" x14ac:dyDescent="0.25">
      <c r="A1813" s="62" t="s">
        <v>750</v>
      </c>
      <c r="B1813" s="62" t="s">
        <v>750</v>
      </c>
      <c r="C1813" s="63"/>
      <c r="D1813" s="64"/>
      <c r="E1813" s="65"/>
      <c r="F1813" s="66"/>
      <c r="G1813" s="63"/>
      <c r="H1813" s="67"/>
      <c r="I1813" s="68"/>
      <c r="J1813" s="68"/>
      <c r="K1813" s="32"/>
      <c r="L1813" s="75">
        <v>1813</v>
      </c>
      <c r="M1813" s="75"/>
      <c r="N1813" s="70"/>
      <c r="O1813" s="77" t="s">
        <v>179</v>
      </c>
      <c r="P1813" s="79">
        <v>45076.313750000001</v>
      </c>
      <c r="Q1813" s="77" t="s">
        <v>2596</v>
      </c>
      <c r="R1813" s="77">
        <v>0</v>
      </c>
      <c r="S1813" s="77">
        <v>0</v>
      </c>
      <c r="T1813" s="77">
        <v>0</v>
      </c>
      <c r="U1813" s="77">
        <v>0</v>
      </c>
      <c r="V1813" s="77">
        <v>7</v>
      </c>
      <c r="W1813" s="81" t="s">
        <v>3930</v>
      </c>
      <c r="X1813" s="77"/>
      <c r="Y1813" s="77"/>
      <c r="Z1813" s="77"/>
      <c r="AA1813" s="77" t="s">
        <v>5596</v>
      </c>
      <c r="AB1813" s="77" t="s">
        <v>5794</v>
      </c>
      <c r="AC1813" s="81" t="s">
        <v>5801</v>
      </c>
      <c r="AD1813" s="77" t="s">
        <v>5850</v>
      </c>
      <c r="AE1813" s="83" t="str">
        <f>HYPERLINK("https://twitter.com/luisedwinn38606/status/1663448105914695680")</f>
        <v>https://twitter.com/luisedwinn38606/status/1663448105914695680</v>
      </c>
      <c r="AF1813" s="79">
        <v>45076.313750000001</v>
      </c>
      <c r="AG1813" s="85">
        <v>45076</v>
      </c>
      <c r="AH1813" s="81" t="s">
        <v>7444</v>
      </c>
      <c r="AI1813" s="77" t="b">
        <v>0</v>
      </c>
      <c r="AJ1813" s="77"/>
      <c r="AK1813" s="77"/>
      <c r="AL1813" s="77"/>
      <c r="AM1813" s="77"/>
      <c r="AN1813" s="77"/>
      <c r="AO1813" s="77"/>
      <c r="AP1813" s="77"/>
      <c r="AQ1813" s="77" t="s">
        <v>9099</v>
      </c>
      <c r="AR1813" s="77"/>
      <c r="AS1813" s="77"/>
      <c r="AT1813" s="77"/>
      <c r="AU1813" s="77"/>
      <c r="AV1813" s="83" t="str">
        <f>HYPERLINK("https://pbs.twimg.com/media/FxXBPJwWwAAOzgW.jpg")</f>
        <v>https://pbs.twimg.com/media/FxXBPJwWwAAOzgW.jpg</v>
      </c>
      <c r="AW1813" s="81" t="s">
        <v>10926</v>
      </c>
      <c r="AX1813" s="81" t="s">
        <v>10926</v>
      </c>
      <c r="AY1813" s="77"/>
      <c r="AZ1813" s="81" t="s">
        <v>11359</v>
      </c>
      <c r="BA1813" s="81" t="s">
        <v>11359</v>
      </c>
      <c r="BB1813" s="81" t="s">
        <v>11359</v>
      </c>
      <c r="BC1813" s="81" t="s">
        <v>10926</v>
      </c>
      <c r="BD1813" s="81" t="s">
        <v>11662</v>
      </c>
      <c r="BE1813" s="77"/>
      <c r="BF1813" s="77"/>
      <c r="BG1813" s="77"/>
      <c r="BH1813" s="77"/>
      <c r="BI1813" s="77"/>
    </row>
    <row r="1814" spans="1:61" x14ac:dyDescent="0.25">
      <c r="A1814" s="62" t="s">
        <v>751</v>
      </c>
      <c r="B1814" s="62" t="s">
        <v>751</v>
      </c>
      <c r="C1814" s="63"/>
      <c r="D1814" s="64"/>
      <c r="E1814" s="65"/>
      <c r="F1814" s="66"/>
      <c r="G1814" s="63"/>
      <c r="H1814" s="67"/>
      <c r="I1814" s="68"/>
      <c r="J1814" s="68"/>
      <c r="K1814" s="32"/>
      <c r="L1814" s="75">
        <v>1814</v>
      </c>
      <c r="M1814" s="75"/>
      <c r="N1814" s="70"/>
      <c r="O1814" s="77" t="s">
        <v>179</v>
      </c>
      <c r="P1814" s="79">
        <v>45142.982731481483</v>
      </c>
      <c r="Q1814" s="77" t="s">
        <v>2597</v>
      </c>
      <c r="R1814" s="77">
        <v>0</v>
      </c>
      <c r="S1814" s="77">
        <v>0</v>
      </c>
      <c r="T1814" s="77">
        <v>0</v>
      </c>
      <c r="U1814" s="77">
        <v>0</v>
      </c>
      <c r="V1814" s="77">
        <v>27</v>
      </c>
      <c r="W1814" s="81" t="s">
        <v>3931</v>
      </c>
      <c r="X1814" s="77"/>
      <c r="Y1814" s="77"/>
      <c r="Z1814" s="77"/>
      <c r="AA1814" s="77" t="s">
        <v>5597</v>
      </c>
      <c r="AB1814" s="77" t="s">
        <v>5794</v>
      </c>
      <c r="AC1814" s="81" t="s">
        <v>5803</v>
      </c>
      <c r="AD1814" s="77" t="s">
        <v>5850</v>
      </c>
      <c r="AE1814" s="83" t="str">
        <f>HYPERLINK("https://twitter.com/up_btl/status/1687608135136227330")</f>
        <v>https://twitter.com/up_btl/status/1687608135136227330</v>
      </c>
      <c r="AF1814" s="79">
        <v>45142.982731481483</v>
      </c>
      <c r="AG1814" s="85">
        <v>45142</v>
      </c>
      <c r="AH1814" s="81" t="s">
        <v>7445</v>
      </c>
      <c r="AI1814" s="77" t="b">
        <v>0</v>
      </c>
      <c r="AJ1814" s="77"/>
      <c r="AK1814" s="77"/>
      <c r="AL1814" s="77"/>
      <c r="AM1814" s="77"/>
      <c r="AN1814" s="77"/>
      <c r="AO1814" s="77"/>
      <c r="AP1814" s="77"/>
      <c r="AQ1814" s="77" t="s">
        <v>9100</v>
      </c>
      <c r="AR1814" s="77"/>
      <c r="AS1814" s="77"/>
      <c r="AT1814" s="77"/>
      <c r="AU1814" s="77"/>
      <c r="AV1814" s="83" t="str">
        <f>HYPERLINK("https://pbs.twimg.com/media/F2uWptHaQAM7TPw.jpg")</f>
        <v>https://pbs.twimg.com/media/F2uWptHaQAM7TPw.jpg</v>
      </c>
      <c r="AW1814" s="81" t="s">
        <v>10927</v>
      </c>
      <c r="AX1814" s="81" t="s">
        <v>10927</v>
      </c>
      <c r="AY1814" s="77"/>
      <c r="AZ1814" s="81" t="s">
        <v>11359</v>
      </c>
      <c r="BA1814" s="81" t="s">
        <v>11359</v>
      </c>
      <c r="BB1814" s="81" t="s">
        <v>11359</v>
      </c>
      <c r="BC1814" s="81" t="s">
        <v>10927</v>
      </c>
      <c r="BD1814" s="77">
        <v>3729465913</v>
      </c>
      <c r="BE1814" s="77"/>
      <c r="BF1814" s="77"/>
      <c r="BG1814" s="77"/>
      <c r="BH1814" s="77"/>
      <c r="BI1814" s="77"/>
    </row>
    <row r="1815" spans="1:61" x14ac:dyDescent="0.25">
      <c r="A1815" s="62" t="s">
        <v>752</v>
      </c>
      <c r="B1815" s="62" t="s">
        <v>700</v>
      </c>
      <c r="C1815" s="63"/>
      <c r="D1815" s="64"/>
      <c r="E1815" s="65"/>
      <c r="F1815" s="66"/>
      <c r="G1815" s="63"/>
      <c r="H1815" s="67"/>
      <c r="I1815" s="68"/>
      <c r="J1815" s="68"/>
      <c r="K1815" s="32"/>
      <c r="L1815" s="75">
        <v>1815</v>
      </c>
      <c r="M1815" s="75"/>
      <c r="N1815" s="70"/>
      <c r="O1815" s="77" t="s">
        <v>971</v>
      </c>
      <c r="P1815" s="79">
        <v>45078.457800925928</v>
      </c>
      <c r="Q1815" s="77" t="s">
        <v>2598</v>
      </c>
      <c r="R1815" s="77">
        <v>0</v>
      </c>
      <c r="S1815" s="77">
        <v>0</v>
      </c>
      <c r="T1815" s="77">
        <v>0</v>
      </c>
      <c r="U1815" s="77">
        <v>0</v>
      </c>
      <c r="V1815" s="77">
        <v>6</v>
      </c>
      <c r="W1815" s="81" t="s">
        <v>3932</v>
      </c>
      <c r="X1815" s="77"/>
      <c r="Y1815" s="77"/>
      <c r="Z1815" s="77"/>
      <c r="AA1815" s="77" t="s">
        <v>5598</v>
      </c>
      <c r="AB1815" s="77" t="s">
        <v>5794</v>
      </c>
      <c r="AC1815" s="81" t="s">
        <v>5805</v>
      </c>
      <c r="AD1815" s="77" t="s">
        <v>5850</v>
      </c>
      <c r="AE1815" s="83" t="str">
        <f>HYPERLINK("https://twitter.com/ideassinlimite/status/1664225085484331009")</f>
        <v>https://twitter.com/ideassinlimite/status/1664225085484331009</v>
      </c>
      <c r="AF1815" s="79">
        <v>45078.457800925928</v>
      </c>
      <c r="AG1815" s="85">
        <v>45078</v>
      </c>
      <c r="AH1815" s="81" t="s">
        <v>7446</v>
      </c>
      <c r="AI1815" s="77" t="b">
        <v>0</v>
      </c>
      <c r="AJ1815" s="77"/>
      <c r="AK1815" s="77"/>
      <c r="AL1815" s="77"/>
      <c r="AM1815" s="77"/>
      <c r="AN1815" s="77"/>
      <c r="AO1815" s="77"/>
      <c r="AP1815" s="77"/>
      <c r="AQ1815" s="77" t="s">
        <v>9101</v>
      </c>
      <c r="AR1815" s="77"/>
      <c r="AS1815" s="77"/>
      <c r="AT1815" s="77"/>
      <c r="AU1815" s="77"/>
      <c r="AV1815" s="83" t="str">
        <f>HYPERLINK("https://pbs.twimg.com/media/FxiD0kLWYAI2EFL.jpg")</f>
        <v>https://pbs.twimg.com/media/FxiD0kLWYAI2EFL.jpg</v>
      </c>
      <c r="AW1815" s="81" t="s">
        <v>10928</v>
      </c>
      <c r="AX1815" s="81" t="s">
        <v>10928</v>
      </c>
      <c r="AY1815" s="77"/>
      <c r="AZ1815" s="81" t="s">
        <v>11359</v>
      </c>
      <c r="BA1815" s="81" t="s">
        <v>10840</v>
      </c>
      <c r="BB1815" s="81" t="s">
        <v>11359</v>
      </c>
      <c r="BC1815" s="81" t="s">
        <v>10840</v>
      </c>
      <c r="BD1815" s="77">
        <v>288479890</v>
      </c>
      <c r="BE1815" s="77"/>
      <c r="BF1815" s="77"/>
      <c r="BG1815" s="77"/>
      <c r="BH1815" s="77"/>
      <c r="BI1815" s="77"/>
    </row>
    <row r="1816" spans="1:61" x14ac:dyDescent="0.25">
      <c r="A1816" s="62" t="s">
        <v>753</v>
      </c>
      <c r="B1816" s="62" t="s">
        <v>753</v>
      </c>
      <c r="C1816" s="63"/>
      <c r="D1816" s="64"/>
      <c r="E1816" s="65"/>
      <c r="F1816" s="66"/>
      <c r="G1816" s="63"/>
      <c r="H1816" s="67"/>
      <c r="I1816" s="68"/>
      <c r="J1816" s="68"/>
      <c r="K1816" s="32"/>
      <c r="L1816" s="75">
        <v>1816</v>
      </c>
      <c r="M1816" s="75"/>
      <c r="N1816" s="70"/>
      <c r="O1816" s="77" t="s">
        <v>179</v>
      </c>
      <c r="P1816" s="79">
        <v>44966.034282407411</v>
      </c>
      <c r="Q1816" s="77" t="s">
        <v>2599</v>
      </c>
      <c r="R1816" s="77">
        <v>0</v>
      </c>
      <c r="S1816" s="77">
        <v>0</v>
      </c>
      <c r="T1816" s="77">
        <v>0</v>
      </c>
      <c r="U1816" s="77">
        <v>0</v>
      </c>
      <c r="V1816" s="77">
        <v>63</v>
      </c>
      <c r="W1816" s="81" t="s">
        <v>3933</v>
      </c>
      <c r="X1816" s="77"/>
      <c r="Y1816" s="77"/>
      <c r="Z1816" s="77"/>
      <c r="AA1816" s="77"/>
      <c r="AB1816" s="77"/>
      <c r="AC1816" s="81" t="s">
        <v>5801</v>
      </c>
      <c r="AD1816" s="77" t="s">
        <v>5850</v>
      </c>
      <c r="AE1816" s="83" t="str">
        <f>HYPERLINK("https://twitter.com/felitosmp/status/1623484165516587010")</f>
        <v>https://twitter.com/felitosmp/status/1623484165516587010</v>
      </c>
      <c r="AF1816" s="79">
        <v>44966.034282407411</v>
      </c>
      <c r="AG1816" s="85">
        <v>44966</v>
      </c>
      <c r="AH1816" s="81" t="s">
        <v>7447</v>
      </c>
      <c r="AI1816" s="77"/>
      <c r="AJ1816" s="77"/>
      <c r="AK1816" s="77"/>
      <c r="AL1816" s="77"/>
      <c r="AM1816" s="77"/>
      <c r="AN1816" s="77"/>
      <c r="AO1816" s="77"/>
      <c r="AP1816" s="77"/>
      <c r="AQ1816" s="77"/>
      <c r="AR1816" s="77"/>
      <c r="AS1816" s="77"/>
      <c r="AT1816" s="77"/>
      <c r="AU1816" s="77"/>
      <c r="AV1816" s="83" t="str">
        <f>HYPERLINK("https://pbs.twimg.com/profile_images/1459982378194063360/Na6v6RV4_normal.jpg")</f>
        <v>https://pbs.twimg.com/profile_images/1459982378194063360/Na6v6RV4_normal.jpg</v>
      </c>
      <c r="AW1816" s="81" t="s">
        <v>10929</v>
      </c>
      <c r="AX1816" s="81" t="s">
        <v>10929</v>
      </c>
      <c r="AY1816" s="77"/>
      <c r="AZ1816" s="81" t="s">
        <v>11359</v>
      </c>
      <c r="BA1816" s="81" t="s">
        <v>11359</v>
      </c>
      <c r="BB1816" s="81" t="s">
        <v>11359</v>
      </c>
      <c r="BC1816" s="81" t="s">
        <v>10929</v>
      </c>
      <c r="BD1816" s="77">
        <v>2407269804</v>
      </c>
      <c r="BE1816" s="77"/>
      <c r="BF1816" s="77"/>
      <c r="BG1816" s="77"/>
      <c r="BH1816" s="77"/>
      <c r="BI1816" s="77"/>
    </row>
    <row r="1817" spans="1:61" x14ac:dyDescent="0.25">
      <c r="A1817" s="62" t="s">
        <v>754</v>
      </c>
      <c r="B1817" s="62" t="s">
        <v>754</v>
      </c>
      <c r="C1817" s="63"/>
      <c r="D1817" s="64"/>
      <c r="E1817" s="65"/>
      <c r="F1817" s="66"/>
      <c r="G1817" s="63"/>
      <c r="H1817" s="67"/>
      <c r="I1817" s="68"/>
      <c r="J1817" s="68"/>
      <c r="K1817" s="32"/>
      <c r="L1817" s="75">
        <v>1817</v>
      </c>
      <c r="M1817" s="75"/>
      <c r="N1817" s="70"/>
      <c r="O1817" s="77" t="s">
        <v>179</v>
      </c>
      <c r="P1817" s="79">
        <v>44991.691469907404</v>
      </c>
      <c r="Q1817" s="77" t="s">
        <v>2600</v>
      </c>
      <c r="R1817" s="77">
        <v>0</v>
      </c>
      <c r="S1817" s="77">
        <v>0</v>
      </c>
      <c r="T1817" s="77">
        <v>0</v>
      </c>
      <c r="U1817" s="77">
        <v>0</v>
      </c>
      <c r="V1817" s="77">
        <v>4</v>
      </c>
      <c r="W1817" s="81" t="s">
        <v>2947</v>
      </c>
      <c r="X1817" s="83" t="str">
        <f>HYPERLINK("https://lnkd.in/gkNGf3Gs")</f>
        <v>https://lnkd.in/gkNGf3Gs</v>
      </c>
      <c r="Y1817" s="77" t="s">
        <v>4221</v>
      </c>
      <c r="Z1817" s="77"/>
      <c r="AA1817" s="77"/>
      <c r="AB1817" s="77"/>
      <c r="AC1817" s="81" t="s">
        <v>5810</v>
      </c>
      <c r="AD1817" s="77" t="s">
        <v>5850</v>
      </c>
      <c r="AE1817" s="83" t="str">
        <f>HYPERLINK("https://twitter.com/karinpedezert/status/1632782019016130560")</f>
        <v>https://twitter.com/karinpedezert/status/1632782019016130560</v>
      </c>
      <c r="AF1817" s="79">
        <v>44991.691469907404</v>
      </c>
      <c r="AG1817" s="85">
        <v>44991</v>
      </c>
      <c r="AH1817" s="81" t="s">
        <v>7448</v>
      </c>
      <c r="AI1817" s="77" t="b">
        <v>0</v>
      </c>
      <c r="AJ1817" s="77"/>
      <c r="AK1817" s="77"/>
      <c r="AL1817" s="77"/>
      <c r="AM1817" s="77"/>
      <c r="AN1817" s="77"/>
      <c r="AO1817" s="77"/>
      <c r="AP1817" s="77"/>
      <c r="AQ1817" s="77"/>
      <c r="AR1817" s="77"/>
      <c r="AS1817" s="77"/>
      <c r="AT1817" s="77"/>
      <c r="AU1817" s="77"/>
      <c r="AV1817" s="83" t="str">
        <f>HYPERLINK("https://pbs.twimg.com/profile_images/723097102159613952/BsZoGuXf_normal.jpg")</f>
        <v>https://pbs.twimg.com/profile_images/723097102159613952/BsZoGuXf_normal.jpg</v>
      </c>
      <c r="AW1817" s="81" t="s">
        <v>10930</v>
      </c>
      <c r="AX1817" s="81" t="s">
        <v>10930</v>
      </c>
      <c r="AY1817" s="77"/>
      <c r="AZ1817" s="81" t="s">
        <v>11359</v>
      </c>
      <c r="BA1817" s="81" t="s">
        <v>11359</v>
      </c>
      <c r="BB1817" s="81" t="s">
        <v>11359</v>
      </c>
      <c r="BC1817" s="81" t="s">
        <v>10930</v>
      </c>
      <c r="BD1817" s="77">
        <v>95443308</v>
      </c>
      <c r="BE1817" s="77"/>
      <c r="BF1817" s="77"/>
      <c r="BG1817" s="77"/>
      <c r="BH1817" s="77"/>
      <c r="BI1817" s="77"/>
    </row>
    <row r="1818" spans="1:61" x14ac:dyDescent="0.25">
      <c r="A1818" s="62" t="s">
        <v>755</v>
      </c>
      <c r="B1818" s="62" t="s">
        <v>953</v>
      </c>
      <c r="C1818" s="63"/>
      <c r="D1818" s="64"/>
      <c r="E1818" s="65"/>
      <c r="F1818" s="66"/>
      <c r="G1818" s="63"/>
      <c r="H1818" s="67"/>
      <c r="I1818" s="68"/>
      <c r="J1818" s="68"/>
      <c r="K1818" s="32"/>
      <c r="L1818" s="75">
        <v>1818</v>
      </c>
      <c r="M1818" s="75"/>
      <c r="N1818" s="70"/>
      <c r="O1818" s="77" t="s">
        <v>970</v>
      </c>
      <c r="P1818" s="79">
        <v>44969.097500000003</v>
      </c>
      <c r="Q1818" s="77" t="s">
        <v>2601</v>
      </c>
      <c r="R1818" s="77">
        <v>0</v>
      </c>
      <c r="S1818" s="77">
        <v>0</v>
      </c>
      <c r="T1818" s="77">
        <v>0</v>
      </c>
      <c r="U1818" s="77">
        <v>0</v>
      </c>
      <c r="V1818" s="77">
        <v>11</v>
      </c>
      <c r="W1818" s="81" t="s">
        <v>3934</v>
      </c>
      <c r="X1818" s="83" t="str">
        <f>HYPERLINK("https://artes-marketing-digital-site.my.canva.site/")</f>
        <v>https://artes-marketing-digital-site.my.canva.site/</v>
      </c>
      <c r="Y1818" s="77" t="s">
        <v>4333</v>
      </c>
      <c r="Z1818" s="77" t="s">
        <v>4384</v>
      </c>
      <c r="AA1818" s="77"/>
      <c r="AB1818" s="77"/>
      <c r="AC1818" s="81" t="s">
        <v>5801</v>
      </c>
      <c r="AD1818" s="77" t="s">
        <v>5851</v>
      </c>
      <c r="AE1818" s="83" t="str">
        <f>HYPERLINK("https://twitter.com/raquel69454086/status/1624594237890129920")</f>
        <v>https://twitter.com/raquel69454086/status/1624594237890129920</v>
      </c>
      <c r="AF1818" s="79">
        <v>44969.097500000003</v>
      </c>
      <c r="AG1818" s="85">
        <v>44969</v>
      </c>
      <c r="AH1818" s="81" t="s">
        <v>7449</v>
      </c>
      <c r="AI1818" s="77" t="b">
        <v>0</v>
      </c>
      <c r="AJ1818" s="77"/>
      <c r="AK1818" s="77"/>
      <c r="AL1818" s="77"/>
      <c r="AM1818" s="77"/>
      <c r="AN1818" s="77"/>
      <c r="AO1818" s="77"/>
      <c r="AP1818" s="77"/>
      <c r="AQ1818" s="77"/>
      <c r="AR1818" s="77"/>
      <c r="AS1818" s="77"/>
      <c r="AT1818" s="77"/>
      <c r="AU1818" s="77"/>
      <c r="AV1818" s="83" t="str">
        <f>HYPERLINK("https://pbs.twimg.com/profile_images/1658793604754595840/q4PbeBpa_normal.jpg")</f>
        <v>https://pbs.twimg.com/profile_images/1658793604754595840/q4PbeBpa_normal.jpg</v>
      </c>
      <c r="AW1818" s="81" t="s">
        <v>10931</v>
      </c>
      <c r="AX1818" s="81" t="s">
        <v>11310</v>
      </c>
      <c r="AY1818" s="81" t="s">
        <v>11352</v>
      </c>
      <c r="AZ1818" s="81" t="s">
        <v>11393</v>
      </c>
      <c r="BA1818" s="81" t="s">
        <v>11359</v>
      </c>
      <c r="BB1818" s="81" t="s">
        <v>11359</v>
      </c>
      <c r="BC1818" s="81" t="s">
        <v>11393</v>
      </c>
      <c r="BD1818" s="81" t="s">
        <v>11663</v>
      </c>
      <c r="BE1818" s="77"/>
      <c r="BF1818" s="77"/>
      <c r="BG1818" s="77"/>
      <c r="BH1818" s="77"/>
      <c r="BI1818" s="77"/>
    </row>
    <row r="1819" spans="1:61" x14ac:dyDescent="0.25">
      <c r="A1819" s="62" t="s">
        <v>755</v>
      </c>
      <c r="B1819" s="62" t="s">
        <v>954</v>
      </c>
      <c r="C1819" s="63"/>
      <c r="D1819" s="64"/>
      <c r="E1819" s="65"/>
      <c r="F1819" s="66"/>
      <c r="G1819" s="63"/>
      <c r="H1819" s="67"/>
      <c r="I1819" s="68"/>
      <c r="J1819" s="68"/>
      <c r="K1819" s="32"/>
      <c r="L1819" s="75">
        <v>1819</v>
      </c>
      <c r="M1819" s="75"/>
      <c r="N1819" s="70"/>
      <c r="O1819" s="77" t="s">
        <v>969</v>
      </c>
      <c r="P1819" s="79">
        <v>44969.097500000003</v>
      </c>
      <c r="Q1819" s="77" t="s">
        <v>2601</v>
      </c>
      <c r="R1819" s="77">
        <v>0</v>
      </c>
      <c r="S1819" s="77">
        <v>0</v>
      </c>
      <c r="T1819" s="77">
        <v>0</v>
      </c>
      <c r="U1819" s="77">
        <v>0</v>
      </c>
      <c r="V1819" s="77">
        <v>11</v>
      </c>
      <c r="W1819" s="81" t="s">
        <v>3934</v>
      </c>
      <c r="X1819" s="83" t="str">
        <f>HYPERLINK("https://artes-marketing-digital-site.my.canva.site/")</f>
        <v>https://artes-marketing-digital-site.my.canva.site/</v>
      </c>
      <c r="Y1819" s="77" t="s">
        <v>4333</v>
      </c>
      <c r="Z1819" s="77" t="s">
        <v>4384</v>
      </c>
      <c r="AA1819" s="77"/>
      <c r="AB1819" s="77"/>
      <c r="AC1819" s="81" t="s">
        <v>5801</v>
      </c>
      <c r="AD1819" s="77" t="s">
        <v>5851</v>
      </c>
      <c r="AE1819" s="83" t="str">
        <f>HYPERLINK("https://twitter.com/raquel69454086/status/1624594237890129920")</f>
        <v>https://twitter.com/raquel69454086/status/1624594237890129920</v>
      </c>
      <c r="AF1819" s="79">
        <v>44969.097500000003</v>
      </c>
      <c r="AG1819" s="85">
        <v>44969</v>
      </c>
      <c r="AH1819" s="81" t="s">
        <v>7449</v>
      </c>
      <c r="AI1819" s="77" t="b">
        <v>0</v>
      </c>
      <c r="AJ1819" s="77"/>
      <c r="AK1819" s="77"/>
      <c r="AL1819" s="77"/>
      <c r="AM1819" s="77"/>
      <c r="AN1819" s="77"/>
      <c r="AO1819" s="77"/>
      <c r="AP1819" s="77"/>
      <c r="AQ1819" s="77"/>
      <c r="AR1819" s="77"/>
      <c r="AS1819" s="77"/>
      <c r="AT1819" s="77"/>
      <c r="AU1819" s="77"/>
      <c r="AV1819" s="83" t="str">
        <f>HYPERLINK("https://pbs.twimg.com/profile_images/1658793604754595840/q4PbeBpa_normal.jpg")</f>
        <v>https://pbs.twimg.com/profile_images/1658793604754595840/q4PbeBpa_normal.jpg</v>
      </c>
      <c r="AW1819" s="81" t="s">
        <v>10931</v>
      </c>
      <c r="AX1819" s="81" t="s">
        <v>11310</v>
      </c>
      <c r="AY1819" s="81" t="s">
        <v>11352</v>
      </c>
      <c r="AZ1819" s="81" t="s">
        <v>11393</v>
      </c>
      <c r="BA1819" s="81" t="s">
        <v>11359</v>
      </c>
      <c r="BB1819" s="81" t="s">
        <v>11359</v>
      </c>
      <c r="BC1819" s="81" t="s">
        <v>11393</v>
      </c>
      <c r="BD1819" s="81" t="s">
        <v>11663</v>
      </c>
      <c r="BE1819" s="77"/>
      <c r="BF1819" s="77"/>
      <c r="BG1819" s="77"/>
      <c r="BH1819" s="77"/>
      <c r="BI1819" s="77"/>
    </row>
    <row r="1820" spans="1:61" x14ac:dyDescent="0.25">
      <c r="A1820" s="62" t="s">
        <v>756</v>
      </c>
      <c r="B1820" s="62" t="s">
        <v>756</v>
      </c>
      <c r="C1820" s="63"/>
      <c r="D1820" s="64"/>
      <c r="E1820" s="65"/>
      <c r="F1820" s="66"/>
      <c r="G1820" s="63"/>
      <c r="H1820" s="67"/>
      <c r="I1820" s="68"/>
      <c r="J1820" s="68"/>
      <c r="K1820" s="32"/>
      <c r="L1820" s="75">
        <v>1820</v>
      </c>
      <c r="M1820" s="75"/>
      <c r="N1820" s="70"/>
      <c r="O1820" s="77" t="s">
        <v>179</v>
      </c>
      <c r="P1820" s="79">
        <v>45005.725254629629</v>
      </c>
      <c r="Q1820" s="77" t="s">
        <v>2602</v>
      </c>
      <c r="R1820" s="77">
        <v>1</v>
      </c>
      <c r="S1820" s="77">
        <v>4</v>
      </c>
      <c r="T1820" s="77">
        <v>0</v>
      </c>
      <c r="U1820" s="77">
        <v>0</v>
      </c>
      <c r="V1820" s="77">
        <v>1732</v>
      </c>
      <c r="W1820" s="81" t="s">
        <v>3706</v>
      </c>
      <c r="X1820" s="83" t="str">
        <f>HYPERLINK("https://bit.ly/3JxCg1R")</f>
        <v>https://bit.ly/3JxCg1R</v>
      </c>
      <c r="Y1820" s="77" t="s">
        <v>4213</v>
      </c>
      <c r="Z1820" s="77"/>
      <c r="AA1820" s="77" t="s">
        <v>5599</v>
      </c>
      <c r="AB1820" s="77" t="s">
        <v>5794</v>
      </c>
      <c r="AC1820" s="81" t="s">
        <v>5811</v>
      </c>
      <c r="AD1820" s="77" t="s">
        <v>5850</v>
      </c>
      <c r="AE1820" s="83" t="str">
        <f>HYPERLINK("https://twitter.com/sonora969/status/1637867692659990580")</f>
        <v>https://twitter.com/sonora969/status/1637867692659990580</v>
      </c>
      <c r="AF1820" s="79">
        <v>45005.725254629629</v>
      </c>
      <c r="AG1820" s="85">
        <v>45005</v>
      </c>
      <c r="AH1820" s="81" t="s">
        <v>7450</v>
      </c>
      <c r="AI1820" s="77" t="b">
        <v>1</v>
      </c>
      <c r="AJ1820" s="77"/>
      <c r="AK1820" s="77"/>
      <c r="AL1820" s="77"/>
      <c r="AM1820" s="77"/>
      <c r="AN1820" s="77"/>
      <c r="AO1820" s="77"/>
      <c r="AP1820" s="77"/>
      <c r="AQ1820" s="77" t="s">
        <v>9102</v>
      </c>
      <c r="AR1820" s="77"/>
      <c r="AS1820" s="77"/>
      <c r="AT1820" s="77"/>
      <c r="AU1820" s="77"/>
      <c r="AV1820" s="83" t="str">
        <f>HYPERLINK("https://pbs.twimg.com/media/Frrf-SfWYAIxEo_.jpg")</f>
        <v>https://pbs.twimg.com/media/Frrf-SfWYAIxEo_.jpg</v>
      </c>
      <c r="AW1820" s="81" t="s">
        <v>10932</v>
      </c>
      <c r="AX1820" s="81" t="s">
        <v>10932</v>
      </c>
      <c r="AY1820" s="77"/>
      <c r="AZ1820" s="81" t="s">
        <v>11359</v>
      </c>
      <c r="BA1820" s="81" t="s">
        <v>11359</v>
      </c>
      <c r="BB1820" s="81" t="s">
        <v>11359</v>
      </c>
      <c r="BC1820" s="81" t="s">
        <v>10932</v>
      </c>
      <c r="BD1820" s="77">
        <v>235605750</v>
      </c>
      <c r="BE1820" s="77"/>
      <c r="BF1820" s="77"/>
      <c r="BG1820" s="77"/>
      <c r="BH1820" s="77"/>
      <c r="BI1820" s="77"/>
    </row>
    <row r="1821" spans="1:61" x14ac:dyDescent="0.25">
      <c r="A1821" s="62" t="s">
        <v>756</v>
      </c>
      <c r="B1821" s="62" t="s">
        <v>756</v>
      </c>
      <c r="C1821" s="63"/>
      <c r="D1821" s="64"/>
      <c r="E1821" s="65"/>
      <c r="F1821" s="66"/>
      <c r="G1821" s="63"/>
      <c r="H1821" s="67"/>
      <c r="I1821" s="68"/>
      <c r="J1821" s="68"/>
      <c r="K1821" s="32"/>
      <c r="L1821" s="75">
        <v>1821</v>
      </c>
      <c r="M1821" s="75"/>
      <c r="N1821" s="70"/>
      <c r="O1821" s="77" t="s">
        <v>179</v>
      </c>
      <c r="P1821" s="79">
        <v>45099.086886574078</v>
      </c>
      <c r="Q1821" s="77" t="s">
        <v>2603</v>
      </c>
      <c r="R1821" s="77">
        <v>0</v>
      </c>
      <c r="S1821" s="77">
        <v>1</v>
      </c>
      <c r="T1821" s="77">
        <v>0</v>
      </c>
      <c r="U1821" s="77">
        <v>0</v>
      </c>
      <c r="V1821" s="77">
        <v>2893</v>
      </c>
      <c r="W1821" s="81" t="s">
        <v>3935</v>
      </c>
      <c r="X1821" s="83" t="str">
        <f>HYPERLINK("https://bit.ly/3CETmrA")</f>
        <v>https://bit.ly/3CETmrA</v>
      </c>
      <c r="Y1821" s="77" t="s">
        <v>4213</v>
      </c>
      <c r="Z1821" s="77"/>
      <c r="AA1821" s="77"/>
      <c r="AB1821" s="77"/>
      <c r="AC1821" s="81" t="s">
        <v>5815</v>
      </c>
      <c r="AD1821" s="77" t="s">
        <v>5850</v>
      </c>
      <c r="AE1821" s="83" t="str">
        <f>HYPERLINK("https://twitter.com/sonora969/status/1671700812358189056")</f>
        <v>https://twitter.com/sonora969/status/1671700812358189056</v>
      </c>
      <c r="AF1821" s="79">
        <v>45099.086886574078</v>
      </c>
      <c r="AG1821" s="85">
        <v>45099</v>
      </c>
      <c r="AH1821" s="81" t="s">
        <v>7451</v>
      </c>
      <c r="AI1821" s="77" t="b">
        <v>1</v>
      </c>
      <c r="AJ1821" s="77"/>
      <c r="AK1821" s="77"/>
      <c r="AL1821" s="77"/>
      <c r="AM1821" s="77"/>
      <c r="AN1821" s="77"/>
      <c r="AO1821" s="77"/>
      <c r="AP1821" s="77"/>
      <c r="AQ1821" s="77"/>
      <c r="AR1821" s="77"/>
      <c r="AS1821" s="77"/>
      <c r="AT1821" s="77"/>
      <c r="AU1821" s="77"/>
      <c r="AV1821" s="83" t="str">
        <f>HYPERLINK("https://pbs.twimg.com/profile_images/1430170206526230542/ottW0CdZ_normal.jpg")</f>
        <v>https://pbs.twimg.com/profile_images/1430170206526230542/ottW0CdZ_normal.jpg</v>
      </c>
      <c r="AW1821" s="81" t="s">
        <v>10933</v>
      </c>
      <c r="AX1821" s="81" t="s">
        <v>10933</v>
      </c>
      <c r="AY1821" s="77"/>
      <c r="AZ1821" s="81" t="s">
        <v>11359</v>
      </c>
      <c r="BA1821" s="81" t="s">
        <v>11359</v>
      </c>
      <c r="BB1821" s="81" t="s">
        <v>11359</v>
      </c>
      <c r="BC1821" s="81" t="s">
        <v>10933</v>
      </c>
      <c r="BD1821" s="77">
        <v>235605750</v>
      </c>
      <c r="BE1821" s="77"/>
      <c r="BF1821" s="77"/>
      <c r="BG1821" s="77"/>
      <c r="BH1821" s="77"/>
      <c r="BI1821" s="77"/>
    </row>
    <row r="1822" spans="1:61" x14ac:dyDescent="0.25">
      <c r="A1822" s="62" t="s">
        <v>757</v>
      </c>
      <c r="B1822" s="62" t="s">
        <v>931</v>
      </c>
      <c r="C1822" s="63"/>
      <c r="D1822" s="64"/>
      <c r="E1822" s="65"/>
      <c r="F1822" s="66"/>
      <c r="G1822" s="63"/>
      <c r="H1822" s="67"/>
      <c r="I1822" s="68"/>
      <c r="J1822" s="68"/>
      <c r="K1822" s="32"/>
      <c r="L1822" s="75">
        <v>1822</v>
      </c>
      <c r="M1822" s="75"/>
      <c r="N1822" s="70"/>
      <c r="O1822" s="77" t="s">
        <v>967</v>
      </c>
      <c r="P1822" s="79">
        <v>45190.63208333333</v>
      </c>
      <c r="Q1822" s="77" t="s">
        <v>2604</v>
      </c>
      <c r="R1822" s="77">
        <v>0</v>
      </c>
      <c r="S1822" s="77">
        <v>0</v>
      </c>
      <c r="T1822" s="77">
        <v>0</v>
      </c>
      <c r="U1822" s="77">
        <v>0</v>
      </c>
      <c r="V1822" s="77">
        <v>5</v>
      </c>
      <c r="W1822" s="81" t="s">
        <v>3936</v>
      </c>
      <c r="X1822" s="83" t="str">
        <f>HYPERLINK("https://youtu.be/OcnQNjBDBmM?si=iK8VsCId6OHFzLmt")</f>
        <v>https://youtu.be/OcnQNjBDBmM?si=iK8VsCId6OHFzLmt</v>
      </c>
      <c r="Y1822" s="77" t="s">
        <v>4214</v>
      </c>
      <c r="Z1822" s="77" t="s">
        <v>931</v>
      </c>
      <c r="AA1822" s="77"/>
      <c r="AB1822" s="77"/>
      <c r="AC1822" s="81" t="s">
        <v>5805</v>
      </c>
      <c r="AD1822" s="77" t="s">
        <v>5851</v>
      </c>
      <c r="AE1822" s="83" t="str">
        <f>HYPERLINK("https://twitter.com/helder_willian/status/1704875683451642058")</f>
        <v>https://twitter.com/helder_willian/status/1704875683451642058</v>
      </c>
      <c r="AF1822" s="79">
        <v>45190.63208333333</v>
      </c>
      <c r="AG1822" s="85">
        <v>45190</v>
      </c>
      <c r="AH1822" s="81" t="s">
        <v>7452</v>
      </c>
      <c r="AI1822" s="77" t="b">
        <v>0</v>
      </c>
      <c r="AJ1822" s="77"/>
      <c r="AK1822" s="77"/>
      <c r="AL1822" s="77"/>
      <c r="AM1822" s="77"/>
      <c r="AN1822" s="77"/>
      <c r="AO1822" s="77"/>
      <c r="AP1822" s="77"/>
      <c r="AQ1822" s="77"/>
      <c r="AR1822" s="77"/>
      <c r="AS1822" s="77"/>
      <c r="AT1822" s="77"/>
      <c r="AU1822" s="77"/>
      <c r="AV1822" s="83" t="str">
        <f>HYPERLINK("https://pbs.twimg.com/profile_images/1599745178968915969/baYrbK-r_normal.jpg")</f>
        <v>https://pbs.twimg.com/profile_images/1599745178968915969/baYrbK-r_normal.jpg</v>
      </c>
      <c r="AW1822" s="81" t="s">
        <v>10934</v>
      </c>
      <c r="AX1822" s="81" t="s">
        <v>10934</v>
      </c>
      <c r="AY1822" s="77"/>
      <c r="AZ1822" s="81" t="s">
        <v>11359</v>
      </c>
      <c r="BA1822" s="81" t="s">
        <v>11359</v>
      </c>
      <c r="BB1822" s="81" t="s">
        <v>11359</v>
      </c>
      <c r="BC1822" s="81" t="s">
        <v>10934</v>
      </c>
      <c r="BD1822" s="77">
        <v>44367018</v>
      </c>
      <c r="BE1822" s="77"/>
      <c r="BF1822" s="77"/>
      <c r="BG1822" s="77"/>
      <c r="BH1822" s="77"/>
      <c r="BI1822" s="77"/>
    </row>
    <row r="1823" spans="1:61" x14ac:dyDescent="0.25">
      <c r="A1823" s="62" t="s">
        <v>757</v>
      </c>
      <c r="B1823" s="62" t="s">
        <v>757</v>
      </c>
      <c r="C1823" s="63"/>
      <c r="D1823" s="64"/>
      <c r="E1823" s="65"/>
      <c r="F1823" s="66"/>
      <c r="G1823" s="63"/>
      <c r="H1823" s="67"/>
      <c r="I1823" s="68"/>
      <c r="J1823" s="68"/>
      <c r="K1823" s="32"/>
      <c r="L1823" s="75">
        <v>1823</v>
      </c>
      <c r="M1823" s="75"/>
      <c r="N1823" s="70"/>
      <c r="O1823" s="77" t="s">
        <v>179</v>
      </c>
      <c r="P1823" s="79">
        <v>45047.50105324074</v>
      </c>
      <c r="Q1823" s="77" t="s">
        <v>2605</v>
      </c>
      <c r="R1823" s="77">
        <v>0</v>
      </c>
      <c r="S1823" s="77">
        <v>0</v>
      </c>
      <c r="T1823" s="77">
        <v>0</v>
      </c>
      <c r="U1823" s="77">
        <v>0</v>
      </c>
      <c r="V1823" s="77">
        <v>11</v>
      </c>
      <c r="W1823" s="81" t="s">
        <v>3937</v>
      </c>
      <c r="X1823" s="83" t="str">
        <f>HYPERLINK("https://podcasters.spotify.com/pod/show/pcontrol/episodes/7-Perguntas-para-fechar-QUALQUER-negcio-com-FACILIDADE---Pcontrol-Podcast-310-e22nqrk")</f>
        <v>https://podcasters.spotify.com/pod/show/pcontrol/episodes/7-Perguntas-para-fechar-QUALQUER-negcio-com-FACILIDADE---Pcontrol-Podcast-310-e22nqrk</v>
      </c>
      <c r="Y1823" s="77" t="s">
        <v>4334</v>
      </c>
      <c r="Z1823" s="77"/>
      <c r="AA1823" s="77"/>
      <c r="AB1823" s="77"/>
      <c r="AC1823" s="81" t="s">
        <v>5805</v>
      </c>
      <c r="AD1823" s="77" t="s">
        <v>5851</v>
      </c>
      <c r="AE1823" s="83" t="str">
        <f>HYPERLINK("https://twitter.com/helder_willian/status/1653006735861243905")</f>
        <v>https://twitter.com/helder_willian/status/1653006735861243905</v>
      </c>
      <c r="AF1823" s="79">
        <v>45047.50105324074</v>
      </c>
      <c r="AG1823" s="85">
        <v>45047</v>
      </c>
      <c r="AH1823" s="81" t="s">
        <v>7453</v>
      </c>
      <c r="AI1823" s="77" t="b">
        <v>0</v>
      </c>
      <c r="AJ1823" s="77"/>
      <c r="AK1823" s="77"/>
      <c r="AL1823" s="77"/>
      <c r="AM1823" s="77"/>
      <c r="AN1823" s="77"/>
      <c r="AO1823" s="77"/>
      <c r="AP1823" s="77"/>
      <c r="AQ1823" s="77"/>
      <c r="AR1823" s="77"/>
      <c r="AS1823" s="77"/>
      <c r="AT1823" s="77"/>
      <c r="AU1823" s="77"/>
      <c r="AV1823" s="83" t="str">
        <f>HYPERLINK("https://pbs.twimg.com/profile_images/1599745178968915969/baYrbK-r_normal.jpg")</f>
        <v>https://pbs.twimg.com/profile_images/1599745178968915969/baYrbK-r_normal.jpg</v>
      </c>
      <c r="AW1823" s="81" t="s">
        <v>10935</v>
      </c>
      <c r="AX1823" s="81" t="s">
        <v>10935</v>
      </c>
      <c r="AY1823" s="77"/>
      <c r="AZ1823" s="81" t="s">
        <v>11359</v>
      </c>
      <c r="BA1823" s="81" t="s">
        <v>11359</v>
      </c>
      <c r="BB1823" s="81" t="s">
        <v>11359</v>
      </c>
      <c r="BC1823" s="81" t="s">
        <v>10935</v>
      </c>
      <c r="BD1823" s="77">
        <v>44367018</v>
      </c>
      <c r="BE1823" s="77"/>
      <c r="BF1823" s="77"/>
      <c r="BG1823" s="77"/>
      <c r="BH1823" s="77"/>
      <c r="BI1823" s="77"/>
    </row>
    <row r="1824" spans="1:61" x14ac:dyDescent="0.25">
      <c r="A1824" s="62" t="s">
        <v>757</v>
      </c>
      <c r="B1824" s="62" t="s">
        <v>757</v>
      </c>
      <c r="C1824" s="63"/>
      <c r="D1824" s="64"/>
      <c r="E1824" s="65"/>
      <c r="F1824" s="66"/>
      <c r="G1824" s="63"/>
      <c r="H1824" s="67"/>
      <c r="I1824" s="68"/>
      <c r="J1824" s="68"/>
      <c r="K1824" s="32"/>
      <c r="L1824" s="75">
        <v>1824</v>
      </c>
      <c r="M1824" s="75"/>
      <c r="N1824" s="70"/>
      <c r="O1824" s="77" t="s">
        <v>179</v>
      </c>
      <c r="P1824" s="79">
        <v>45054.478078703702</v>
      </c>
      <c r="Q1824" s="77" t="s">
        <v>2606</v>
      </c>
      <c r="R1824" s="77">
        <v>0</v>
      </c>
      <c r="S1824" s="77">
        <v>0</v>
      </c>
      <c r="T1824" s="77">
        <v>0</v>
      </c>
      <c r="U1824" s="77">
        <v>0</v>
      </c>
      <c r="V1824" s="77">
        <v>23</v>
      </c>
      <c r="W1824" s="81" t="s">
        <v>3938</v>
      </c>
      <c r="X1824" s="83" t="str">
        <f>HYPERLINK("https://podcasters.spotify.com/pod/show/pcontrol/episodes/Vendedor-BONZINHO-ou-AGRESSIVO--qual-VENDE-MAIS--Pcontrol-Podcast-311-e234i88")</f>
        <v>https://podcasters.spotify.com/pod/show/pcontrol/episodes/Vendedor-BONZINHO-ou-AGRESSIVO--qual-VENDE-MAIS--Pcontrol-Podcast-311-e234i88</v>
      </c>
      <c r="Y1824" s="77" t="s">
        <v>4334</v>
      </c>
      <c r="Z1824" s="77"/>
      <c r="AA1824" s="77"/>
      <c r="AB1824" s="77"/>
      <c r="AC1824" s="81" t="s">
        <v>5805</v>
      </c>
      <c r="AD1824" s="77" t="s">
        <v>5851</v>
      </c>
      <c r="AE1824" s="83" t="str">
        <f>HYPERLINK("https://twitter.com/helder_willian/status/1655535125516414979")</f>
        <v>https://twitter.com/helder_willian/status/1655535125516414979</v>
      </c>
      <c r="AF1824" s="79">
        <v>45054.478078703702</v>
      </c>
      <c r="AG1824" s="85">
        <v>45054</v>
      </c>
      <c r="AH1824" s="81" t="s">
        <v>7454</v>
      </c>
      <c r="AI1824" s="77" t="b">
        <v>0</v>
      </c>
      <c r="AJ1824" s="77"/>
      <c r="AK1824" s="77"/>
      <c r="AL1824" s="77"/>
      <c r="AM1824" s="77"/>
      <c r="AN1824" s="77"/>
      <c r="AO1824" s="77"/>
      <c r="AP1824" s="77"/>
      <c r="AQ1824" s="77"/>
      <c r="AR1824" s="77"/>
      <c r="AS1824" s="77"/>
      <c r="AT1824" s="77"/>
      <c r="AU1824" s="77"/>
      <c r="AV1824" s="83" t="str">
        <f>HYPERLINK("https://pbs.twimg.com/profile_images/1599745178968915969/baYrbK-r_normal.jpg")</f>
        <v>https://pbs.twimg.com/profile_images/1599745178968915969/baYrbK-r_normal.jpg</v>
      </c>
      <c r="AW1824" s="81" t="s">
        <v>10936</v>
      </c>
      <c r="AX1824" s="81" t="s">
        <v>10936</v>
      </c>
      <c r="AY1824" s="77"/>
      <c r="AZ1824" s="81" t="s">
        <v>11359</v>
      </c>
      <c r="BA1824" s="81" t="s">
        <v>11359</v>
      </c>
      <c r="BB1824" s="81" t="s">
        <v>11359</v>
      </c>
      <c r="BC1824" s="81" t="s">
        <v>10936</v>
      </c>
      <c r="BD1824" s="77">
        <v>44367018</v>
      </c>
      <c r="BE1824" s="77"/>
      <c r="BF1824" s="77"/>
      <c r="BG1824" s="77"/>
      <c r="BH1824" s="77"/>
      <c r="BI1824" s="77"/>
    </row>
    <row r="1825" spans="1:61" x14ac:dyDescent="0.25">
      <c r="A1825" s="62" t="s">
        <v>757</v>
      </c>
      <c r="B1825" s="62" t="s">
        <v>757</v>
      </c>
      <c r="C1825" s="63"/>
      <c r="D1825" s="64"/>
      <c r="E1825" s="65"/>
      <c r="F1825" s="66"/>
      <c r="G1825" s="63"/>
      <c r="H1825" s="67"/>
      <c r="I1825" s="68"/>
      <c r="J1825" s="68"/>
      <c r="K1825" s="32"/>
      <c r="L1825" s="75">
        <v>1825</v>
      </c>
      <c r="M1825" s="75"/>
      <c r="N1825" s="70"/>
      <c r="O1825" s="77" t="s">
        <v>179</v>
      </c>
      <c r="P1825" s="79">
        <v>44994.47619212963</v>
      </c>
      <c r="Q1825" s="77" t="s">
        <v>2607</v>
      </c>
      <c r="R1825" s="77">
        <v>0</v>
      </c>
      <c r="S1825" s="77">
        <v>0</v>
      </c>
      <c r="T1825" s="77">
        <v>0</v>
      </c>
      <c r="U1825" s="77">
        <v>0</v>
      </c>
      <c r="V1825" s="77">
        <v>19</v>
      </c>
      <c r="W1825" s="81" t="s">
        <v>3939</v>
      </c>
      <c r="X1825" s="83" t="str">
        <f>HYPERLINK("https://www.youtube.com/watch?v=tQskW8QwRaA")</f>
        <v>https://www.youtube.com/watch?v=tQskW8QwRaA</v>
      </c>
      <c r="Y1825" s="77" t="s">
        <v>4225</v>
      </c>
      <c r="Z1825" s="77"/>
      <c r="AA1825" s="77"/>
      <c r="AB1825" s="77"/>
      <c r="AC1825" s="81" t="s">
        <v>5805</v>
      </c>
      <c r="AD1825" s="77" t="s">
        <v>5853</v>
      </c>
      <c r="AE1825" s="83" t="str">
        <f>HYPERLINK("https://twitter.com/helder_willian/status/1633791166427676675")</f>
        <v>https://twitter.com/helder_willian/status/1633791166427676675</v>
      </c>
      <c r="AF1825" s="79">
        <v>44994.47619212963</v>
      </c>
      <c r="AG1825" s="85">
        <v>44994</v>
      </c>
      <c r="AH1825" s="81" t="s">
        <v>7455</v>
      </c>
      <c r="AI1825" s="77" t="b">
        <v>0</v>
      </c>
      <c r="AJ1825" s="77"/>
      <c r="AK1825" s="77"/>
      <c r="AL1825" s="77"/>
      <c r="AM1825" s="77"/>
      <c r="AN1825" s="77"/>
      <c r="AO1825" s="77"/>
      <c r="AP1825" s="77"/>
      <c r="AQ1825" s="77"/>
      <c r="AR1825" s="77"/>
      <c r="AS1825" s="77"/>
      <c r="AT1825" s="77"/>
      <c r="AU1825" s="77"/>
      <c r="AV1825" s="83" t="str">
        <f>HYPERLINK("https://pbs.twimg.com/profile_images/1599745178968915969/baYrbK-r_normal.jpg")</f>
        <v>https://pbs.twimg.com/profile_images/1599745178968915969/baYrbK-r_normal.jpg</v>
      </c>
      <c r="AW1825" s="81" t="s">
        <v>10937</v>
      </c>
      <c r="AX1825" s="81" t="s">
        <v>10937</v>
      </c>
      <c r="AY1825" s="77"/>
      <c r="AZ1825" s="81" t="s">
        <v>11359</v>
      </c>
      <c r="BA1825" s="81" t="s">
        <v>11359</v>
      </c>
      <c r="BB1825" s="81" t="s">
        <v>11359</v>
      </c>
      <c r="BC1825" s="81" t="s">
        <v>10937</v>
      </c>
      <c r="BD1825" s="77">
        <v>44367018</v>
      </c>
      <c r="BE1825" s="77"/>
      <c r="BF1825" s="77"/>
      <c r="BG1825" s="77"/>
      <c r="BH1825" s="77"/>
      <c r="BI1825" s="77"/>
    </row>
    <row r="1826" spans="1:61" x14ac:dyDescent="0.25">
      <c r="A1826" s="62" t="s">
        <v>758</v>
      </c>
      <c r="B1826" s="62" t="s">
        <v>758</v>
      </c>
      <c r="C1826" s="63"/>
      <c r="D1826" s="64"/>
      <c r="E1826" s="65"/>
      <c r="F1826" s="66"/>
      <c r="G1826" s="63"/>
      <c r="H1826" s="67"/>
      <c r="I1826" s="68"/>
      <c r="J1826" s="68"/>
      <c r="K1826" s="32"/>
      <c r="L1826" s="75">
        <v>1826</v>
      </c>
      <c r="M1826" s="75"/>
      <c r="N1826" s="70"/>
      <c r="O1826" s="77" t="s">
        <v>179</v>
      </c>
      <c r="P1826" s="79">
        <v>45084.78361111111</v>
      </c>
      <c r="Q1826" s="77" t="s">
        <v>2608</v>
      </c>
      <c r="R1826" s="77">
        <v>0</v>
      </c>
      <c r="S1826" s="77">
        <v>0</v>
      </c>
      <c r="T1826" s="77">
        <v>0</v>
      </c>
      <c r="U1826" s="77">
        <v>0</v>
      </c>
      <c r="V1826" s="77">
        <v>16</v>
      </c>
      <c r="W1826" s="81" t="s">
        <v>3940</v>
      </c>
      <c r="X1826" s="83" t="str">
        <f>HYPERLINK("https://www.instagram.com/reel/CtMxPaBJJkB/?igshid=MTVlNTYxMjY2ZQ==")</f>
        <v>https://www.instagram.com/reel/CtMxPaBJJkB/?igshid=MTVlNTYxMjY2ZQ==</v>
      </c>
      <c r="Y1826" s="77" t="s">
        <v>4215</v>
      </c>
      <c r="Z1826" s="77"/>
      <c r="AA1826" s="77"/>
      <c r="AB1826" s="77"/>
      <c r="AC1826" s="81" t="s">
        <v>5803</v>
      </c>
      <c r="AD1826" s="77" t="s">
        <v>5851</v>
      </c>
      <c r="AE1826" s="83" t="str">
        <f>HYPERLINK("https://twitter.com/carlossantosven/status/1666517481496649759")</f>
        <v>https://twitter.com/carlossantosven/status/1666517481496649759</v>
      </c>
      <c r="AF1826" s="79">
        <v>45084.78361111111</v>
      </c>
      <c r="AG1826" s="85">
        <v>45084</v>
      </c>
      <c r="AH1826" s="81" t="s">
        <v>7456</v>
      </c>
      <c r="AI1826" s="77" t="b">
        <v>0</v>
      </c>
      <c r="AJ1826" s="77"/>
      <c r="AK1826" s="77"/>
      <c r="AL1826" s="77"/>
      <c r="AM1826" s="77"/>
      <c r="AN1826" s="77"/>
      <c r="AO1826" s="77"/>
      <c r="AP1826" s="77"/>
      <c r="AQ1826" s="77"/>
      <c r="AR1826" s="77"/>
      <c r="AS1826" s="77"/>
      <c r="AT1826" s="77"/>
      <c r="AU1826" s="77"/>
      <c r="AV1826" s="83" t="str">
        <f>HYPERLINK("https://pbs.twimg.com/profile_images/1689793014967808000/lUn5o0vi_normal.jpg")</f>
        <v>https://pbs.twimg.com/profile_images/1689793014967808000/lUn5o0vi_normal.jpg</v>
      </c>
      <c r="AW1826" s="81" t="s">
        <v>10938</v>
      </c>
      <c r="AX1826" s="81" t="s">
        <v>10938</v>
      </c>
      <c r="AY1826" s="77"/>
      <c r="AZ1826" s="81" t="s">
        <v>11359</v>
      </c>
      <c r="BA1826" s="81" t="s">
        <v>11359</v>
      </c>
      <c r="BB1826" s="81" t="s">
        <v>11359</v>
      </c>
      <c r="BC1826" s="81" t="s">
        <v>10938</v>
      </c>
      <c r="BD1826" s="77">
        <v>277150932</v>
      </c>
      <c r="BE1826" s="77"/>
      <c r="BF1826" s="77"/>
      <c r="BG1826" s="77"/>
      <c r="BH1826" s="77"/>
      <c r="BI1826" s="77"/>
    </row>
    <row r="1827" spans="1:61" x14ac:dyDescent="0.25">
      <c r="A1827" s="62" t="s">
        <v>758</v>
      </c>
      <c r="B1827" s="62" t="s">
        <v>758</v>
      </c>
      <c r="C1827" s="63"/>
      <c r="D1827" s="64"/>
      <c r="E1827" s="65"/>
      <c r="F1827" s="66"/>
      <c r="G1827" s="63"/>
      <c r="H1827" s="67"/>
      <c r="I1827" s="68"/>
      <c r="J1827" s="68"/>
      <c r="K1827" s="32"/>
      <c r="L1827" s="75">
        <v>1827</v>
      </c>
      <c r="M1827" s="75"/>
      <c r="N1827" s="70"/>
      <c r="O1827" s="77" t="s">
        <v>179</v>
      </c>
      <c r="P1827" s="79">
        <v>45136.582280092596</v>
      </c>
      <c r="Q1827" s="77" t="s">
        <v>2609</v>
      </c>
      <c r="R1827" s="77">
        <v>0</v>
      </c>
      <c r="S1827" s="77">
        <v>0</v>
      </c>
      <c r="T1827" s="77">
        <v>0</v>
      </c>
      <c r="U1827" s="77">
        <v>0</v>
      </c>
      <c r="V1827" s="77">
        <v>15</v>
      </c>
      <c r="W1827" s="81" t="s">
        <v>3941</v>
      </c>
      <c r="X1827" s="83" t="str">
        <f>HYPERLINK("https://www.youtube.com/live/qDnQrgOmT74?feature=share")</f>
        <v>https://www.youtube.com/live/qDnQrgOmT74?feature=share</v>
      </c>
      <c r="Y1827" s="77" t="s">
        <v>4225</v>
      </c>
      <c r="Z1827" s="77"/>
      <c r="AA1827" s="77"/>
      <c r="AB1827" s="77"/>
      <c r="AC1827" s="81" t="s">
        <v>5803</v>
      </c>
      <c r="AD1827" s="77" t="s">
        <v>5850</v>
      </c>
      <c r="AE1827" s="83" t="str">
        <f>HYPERLINK("https://twitter.com/carlossantosven/status/1685288691982319616")</f>
        <v>https://twitter.com/carlossantosven/status/1685288691982319616</v>
      </c>
      <c r="AF1827" s="79">
        <v>45136.582280092596</v>
      </c>
      <c r="AG1827" s="85">
        <v>45136</v>
      </c>
      <c r="AH1827" s="81" t="s">
        <v>7457</v>
      </c>
      <c r="AI1827" s="77" t="b">
        <v>0</v>
      </c>
      <c r="AJ1827" s="77"/>
      <c r="AK1827" s="77"/>
      <c r="AL1827" s="77"/>
      <c r="AM1827" s="77"/>
      <c r="AN1827" s="77"/>
      <c r="AO1827" s="77"/>
      <c r="AP1827" s="77"/>
      <c r="AQ1827" s="77"/>
      <c r="AR1827" s="77"/>
      <c r="AS1827" s="77"/>
      <c r="AT1827" s="77"/>
      <c r="AU1827" s="77"/>
      <c r="AV1827" s="83" t="str">
        <f>HYPERLINK("https://pbs.twimg.com/profile_images/1689793014967808000/lUn5o0vi_normal.jpg")</f>
        <v>https://pbs.twimg.com/profile_images/1689793014967808000/lUn5o0vi_normal.jpg</v>
      </c>
      <c r="AW1827" s="81" t="s">
        <v>10939</v>
      </c>
      <c r="AX1827" s="81" t="s">
        <v>10939</v>
      </c>
      <c r="AY1827" s="77"/>
      <c r="AZ1827" s="81" t="s">
        <v>11359</v>
      </c>
      <c r="BA1827" s="81" t="s">
        <v>11359</v>
      </c>
      <c r="BB1827" s="81" t="s">
        <v>11359</v>
      </c>
      <c r="BC1827" s="81" t="s">
        <v>10939</v>
      </c>
      <c r="BD1827" s="77">
        <v>277150932</v>
      </c>
      <c r="BE1827" s="77"/>
      <c r="BF1827" s="77"/>
      <c r="BG1827" s="77"/>
      <c r="BH1827" s="77"/>
      <c r="BI1827" s="77"/>
    </row>
    <row r="1828" spans="1:61" x14ac:dyDescent="0.25">
      <c r="A1828" s="62" t="s">
        <v>758</v>
      </c>
      <c r="B1828" s="62" t="s">
        <v>758</v>
      </c>
      <c r="C1828" s="63"/>
      <c r="D1828" s="64"/>
      <c r="E1828" s="65"/>
      <c r="F1828" s="66"/>
      <c r="G1828" s="63"/>
      <c r="H1828" s="67"/>
      <c r="I1828" s="68"/>
      <c r="J1828" s="68"/>
      <c r="K1828" s="32"/>
      <c r="L1828" s="75">
        <v>1828</v>
      </c>
      <c r="M1828" s="75"/>
      <c r="N1828" s="70"/>
      <c r="O1828" s="77" t="s">
        <v>179</v>
      </c>
      <c r="P1828" s="79">
        <v>45135.050428240742</v>
      </c>
      <c r="Q1828" s="77" t="s">
        <v>2610</v>
      </c>
      <c r="R1828" s="77">
        <v>0</v>
      </c>
      <c r="S1828" s="77">
        <v>0</v>
      </c>
      <c r="T1828" s="77">
        <v>0</v>
      </c>
      <c r="U1828" s="77">
        <v>0</v>
      </c>
      <c r="V1828" s="77">
        <v>22</v>
      </c>
      <c r="W1828" s="81" t="s">
        <v>3942</v>
      </c>
      <c r="X1828" s="77" t="s">
        <v>4201</v>
      </c>
      <c r="Y1828" s="77" t="s">
        <v>4335</v>
      </c>
      <c r="Z1828" s="77"/>
      <c r="AA1828" s="77"/>
      <c r="AB1828" s="77"/>
      <c r="AC1828" s="81" t="s">
        <v>5803</v>
      </c>
      <c r="AD1828" s="77" t="s">
        <v>5851</v>
      </c>
      <c r="AE1828" s="83" t="str">
        <f>HYPERLINK("https://twitter.com/carlossantosven/status/1684733563961315328")</f>
        <v>https://twitter.com/carlossantosven/status/1684733563961315328</v>
      </c>
      <c r="AF1828" s="79">
        <v>45135.050428240742</v>
      </c>
      <c r="AG1828" s="85">
        <v>45135</v>
      </c>
      <c r="AH1828" s="81" t="s">
        <v>7458</v>
      </c>
      <c r="AI1828" s="77" t="b">
        <v>0</v>
      </c>
      <c r="AJ1828" s="77"/>
      <c r="AK1828" s="77"/>
      <c r="AL1828" s="77"/>
      <c r="AM1828" s="77"/>
      <c r="AN1828" s="77"/>
      <c r="AO1828" s="77"/>
      <c r="AP1828" s="77"/>
      <c r="AQ1828" s="77"/>
      <c r="AR1828" s="77"/>
      <c r="AS1828" s="77"/>
      <c r="AT1828" s="77"/>
      <c r="AU1828" s="77"/>
      <c r="AV1828" s="83" t="str">
        <f>HYPERLINK("https://pbs.twimg.com/profile_images/1689793014967808000/lUn5o0vi_normal.jpg")</f>
        <v>https://pbs.twimg.com/profile_images/1689793014967808000/lUn5o0vi_normal.jpg</v>
      </c>
      <c r="AW1828" s="81" t="s">
        <v>10940</v>
      </c>
      <c r="AX1828" s="81" t="s">
        <v>10940</v>
      </c>
      <c r="AY1828" s="77"/>
      <c r="AZ1828" s="81" t="s">
        <v>11359</v>
      </c>
      <c r="BA1828" s="81" t="s">
        <v>11359</v>
      </c>
      <c r="BB1828" s="81" t="s">
        <v>11359</v>
      </c>
      <c r="BC1828" s="81" t="s">
        <v>10940</v>
      </c>
      <c r="BD1828" s="77">
        <v>277150932</v>
      </c>
      <c r="BE1828" s="77"/>
      <c r="BF1828" s="77"/>
      <c r="BG1828" s="77"/>
      <c r="BH1828" s="77"/>
      <c r="BI1828" s="77"/>
    </row>
    <row r="1829" spans="1:61" x14ac:dyDescent="0.25">
      <c r="A1829" s="62" t="s">
        <v>758</v>
      </c>
      <c r="B1829" s="62" t="s">
        <v>758</v>
      </c>
      <c r="C1829" s="63"/>
      <c r="D1829" s="64"/>
      <c r="E1829" s="65"/>
      <c r="F1829" s="66"/>
      <c r="G1829" s="63"/>
      <c r="H1829" s="67"/>
      <c r="I1829" s="68"/>
      <c r="J1829" s="68"/>
      <c r="K1829" s="32"/>
      <c r="L1829" s="75">
        <v>1829</v>
      </c>
      <c r="M1829" s="75"/>
      <c r="N1829" s="70"/>
      <c r="O1829" s="77" t="s">
        <v>179</v>
      </c>
      <c r="P1829" s="79">
        <v>45136.94122685185</v>
      </c>
      <c r="Q1829" s="77" t="s">
        <v>2611</v>
      </c>
      <c r="R1829" s="77">
        <v>0</v>
      </c>
      <c r="S1829" s="77">
        <v>0</v>
      </c>
      <c r="T1829" s="77">
        <v>0</v>
      </c>
      <c r="U1829" s="77">
        <v>0</v>
      </c>
      <c r="V1829" s="77">
        <v>24</v>
      </c>
      <c r="W1829" s="81" t="s">
        <v>3943</v>
      </c>
      <c r="X1829" s="77" t="s">
        <v>4202</v>
      </c>
      <c r="Y1829" s="77" t="s">
        <v>4336</v>
      </c>
      <c r="Z1829" s="77"/>
      <c r="AA1829" s="77"/>
      <c r="AB1829" s="77"/>
      <c r="AC1829" s="81" t="s">
        <v>5803</v>
      </c>
      <c r="AD1829" s="77" t="s">
        <v>5851</v>
      </c>
      <c r="AE1829" s="83" t="str">
        <f>HYPERLINK("https://twitter.com/carlossantosven/status/1685418767227015168")</f>
        <v>https://twitter.com/carlossantosven/status/1685418767227015168</v>
      </c>
      <c r="AF1829" s="79">
        <v>45136.94122685185</v>
      </c>
      <c r="AG1829" s="85">
        <v>45136</v>
      </c>
      <c r="AH1829" s="81" t="s">
        <v>7459</v>
      </c>
      <c r="AI1829" s="77" t="b">
        <v>0</v>
      </c>
      <c r="AJ1829" s="77"/>
      <c r="AK1829" s="77"/>
      <c r="AL1829" s="77"/>
      <c r="AM1829" s="77"/>
      <c r="AN1829" s="77"/>
      <c r="AO1829" s="77"/>
      <c r="AP1829" s="77"/>
      <c r="AQ1829" s="77"/>
      <c r="AR1829" s="77"/>
      <c r="AS1829" s="77"/>
      <c r="AT1829" s="77"/>
      <c r="AU1829" s="77"/>
      <c r="AV1829" s="83" t="str">
        <f>HYPERLINK("https://pbs.twimg.com/profile_images/1689793014967808000/lUn5o0vi_normal.jpg")</f>
        <v>https://pbs.twimg.com/profile_images/1689793014967808000/lUn5o0vi_normal.jpg</v>
      </c>
      <c r="AW1829" s="81" t="s">
        <v>10941</v>
      </c>
      <c r="AX1829" s="81" t="s">
        <v>10941</v>
      </c>
      <c r="AY1829" s="77"/>
      <c r="AZ1829" s="81" t="s">
        <v>11359</v>
      </c>
      <c r="BA1829" s="81" t="s">
        <v>11359</v>
      </c>
      <c r="BB1829" s="81" t="s">
        <v>11359</v>
      </c>
      <c r="BC1829" s="81" t="s">
        <v>10941</v>
      </c>
      <c r="BD1829" s="77">
        <v>277150932</v>
      </c>
      <c r="BE1829" s="77"/>
      <c r="BF1829" s="77"/>
      <c r="BG1829" s="77"/>
      <c r="BH1829" s="77"/>
      <c r="BI1829" s="77"/>
    </row>
    <row r="1830" spans="1:61" x14ac:dyDescent="0.25">
      <c r="A1830" s="62" t="s">
        <v>758</v>
      </c>
      <c r="B1830" s="62" t="s">
        <v>758</v>
      </c>
      <c r="C1830" s="63"/>
      <c r="D1830" s="64"/>
      <c r="E1830" s="65"/>
      <c r="F1830" s="66"/>
      <c r="G1830" s="63"/>
      <c r="H1830" s="67"/>
      <c r="I1830" s="68"/>
      <c r="J1830" s="68"/>
      <c r="K1830" s="32"/>
      <c r="L1830" s="75">
        <v>1830</v>
      </c>
      <c r="M1830" s="75"/>
      <c r="N1830" s="70"/>
      <c r="O1830" s="77" t="s">
        <v>179</v>
      </c>
      <c r="P1830" s="79">
        <v>45159.885601851849</v>
      </c>
      <c r="Q1830" s="77" t="s">
        <v>2612</v>
      </c>
      <c r="R1830" s="77">
        <v>0</v>
      </c>
      <c r="S1830" s="77">
        <v>0</v>
      </c>
      <c r="T1830" s="77">
        <v>0</v>
      </c>
      <c r="U1830" s="77">
        <v>0</v>
      </c>
      <c r="V1830" s="77">
        <v>18</v>
      </c>
      <c r="W1830" s="81" t="s">
        <v>3944</v>
      </c>
      <c r="X1830" s="83" t="str">
        <f>HYPERLINK("https://www.instagram.com/reel/CwOKFjtrbIT/?igshid=MTVlNTYxMjY2ZQ==")</f>
        <v>https://www.instagram.com/reel/CwOKFjtrbIT/?igshid=MTVlNTYxMjY2ZQ==</v>
      </c>
      <c r="Y1830" s="77" t="s">
        <v>4215</v>
      </c>
      <c r="Z1830" s="77"/>
      <c r="AA1830" s="77"/>
      <c r="AB1830" s="77"/>
      <c r="AC1830" s="81" t="s">
        <v>5803</v>
      </c>
      <c r="AD1830" s="77" t="s">
        <v>5851</v>
      </c>
      <c r="AE1830" s="83" t="str">
        <f>HYPERLINK("https://twitter.com/carlossantosven/status/1693733529371181175")</f>
        <v>https://twitter.com/carlossantosven/status/1693733529371181175</v>
      </c>
      <c r="AF1830" s="79">
        <v>45159.885601851849</v>
      </c>
      <c r="AG1830" s="85">
        <v>45159</v>
      </c>
      <c r="AH1830" s="81" t="s">
        <v>7460</v>
      </c>
      <c r="AI1830" s="77" t="b">
        <v>0</v>
      </c>
      <c r="AJ1830" s="77"/>
      <c r="AK1830" s="77"/>
      <c r="AL1830" s="77"/>
      <c r="AM1830" s="77"/>
      <c r="AN1830" s="77"/>
      <c r="AO1830" s="77"/>
      <c r="AP1830" s="77"/>
      <c r="AQ1830" s="77"/>
      <c r="AR1830" s="77"/>
      <c r="AS1830" s="77"/>
      <c r="AT1830" s="77"/>
      <c r="AU1830" s="77"/>
      <c r="AV1830" s="83" t="str">
        <f>HYPERLINK("https://pbs.twimg.com/profile_images/1689793014967808000/lUn5o0vi_normal.jpg")</f>
        <v>https://pbs.twimg.com/profile_images/1689793014967808000/lUn5o0vi_normal.jpg</v>
      </c>
      <c r="AW1830" s="81" t="s">
        <v>10942</v>
      </c>
      <c r="AX1830" s="81" t="s">
        <v>10942</v>
      </c>
      <c r="AY1830" s="77"/>
      <c r="AZ1830" s="81" t="s">
        <v>11359</v>
      </c>
      <c r="BA1830" s="81" t="s">
        <v>11359</v>
      </c>
      <c r="BB1830" s="81" t="s">
        <v>11359</v>
      </c>
      <c r="BC1830" s="81" t="s">
        <v>10942</v>
      </c>
      <c r="BD1830" s="77">
        <v>277150932</v>
      </c>
      <c r="BE1830" s="77"/>
      <c r="BF1830" s="77"/>
      <c r="BG1830" s="77"/>
      <c r="BH1830" s="77"/>
      <c r="BI1830" s="77"/>
    </row>
    <row r="1831" spans="1:61" x14ac:dyDescent="0.25">
      <c r="A1831" s="62" t="s">
        <v>758</v>
      </c>
      <c r="B1831" s="62" t="s">
        <v>758</v>
      </c>
      <c r="C1831" s="63"/>
      <c r="D1831" s="64"/>
      <c r="E1831" s="65"/>
      <c r="F1831" s="66"/>
      <c r="G1831" s="63"/>
      <c r="H1831" s="67"/>
      <c r="I1831" s="68"/>
      <c r="J1831" s="68"/>
      <c r="K1831" s="32"/>
      <c r="L1831" s="75">
        <v>1831</v>
      </c>
      <c r="M1831" s="75"/>
      <c r="N1831" s="70"/>
      <c r="O1831" s="77" t="s">
        <v>179</v>
      </c>
      <c r="P1831" s="79">
        <v>45064.542164351849</v>
      </c>
      <c r="Q1831" s="77" t="s">
        <v>2613</v>
      </c>
      <c r="R1831" s="77">
        <v>0</v>
      </c>
      <c r="S1831" s="77">
        <v>0</v>
      </c>
      <c r="T1831" s="77">
        <v>0</v>
      </c>
      <c r="U1831" s="77">
        <v>0</v>
      </c>
      <c r="V1831" s="77">
        <v>16</v>
      </c>
      <c r="W1831" s="81" t="s">
        <v>3945</v>
      </c>
      <c r="X1831" s="83" t="str">
        <f>HYPERLINK("https://www.instagram.com/s/aGlnaGxpZ2h0OjE3OTYxMTc1MzM5ODU1ODAz?story_media_id=3061372292708995903&amp;igshid=MTVlNTYxMjY2ZQ==")</f>
        <v>https://www.instagram.com/s/aGlnaGxpZ2h0OjE3OTYxMTc1MzM5ODU1ODAz?story_media_id=3061372292708995903&amp;igshid=MTVlNTYxMjY2ZQ==</v>
      </c>
      <c r="Y1831" s="77" t="s">
        <v>4215</v>
      </c>
      <c r="Z1831" s="77"/>
      <c r="AA1831" s="77"/>
      <c r="AB1831" s="77"/>
      <c r="AC1831" s="81" t="s">
        <v>5803</v>
      </c>
      <c r="AD1831" s="77" t="s">
        <v>5851</v>
      </c>
      <c r="AE1831" s="83" t="str">
        <f>HYPERLINK("https://twitter.com/carlossantosven/status/1659182226498527234")</f>
        <v>https://twitter.com/carlossantosven/status/1659182226498527234</v>
      </c>
      <c r="AF1831" s="79">
        <v>45064.542164351849</v>
      </c>
      <c r="AG1831" s="85">
        <v>45064</v>
      </c>
      <c r="AH1831" s="81" t="s">
        <v>7461</v>
      </c>
      <c r="AI1831" s="77" t="b">
        <v>0</v>
      </c>
      <c r="AJ1831" s="77"/>
      <c r="AK1831" s="77"/>
      <c r="AL1831" s="77"/>
      <c r="AM1831" s="77"/>
      <c r="AN1831" s="77"/>
      <c r="AO1831" s="77"/>
      <c r="AP1831" s="77"/>
      <c r="AQ1831" s="77"/>
      <c r="AR1831" s="77"/>
      <c r="AS1831" s="77"/>
      <c r="AT1831" s="77"/>
      <c r="AU1831" s="77"/>
      <c r="AV1831" s="83" t="str">
        <f>HYPERLINK("https://pbs.twimg.com/profile_images/1689793014967808000/lUn5o0vi_normal.jpg")</f>
        <v>https://pbs.twimg.com/profile_images/1689793014967808000/lUn5o0vi_normal.jpg</v>
      </c>
      <c r="AW1831" s="81" t="s">
        <v>10943</v>
      </c>
      <c r="AX1831" s="81" t="s">
        <v>10943</v>
      </c>
      <c r="AY1831" s="77"/>
      <c r="AZ1831" s="81" t="s">
        <v>11359</v>
      </c>
      <c r="BA1831" s="81" t="s">
        <v>11359</v>
      </c>
      <c r="BB1831" s="81" t="s">
        <v>11359</v>
      </c>
      <c r="BC1831" s="81" t="s">
        <v>10943</v>
      </c>
      <c r="BD1831" s="77">
        <v>277150932</v>
      </c>
      <c r="BE1831" s="77"/>
      <c r="BF1831" s="77"/>
      <c r="BG1831" s="77"/>
      <c r="BH1831" s="77"/>
      <c r="BI1831" s="77"/>
    </row>
    <row r="1832" spans="1:61" x14ac:dyDescent="0.25">
      <c r="A1832" s="62" t="s">
        <v>758</v>
      </c>
      <c r="B1832" s="62" t="s">
        <v>758</v>
      </c>
      <c r="C1832" s="63"/>
      <c r="D1832" s="64"/>
      <c r="E1832" s="65"/>
      <c r="F1832" s="66"/>
      <c r="G1832" s="63"/>
      <c r="H1832" s="67"/>
      <c r="I1832" s="68"/>
      <c r="J1832" s="68"/>
      <c r="K1832" s="32"/>
      <c r="L1832" s="75">
        <v>1832</v>
      </c>
      <c r="M1832" s="75"/>
      <c r="N1832" s="70"/>
      <c r="O1832" s="77" t="s">
        <v>179</v>
      </c>
      <c r="P1832" s="79">
        <v>45183.815509259257</v>
      </c>
      <c r="Q1832" s="77" t="s">
        <v>2614</v>
      </c>
      <c r="R1832" s="77">
        <v>0</v>
      </c>
      <c r="S1832" s="77">
        <v>0</v>
      </c>
      <c r="T1832" s="77">
        <v>0</v>
      </c>
      <c r="U1832" s="77">
        <v>0</v>
      </c>
      <c r="V1832" s="77">
        <v>16</v>
      </c>
      <c r="W1832" s="81" t="s">
        <v>3946</v>
      </c>
      <c r="X1832" s="77" t="s">
        <v>4203</v>
      </c>
      <c r="Y1832" s="77" t="s">
        <v>4336</v>
      </c>
      <c r="Z1832" s="77"/>
      <c r="AA1832" s="77"/>
      <c r="AB1832" s="77"/>
      <c r="AC1832" s="81" t="s">
        <v>5803</v>
      </c>
      <c r="AD1832" s="77" t="s">
        <v>5851</v>
      </c>
      <c r="AE1832" s="83" t="str">
        <f>HYPERLINK("https://twitter.com/carlossantosven/status/1702405440603119746")</f>
        <v>https://twitter.com/carlossantosven/status/1702405440603119746</v>
      </c>
      <c r="AF1832" s="79">
        <v>45183.815509259257</v>
      </c>
      <c r="AG1832" s="85">
        <v>45183</v>
      </c>
      <c r="AH1832" s="81" t="s">
        <v>7462</v>
      </c>
      <c r="AI1832" s="77" t="b">
        <v>0</v>
      </c>
      <c r="AJ1832" s="77"/>
      <c r="AK1832" s="77"/>
      <c r="AL1832" s="77"/>
      <c r="AM1832" s="77"/>
      <c r="AN1832" s="77"/>
      <c r="AO1832" s="77"/>
      <c r="AP1832" s="77"/>
      <c r="AQ1832" s="77"/>
      <c r="AR1832" s="77"/>
      <c r="AS1832" s="77"/>
      <c r="AT1832" s="77"/>
      <c r="AU1832" s="77"/>
      <c r="AV1832" s="83" t="str">
        <f>HYPERLINK("https://pbs.twimg.com/profile_images/1689793014967808000/lUn5o0vi_normal.jpg")</f>
        <v>https://pbs.twimg.com/profile_images/1689793014967808000/lUn5o0vi_normal.jpg</v>
      </c>
      <c r="AW1832" s="81" t="s">
        <v>10944</v>
      </c>
      <c r="AX1832" s="81" t="s">
        <v>10944</v>
      </c>
      <c r="AY1832" s="77"/>
      <c r="AZ1832" s="81" t="s">
        <v>11359</v>
      </c>
      <c r="BA1832" s="81" t="s">
        <v>11359</v>
      </c>
      <c r="BB1832" s="81" t="s">
        <v>11359</v>
      </c>
      <c r="BC1832" s="81" t="s">
        <v>10944</v>
      </c>
      <c r="BD1832" s="77">
        <v>277150932</v>
      </c>
      <c r="BE1832" s="77"/>
      <c r="BF1832" s="77"/>
      <c r="BG1832" s="77"/>
      <c r="BH1832" s="77"/>
      <c r="BI1832" s="77"/>
    </row>
    <row r="1833" spans="1:61" x14ac:dyDescent="0.25">
      <c r="A1833" s="62" t="s">
        <v>758</v>
      </c>
      <c r="B1833" s="62" t="s">
        <v>758</v>
      </c>
      <c r="C1833" s="63"/>
      <c r="D1833" s="64"/>
      <c r="E1833" s="65"/>
      <c r="F1833" s="66"/>
      <c r="G1833" s="63"/>
      <c r="H1833" s="67"/>
      <c r="I1833" s="68"/>
      <c r="J1833" s="68"/>
      <c r="K1833" s="32"/>
      <c r="L1833" s="75">
        <v>1833</v>
      </c>
      <c r="M1833" s="75"/>
      <c r="N1833" s="70"/>
      <c r="O1833" s="77" t="s">
        <v>179</v>
      </c>
      <c r="P1833" s="79">
        <v>45193.479259259257</v>
      </c>
      <c r="Q1833" s="77" t="s">
        <v>2615</v>
      </c>
      <c r="R1833" s="77">
        <v>0</v>
      </c>
      <c r="S1833" s="77">
        <v>1</v>
      </c>
      <c r="T1833" s="77">
        <v>0</v>
      </c>
      <c r="U1833" s="77">
        <v>0</v>
      </c>
      <c r="V1833" s="77">
        <v>42</v>
      </c>
      <c r="W1833" s="81" t="s">
        <v>3947</v>
      </c>
      <c r="X1833" s="83" t="str">
        <f>HYPERLINK("http://www.carlossantos.com.br")</f>
        <v>http://www.carlossantos.com.br</v>
      </c>
      <c r="Y1833" s="77" t="s">
        <v>4223</v>
      </c>
      <c r="Z1833" s="77"/>
      <c r="AA1833" s="77" t="s">
        <v>5600</v>
      </c>
      <c r="AB1833" s="77" t="s">
        <v>5795</v>
      </c>
      <c r="AC1833" s="81" t="s">
        <v>5803</v>
      </c>
      <c r="AD1833" s="77" t="s">
        <v>5851</v>
      </c>
      <c r="AE1833" s="83" t="str">
        <f>HYPERLINK("https://twitter.com/carlossantosven/status/1705907466100261068")</f>
        <v>https://twitter.com/carlossantosven/status/1705907466100261068</v>
      </c>
      <c r="AF1833" s="79">
        <v>45193.479259259257</v>
      </c>
      <c r="AG1833" s="85">
        <v>45193</v>
      </c>
      <c r="AH1833" s="81" t="s">
        <v>7463</v>
      </c>
      <c r="AI1833" s="77" t="b">
        <v>0</v>
      </c>
      <c r="AJ1833" s="77"/>
      <c r="AK1833" s="77"/>
      <c r="AL1833" s="77"/>
      <c r="AM1833" s="77"/>
      <c r="AN1833" s="77"/>
      <c r="AO1833" s="77"/>
      <c r="AP1833" s="77"/>
      <c r="AQ1833" s="77" t="s">
        <v>9103</v>
      </c>
      <c r="AR1833" s="77">
        <v>15348</v>
      </c>
      <c r="AS1833" s="77"/>
      <c r="AT1833" s="77"/>
      <c r="AU1833" s="77"/>
      <c r="AV1833" s="83" t="str">
        <f>HYPERLINK("https://pbs.twimg.com/amplify_video_thumb/1705907387255693312/img/UEpgO1RFA7n2311T.jpg")</f>
        <v>https://pbs.twimg.com/amplify_video_thumb/1705907387255693312/img/UEpgO1RFA7n2311T.jpg</v>
      </c>
      <c r="AW1833" s="81" t="s">
        <v>10945</v>
      </c>
      <c r="AX1833" s="81" t="s">
        <v>10945</v>
      </c>
      <c r="AY1833" s="77"/>
      <c r="AZ1833" s="81" t="s">
        <v>11359</v>
      </c>
      <c r="BA1833" s="81" t="s">
        <v>11359</v>
      </c>
      <c r="BB1833" s="81" t="s">
        <v>11359</v>
      </c>
      <c r="BC1833" s="81" t="s">
        <v>10945</v>
      </c>
      <c r="BD1833" s="77">
        <v>277150932</v>
      </c>
      <c r="BE1833" s="77"/>
      <c r="BF1833" s="77"/>
      <c r="BG1833" s="77"/>
      <c r="BH1833" s="77"/>
      <c r="BI1833" s="77"/>
    </row>
    <row r="1834" spans="1:61" x14ac:dyDescent="0.25">
      <c r="A1834" s="62" t="s">
        <v>758</v>
      </c>
      <c r="B1834" s="62" t="s">
        <v>758</v>
      </c>
      <c r="C1834" s="63"/>
      <c r="D1834" s="64"/>
      <c r="E1834" s="65"/>
      <c r="F1834" s="66"/>
      <c r="G1834" s="63"/>
      <c r="H1834" s="67"/>
      <c r="I1834" s="68"/>
      <c r="J1834" s="68"/>
      <c r="K1834" s="32"/>
      <c r="L1834" s="75">
        <v>1834</v>
      </c>
      <c r="M1834" s="75"/>
      <c r="N1834" s="70"/>
      <c r="O1834" s="77" t="s">
        <v>179</v>
      </c>
      <c r="P1834" s="79">
        <v>45146.258125</v>
      </c>
      <c r="Q1834" s="77" t="s">
        <v>2616</v>
      </c>
      <c r="R1834" s="77">
        <v>0</v>
      </c>
      <c r="S1834" s="77">
        <v>0</v>
      </c>
      <c r="T1834" s="77">
        <v>0</v>
      </c>
      <c r="U1834" s="77">
        <v>0</v>
      </c>
      <c r="V1834" s="77">
        <v>22</v>
      </c>
      <c r="W1834" s="81" t="s">
        <v>3948</v>
      </c>
      <c r="X1834" s="77" t="s">
        <v>4204</v>
      </c>
      <c r="Y1834" s="77" t="s">
        <v>4336</v>
      </c>
      <c r="Z1834" s="77"/>
      <c r="AA1834" s="77"/>
      <c r="AB1834" s="77"/>
      <c r="AC1834" s="81" t="s">
        <v>5803</v>
      </c>
      <c r="AD1834" s="77" t="s">
        <v>5851</v>
      </c>
      <c r="AE1834" s="83" t="str">
        <f>HYPERLINK("https://twitter.com/carlossantosven/status/1688795099608543232")</f>
        <v>https://twitter.com/carlossantosven/status/1688795099608543232</v>
      </c>
      <c r="AF1834" s="79">
        <v>45146.258125</v>
      </c>
      <c r="AG1834" s="85">
        <v>45146</v>
      </c>
      <c r="AH1834" s="81" t="s">
        <v>7464</v>
      </c>
      <c r="AI1834" s="77" t="b">
        <v>0</v>
      </c>
      <c r="AJ1834" s="77"/>
      <c r="AK1834" s="77"/>
      <c r="AL1834" s="77"/>
      <c r="AM1834" s="77"/>
      <c r="AN1834" s="77"/>
      <c r="AO1834" s="77"/>
      <c r="AP1834" s="77"/>
      <c r="AQ1834" s="77"/>
      <c r="AR1834" s="77"/>
      <c r="AS1834" s="77"/>
      <c r="AT1834" s="77"/>
      <c r="AU1834" s="77"/>
      <c r="AV1834" s="83" t="str">
        <f>HYPERLINK("https://pbs.twimg.com/profile_images/1689793014967808000/lUn5o0vi_normal.jpg")</f>
        <v>https://pbs.twimg.com/profile_images/1689793014967808000/lUn5o0vi_normal.jpg</v>
      </c>
      <c r="AW1834" s="81" t="s">
        <v>10946</v>
      </c>
      <c r="AX1834" s="81" t="s">
        <v>10946</v>
      </c>
      <c r="AY1834" s="77"/>
      <c r="AZ1834" s="81" t="s">
        <v>11359</v>
      </c>
      <c r="BA1834" s="81" t="s">
        <v>11359</v>
      </c>
      <c r="BB1834" s="81" t="s">
        <v>11359</v>
      </c>
      <c r="BC1834" s="81" t="s">
        <v>10946</v>
      </c>
      <c r="BD1834" s="77">
        <v>277150932</v>
      </c>
      <c r="BE1834" s="77"/>
      <c r="BF1834" s="77"/>
      <c r="BG1834" s="77"/>
      <c r="BH1834" s="77"/>
      <c r="BI1834" s="77"/>
    </row>
    <row r="1835" spans="1:61" x14ac:dyDescent="0.25">
      <c r="A1835" s="62" t="s">
        <v>758</v>
      </c>
      <c r="B1835" s="62" t="s">
        <v>758</v>
      </c>
      <c r="C1835" s="63"/>
      <c r="D1835" s="64"/>
      <c r="E1835" s="65"/>
      <c r="F1835" s="66"/>
      <c r="G1835" s="63"/>
      <c r="H1835" s="67"/>
      <c r="I1835" s="68"/>
      <c r="J1835" s="68"/>
      <c r="K1835" s="32"/>
      <c r="L1835" s="75">
        <v>1835</v>
      </c>
      <c r="M1835" s="75"/>
      <c r="N1835" s="70"/>
      <c r="O1835" s="77" t="s">
        <v>179</v>
      </c>
      <c r="P1835" s="79">
        <v>45086.576574074075</v>
      </c>
      <c r="Q1835" s="77" t="s">
        <v>2617</v>
      </c>
      <c r="R1835" s="77">
        <v>0</v>
      </c>
      <c r="S1835" s="77">
        <v>0</v>
      </c>
      <c r="T1835" s="77">
        <v>0</v>
      </c>
      <c r="U1835" s="77">
        <v>0</v>
      </c>
      <c r="V1835" s="77">
        <v>14</v>
      </c>
      <c r="W1835" s="81" t="s">
        <v>3949</v>
      </c>
      <c r="X1835" s="83" t="str">
        <f>HYPERLINK("http://www.carlossantos.com.br")</f>
        <v>http://www.carlossantos.com.br</v>
      </c>
      <c r="Y1835" s="77" t="s">
        <v>4223</v>
      </c>
      <c r="Z1835" s="77"/>
      <c r="AA1835" s="77" t="s">
        <v>5601</v>
      </c>
      <c r="AB1835" s="77" t="s">
        <v>5795</v>
      </c>
      <c r="AC1835" s="81" t="s">
        <v>5803</v>
      </c>
      <c r="AD1835" s="77" t="s">
        <v>5851</v>
      </c>
      <c r="AE1835" s="83" t="str">
        <f>HYPERLINK("https://twitter.com/carlossantosven/status/1667167227659812865")</f>
        <v>https://twitter.com/carlossantosven/status/1667167227659812865</v>
      </c>
      <c r="AF1835" s="79">
        <v>45086.576574074075</v>
      </c>
      <c r="AG1835" s="85">
        <v>45086</v>
      </c>
      <c r="AH1835" s="81" t="s">
        <v>7465</v>
      </c>
      <c r="AI1835" s="77" t="b">
        <v>0</v>
      </c>
      <c r="AJ1835" s="77"/>
      <c r="AK1835" s="77"/>
      <c r="AL1835" s="77"/>
      <c r="AM1835" s="77"/>
      <c r="AN1835" s="77"/>
      <c r="AO1835" s="77"/>
      <c r="AP1835" s="77"/>
      <c r="AQ1835" s="77" t="s">
        <v>9104</v>
      </c>
      <c r="AR1835" s="77">
        <v>20553</v>
      </c>
      <c r="AS1835" s="77"/>
      <c r="AT1835" s="77"/>
      <c r="AU1835" s="77"/>
      <c r="AV1835" s="83" t="str">
        <f>HYPERLINK("https://pbs.twimg.com/ext_tw_video_thumb/1667167164476915715/pu/img/yt-_Z2chLNtCApeO.jpg")</f>
        <v>https://pbs.twimg.com/ext_tw_video_thumb/1667167164476915715/pu/img/yt-_Z2chLNtCApeO.jpg</v>
      </c>
      <c r="AW1835" s="81" t="s">
        <v>10947</v>
      </c>
      <c r="AX1835" s="81" t="s">
        <v>10947</v>
      </c>
      <c r="AY1835" s="77"/>
      <c r="AZ1835" s="81" t="s">
        <v>11359</v>
      </c>
      <c r="BA1835" s="81" t="s">
        <v>11359</v>
      </c>
      <c r="BB1835" s="81" t="s">
        <v>11359</v>
      </c>
      <c r="BC1835" s="81" t="s">
        <v>10947</v>
      </c>
      <c r="BD1835" s="77">
        <v>277150932</v>
      </c>
      <c r="BE1835" s="77"/>
      <c r="BF1835" s="77"/>
      <c r="BG1835" s="77"/>
      <c r="BH1835" s="77"/>
      <c r="BI1835" s="77"/>
    </row>
    <row r="1836" spans="1:61" x14ac:dyDescent="0.25">
      <c r="A1836" s="62" t="s">
        <v>759</v>
      </c>
      <c r="B1836" s="62" t="s">
        <v>759</v>
      </c>
      <c r="C1836" s="63"/>
      <c r="D1836" s="64"/>
      <c r="E1836" s="65"/>
      <c r="F1836" s="66"/>
      <c r="G1836" s="63"/>
      <c r="H1836" s="67"/>
      <c r="I1836" s="68"/>
      <c r="J1836" s="68"/>
      <c r="K1836" s="32"/>
      <c r="L1836" s="75">
        <v>1836</v>
      </c>
      <c r="M1836" s="75"/>
      <c r="N1836" s="70"/>
      <c r="O1836" s="77" t="s">
        <v>179</v>
      </c>
      <c r="P1836" s="79">
        <v>45187.902777777781</v>
      </c>
      <c r="Q1836" s="77" t="s">
        <v>2618</v>
      </c>
      <c r="R1836" s="77">
        <v>0</v>
      </c>
      <c r="S1836" s="77">
        <v>0</v>
      </c>
      <c r="T1836" s="77">
        <v>0</v>
      </c>
      <c r="U1836" s="77">
        <v>0</v>
      </c>
      <c r="V1836" s="77">
        <v>2</v>
      </c>
      <c r="W1836" s="81" t="s">
        <v>3950</v>
      </c>
      <c r="X1836" s="77"/>
      <c r="Y1836" s="77"/>
      <c r="Z1836" s="77"/>
      <c r="AA1836" s="77" t="s">
        <v>5602</v>
      </c>
      <c r="AB1836" s="77" t="s">
        <v>5794</v>
      </c>
      <c r="AC1836" s="81" t="s">
        <v>5805</v>
      </c>
      <c r="AD1836" s="77" t="s">
        <v>5850</v>
      </c>
      <c r="AE1836" s="83" t="str">
        <f>HYPERLINK("https://twitter.com/binterchallenge/status/1703886614349611037")</f>
        <v>https://twitter.com/binterchallenge/status/1703886614349611037</v>
      </c>
      <c r="AF1836" s="79">
        <v>45187.902777777781</v>
      </c>
      <c r="AG1836" s="85">
        <v>45187</v>
      </c>
      <c r="AH1836" s="81" t="s">
        <v>7466</v>
      </c>
      <c r="AI1836" s="77" t="b">
        <v>0</v>
      </c>
      <c r="AJ1836" s="77"/>
      <c r="AK1836" s="77"/>
      <c r="AL1836" s="77"/>
      <c r="AM1836" s="77"/>
      <c r="AN1836" s="77"/>
      <c r="AO1836" s="77"/>
      <c r="AP1836" s="77"/>
      <c r="AQ1836" s="77" t="s">
        <v>9105</v>
      </c>
      <c r="AR1836" s="77"/>
      <c r="AS1836" s="77"/>
      <c r="AT1836" s="77"/>
      <c r="AU1836" s="77"/>
      <c r="AV1836" s="83" t="str">
        <f>HYPERLINK("https://pbs.twimg.com/media/F6Vpe2AW8AAp6Xz.jpg")</f>
        <v>https://pbs.twimg.com/media/F6Vpe2AW8AAp6Xz.jpg</v>
      </c>
      <c r="AW1836" s="81" t="s">
        <v>10948</v>
      </c>
      <c r="AX1836" s="81" t="s">
        <v>10948</v>
      </c>
      <c r="AY1836" s="77"/>
      <c r="AZ1836" s="81" t="s">
        <v>11359</v>
      </c>
      <c r="BA1836" s="81" t="s">
        <v>11359</v>
      </c>
      <c r="BB1836" s="81" t="s">
        <v>11359</v>
      </c>
      <c r="BC1836" s="81" t="s">
        <v>10948</v>
      </c>
      <c r="BD1836" s="81" t="s">
        <v>11664</v>
      </c>
      <c r="BE1836" s="77"/>
      <c r="BF1836" s="77"/>
      <c r="BG1836" s="77"/>
      <c r="BH1836" s="77"/>
      <c r="BI1836" s="77"/>
    </row>
    <row r="1837" spans="1:61" x14ac:dyDescent="0.25">
      <c r="A1837" s="62" t="s">
        <v>760</v>
      </c>
      <c r="B1837" s="62" t="s">
        <v>760</v>
      </c>
      <c r="C1837" s="63"/>
      <c r="D1837" s="64"/>
      <c r="E1837" s="65"/>
      <c r="F1837" s="66"/>
      <c r="G1837" s="63"/>
      <c r="H1837" s="67"/>
      <c r="I1837" s="68"/>
      <c r="J1837" s="68"/>
      <c r="K1837" s="32"/>
      <c r="L1837" s="75">
        <v>1837</v>
      </c>
      <c r="M1837" s="75"/>
      <c r="N1837" s="70"/>
      <c r="O1837" s="77" t="s">
        <v>969</v>
      </c>
      <c r="P1837" s="79">
        <v>45130.464571759258</v>
      </c>
      <c r="Q1837" s="77" t="s">
        <v>2619</v>
      </c>
      <c r="R1837" s="77">
        <v>1</v>
      </c>
      <c r="S1837" s="77">
        <v>1</v>
      </c>
      <c r="T1837" s="77">
        <v>1</v>
      </c>
      <c r="U1837" s="77">
        <v>0</v>
      </c>
      <c r="V1837" s="77">
        <v>78</v>
      </c>
      <c r="W1837" s="81" t="s">
        <v>3951</v>
      </c>
      <c r="X1837" s="77"/>
      <c r="Y1837" s="77"/>
      <c r="Z1837" s="77"/>
      <c r="AA1837" s="77"/>
      <c r="AB1837" s="77"/>
      <c r="AC1837" s="81" t="s">
        <v>5801</v>
      </c>
      <c r="AD1837" s="77" t="s">
        <v>5850</v>
      </c>
      <c r="AE1837" s="83" t="str">
        <f>HYPERLINK("https://twitter.com/feral_82/status/1683071706980655104")</f>
        <v>https://twitter.com/feral_82/status/1683071706980655104</v>
      </c>
      <c r="AF1837" s="79">
        <v>45130.464571759258</v>
      </c>
      <c r="AG1837" s="85">
        <v>45130</v>
      </c>
      <c r="AH1837" s="81" t="s">
        <v>7467</v>
      </c>
      <c r="AI1837" s="77"/>
      <c r="AJ1837" s="77"/>
      <c r="AK1837" s="77"/>
      <c r="AL1837" s="77"/>
      <c r="AM1837" s="77"/>
      <c r="AN1837" s="77"/>
      <c r="AO1837" s="77"/>
      <c r="AP1837" s="77"/>
      <c r="AQ1837" s="77"/>
      <c r="AR1837" s="77"/>
      <c r="AS1837" s="77"/>
      <c r="AT1837" s="77"/>
      <c r="AU1837" s="77"/>
      <c r="AV1837" s="83" t="str">
        <f>HYPERLINK("https://pbs.twimg.com/profile_images/830467128373420033/ouWCqZW__normal.jpg")</f>
        <v>https://pbs.twimg.com/profile_images/830467128373420033/ouWCqZW__normal.jpg</v>
      </c>
      <c r="AW1837" s="81" t="s">
        <v>10949</v>
      </c>
      <c r="AX1837" s="81" t="s">
        <v>11311</v>
      </c>
      <c r="AY1837" s="81" t="s">
        <v>11353</v>
      </c>
      <c r="AZ1837" s="81" t="s">
        <v>11394</v>
      </c>
      <c r="BA1837" s="81" t="s">
        <v>11359</v>
      </c>
      <c r="BB1837" s="81" t="s">
        <v>11359</v>
      </c>
      <c r="BC1837" s="81" t="s">
        <v>11394</v>
      </c>
      <c r="BD1837" s="77">
        <v>2822869686</v>
      </c>
      <c r="BE1837" s="77"/>
      <c r="BF1837" s="77"/>
      <c r="BG1837" s="77"/>
      <c r="BH1837" s="77"/>
      <c r="BI1837" s="77"/>
    </row>
    <row r="1838" spans="1:61" x14ac:dyDescent="0.25">
      <c r="A1838" s="62" t="s">
        <v>761</v>
      </c>
      <c r="B1838" s="62" t="s">
        <v>761</v>
      </c>
      <c r="C1838" s="63"/>
      <c r="D1838" s="64"/>
      <c r="E1838" s="65"/>
      <c r="F1838" s="66"/>
      <c r="G1838" s="63"/>
      <c r="H1838" s="67"/>
      <c r="I1838" s="68"/>
      <c r="J1838" s="68"/>
      <c r="K1838" s="32"/>
      <c r="L1838" s="75">
        <v>1838</v>
      </c>
      <c r="M1838" s="75"/>
      <c r="N1838" s="70"/>
      <c r="O1838" s="77" t="s">
        <v>179</v>
      </c>
      <c r="P1838" s="79">
        <v>45162.103194444448</v>
      </c>
      <c r="Q1838" s="77" t="s">
        <v>2620</v>
      </c>
      <c r="R1838" s="77">
        <v>0</v>
      </c>
      <c r="S1838" s="77">
        <v>1</v>
      </c>
      <c r="T1838" s="77">
        <v>0</v>
      </c>
      <c r="U1838" s="77">
        <v>0</v>
      </c>
      <c r="V1838" s="77">
        <v>12</v>
      </c>
      <c r="W1838" s="81" t="s">
        <v>3952</v>
      </c>
      <c r="X1838" s="77"/>
      <c r="Y1838" s="77"/>
      <c r="Z1838" s="77"/>
      <c r="AA1838" s="77"/>
      <c r="AB1838" s="77"/>
      <c r="AC1838" s="81" t="s">
        <v>5801</v>
      </c>
      <c r="AD1838" s="77" t="s">
        <v>5851</v>
      </c>
      <c r="AE1838" s="83" t="str">
        <f>HYPERLINK("https://twitter.com/sammuelfogaca/status/1694537161058513145")</f>
        <v>https://twitter.com/sammuelfogaca/status/1694537161058513145</v>
      </c>
      <c r="AF1838" s="79">
        <v>45162.103194444448</v>
      </c>
      <c r="AG1838" s="85">
        <v>45162</v>
      </c>
      <c r="AH1838" s="81" t="s">
        <v>7468</v>
      </c>
      <c r="AI1838" s="77"/>
      <c r="AJ1838" s="77"/>
      <c r="AK1838" s="77"/>
      <c r="AL1838" s="77"/>
      <c r="AM1838" s="77"/>
      <c r="AN1838" s="77"/>
      <c r="AO1838" s="77"/>
      <c r="AP1838" s="77"/>
      <c r="AQ1838" s="77"/>
      <c r="AR1838" s="77"/>
      <c r="AS1838" s="77"/>
      <c r="AT1838" s="77"/>
      <c r="AU1838" s="77"/>
      <c r="AV1838" s="83" t="str">
        <f>HYPERLINK("https://pbs.twimg.com/profile_images/1681124614037032960/XPllAfBu_normal.png")</f>
        <v>https://pbs.twimg.com/profile_images/1681124614037032960/XPllAfBu_normal.png</v>
      </c>
      <c r="AW1838" s="81" t="s">
        <v>10950</v>
      </c>
      <c r="AX1838" s="81" t="s">
        <v>10950</v>
      </c>
      <c r="AY1838" s="77"/>
      <c r="AZ1838" s="81" t="s">
        <v>11359</v>
      </c>
      <c r="BA1838" s="81" t="s">
        <v>11359</v>
      </c>
      <c r="BB1838" s="81" t="s">
        <v>11359</v>
      </c>
      <c r="BC1838" s="81" t="s">
        <v>10950</v>
      </c>
      <c r="BD1838" s="81" t="s">
        <v>11665</v>
      </c>
      <c r="BE1838" s="77"/>
      <c r="BF1838" s="77"/>
      <c r="BG1838" s="77"/>
      <c r="BH1838" s="77"/>
      <c r="BI1838" s="77"/>
    </row>
    <row r="1839" spans="1:61" x14ac:dyDescent="0.25">
      <c r="A1839" s="62" t="s">
        <v>762</v>
      </c>
      <c r="B1839" s="62" t="s">
        <v>762</v>
      </c>
      <c r="C1839" s="63"/>
      <c r="D1839" s="64"/>
      <c r="E1839" s="65"/>
      <c r="F1839" s="66"/>
      <c r="G1839" s="63"/>
      <c r="H1839" s="67"/>
      <c r="I1839" s="68"/>
      <c r="J1839" s="68"/>
      <c r="K1839" s="32"/>
      <c r="L1839" s="75">
        <v>1839</v>
      </c>
      <c r="M1839" s="75"/>
      <c r="N1839" s="70"/>
      <c r="O1839" s="77" t="s">
        <v>179</v>
      </c>
      <c r="P1839" s="79">
        <v>45191.808576388888</v>
      </c>
      <c r="Q1839" s="77" t="s">
        <v>2621</v>
      </c>
      <c r="R1839" s="77">
        <v>0</v>
      </c>
      <c r="S1839" s="77">
        <v>0</v>
      </c>
      <c r="T1839" s="77">
        <v>0</v>
      </c>
      <c r="U1839" s="77">
        <v>0</v>
      </c>
      <c r="V1839" s="77">
        <v>33</v>
      </c>
      <c r="W1839" s="81" t="s">
        <v>3953</v>
      </c>
      <c r="X1839" s="83" t="str">
        <f>HYPERLINK("https://www.elcucodigital.com/empresa-con-filial-en-tunuyan-busca-vendedor-de-maquinaria-agricola/")</f>
        <v>https://www.elcucodigital.com/empresa-con-filial-en-tunuyan-busca-vendedor-de-maquinaria-agricola/</v>
      </c>
      <c r="Y1839" s="77" t="s">
        <v>4337</v>
      </c>
      <c r="Z1839" s="77"/>
      <c r="AA1839" s="77" t="s">
        <v>5603</v>
      </c>
      <c r="AB1839" s="77" t="s">
        <v>5794</v>
      </c>
      <c r="AC1839" s="81" t="s">
        <v>5805</v>
      </c>
      <c r="AD1839" s="77" t="s">
        <v>5850</v>
      </c>
      <c r="AE1839" s="83" t="str">
        <f>HYPERLINK("https://twitter.com/elcucodigital/status/1705302029906653689")</f>
        <v>https://twitter.com/elcucodigital/status/1705302029906653689</v>
      </c>
      <c r="AF1839" s="79">
        <v>45191.808576388888</v>
      </c>
      <c r="AG1839" s="85">
        <v>45191</v>
      </c>
      <c r="AH1839" s="81" t="s">
        <v>7469</v>
      </c>
      <c r="AI1839" s="77" t="b">
        <v>0</v>
      </c>
      <c r="AJ1839" s="77"/>
      <c r="AK1839" s="77"/>
      <c r="AL1839" s="77"/>
      <c r="AM1839" s="77"/>
      <c r="AN1839" s="77"/>
      <c r="AO1839" s="77"/>
      <c r="AP1839" s="77"/>
      <c r="AQ1839" s="77" t="s">
        <v>9106</v>
      </c>
      <c r="AR1839" s="77"/>
      <c r="AS1839" s="77"/>
      <c r="AT1839" s="77"/>
      <c r="AU1839" s="77"/>
      <c r="AV1839" s="83" t="str">
        <f>HYPERLINK("https://pbs.twimg.com/media/F6pzHJ8WIAEtiMd.jpg")</f>
        <v>https://pbs.twimg.com/media/F6pzHJ8WIAEtiMd.jpg</v>
      </c>
      <c r="AW1839" s="81" t="s">
        <v>10951</v>
      </c>
      <c r="AX1839" s="81" t="s">
        <v>10951</v>
      </c>
      <c r="AY1839" s="77"/>
      <c r="AZ1839" s="81" t="s">
        <v>11359</v>
      </c>
      <c r="BA1839" s="81" t="s">
        <v>11359</v>
      </c>
      <c r="BB1839" s="81" t="s">
        <v>11359</v>
      </c>
      <c r="BC1839" s="81" t="s">
        <v>10951</v>
      </c>
      <c r="BD1839" s="77">
        <v>254611669</v>
      </c>
      <c r="BE1839" s="77"/>
      <c r="BF1839" s="77"/>
      <c r="BG1839" s="77"/>
      <c r="BH1839" s="77"/>
      <c r="BI1839" s="77"/>
    </row>
    <row r="1840" spans="1:61" x14ac:dyDescent="0.25">
      <c r="A1840" s="62" t="s">
        <v>763</v>
      </c>
      <c r="B1840" s="62" t="s">
        <v>763</v>
      </c>
      <c r="C1840" s="63"/>
      <c r="D1840" s="64"/>
      <c r="E1840" s="65"/>
      <c r="F1840" s="66"/>
      <c r="G1840" s="63"/>
      <c r="H1840" s="67"/>
      <c r="I1840" s="68"/>
      <c r="J1840" s="68"/>
      <c r="K1840" s="32"/>
      <c r="L1840" s="75">
        <v>1840</v>
      </c>
      <c r="M1840" s="75"/>
      <c r="N1840" s="70"/>
      <c r="O1840" s="77" t="s">
        <v>179</v>
      </c>
      <c r="P1840" s="79">
        <v>45189.961736111109</v>
      </c>
      <c r="Q1840" s="77" t="s">
        <v>2622</v>
      </c>
      <c r="R1840" s="77">
        <v>0</v>
      </c>
      <c r="S1840" s="77">
        <v>0</v>
      </c>
      <c r="T1840" s="77">
        <v>0</v>
      </c>
      <c r="U1840" s="77">
        <v>0</v>
      </c>
      <c r="V1840" s="77">
        <v>52</v>
      </c>
      <c r="W1840" s="81" t="s">
        <v>3954</v>
      </c>
      <c r="X1840" s="77"/>
      <c r="Y1840" s="77"/>
      <c r="Z1840" s="77"/>
      <c r="AA1840" s="77" t="s">
        <v>5604</v>
      </c>
      <c r="AB1840" s="77" t="s">
        <v>5795</v>
      </c>
      <c r="AC1840" s="81" t="s">
        <v>5803</v>
      </c>
      <c r="AD1840" s="77" t="s">
        <v>5851</v>
      </c>
      <c r="AE1840" s="83" t="str">
        <f>HYPERLINK("https://twitter.com/renatinhomota/status/1704632755366088748")</f>
        <v>https://twitter.com/renatinhomota/status/1704632755366088748</v>
      </c>
      <c r="AF1840" s="79">
        <v>45189.961736111109</v>
      </c>
      <c r="AG1840" s="85">
        <v>45189</v>
      </c>
      <c r="AH1840" s="81" t="s">
        <v>7470</v>
      </c>
      <c r="AI1840" s="77" t="b">
        <v>0</v>
      </c>
      <c r="AJ1840" s="77"/>
      <c r="AK1840" s="77"/>
      <c r="AL1840" s="77"/>
      <c r="AM1840" s="77"/>
      <c r="AN1840" s="77"/>
      <c r="AO1840" s="77"/>
      <c r="AP1840" s="77"/>
      <c r="AQ1840" s="77" t="s">
        <v>9107</v>
      </c>
      <c r="AR1840" s="77">
        <v>97400</v>
      </c>
      <c r="AS1840" s="77"/>
      <c r="AT1840" s="77"/>
      <c r="AU1840" s="77"/>
      <c r="AV1840" s="83" t="str">
        <f>HYPERLINK("https://pbs.twimg.com/ext_tw_video_thumb/1704632628492554240/pu/img/Fs_gIDErQzsG-10o.jpg")</f>
        <v>https://pbs.twimg.com/ext_tw_video_thumb/1704632628492554240/pu/img/Fs_gIDErQzsG-10o.jpg</v>
      </c>
      <c r="AW1840" s="81" t="s">
        <v>10952</v>
      </c>
      <c r="AX1840" s="81" t="s">
        <v>10952</v>
      </c>
      <c r="AY1840" s="77"/>
      <c r="AZ1840" s="81" t="s">
        <v>11359</v>
      </c>
      <c r="BA1840" s="81" t="s">
        <v>11359</v>
      </c>
      <c r="BB1840" s="81" t="s">
        <v>11359</v>
      </c>
      <c r="BC1840" s="81" t="s">
        <v>10952</v>
      </c>
      <c r="BD1840" s="77">
        <v>114741211</v>
      </c>
      <c r="BE1840" s="77"/>
      <c r="BF1840" s="77"/>
      <c r="BG1840" s="77"/>
      <c r="BH1840" s="77"/>
      <c r="BI1840" s="77"/>
    </row>
    <row r="1841" spans="1:61" x14ac:dyDescent="0.25">
      <c r="A1841" s="62" t="s">
        <v>763</v>
      </c>
      <c r="B1841" s="62" t="s">
        <v>763</v>
      </c>
      <c r="C1841" s="63"/>
      <c r="D1841" s="64"/>
      <c r="E1841" s="65"/>
      <c r="F1841" s="66"/>
      <c r="G1841" s="63"/>
      <c r="H1841" s="67"/>
      <c r="I1841" s="68"/>
      <c r="J1841" s="68"/>
      <c r="K1841" s="32"/>
      <c r="L1841" s="75">
        <v>1841</v>
      </c>
      <c r="M1841" s="75"/>
      <c r="N1841" s="70"/>
      <c r="O1841" s="77" t="s">
        <v>179</v>
      </c>
      <c r="P1841" s="79">
        <v>45196.997743055559</v>
      </c>
      <c r="Q1841" s="77" t="s">
        <v>2623</v>
      </c>
      <c r="R1841" s="77">
        <v>0</v>
      </c>
      <c r="S1841" s="77">
        <v>0</v>
      </c>
      <c r="T1841" s="77">
        <v>0</v>
      </c>
      <c r="U1841" s="77">
        <v>0</v>
      </c>
      <c r="V1841" s="77">
        <v>9</v>
      </c>
      <c r="W1841" s="81" t="s">
        <v>3955</v>
      </c>
      <c r="X1841" s="77"/>
      <c r="Y1841" s="77"/>
      <c r="Z1841" s="77"/>
      <c r="AA1841" s="77" t="s">
        <v>5605</v>
      </c>
      <c r="AB1841" s="77" t="s">
        <v>5795</v>
      </c>
      <c r="AC1841" s="81" t="s">
        <v>5803</v>
      </c>
      <c r="AD1841" s="77" t="s">
        <v>5851</v>
      </c>
      <c r="AE1841" s="83" t="str">
        <f>HYPERLINK("https://twitter.com/renatinhomota/status/1707182522369491217")</f>
        <v>https://twitter.com/renatinhomota/status/1707182522369491217</v>
      </c>
      <c r="AF1841" s="79">
        <v>45196.997743055559</v>
      </c>
      <c r="AG1841" s="85">
        <v>45196</v>
      </c>
      <c r="AH1841" s="81" t="s">
        <v>7471</v>
      </c>
      <c r="AI1841" s="77" t="b">
        <v>0</v>
      </c>
      <c r="AJ1841" s="77"/>
      <c r="AK1841" s="77"/>
      <c r="AL1841" s="77"/>
      <c r="AM1841" s="77"/>
      <c r="AN1841" s="77"/>
      <c r="AO1841" s="77"/>
      <c r="AP1841" s="77"/>
      <c r="AQ1841" s="77" t="s">
        <v>9108</v>
      </c>
      <c r="AR1841" s="77">
        <v>91733</v>
      </c>
      <c r="AS1841" s="77"/>
      <c r="AT1841" s="77"/>
      <c r="AU1841" s="77"/>
      <c r="AV1841" s="83" t="str">
        <f>HYPERLINK("https://pbs.twimg.com/ext_tw_video_thumb/1707182412893995008/pu/img/_fZV_sxJWK1aqwQy.jpg")</f>
        <v>https://pbs.twimg.com/ext_tw_video_thumb/1707182412893995008/pu/img/_fZV_sxJWK1aqwQy.jpg</v>
      </c>
      <c r="AW1841" s="81" t="s">
        <v>10953</v>
      </c>
      <c r="AX1841" s="81" t="s">
        <v>10953</v>
      </c>
      <c r="AY1841" s="77"/>
      <c r="AZ1841" s="81" t="s">
        <v>11359</v>
      </c>
      <c r="BA1841" s="81" t="s">
        <v>11359</v>
      </c>
      <c r="BB1841" s="81" t="s">
        <v>11359</v>
      </c>
      <c r="BC1841" s="81" t="s">
        <v>10953</v>
      </c>
      <c r="BD1841" s="77">
        <v>114741211</v>
      </c>
      <c r="BE1841" s="77"/>
      <c r="BF1841" s="77"/>
      <c r="BG1841" s="77"/>
      <c r="BH1841" s="77"/>
      <c r="BI1841" s="77"/>
    </row>
    <row r="1842" spans="1:61" x14ac:dyDescent="0.25">
      <c r="A1842" s="62" t="s">
        <v>764</v>
      </c>
      <c r="B1842" s="62" t="s">
        <v>764</v>
      </c>
      <c r="C1842" s="63"/>
      <c r="D1842" s="64"/>
      <c r="E1842" s="65"/>
      <c r="F1842" s="66"/>
      <c r="G1842" s="63"/>
      <c r="H1842" s="67"/>
      <c r="I1842" s="68"/>
      <c r="J1842" s="68"/>
      <c r="K1842" s="32"/>
      <c r="L1842" s="75">
        <v>1842</v>
      </c>
      <c r="M1842" s="75"/>
      <c r="N1842" s="70"/>
      <c r="O1842" s="77" t="s">
        <v>179</v>
      </c>
      <c r="P1842" s="79">
        <v>44945.704027777778</v>
      </c>
      <c r="Q1842" s="77" t="s">
        <v>2624</v>
      </c>
      <c r="R1842" s="77">
        <v>0</v>
      </c>
      <c r="S1842" s="77">
        <v>0</v>
      </c>
      <c r="T1842" s="77">
        <v>0</v>
      </c>
      <c r="U1842" s="77">
        <v>0</v>
      </c>
      <c r="V1842" s="77">
        <v>18</v>
      </c>
      <c r="W1842" s="81" t="s">
        <v>2947</v>
      </c>
      <c r="X1842" s="83" t="str">
        <f>HYPERLINK("https://www.facebook.com/reel/701614551626380")</f>
        <v>https://www.facebook.com/reel/701614551626380</v>
      </c>
      <c r="Y1842" s="77" t="s">
        <v>4251</v>
      </c>
      <c r="Z1842" s="77"/>
      <c r="AA1842" s="77"/>
      <c r="AB1842" s="77"/>
      <c r="AC1842" s="81" t="s">
        <v>5805</v>
      </c>
      <c r="AD1842" s="77" t="s">
        <v>5850</v>
      </c>
      <c r="AE1842" s="83" t="str">
        <f>HYPERLINK("https://twitter.com/atxbusiness/status/1616116725631619079")</f>
        <v>https://twitter.com/atxbusiness/status/1616116725631619079</v>
      </c>
      <c r="AF1842" s="79">
        <v>44945.704027777778</v>
      </c>
      <c r="AG1842" s="85">
        <v>44945</v>
      </c>
      <c r="AH1842" s="81" t="s">
        <v>7472</v>
      </c>
      <c r="AI1842" s="77" t="b">
        <v>0</v>
      </c>
      <c r="AJ1842" s="77"/>
      <c r="AK1842" s="77"/>
      <c r="AL1842" s="77"/>
      <c r="AM1842" s="77"/>
      <c r="AN1842" s="77"/>
      <c r="AO1842" s="77"/>
      <c r="AP1842" s="77"/>
      <c r="AQ1842" s="77"/>
      <c r="AR1842" s="77"/>
      <c r="AS1842" s="77"/>
      <c r="AT1842" s="77"/>
      <c r="AU1842" s="77"/>
      <c r="AV1842" s="83" t="str">
        <f>HYPERLINK("https://pbs.twimg.com/profile_images/1706704101629947904/F5SkC3Pf_normal.jpg")</f>
        <v>https://pbs.twimg.com/profile_images/1706704101629947904/F5SkC3Pf_normal.jpg</v>
      </c>
      <c r="AW1842" s="81" t="s">
        <v>10954</v>
      </c>
      <c r="AX1842" s="81" t="s">
        <v>10954</v>
      </c>
      <c r="AY1842" s="77"/>
      <c r="AZ1842" s="81" t="s">
        <v>11359</v>
      </c>
      <c r="BA1842" s="81" t="s">
        <v>11359</v>
      </c>
      <c r="BB1842" s="81" t="s">
        <v>11359</v>
      </c>
      <c r="BC1842" s="81" t="s">
        <v>10954</v>
      </c>
      <c r="BD1842" s="77">
        <v>73300504</v>
      </c>
      <c r="BE1842" s="77"/>
      <c r="BF1842" s="77"/>
      <c r="BG1842" s="77"/>
      <c r="BH1842" s="77"/>
      <c r="BI1842" s="77"/>
    </row>
    <row r="1843" spans="1:61" x14ac:dyDescent="0.25">
      <c r="A1843" s="62" t="s">
        <v>765</v>
      </c>
      <c r="B1843" s="62" t="s">
        <v>765</v>
      </c>
      <c r="C1843" s="63"/>
      <c r="D1843" s="64"/>
      <c r="E1843" s="65"/>
      <c r="F1843" s="66"/>
      <c r="G1843" s="63"/>
      <c r="H1843" s="67"/>
      <c r="I1843" s="68"/>
      <c r="J1843" s="68"/>
      <c r="K1843" s="32"/>
      <c r="L1843" s="75">
        <v>1843</v>
      </c>
      <c r="M1843" s="75"/>
      <c r="N1843" s="70"/>
      <c r="O1843" s="77" t="s">
        <v>179</v>
      </c>
      <c r="P1843" s="79">
        <v>45175.700115740743</v>
      </c>
      <c r="Q1843" s="77" t="s">
        <v>2625</v>
      </c>
      <c r="R1843" s="77">
        <v>0</v>
      </c>
      <c r="S1843" s="77">
        <v>0</v>
      </c>
      <c r="T1843" s="77">
        <v>0</v>
      </c>
      <c r="U1843" s="77">
        <v>0</v>
      </c>
      <c r="V1843" s="77">
        <v>45</v>
      </c>
      <c r="W1843" s="81" t="s">
        <v>3956</v>
      </c>
      <c r="X1843" s="83" t="str">
        <f>HYPERLINK("https://wa.me/525513195212")</f>
        <v>https://wa.me/525513195212</v>
      </c>
      <c r="Y1843" s="77" t="s">
        <v>4338</v>
      </c>
      <c r="Z1843" s="77"/>
      <c r="AA1843" s="77" t="s">
        <v>5606</v>
      </c>
      <c r="AB1843" s="77" t="s">
        <v>5794</v>
      </c>
      <c r="AC1843" s="81" t="s">
        <v>5805</v>
      </c>
      <c r="AD1843" s="77" t="s">
        <v>5850</v>
      </c>
      <c r="AE1843" s="83" t="str">
        <f>HYPERLINK("https://twitter.com/recluitmx/status/1699464519200956613")</f>
        <v>https://twitter.com/recluitmx/status/1699464519200956613</v>
      </c>
      <c r="AF1843" s="79">
        <v>45175.700115740743</v>
      </c>
      <c r="AG1843" s="85">
        <v>45175</v>
      </c>
      <c r="AH1843" s="81" t="s">
        <v>7473</v>
      </c>
      <c r="AI1843" s="77" t="b">
        <v>0</v>
      </c>
      <c r="AJ1843" s="77"/>
      <c r="AK1843" s="77"/>
      <c r="AL1843" s="77"/>
      <c r="AM1843" s="77"/>
      <c r="AN1843" s="77"/>
      <c r="AO1843" s="77"/>
      <c r="AP1843" s="77"/>
      <c r="AQ1843" s="77" t="s">
        <v>9109</v>
      </c>
      <c r="AR1843" s="77"/>
      <c r="AS1843" s="77"/>
      <c r="AT1843" s="77"/>
      <c r="AU1843" s="77"/>
      <c r="AV1843" s="83" t="str">
        <f>HYPERLINK("https://pbs.twimg.com/media/F5W1xIgaYAAedmO.jpg")</f>
        <v>https://pbs.twimg.com/media/F5W1xIgaYAAedmO.jpg</v>
      </c>
      <c r="AW1843" s="81" t="s">
        <v>10955</v>
      </c>
      <c r="AX1843" s="81" t="s">
        <v>10955</v>
      </c>
      <c r="AY1843" s="77"/>
      <c r="AZ1843" s="81" t="s">
        <v>11359</v>
      </c>
      <c r="BA1843" s="81" t="s">
        <v>11359</v>
      </c>
      <c r="BB1843" s="81" t="s">
        <v>11359</v>
      </c>
      <c r="BC1843" s="81" t="s">
        <v>10955</v>
      </c>
      <c r="BD1843" s="77">
        <v>1618336122</v>
      </c>
      <c r="BE1843" s="77"/>
      <c r="BF1843" s="77"/>
      <c r="BG1843" s="77"/>
      <c r="BH1843" s="77"/>
      <c r="BI1843" s="77"/>
    </row>
    <row r="1844" spans="1:61" x14ac:dyDescent="0.25">
      <c r="A1844" s="62" t="s">
        <v>766</v>
      </c>
      <c r="B1844" s="62" t="s">
        <v>766</v>
      </c>
      <c r="C1844" s="63"/>
      <c r="D1844" s="64"/>
      <c r="E1844" s="65"/>
      <c r="F1844" s="66"/>
      <c r="G1844" s="63"/>
      <c r="H1844" s="67"/>
      <c r="I1844" s="68"/>
      <c r="J1844" s="68"/>
      <c r="K1844" s="32"/>
      <c r="L1844" s="75">
        <v>1844</v>
      </c>
      <c r="M1844" s="75"/>
      <c r="N1844" s="70"/>
      <c r="O1844" s="77" t="s">
        <v>179</v>
      </c>
      <c r="P1844" s="79">
        <v>44973.941134259258</v>
      </c>
      <c r="Q1844" s="77" t="s">
        <v>2626</v>
      </c>
      <c r="R1844" s="77">
        <v>0</v>
      </c>
      <c r="S1844" s="77">
        <v>0</v>
      </c>
      <c r="T1844" s="77">
        <v>0</v>
      </c>
      <c r="U1844" s="77">
        <v>0</v>
      </c>
      <c r="V1844" s="77">
        <v>10</v>
      </c>
      <c r="W1844" s="81" t="s">
        <v>3957</v>
      </c>
      <c r="X1844" s="83" t="str">
        <f>HYPERLINK("https://i.mtr.cool/nqeqeugqrw")</f>
        <v>https://i.mtr.cool/nqeqeugqrw</v>
      </c>
      <c r="Y1844" s="77" t="s">
        <v>4289</v>
      </c>
      <c r="Z1844" s="77"/>
      <c r="AA1844" s="77" t="s">
        <v>5607</v>
      </c>
      <c r="AB1844" s="77" t="s">
        <v>5796</v>
      </c>
      <c r="AC1844" s="81" t="s">
        <v>5812</v>
      </c>
      <c r="AD1844" s="77" t="s">
        <v>5850</v>
      </c>
      <c r="AE1844" s="83" t="str">
        <f>HYPERLINK("https://twitter.com/gustavodost/status/1626349514310275074")</f>
        <v>https://twitter.com/gustavodost/status/1626349514310275074</v>
      </c>
      <c r="AF1844" s="79">
        <v>44973.941134259258</v>
      </c>
      <c r="AG1844" s="85">
        <v>44973</v>
      </c>
      <c r="AH1844" s="81" t="s">
        <v>7474</v>
      </c>
      <c r="AI1844" s="77" t="b">
        <v>0</v>
      </c>
      <c r="AJ1844" s="77"/>
      <c r="AK1844" s="77"/>
      <c r="AL1844" s="77"/>
      <c r="AM1844" s="77"/>
      <c r="AN1844" s="77"/>
      <c r="AO1844" s="77"/>
      <c r="AP1844" s="77"/>
      <c r="AQ1844" s="77" t="s">
        <v>9110</v>
      </c>
      <c r="AR1844" s="77"/>
      <c r="AS1844" s="77"/>
      <c r="AT1844" s="77"/>
      <c r="AU1844" s="77"/>
      <c r="AV1844" s="83" t="str">
        <f>HYPERLINK("https://pbs.twimg.com/tweet_video_thumb/FpH0QgKWAAEViYg.jpg")</f>
        <v>https://pbs.twimg.com/tweet_video_thumb/FpH0QgKWAAEViYg.jpg</v>
      </c>
      <c r="AW1844" s="81" t="s">
        <v>10956</v>
      </c>
      <c r="AX1844" s="81" t="s">
        <v>10956</v>
      </c>
      <c r="AY1844" s="77"/>
      <c r="AZ1844" s="81" t="s">
        <v>11359</v>
      </c>
      <c r="BA1844" s="81" t="s">
        <v>11359</v>
      </c>
      <c r="BB1844" s="81" t="s">
        <v>11359</v>
      </c>
      <c r="BC1844" s="81" t="s">
        <v>10956</v>
      </c>
      <c r="BD1844" s="77">
        <v>14452850</v>
      </c>
      <c r="BE1844" s="77"/>
      <c r="BF1844" s="77"/>
      <c r="BG1844" s="77"/>
      <c r="BH1844" s="77"/>
      <c r="BI1844" s="77"/>
    </row>
    <row r="1845" spans="1:61" x14ac:dyDescent="0.25">
      <c r="A1845" s="62" t="s">
        <v>766</v>
      </c>
      <c r="B1845" s="62" t="s">
        <v>766</v>
      </c>
      <c r="C1845" s="63"/>
      <c r="D1845" s="64"/>
      <c r="E1845" s="65"/>
      <c r="F1845" s="66"/>
      <c r="G1845" s="63"/>
      <c r="H1845" s="67"/>
      <c r="I1845" s="68"/>
      <c r="J1845" s="68"/>
      <c r="K1845" s="32"/>
      <c r="L1845" s="75">
        <v>1845</v>
      </c>
      <c r="M1845" s="75"/>
      <c r="N1845" s="70"/>
      <c r="O1845" s="77" t="s">
        <v>179</v>
      </c>
      <c r="P1845" s="79">
        <v>45065.510601851849</v>
      </c>
      <c r="Q1845" s="77" t="s">
        <v>2627</v>
      </c>
      <c r="R1845" s="77">
        <v>0</v>
      </c>
      <c r="S1845" s="77">
        <v>0</v>
      </c>
      <c r="T1845" s="77">
        <v>0</v>
      </c>
      <c r="U1845" s="77">
        <v>0</v>
      </c>
      <c r="V1845" s="77">
        <v>9</v>
      </c>
      <c r="W1845" s="81" t="s">
        <v>3957</v>
      </c>
      <c r="X1845" s="83" t="str">
        <f>HYPERLINK("https://mtr.cool/ejocfchgmr")</f>
        <v>https://mtr.cool/ejocfchgmr</v>
      </c>
      <c r="Y1845" s="77" t="s">
        <v>4289</v>
      </c>
      <c r="Z1845" s="77"/>
      <c r="AA1845" s="77" t="s">
        <v>5608</v>
      </c>
      <c r="AB1845" s="77" t="s">
        <v>5796</v>
      </c>
      <c r="AC1845" s="81" t="s">
        <v>5812</v>
      </c>
      <c r="AD1845" s="77" t="s">
        <v>5850</v>
      </c>
      <c r="AE1845" s="83" t="str">
        <f>HYPERLINK("https://twitter.com/gustavodost/status/1659533177050877955")</f>
        <v>https://twitter.com/gustavodost/status/1659533177050877955</v>
      </c>
      <c r="AF1845" s="79">
        <v>45065.510601851849</v>
      </c>
      <c r="AG1845" s="85">
        <v>45065</v>
      </c>
      <c r="AH1845" s="81" t="s">
        <v>7475</v>
      </c>
      <c r="AI1845" s="77" t="b">
        <v>0</v>
      </c>
      <c r="AJ1845" s="77"/>
      <c r="AK1845" s="77"/>
      <c r="AL1845" s="77"/>
      <c r="AM1845" s="77"/>
      <c r="AN1845" s="77"/>
      <c r="AO1845" s="77"/>
      <c r="AP1845" s="77"/>
      <c r="AQ1845" s="77" t="s">
        <v>9111</v>
      </c>
      <c r="AR1845" s="77"/>
      <c r="AS1845" s="77"/>
      <c r="AT1845" s="77"/>
      <c r="AU1845" s="77"/>
      <c r="AV1845" s="83" t="str">
        <f>HYPERLINK("https://pbs.twimg.com/tweet_video_thumb/FwfYoJHXgAASd14.jpg")</f>
        <v>https://pbs.twimg.com/tweet_video_thumb/FwfYoJHXgAASd14.jpg</v>
      </c>
      <c r="AW1845" s="81" t="s">
        <v>10957</v>
      </c>
      <c r="AX1845" s="81" t="s">
        <v>10957</v>
      </c>
      <c r="AY1845" s="77"/>
      <c r="AZ1845" s="81" t="s">
        <v>11359</v>
      </c>
      <c r="BA1845" s="81" t="s">
        <v>11359</v>
      </c>
      <c r="BB1845" s="81" t="s">
        <v>11359</v>
      </c>
      <c r="BC1845" s="81" t="s">
        <v>10957</v>
      </c>
      <c r="BD1845" s="77">
        <v>14452850</v>
      </c>
      <c r="BE1845" s="77"/>
      <c r="BF1845" s="77"/>
      <c r="BG1845" s="77"/>
      <c r="BH1845" s="77"/>
      <c r="BI1845" s="77"/>
    </row>
    <row r="1846" spans="1:61" x14ac:dyDescent="0.25">
      <c r="A1846" s="62" t="s">
        <v>766</v>
      </c>
      <c r="B1846" s="62" t="s">
        <v>766</v>
      </c>
      <c r="C1846" s="63"/>
      <c r="D1846" s="64"/>
      <c r="E1846" s="65"/>
      <c r="F1846" s="66"/>
      <c r="G1846" s="63"/>
      <c r="H1846" s="67"/>
      <c r="I1846" s="68"/>
      <c r="J1846" s="68"/>
      <c r="K1846" s="32"/>
      <c r="L1846" s="75">
        <v>1846</v>
      </c>
      <c r="M1846" s="75"/>
      <c r="N1846" s="70"/>
      <c r="O1846" s="77" t="s">
        <v>179</v>
      </c>
      <c r="P1846" s="79">
        <v>45156.548101851855</v>
      </c>
      <c r="Q1846" s="77" t="s">
        <v>2628</v>
      </c>
      <c r="R1846" s="77">
        <v>0</v>
      </c>
      <c r="S1846" s="77">
        <v>0</v>
      </c>
      <c r="T1846" s="77">
        <v>0</v>
      </c>
      <c r="U1846" s="77">
        <v>0</v>
      </c>
      <c r="V1846" s="77">
        <v>19</v>
      </c>
      <c r="W1846" s="81" t="s">
        <v>3957</v>
      </c>
      <c r="X1846" s="83" t="str">
        <f>HYPERLINK("https://mtr.cool/czbmunrlpc")</f>
        <v>https://mtr.cool/czbmunrlpc</v>
      </c>
      <c r="Y1846" s="77" t="s">
        <v>4289</v>
      </c>
      <c r="Z1846" s="77"/>
      <c r="AA1846" s="77" t="s">
        <v>5609</v>
      </c>
      <c r="AB1846" s="77" t="s">
        <v>5796</v>
      </c>
      <c r="AC1846" s="81" t="s">
        <v>5812</v>
      </c>
      <c r="AD1846" s="77" t="s">
        <v>5850</v>
      </c>
      <c r="AE1846" s="83" t="str">
        <f>HYPERLINK("https://twitter.com/gustavodost/status/1692524060855419337")</f>
        <v>https://twitter.com/gustavodost/status/1692524060855419337</v>
      </c>
      <c r="AF1846" s="79">
        <v>45156.548101851855</v>
      </c>
      <c r="AG1846" s="85">
        <v>45156</v>
      </c>
      <c r="AH1846" s="81" t="s">
        <v>7476</v>
      </c>
      <c r="AI1846" s="77" t="b">
        <v>0</v>
      </c>
      <c r="AJ1846" s="77"/>
      <c r="AK1846" s="77"/>
      <c r="AL1846" s="77"/>
      <c r="AM1846" s="77"/>
      <c r="AN1846" s="77"/>
      <c r="AO1846" s="77"/>
      <c r="AP1846" s="77"/>
      <c r="AQ1846" s="77" t="s">
        <v>9112</v>
      </c>
      <c r="AR1846" s="77"/>
      <c r="AS1846" s="77"/>
      <c r="AT1846" s="77"/>
      <c r="AU1846" s="77"/>
      <c r="AV1846" s="83" t="str">
        <f>HYPERLINK("https://pbs.twimg.com/tweet_video_thumb/F30NqY5W0AAFSrn.jpg")</f>
        <v>https://pbs.twimg.com/tweet_video_thumb/F30NqY5W0AAFSrn.jpg</v>
      </c>
      <c r="AW1846" s="81" t="s">
        <v>10958</v>
      </c>
      <c r="AX1846" s="81" t="s">
        <v>10958</v>
      </c>
      <c r="AY1846" s="77"/>
      <c r="AZ1846" s="81" t="s">
        <v>11359</v>
      </c>
      <c r="BA1846" s="81" t="s">
        <v>11359</v>
      </c>
      <c r="BB1846" s="81" t="s">
        <v>11359</v>
      </c>
      <c r="BC1846" s="81" t="s">
        <v>10958</v>
      </c>
      <c r="BD1846" s="77">
        <v>14452850</v>
      </c>
      <c r="BE1846" s="77"/>
      <c r="BF1846" s="77"/>
      <c r="BG1846" s="77"/>
      <c r="BH1846" s="77"/>
      <c r="BI1846" s="77"/>
    </row>
    <row r="1847" spans="1:61" x14ac:dyDescent="0.25">
      <c r="A1847" s="62" t="s">
        <v>767</v>
      </c>
      <c r="B1847" s="62" t="s">
        <v>767</v>
      </c>
      <c r="C1847" s="63"/>
      <c r="D1847" s="64"/>
      <c r="E1847" s="65"/>
      <c r="F1847" s="66"/>
      <c r="G1847" s="63"/>
      <c r="H1847" s="67"/>
      <c r="I1847" s="68"/>
      <c r="J1847" s="68"/>
      <c r="K1847" s="32"/>
      <c r="L1847" s="75">
        <v>1847</v>
      </c>
      <c r="M1847" s="75"/>
      <c r="N1847" s="70"/>
      <c r="O1847" s="77" t="s">
        <v>969</v>
      </c>
      <c r="P1847" s="79">
        <v>45110.376087962963</v>
      </c>
      <c r="Q1847" s="77" t="s">
        <v>2629</v>
      </c>
      <c r="R1847" s="77">
        <v>0</v>
      </c>
      <c r="S1847" s="77">
        <v>0</v>
      </c>
      <c r="T1847" s="77">
        <v>0</v>
      </c>
      <c r="U1847" s="77">
        <v>0</v>
      </c>
      <c r="V1847" s="77">
        <v>5</v>
      </c>
      <c r="W1847" s="81" t="s">
        <v>3958</v>
      </c>
      <c r="X1847" s="77"/>
      <c r="Y1847" s="77"/>
      <c r="Z1847" s="77"/>
      <c r="AA1847" s="77"/>
      <c r="AB1847" s="77"/>
      <c r="AC1847" s="81" t="s">
        <v>5812</v>
      </c>
      <c r="AD1847" s="77" t="s">
        <v>5854</v>
      </c>
      <c r="AE1847" s="83" t="str">
        <f>HYPERLINK("https://twitter.com/flexibleos/status/1675791884667572224")</f>
        <v>https://twitter.com/flexibleos/status/1675791884667572224</v>
      </c>
      <c r="AF1847" s="79">
        <v>45110.376087962963</v>
      </c>
      <c r="AG1847" s="85">
        <v>45110</v>
      </c>
      <c r="AH1847" s="81" t="s">
        <v>7477</v>
      </c>
      <c r="AI1847" s="77"/>
      <c r="AJ1847" s="77"/>
      <c r="AK1847" s="77"/>
      <c r="AL1847" s="77"/>
      <c r="AM1847" s="77"/>
      <c r="AN1847" s="77"/>
      <c r="AO1847" s="77"/>
      <c r="AP1847" s="77"/>
      <c r="AQ1847" s="77"/>
      <c r="AR1847" s="77"/>
      <c r="AS1847" s="77"/>
      <c r="AT1847" s="77"/>
      <c r="AU1847" s="77"/>
      <c r="AV1847" s="83" t="str">
        <f>HYPERLINK("https://pbs.twimg.com/profile_images/1059360671387840513/RmmL_kdb_normal.jpg")</f>
        <v>https://pbs.twimg.com/profile_images/1059360671387840513/RmmL_kdb_normal.jpg</v>
      </c>
      <c r="AW1847" s="81" t="s">
        <v>10959</v>
      </c>
      <c r="AX1847" s="81" t="s">
        <v>11312</v>
      </c>
      <c r="AY1847" s="81" t="s">
        <v>11354</v>
      </c>
      <c r="AZ1847" s="81" t="s">
        <v>11312</v>
      </c>
      <c r="BA1847" s="81" t="s">
        <v>11359</v>
      </c>
      <c r="BB1847" s="81" t="s">
        <v>11359</v>
      </c>
      <c r="BC1847" s="81" t="s">
        <v>11312</v>
      </c>
      <c r="BD1847" s="77">
        <v>3081330005</v>
      </c>
      <c r="BE1847" s="77"/>
      <c r="BF1847" s="77"/>
      <c r="BG1847" s="77"/>
      <c r="BH1847" s="77"/>
      <c r="BI1847" s="77"/>
    </row>
    <row r="1848" spans="1:61" x14ac:dyDescent="0.25">
      <c r="A1848" s="62" t="s">
        <v>768</v>
      </c>
      <c r="B1848" s="62" t="s">
        <v>768</v>
      </c>
      <c r="C1848" s="63"/>
      <c r="D1848" s="64"/>
      <c r="E1848" s="65"/>
      <c r="F1848" s="66"/>
      <c r="G1848" s="63"/>
      <c r="H1848" s="67"/>
      <c r="I1848" s="68"/>
      <c r="J1848" s="68"/>
      <c r="K1848" s="32"/>
      <c r="L1848" s="75">
        <v>1848</v>
      </c>
      <c r="M1848" s="75"/>
      <c r="N1848" s="70"/>
      <c r="O1848" s="77" t="s">
        <v>179</v>
      </c>
      <c r="P1848" s="79">
        <v>44999.594027777777</v>
      </c>
      <c r="Q1848" s="77" t="s">
        <v>2630</v>
      </c>
      <c r="R1848" s="77">
        <v>0</v>
      </c>
      <c r="S1848" s="77">
        <v>0</v>
      </c>
      <c r="T1848" s="77">
        <v>0</v>
      </c>
      <c r="U1848" s="77">
        <v>0</v>
      </c>
      <c r="V1848" s="77">
        <v>16</v>
      </c>
      <c r="W1848" s="81" t="s">
        <v>3959</v>
      </c>
      <c r="X1848" s="77"/>
      <c r="Y1848" s="77"/>
      <c r="Z1848" s="77"/>
      <c r="AA1848" s="77" t="s">
        <v>5610</v>
      </c>
      <c r="AB1848" s="77" t="s">
        <v>5794</v>
      </c>
      <c r="AC1848" s="81" t="s">
        <v>5808</v>
      </c>
      <c r="AD1848" s="77" t="s">
        <v>5851</v>
      </c>
      <c r="AE1848" s="83" t="str">
        <f>HYPERLINK("https://twitter.com/dvseditora/status/1635645810045071368")</f>
        <v>https://twitter.com/dvseditora/status/1635645810045071368</v>
      </c>
      <c r="AF1848" s="79">
        <v>44999.594027777777</v>
      </c>
      <c r="AG1848" s="85">
        <v>44999</v>
      </c>
      <c r="AH1848" s="81" t="s">
        <v>7478</v>
      </c>
      <c r="AI1848" s="77" t="b">
        <v>0</v>
      </c>
      <c r="AJ1848" s="77"/>
      <c r="AK1848" s="77"/>
      <c r="AL1848" s="77"/>
      <c r="AM1848" s="77"/>
      <c r="AN1848" s="77"/>
      <c r="AO1848" s="77"/>
      <c r="AP1848" s="77"/>
      <c r="AQ1848" s="77" t="s">
        <v>9113</v>
      </c>
      <c r="AR1848" s="77"/>
      <c r="AS1848" s="77"/>
      <c r="AT1848" s="77"/>
      <c r="AU1848" s="77"/>
      <c r="AV1848" s="83" t="str">
        <f>HYPERLINK("https://pbs.twimg.com/media/FrL7MhOWcAAG5Vh.jpg")</f>
        <v>https://pbs.twimg.com/media/FrL7MhOWcAAG5Vh.jpg</v>
      </c>
      <c r="AW1848" s="81" t="s">
        <v>10960</v>
      </c>
      <c r="AX1848" s="81" t="s">
        <v>10960</v>
      </c>
      <c r="AY1848" s="77"/>
      <c r="AZ1848" s="81" t="s">
        <v>11359</v>
      </c>
      <c r="BA1848" s="81" t="s">
        <v>11359</v>
      </c>
      <c r="BB1848" s="81" t="s">
        <v>11359</v>
      </c>
      <c r="BC1848" s="81" t="s">
        <v>10960</v>
      </c>
      <c r="BD1848" s="77">
        <v>73390489</v>
      </c>
      <c r="BE1848" s="77"/>
      <c r="BF1848" s="77"/>
      <c r="BG1848" s="77"/>
      <c r="BH1848" s="77"/>
      <c r="BI1848" s="77"/>
    </row>
    <row r="1849" spans="1:61" x14ac:dyDescent="0.25">
      <c r="A1849" s="62" t="s">
        <v>768</v>
      </c>
      <c r="B1849" s="62" t="s">
        <v>768</v>
      </c>
      <c r="C1849" s="63"/>
      <c r="D1849" s="64"/>
      <c r="E1849" s="65"/>
      <c r="F1849" s="66"/>
      <c r="G1849" s="63"/>
      <c r="H1849" s="67"/>
      <c r="I1849" s="68"/>
      <c r="J1849" s="68"/>
      <c r="K1849" s="32"/>
      <c r="L1849" s="75">
        <v>1849</v>
      </c>
      <c r="M1849" s="75"/>
      <c r="N1849" s="70"/>
      <c r="O1849" s="77" t="s">
        <v>179</v>
      </c>
      <c r="P1849" s="79">
        <v>44981.51153935185</v>
      </c>
      <c r="Q1849" s="77" t="s">
        <v>2631</v>
      </c>
      <c r="R1849" s="77">
        <v>0</v>
      </c>
      <c r="S1849" s="77">
        <v>0</v>
      </c>
      <c r="T1849" s="77">
        <v>0</v>
      </c>
      <c r="U1849" s="77">
        <v>0</v>
      </c>
      <c r="V1849" s="77">
        <v>21</v>
      </c>
      <c r="W1849" s="81" t="s">
        <v>3960</v>
      </c>
      <c r="X1849" s="77"/>
      <c r="Y1849" s="77"/>
      <c r="Z1849" s="77"/>
      <c r="AA1849" s="77" t="s">
        <v>5611</v>
      </c>
      <c r="AB1849" s="77" t="s">
        <v>5794</v>
      </c>
      <c r="AC1849" s="81" t="s">
        <v>5808</v>
      </c>
      <c r="AD1849" s="77" t="s">
        <v>5851</v>
      </c>
      <c r="AE1849" s="83" t="str">
        <f>HYPERLINK("https://twitter.com/dvseditora/status/1629092934946627586")</f>
        <v>https://twitter.com/dvseditora/status/1629092934946627586</v>
      </c>
      <c r="AF1849" s="79">
        <v>44981.51153935185</v>
      </c>
      <c r="AG1849" s="85">
        <v>44981</v>
      </c>
      <c r="AH1849" s="81" t="s">
        <v>7479</v>
      </c>
      <c r="AI1849" s="77" t="b">
        <v>0</v>
      </c>
      <c r="AJ1849" s="77"/>
      <c r="AK1849" s="77"/>
      <c r="AL1849" s="77"/>
      <c r="AM1849" s="77"/>
      <c r="AN1849" s="77"/>
      <c r="AO1849" s="77"/>
      <c r="AP1849" s="77"/>
      <c r="AQ1849" s="77" t="s">
        <v>9114</v>
      </c>
      <c r="AR1849" s="77"/>
      <c r="AS1849" s="77"/>
      <c r="AT1849" s="77"/>
      <c r="AU1849" s="77"/>
      <c r="AV1849" s="83" t="str">
        <f>HYPERLINK("https://pbs.twimg.com/media/FpuzZDXXgAQT26-.jpg")</f>
        <v>https://pbs.twimg.com/media/FpuzZDXXgAQT26-.jpg</v>
      </c>
      <c r="AW1849" s="81" t="s">
        <v>10961</v>
      </c>
      <c r="AX1849" s="81" t="s">
        <v>10961</v>
      </c>
      <c r="AY1849" s="77"/>
      <c r="AZ1849" s="81" t="s">
        <v>11359</v>
      </c>
      <c r="BA1849" s="81" t="s">
        <v>11359</v>
      </c>
      <c r="BB1849" s="81" t="s">
        <v>11359</v>
      </c>
      <c r="BC1849" s="81" t="s">
        <v>10961</v>
      </c>
      <c r="BD1849" s="77">
        <v>73390489</v>
      </c>
      <c r="BE1849" s="77"/>
      <c r="BF1849" s="77"/>
      <c r="BG1849" s="77"/>
      <c r="BH1849" s="77"/>
      <c r="BI1849" s="77"/>
    </row>
    <row r="1850" spans="1:61" x14ac:dyDescent="0.25">
      <c r="A1850" s="62" t="s">
        <v>768</v>
      </c>
      <c r="B1850" s="62" t="s">
        <v>768</v>
      </c>
      <c r="C1850" s="63"/>
      <c r="D1850" s="64"/>
      <c r="E1850" s="65"/>
      <c r="F1850" s="66"/>
      <c r="G1850" s="63"/>
      <c r="H1850" s="67"/>
      <c r="I1850" s="68"/>
      <c r="J1850" s="68"/>
      <c r="K1850" s="32"/>
      <c r="L1850" s="75">
        <v>1850</v>
      </c>
      <c r="M1850" s="75"/>
      <c r="N1850" s="70"/>
      <c r="O1850" s="77" t="s">
        <v>179</v>
      </c>
      <c r="P1850" s="79">
        <v>45055.652858796297</v>
      </c>
      <c r="Q1850" s="77" t="s">
        <v>2632</v>
      </c>
      <c r="R1850" s="77">
        <v>0</v>
      </c>
      <c r="S1850" s="77">
        <v>0</v>
      </c>
      <c r="T1850" s="77">
        <v>0</v>
      </c>
      <c r="U1850" s="77">
        <v>0</v>
      </c>
      <c r="V1850" s="77">
        <v>29</v>
      </c>
      <c r="W1850" s="81" t="s">
        <v>3961</v>
      </c>
      <c r="X1850" s="77"/>
      <c r="Y1850" s="77"/>
      <c r="Z1850" s="77"/>
      <c r="AA1850" s="77" t="s">
        <v>5612</v>
      </c>
      <c r="AB1850" s="77" t="s">
        <v>5794</v>
      </c>
      <c r="AC1850" s="81" t="s">
        <v>5808</v>
      </c>
      <c r="AD1850" s="77" t="s">
        <v>5851</v>
      </c>
      <c r="AE1850" s="83" t="str">
        <f>HYPERLINK("https://twitter.com/dvseditora/status/1655960849398259712")</f>
        <v>https://twitter.com/dvseditora/status/1655960849398259712</v>
      </c>
      <c r="AF1850" s="79">
        <v>45055.652858796297</v>
      </c>
      <c r="AG1850" s="85">
        <v>45055</v>
      </c>
      <c r="AH1850" s="81" t="s">
        <v>7480</v>
      </c>
      <c r="AI1850" s="77" t="b">
        <v>0</v>
      </c>
      <c r="AJ1850" s="77"/>
      <c r="AK1850" s="77"/>
      <c r="AL1850" s="77"/>
      <c r="AM1850" s="77"/>
      <c r="AN1850" s="77"/>
      <c r="AO1850" s="77"/>
      <c r="AP1850" s="77"/>
      <c r="AQ1850" s="77" t="s">
        <v>9115</v>
      </c>
      <c r="AR1850" s="77"/>
      <c r="AS1850" s="77"/>
      <c r="AT1850" s="77"/>
      <c r="AU1850" s="77"/>
      <c r="AV1850" s="83" t="str">
        <f>HYPERLINK("https://pbs.twimg.com/media/FvsnnfFaEAMFRH9.jpg")</f>
        <v>https://pbs.twimg.com/media/FvsnnfFaEAMFRH9.jpg</v>
      </c>
      <c r="AW1850" s="81" t="s">
        <v>10962</v>
      </c>
      <c r="AX1850" s="81" t="s">
        <v>10962</v>
      </c>
      <c r="AY1850" s="77"/>
      <c r="AZ1850" s="81" t="s">
        <v>11359</v>
      </c>
      <c r="BA1850" s="81" t="s">
        <v>11359</v>
      </c>
      <c r="BB1850" s="81" t="s">
        <v>11359</v>
      </c>
      <c r="BC1850" s="81" t="s">
        <v>10962</v>
      </c>
      <c r="BD1850" s="77">
        <v>73390489</v>
      </c>
      <c r="BE1850" s="77"/>
      <c r="BF1850" s="77"/>
      <c r="BG1850" s="77"/>
      <c r="BH1850" s="77"/>
      <c r="BI1850" s="77"/>
    </row>
    <row r="1851" spans="1:61" x14ac:dyDescent="0.25">
      <c r="A1851" s="62" t="s">
        <v>768</v>
      </c>
      <c r="B1851" s="62" t="s">
        <v>768</v>
      </c>
      <c r="C1851" s="63"/>
      <c r="D1851" s="64"/>
      <c r="E1851" s="65"/>
      <c r="F1851" s="66"/>
      <c r="G1851" s="63"/>
      <c r="H1851" s="67"/>
      <c r="I1851" s="68"/>
      <c r="J1851" s="68"/>
      <c r="K1851" s="32"/>
      <c r="L1851" s="75">
        <v>1851</v>
      </c>
      <c r="M1851" s="75"/>
      <c r="N1851" s="70"/>
      <c r="O1851" s="77" t="s">
        <v>179</v>
      </c>
      <c r="P1851" s="79">
        <v>45118.600254629629</v>
      </c>
      <c r="Q1851" s="77" t="s">
        <v>2633</v>
      </c>
      <c r="R1851" s="77">
        <v>0</v>
      </c>
      <c r="S1851" s="77">
        <v>0</v>
      </c>
      <c r="T1851" s="77">
        <v>0</v>
      </c>
      <c r="U1851" s="77">
        <v>0</v>
      </c>
      <c r="V1851" s="77">
        <v>15</v>
      </c>
      <c r="W1851" s="81" t="s">
        <v>3962</v>
      </c>
      <c r="X1851" s="77"/>
      <c r="Y1851" s="77"/>
      <c r="Z1851" s="77"/>
      <c r="AA1851" s="77" t="s">
        <v>5613</v>
      </c>
      <c r="AB1851" s="77" t="s">
        <v>5794</v>
      </c>
      <c r="AC1851" s="81" t="s">
        <v>5808</v>
      </c>
      <c r="AD1851" s="77" t="s">
        <v>5851</v>
      </c>
      <c r="AE1851" s="83" t="str">
        <f>HYPERLINK("https://twitter.com/dvseditora/status/1678772223870664706")</f>
        <v>https://twitter.com/dvseditora/status/1678772223870664706</v>
      </c>
      <c r="AF1851" s="79">
        <v>45118.600254629629</v>
      </c>
      <c r="AG1851" s="85">
        <v>45118</v>
      </c>
      <c r="AH1851" s="81" t="s">
        <v>6880</v>
      </c>
      <c r="AI1851" s="77" t="b">
        <v>0</v>
      </c>
      <c r="AJ1851" s="77"/>
      <c r="AK1851" s="77"/>
      <c r="AL1851" s="77"/>
      <c r="AM1851" s="77"/>
      <c r="AN1851" s="77"/>
      <c r="AO1851" s="77"/>
      <c r="AP1851" s="77"/>
      <c r="AQ1851" s="77" t="s">
        <v>9116</v>
      </c>
      <c r="AR1851" s="77"/>
      <c r="AS1851" s="77"/>
      <c r="AT1851" s="77"/>
      <c r="AU1851" s="77"/>
      <c r="AV1851" s="83" t="str">
        <f>HYPERLINK("https://pbs.twimg.com/media/F0wycG4aUAgoAql.jpg")</f>
        <v>https://pbs.twimg.com/media/F0wycG4aUAgoAql.jpg</v>
      </c>
      <c r="AW1851" s="81" t="s">
        <v>10963</v>
      </c>
      <c r="AX1851" s="81" t="s">
        <v>10963</v>
      </c>
      <c r="AY1851" s="77"/>
      <c r="AZ1851" s="81" t="s">
        <v>11359</v>
      </c>
      <c r="BA1851" s="81" t="s">
        <v>11359</v>
      </c>
      <c r="BB1851" s="81" t="s">
        <v>11359</v>
      </c>
      <c r="BC1851" s="81" t="s">
        <v>10963</v>
      </c>
      <c r="BD1851" s="77">
        <v>73390489</v>
      </c>
      <c r="BE1851" s="77"/>
      <c r="BF1851" s="77"/>
      <c r="BG1851" s="77"/>
      <c r="BH1851" s="77"/>
      <c r="BI1851" s="77"/>
    </row>
    <row r="1852" spans="1:61" x14ac:dyDescent="0.25">
      <c r="A1852" s="62" t="s">
        <v>769</v>
      </c>
      <c r="B1852" s="62" t="s">
        <v>769</v>
      </c>
      <c r="C1852" s="63"/>
      <c r="D1852" s="64"/>
      <c r="E1852" s="65"/>
      <c r="F1852" s="66"/>
      <c r="G1852" s="63"/>
      <c r="H1852" s="67"/>
      <c r="I1852" s="68"/>
      <c r="J1852" s="68"/>
      <c r="K1852" s="32"/>
      <c r="L1852" s="75">
        <v>1852</v>
      </c>
      <c r="M1852" s="75"/>
      <c r="N1852" s="70"/>
      <c r="O1852" s="77" t="s">
        <v>179</v>
      </c>
      <c r="P1852" s="79">
        <v>45020.672303240739</v>
      </c>
      <c r="Q1852" s="77" t="s">
        <v>2634</v>
      </c>
      <c r="R1852" s="77">
        <v>0</v>
      </c>
      <c r="S1852" s="77">
        <v>1</v>
      </c>
      <c r="T1852" s="77">
        <v>0</v>
      </c>
      <c r="U1852" s="77">
        <v>0</v>
      </c>
      <c r="V1852" s="77">
        <v>97</v>
      </c>
      <c r="W1852" s="81" t="s">
        <v>3963</v>
      </c>
      <c r="X1852" s="77"/>
      <c r="Y1852" s="77"/>
      <c r="Z1852" s="77"/>
      <c r="AA1852" s="77" t="s">
        <v>5614</v>
      </c>
      <c r="AB1852" s="77" t="s">
        <v>5799</v>
      </c>
      <c r="AC1852" s="81" t="s">
        <v>5805</v>
      </c>
      <c r="AD1852" s="77" t="s">
        <v>5850</v>
      </c>
      <c r="AE1852" s="83" t="str">
        <f>HYPERLINK("https://twitter.com/sne_tam/status/1643284320390373377")</f>
        <v>https://twitter.com/sne_tam/status/1643284320390373377</v>
      </c>
      <c r="AF1852" s="79">
        <v>45020.672303240739</v>
      </c>
      <c r="AG1852" s="85">
        <v>45020</v>
      </c>
      <c r="AH1852" s="81" t="s">
        <v>7481</v>
      </c>
      <c r="AI1852" s="77" t="b">
        <v>0</v>
      </c>
      <c r="AJ1852" s="77"/>
      <c r="AK1852" s="77"/>
      <c r="AL1852" s="77"/>
      <c r="AM1852" s="77"/>
      <c r="AN1852" s="77"/>
      <c r="AO1852" s="77"/>
      <c r="AP1852" s="77"/>
      <c r="AQ1852" s="77" t="s">
        <v>9117</v>
      </c>
      <c r="AR1852" s="77"/>
      <c r="AS1852" s="77"/>
      <c r="AT1852" s="77"/>
      <c r="AU1852" s="77"/>
      <c r="AV1852" s="83" t="str">
        <f>HYPERLINK("https://pbs.twimg.com/media/Fs4eW-RWcAIL0sc.jpg")</f>
        <v>https://pbs.twimg.com/media/Fs4eW-RWcAIL0sc.jpg</v>
      </c>
      <c r="AW1852" s="81" t="s">
        <v>10964</v>
      </c>
      <c r="AX1852" s="81" t="s">
        <v>10964</v>
      </c>
      <c r="AY1852" s="77"/>
      <c r="AZ1852" s="81" t="s">
        <v>11359</v>
      </c>
      <c r="BA1852" s="81" t="s">
        <v>11359</v>
      </c>
      <c r="BB1852" s="81" t="s">
        <v>11359</v>
      </c>
      <c r="BC1852" s="81" t="s">
        <v>10964</v>
      </c>
      <c r="BD1852" s="81" t="s">
        <v>11666</v>
      </c>
      <c r="BE1852" s="77"/>
      <c r="BF1852" s="77"/>
      <c r="BG1852" s="77"/>
      <c r="BH1852" s="77"/>
      <c r="BI1852" s="77"/>
    </row>
    <row r="1853" spans="1:61" x14ac:dyDescent="0.25">
      <c r="A1853" s="62" t="s">
        <v>770</v>
      </c>
      <c r="B1853" s="62" t="s">
        <v>770</v>
      </c>
      <c r="C1853" s="63"/>
      <c r="D1853" s="64"/>
      <c r="E1853" s="65"/>
      <c r="F1853" s="66"/>
      <c r="G1853" s="63"/>
      <c r="H1853" s="67"/>
      <c r="I1853" s="68"/>
      <c r="J1853" s="68"/>
      <c r="K1853" s="32"/>
      <c r="L1853" s="75">
        <v>1853</v>
      </c>
      <c r="M1853" s="75"/>
      <c r="N1853" s="70"/>
      <c r="O1853" s="77" t="s">
        <v>179</v>
      </c>
      <c r="P1853" s="79">
        <v>45178.73196759259</v>
      </c>
      <c r="Q1853" s="77" t="s">
        <v>2635</v>
      </c>
      <c r="R1853" s="77">
        <v>0</v>
      </c>
      <c r="S1853" s="77">
        <v>2</v>
      </c>
      <c r="T1853" s="77">
        <v>0</v>
      </c>
      <c r="U1853" s="77">
        <v>0</v>
      </c>
      <c r="V1853" s="77">
        <v>173</v>
      </c>
      <c r="W1853" s="81" t="s">
        <v>3964</v>
      </c>
      <c r="X1853" s="77"/>
      <c r="Y1853" s="77"/>
      <c r="Z1853" s="77"/>
      <c r="AA1853" s="77" t="s">
        <v>5615</v>
      </c>
      <c r="AB1853" s="77" t="s">
        <v>5795</v>
      </c>
      <c r="AC1853" s="81" t="s">
        <v>5805</v>
      </c>
      <c r="AD1853" s="77" t="s">
        <v>5851</v>
      </c>
      <c r="AE1853" s="83" t="str">
        <f>HYPERLINK("https://twitter.com/performandovida/status/1700563223227891872")</f>
        <v>https://twitter.com/performandovida/status/1700563223227891872</v>
      </c>
      <c r="AF1853" s="79">
        <v>45178.73196759259</v>
      </c>
      <c r="AG1853" s="85">
        <v>45178</v>
      </c>
      <c r="AH1853" s="81" t="s">
        <v>7482</v>
      </c>
      <c r="AI1853" s="77" t="b">
        <v>0</v>
      </c>
      <c r="AJ1853" s="77"/>
      <c r="AK1853" s="77"/>
      <c r="AL1853" s="77"/>
      <c r="AM1853" s="77"/>
      <c r="AN1853" s="77"/>
      <c r="AO1853" s="77"/>
      <c r="AP1853" s="77"/>
      <c r="AQ1853" s="77" t="s">
        <v>9118</v>
      </c>
      <c r="AR1853" s="77">
        <v>41540</v>
      </c>
      <c r="AS1853" s="77"/>
      <c r="AT1853" s="77"/>
      <c r="AU1853" s="77"/>
      <c r="AV1853" s="83" t="str">
        <f>HYPERLINK("https://pbs.twimg.com/ext_tw_video_thumb/1700563019590238208/pu/img/1LwRh--8UT_ogwWd.jpg")</f>
        <v>https://pbs.twimg.com/ext_tw_video_thumb/1700563019590238208/pu/img/1LwRh--8UT_ogwWd.jpg</v>
      </c>
      <c r="AW1853" s="81" t="s">
        <v>10965</v>
      </c>
      <c r="AX1853" s="81" t="s">
        <v>10965</v>
      </c>
      <c r="AY1853" s="77"/>
      <c r="AZ1853" s="81" t="s">
        <v>11359</v>
      </c>
      <c r="BA1853" s="81" t="s">
        <v>11359</v>
      </c>
      <c r="BB1853" s="81" t="s">
        <v>11359</v>
      </c>
      <c r="BC1853" s="81" t="s">
        <v>10965</v>
      </c>
      <c r="BD1853" s="81" t="s">
        <v>11667</v>
      </c>
      <c r="BE1853" s="77"/>
      <c r="BF1853" s="77"/>
      <c r="BG1853" s="77"/>
      <c r="BH1853" s="77"/>
      <c r="BI1853" s="77"/>
    </row>
    <row r="1854" spans="1:61" x14ac:dyDescent="0.25">
      <c r="A1854" s="62" t="s">
        <v>770</v>
      </c>
      <c r="B1854" s="62" t="s">
        <v>770</v>
      </c>
      <c r="C1854" s="63"/>
      <c r="D1854" s="64"/>
      <c r="E1854" s="65"/>
      <c r="F1854" s="66"/>
      <c r="G1854" s="63"/>
      <c r="H1854" s="67"/>
      <c r="I1854" s="68"/>
      <c r="J1854" s="68"/>
      <c r="K1854" s="32"/>
      <c r="L1854" s="75">
        <v>1854</v>
      </c>
      <c r="M1854" s="75"/>
      <c r="N1854" s="70"/>
      <c r="O1854" s="77" t="s">
        <v>179</v>
      </c>
      <c r="P1854" s="79">
        <v>45181.903275462966</v>
      </c>
      <c r="Q1854" s="77" t="s">
        <v>2636</v>
      </c>
      <c r="R1854" s="77">
        <v>0</v>
      </c>
      <c r="S1854" s="77">
        <v>2</v>
      </c>
      <c r="T1854" s="77">
        <v>0</v>
      </c>
      <c r="U1854" s="77">
        <v>0</v>
      </c>
      <c r="V1854" s="77">
        <v>22</v>
      </c>
      <c r="W1854" s="81" t="s">
        <v>3965</v>
      </c>
      <c r="X1854" s="77"/>
      <c r="Y1854" s="77"/>
      <c r="Z1854" s="77"/>
      <c r="AA1854" s="77" t="s">
        <v>5616</v>
      </c>
      <c r="AB1854" s="77" t="s">
        <v>5795</v>
      </c>
      <c r="AC1854" s="81" t="s">
        <v>5805</v>
      </c>
      <c r="AD1854" s="77" t="s">
        <v>5851</v>
      </c>
      <c r="AE1854" s="83" t="str">
        <f>HYPERLINK("https://twitter.com/performandovida/status/1701712466990752251")</f>
        <v>https://twitter.com/performandovida/status/1701712466990752251</v>
      </c>
      <c r="AF1854" s="79">
        <v>45181.903275462966</v>
      </c>
      <c r="AG1854" s="85">
        <v>45181</v>
      </c>
      <c r="AH1854" s="81" t="s">
        <v>7483</v>
      </c>
      <c r="AI1854" s="77" t="b">
        <v>0</v>
      </c>
      <c r="AJ1854" s="77"/>
      <c r="AK1854" s="77"/>
      <c r="AL1854" s="77"/>
      <c r="AM1854" s="77"/>
      <c r="AN1854" s="77"/>
      <c r="AO1854" s="77"/>
      <c r="AP1854" s="77"/>
      <c r="AQ1854" s="77" t="s">
        <v>9119</v>
      </c>
      <c r="AR1854" s="77">
        <v>15200</v>
      </c>
      <c r="AS1854" s="77"/>
      <c r="AT1854" s="77"/>
      <c r="AU1854" s="77"/>
      <c r="AV1854" s="83" t="str">
        <f>HYPERLINK("https://pbs.twimg.com/ext_tw_video_thumb/1701712178464567296/pu/img/Lr9fmt9fyjcr062Y.jpg")</f>
        <v>https://pbs.twimg.com/ext_tw_video_thumb/1701712178464567296/pu/img/Lr9fmt9fyjcr062Y.jpg</v>
      </c>
      <c r="AW1854" s="81" t="s">
        <v>10966</v>
      </c>
      <c r="AX1854" s="81" t="s">
        <v>10966</v>
      </c>
      <c r="AY1854" s="77"/>
      <c r="AZ1854" s="81" t="s">
        <v>11359</v>
      </c>
      <c r="BA1854" s="81" t="s">
        <v>11359</v>
      </c>
      <c r="BB1854" s="81" t="s">
        <v>11359</v>
      </c>
      <c r="BC1854" s="81" t="s">
        <v>10966</v>
      </c>
      <c r="BD1854" s="81" t="s">
        <v>11667</v>
      </c>
      <c r="BE1854" s="77"/>
      <c r="BF1854" s="77"/>
      <c r="BG1854" s="77"/>
      <c r="BH1854" s="77"/>
      <c r="BI1854" s="77"/>
    </row>
    <row r="1855" spans="1:61" x14ac:dyDescent="0.25">
      <c r="A1855" s="62" t="s">
        <v>771</v>
      </c>
      <c r="B1855" s="62" t="s">
        <v>771</v>
      </c>
      <c r="C1855" s="63"/>
      <c r="D1855" s="64"/>
      <c r="E1855" s="65"/>
      <c r="F1855" s="66"/>
      <c r="G1855" s="63"/>
      <c r="H1855" s="67"/>
      <c r="I1855" s="68"/>
      <c r="J1855" s="68"/>
      <c r="K1855" s="32"/>
      <c r="L1855" s="75">
        <v>1855</v>
      </c>
      <c r="M1855" s="75"/>
      <c r="N1855" s="70"/>
      <c r="O1855" s="77" t="s">
        <v>179</v>
      </c>
      <c r="P1855" s="79">
        <v>45191.729166666664</v>
      </c>
      <c r="Q1855" s="77" t="s">
        <v>2637</v>
      </c>
      <c r="R1855" s="77">
        <v>1</v>
      </c>
      <c r="S1855" s="77">
        <v>1</v>
      </c>
      <c r="T1855" s="77">
        <v>0</v>
      </c>
      <c r="U1855" s="77">
        <v>0</v>
      </c>
      <c r="V1855" s="77">
        <v>9</v>
      </c>
      <c r="W1855" s="81" t="s">
        <v>3966</v>
      </c>
      <c r="X1855" s="77"/>
      <c r="Y1855" s="77"/>
      <c r="Z1855" s="77"/>
      <c r="AA1855" s="77" t="s">
        <v>5617</v>
      </c>
      <c r="AB1855" s="77" t="s">
        <v>5795</v>
      </c>
      <c r="AC1855" s="81" t="s">
        <v>5805</v>
      </c>
      <c r="AD1855" s="77" t="s">
        <v>5851</v>
      </c>
      <c r="AE1855" s="83" t="str">
        <f>HYPERLINK("https://twitter.com/rogmoura/status/1705273253743214914")</f>
        <v>https://twitter.com/rogmoura/status/1705273253743214914</v>
      </c>
      <c r="AF1855" s="79">
        <v>45191.729166666664</v>
      </c>
      <c r="AG1855" s="85">
        <v>45191</v>
      </c>
      <c r="AH1855" s="81" t="s">
        <v>7055</v>
      </c>
      <c r="AI1855" s="77" t="b">
        <v>0</v>
      </c>
      <c r="AJ1855" s="77"/>
      <c r="AK1855" s="77"/>
      <c r="AL1855" s="77"/>
      <c r="AM1855" s="77"/>
      <c r="AN1855" s="77"/>
      <c r="AO1855" s="77"/>
      <c r="AP1855" s="77"/>
      <c r="AQ1855" s="77" t="s">
        <v>9120</v>
      </c>
      <c r="AR1855" s="77">
        <v>86549</v>
      </c>
      <c r="AS1855" s="77"/>
      <c r="AT1855" s="77"/>
      <c r="AU1855" s="77"/>
      <c r="AV1855" s="83" t="str">
        <f>HYPERLINK("https://pbs.twimg.com/ext_tw_video_thumb/1704886920700903424/pu/img/BkSdlT4Lef1rEywc.jpg")</f>
        <v>https://pbs.twimg.com/ext_tw_video_thumb/1704886920700903424/pu/img/BkSdlT4Lef1rEywc.jpg</v>
      </c>
      <c r="AW1855" s="81" t="s">
        <v>10967</v>
      </c>
      <c r="AX1855" s="81" t="s">
        <v>10967</v>
      </c>
      <c r="AY1855" s="77"/>
      <c r="AZ1855" s="81" t="s">
        <v>11359</v>
      </c>
      <c r="BA1855" s="81" t="s">
        <v>11359</v>
      </c>
      <c r="BB1855" s="81" t="s">
        <v>11359</v>
      </c>
      <c r="BC1855" s="81" t="s">
        <v>10967</v>
      </c>
      <c r="BD1855" s="77">
        <v>96980871</v>
      </c>
      <c r="BE1855" s="77"/>
      <c r="BF1855" s="77"/>
      <c r="BG1855" s="77"/>
      <c r="BH1855" s="77"/>
      <c r="BI1855" s="77"/>
    </row>
    <row r="1856" spans="1:61" x14ac:dyDescent="0.25">
      <c r="A1856" s="62" t="s">
        <v>772</v>
      </c>
      <c r="B1856" s="62" t="s">
        <v>771</v>
      </c>
      <c r="C1856" s="63"/>
      <c r="D1856" s="64"/>
      <c r="E1856" s="65"/>
      <c r="F1856" s="66"/>
      <c r="G1856" s="63"/>
      <c r="H1856" s="67"/>
      <c r="I1856" s="68"/>
      <c r="J1856" s="68"/>
      <c r="K1856" s="32"/>
      <c r="L1856" s="75">
        <v>1856</v>
      </c>
      <c r="M1856" s="75"/>
      <c r="N1856" s="70"/>
      <c r="O1856" s="77" t="s">
        <v>968</v>
      </c>
      <c r="P1856" s="79">
        <v>45191.732858796298</v>
      </c>
      <c r="Q1856" s="77" t="s">
        <v>2638</v>
      </c>
      <c r="R1856" s="77">
        <v>1</v>
      </c>
      <c r="S1856" s="77">
        <v>0</v>
      </c>
      <c r="T1856" s="77">
        <v>0</v>
      </c>
      <c r="U1856" s="77">
        <v>0</v>
      </c>
      <c r="V1856" s="77"/>
      <c r="W1856" s="77"/>
      <c r="X1856" s="77"/>
      <c r="Y1856" s="77"/>
      <c r="Z1856" s="77" t="s">
        <v>771</v>
      </c>
      <c r="AA1856" s="77"/>
      <c r="AB1856" s="77"/>
      <c r="AC1856" s="81" t="s">
        <v>5801</v>
      </c>
      <c r="AD1856" s="77" t="s">
        <v>5851</v>
      </c>
      <c r="AE1856" s="83" t="str">
        <f>HYPERLINK("https://twitter.com/rogeriomouraa/status/1705274590681800843")</f>
        <v>https://twitter.com/rogeriomouraa/status/1705274590681800843</v>
      </c>
      <c r="AF1856" s="79">
        <v>45191.732858796298</v>
      </c>
      <c r="AG1856" s="85">
        <v>45191</v>
      </c>
      <c r="AH1856" s="81" t="s">
        <v>7484</v>
      </c>
      <c r="AI1856" s="77"/>
      <c r="AJ1856" s="77"/>
      <c r="AK1856" s="77"/>
      <c r="AL1856" s="77"/>
      <c r="AM1856" s="77"/>
      <c r="AN1856" s="77"/>
      <c r="AO1856" s="77"/>
      <c r="AP1856" s="77"/>
      <c r="AQ1856" s="77"/>
      <c r="AR1856" s="77"/>
      <c r="AS1856" s="77"/>
      <c r="AT1856" s="77"/>
      <c r="AU1856" s="77"/>
      <c r="AV1856" s="83" t="str">
        <f>HYPERLINK("https://pbs.twimg.com/profile_images/1073227149522419712/pirQs24b_normal.jpg")</f>
        <v>https://pbs.twimg.com/profile_images/1073227149522419712/pirQs24b_normal.jpg</v>
      </c>
      <c r="AW1856" s="81" t="s">
        <v>10968</v>
      </c>
      <c r="AX1856" s="81" t="s">
        <v>10968</v>
      </c>
      <c r="AY1856" s="77"/>
      <c r="AZ1856" s="81" t="s">
        <v>11359</v>
      </c>
      <c r="BA1856" s="81" t="s">
        <v>11359</v>
      </c>
      <c r="BB1856" s="81" t="s">
        <v>10967</v>
      </c>
      <c r="BC1856" s="81" t="s">
        <v>10967</v>
      </c>
      <c r="BD1856" s="77">
        <v>555359108</v>
      </c>
      <c r="BE1856" s="77"/>
      <c r="BF1856" s="77"/>
      <c r="BG1856" s="77"/>
      <c r="BH1856" s="77"/>
      <c r="BI1856" s="77"/>
    </row>
    <row r="1857" spans="1:61" x14ac:dyDescent="0.25">
      <c r="A1857" s="62" t="s">
        <v>773</v>
      </c>
      <c r="B1857" s="62" t="s">
        <v>773</v>
      </c>
      <c r="C1857" s="63"/>
      <c r="D1857" s="64"/>
      <c r="E1857" s="65"/>
      <c r="F1857" s="66"/>
      <c r="G1857" s="63"/>
      <c r="H1857" s="67"/>
      <c r="I1857" s="68"/>
      <c r="J1857" s="68"/>
      <c r="K1857" s="32"/>
      <c r="L1857" s="75">
        <v>1857</v>
      </c>
      <c r="M1857" s="75"/>
      <c r="N1857" s="70"/>
      <c r="O1857" s="77" t="s">
        <v>179</v>
      </c>
      <c r="P1857" s="79">
        <v>45072.983969907407</v>
      </c>
      <c r="Q1857" s="77" t="s">
        <v>2639</v>
      </c>
      <c r="R1857" s="77">
        <v>0</v>
      </c>
      <c r="S1857" s="77">
        <v>0</v>
      </c>
      <c r="T1857" s="77">
        <v>0</v>
      </c>
      <c r="U1857" s="77">
        <v>0</v>
      </c>
      <c r="V1857" s="77">
        <v>1568</v>
      </c>
      <c r="W1857" s="81" t="s">
        <v>3967</v>
      </c>
      <c r="X1857" s="83" t="str">
        <f>HYPERLINK("https://www.elcaribe.com.do/panorama/internacionales/sentencian-a-cadena-perpetua-a-vendedor-de-helados-que-mato-a-dos-latinos-en-ee-uu-en-2010")</f>
        <v>https://www.elcaribe.com.do/panorama/internacionales/sentencian-a-cadena-perpetua-a-vendedor-de-helados-que-mato-a-dos-latinos-en-ee-uu-en-2010</v>
      </c>
      <c r="Y1857" s="77" t="s">
        <v>4339</v>
      </c>
      <c r="Z1857" s="77"/>
      <c r="AA1857" s="77"/>
      <c r="AB1857" s="77"/>
      <c r="AC1857" s="81" t="s">
        <v>5805</v>
      </c>
      <c r="AD1857" s="77" t="s">
        <v>5850</v>
      </c>
      <c r="AE1857" s="83" t="str">
        <f>HYPERLINK("https://twitter.com/elcariberd/status/1662241433196146689")</f>
        <v>https://twitter.com/elcariberd/status/1662241433196146689</v>
      </c>
      <c r="AF1857" s="79">
        <v>45072.983969907407</v>
      </c>
      <c r="AG1857" s="85">
        <v>45072</v>
      </c>
      <c r="AH1857" s="81" t="s">
        <v>7485</v>
      </c>
      <c r="AI1857" s="77" t="b">
        <v>0</v>
      </c>
      <c r="AJ1857" s="77"/>
      <c r="AK1857" s="77"/>
      <c r="AL1857" s="77"/>
      <c r="AM1857" s="77"/>
      <c r="AN1857" s="77"/>
      <c r="AO1857" s="77"/>
      <c r="AP1857" s="77"/>
      <c r="AQ1857" s="77"/>
      <c r="AR1857" s="77"/>
      <c r="AS1857" s="77"/>
      <c r="AT1857" s="77"/>
      <c r="AU1857" s="77"/>
      <c r="AV1857" s="83" t="str">
        <f>HYPERLINK("https://pbs.twimg.com/profile_images/1611021810807590912/A13BO61o_normal.jpg")</f>
        <v>https://pbs.twimg.com/profile_images/1611021810807590912/A13BO61o_normal.jpg</v>
      </c>
      <c r="AW1857" s="81" t="s">
        <v>10969</v>
      </c>
      <c r="AX1857" s="81" t="s">
        <v>10969</v>
      </c>
      <c r="AY1857" s="77"/>
      <c r="AZ1857" s="81" t="s">
        <v>11359</v>
      </c>
      <c r="BA1857" s="81" t="s">
        <v>11359</v>
      </c>
      <c r="BB1857" s="81" t="s">
        <v>11359</v>
      </c>
      <c r="BC1857" s="81" t="s">
        <v>10969</v>
      </c>
      <c r="BD1857" s="77">
        <v>36958479</v>
      </c>
      <c r="BE1857" s="77"/>
      <c r="BF1857" s="77"/>
      <c r="BG1857" s="77"/>
      <c r="BH1857" s="77"/>
      <c r="BI1857" s="77"/>
    </row>
    <row r="1858" spans="1:61" x14ac:dyDescent="0.25">
      <c r="A1858" s="62" t="s">
        <v>774</v>
      </c>
      <c r="B1858" s="62" t="s">
        <v>774</v>
      </c>
      <c r="C1858" s="63"/>
      <c r="D1858" s="64"/>
      <c r="E1858" s="65"/>
      <c r="F1858" s="66"/>
      <c r="G1858" s="63"/>
      <c r="H1858" s="67"/>
      <c r="I1858" s="68"/>
      <c r="J1858" s="68"/>
      <c r="K1858" s="32"/>
      <c r="L1858" s="75">
        <v>1858</v>
      </c>
      <c r="M1858" s="75"/>
      <c r="N1858" s="70"/>
      <c r="O1858" s="77" t="s">
        <v>179</v>
      </c>
      <c r="P1858" s="79">
        <v>45020.021527777775</v>
      </c>
      <c r="Q1858" s="77" t="s">
        <v>2640</v>
      </c>
      <c r="R1858" s="77">
        <v>0</v>
      </c>
      <c r="S1858" s="77">
        <v>3</v>
      </c>
      <c r="T1858" s="77">
        <v>1</v>
      </c>
      <c r="U1858" s="77">
        <v>1</v>
      </c>
      <c r="V1858" s="77">
        <v>72</v>
      </c>
      <c r="W1858" s="81" t="s">
        <v>3968</v>
      </c>
      <c r="X1858" s="77"/>
      <c r="Y1858" s="77"/>
      <c r="Z1858" s="77"/>
      <c r="AA1858" s="77" t="s">
        <v>5618</v>
      </c>
      <c r="AB1858" s="77" t="s">
        <v>5794</v>
      </c>
      <c r="AC1858" s="81" t="s">
        <v>5845</v>
      </c>
      <c r="AD1858" s="77" t="s">
        <v>5850</v>
      </c>
      <c r="AE1858" s="83" t="str">
        <f>HYPERLINK("https://twitter.com/picaperumedios/status/1643048486575935491")</f>
        <v>https://twitter.com/picaperumedios/status/1643048486575935491</v>
      </c>
      <c r="AF1858" s="79">
        <v>45020.021527777775</v>
      </c>
      <c r="AG1858" s="85">
        <v>45020</v>
      </c>
      <c r="AH1858" s="81" t="s">
        <v>7486</v>
      </c>
      <c r="AI1858" s="77" t="b">
        <v>0</v>
      </c>
      <c r="AJ1858" s="77"/>
      <c r="AK1858" s="77"/>
      <c r="AL1858" s="77"/>
      <c r="AM1858" s="77"/>
      <c r="AN1858" s="77"/>
      <c r="AO1858" s="77"/>
      <c r="AP1858" s="77"/>
      <c r="AQ1858" s="77" t="s">
        <v>9121</v>
      </c>
      <c r="AR1858" s="77"/>
      <c r="AS1858" s="77"/>
      <c r="AT1858" s="77"/>
      <c r="AU1858" s="77"/>
      <c r="AV1858" s="83" t="str">
        <f>HYPERLINK("https://pbs.twimg.com/media/FrG4UleWcAAJaUT.jpg")</f>
        <v>https://pbs.twimg.com/media/FrG4UleWcAAJaUT.jpg</v>
      </c>
      <c r="AW1858" s="81" t="s">
        <v>10970</v>
      </c>
      <c r="AX1858" s="81" t="s">
        <v>10970</v>
      </c>
      <c r="AY1858" s="77"/>
      <c r="AZ1858" s="81" t="s">
        <v>11359</v>
      </c>
      <c r="BA1858" s="81" t="s">
        <v>11359</v>
      </c>
      <c r="BB1858" s="81" t="s">
        <v>11359</v>
      </c>
      <c r="BC1858" s="81" t="s">
        <v>10970</v>
      </c>
      <c r="BD1858" s="77">
        <v>1228954766</v>
      </c>
      <c r="BE1858" s="77"/>
      <c r="BF1858" s="77"/>
      <c r="BG1858" s="77"/>
      <c r="BH1858" s="77"/>
      <c r="BI1858" s="77"/>
    </row>
    <row r="1859" spans="1:61" x14ac:dyDescent="0.25">
      <c r="A1859" s="62" t="s">
        <v>774</v>
      </c>
      <c r="B1859" s="62" t="s">
        <v>774</v>
      </c>
      <c r="C1859" s="63"/>
      <c r="D1859" s="64"/>
      <c r="E1859" s="65"/>
      <c r="F1859" s="66"/>
      <c r="G1859" s="63"/>
      <c r="H1859" s="67"/>
      <c r="I1859" s="68"/>
      <c r="J1859" s="68"/>
      <c r="K1859" s="32"/>
      <c r="L1859" s="75">
        <v>1859</v>
      </c>
      <c r="M1859" s="75"/>
      <c r="N1859" s="70"/>
      <c r="O1859" s="77" t="s">
        <v>179</v>
      </c>
      <c r="P1859" s="79">
        <v>45050.021527777775</v>
      </c>
      <c r="Q1859" s="77" t="s">
        <v>2641</v>
      </c>
      <c r="R1859" s="77">
        <v>0</v>
      </c>
      <c r="S1859" s="77">
        <v>3</v>
      </c>
      <c r="T1859" s="77">
        <v>0</v>
      </c>
      <c r="U1859" s="77">
        <v>0</v>
      </c>
      <c r="V1859" s="77">
        <v>9</v>
      </c>
      <c r="W1859" s="81" t="s">
        <v>3968</v>
      </c>
      <c r="X1859" s="77"/>
      <c r="Y1859" s="77"/>
      <c r="Z1859" s="77"/>
      <c r="AA1859" s="77" t="s">
        <v>5619</v>
      </c>
      <c r="AB1859" s="77" t="s">
        <v>5794</v>
      </c>
      <c r="AC1859" s="81" t="s">
        <v>5845</v>
      </c>
      <c r="AD1859" s="77" t="s">
        <v>5850</v>
      </c>
      <c r="AE1859" s="83" t="str">
        <f>HYPERLINK("https://twitter.com/picaperumedios/status/1653920122736717828")</f>
        <v>https://twitter.com/picaperumedios/status/1653920122736717828</v>
      </c>
      <c r="AF1859" s="79">
        <v>45050.021527777775</v>
      </c>
      <c r="AG1859" s="85">
        <v>45050</v>
      </c>
      <c r="AH1859" s="81" t="s">
        <v>7486</v>
      </c>
      <c r="AI1859" s="77" t="b">
        <v>0</v>
      </c>
      <c r="AJ1859" s="77"/>
      <c r="AK1859" s="77"/>
      <c r="AL1859" s="77"/>
      <c r="AM1859" s="77"/>
      <c r="AN1859" s="77"/>
      <c r="AO1859" s="77"/>
      <c r="AP1859" s="77"/>
      <c r="AQ1859" s="77" t="s">
        <v>9121</v>
      </c>
      <c r="AR1859" s="77"/>
      <c r="AS1859" s="77"/>
      <c r="AT1859" s="77"/>
      <c r="AU1859" s="77"/>
      <c r="AV1859" s="83" t="str">
        <f>HYPERLINK("https://pbs.twimg.com/media/FrG4UleWcAAJaUT.jpg")</f>
        <v>https://pbs.twimg.com/media/FrG4UleWcAAJaUT.jpg</v>
      </c>
      <c r="AW1859" s="81" t="s">
        <v>10971</v>
      </c>
      <c r="AX1859" s="81" t="s">
        <v>10971</v>
      </c>
      <c r="AY1859" s="77"/>
      <c r="AZ1859" s="81" t="s">
        <v>11359</v>
      </c>
      <c r="BA1859" s="81" t="s">
        <v>11359</v>
      </c>
      <c r="BB1859" s="81" t="s">
        <v>11359</v>
      </c>
      <c r="BC1859" s="81" t="s">
        <v>10971</v>
      </c>
      <c r="BD1859" s="77">
        <v>1228954766</v>
      </c>
      <c r="BE1859" s="77"/>
      <c r="BF1859" s="77"/>
      <c r="BG1859" s="77"/>
      <c r="BH1859" s="77"/>
      <c r="BI1859" s="77"/>
    </row>
    <row r="1860" spans="1:61" x14ac:dyDescent="0.25">
      <c r="A1860" s="62" t="s">
        <v>774</v>
      </c>
      <c r="B1860" s="62" t="s">
        <v>774</v>
      </c>
      <c r="C1860" s="63"/>
      <c r="D1860" s="64"/>
      <c r="E1860" s="65"/>
      <c r="F1860" s="66"/>
      <c r="G1860" s="63"/>
      <c r="H1860" s="67"/>
      <c r="I1860" s="68"/>
      <c r="J1860" s="68"/>
      <c r="K1860" s="32"/>
      <c r="L1860" s="75">
        <v>1860</v>
      </c>
      <c r="M1860" s="75"/>
      <c r="N1860" s="70"/>
      <c r="O1860" s="77" t="s">
        <v>179</v>
      </c>
      <c r="P1860" s="79">
        <v>45111.021527777775</v>
      </c>
      <c r="Q1860" s="77" t="s">
        <v>2642</v>
      </c>
      <c r="R1860" s="77">
        <v>0</v>
      </c>
      <c r="S1860" s="77">
        <v>0</v>
      </c>
      <c r="T1860" s="77">
        <v>0</v>
      </c>
      <c r="U1860" s="77">
        <v>0</v>
      </c>
      <c r="V1860" s="77">
        <v>9</v>
      </c>
      <c r="W1860" s="81" t="s">
        <v>3968</v>
      </c>
      <c r="X1860" s="77"/>
      <c r="Y1860" s="77"/>
      <c r="Z1860" s="77"/>
      <c r="AA1860" s="77" t="s">
        <v>5620</v>
      </c>
      <c r="AB1860" s="77" t="s">
        <v>5794</v>
      </c>
      <c r="AC1860" s="81" t="s">
        <v>5845</v>
      </c>
      <c r="AD1860" s="77" t="s">
        <v>5850</v>
      </c>
      <c r="AE1860" s="83" t="str">
        <f>HYPERLINK("https://twitter.com/picaperumedios/status/1676025782408470528")</f>
        <v>https://twitter.com/picaperumedios/status/1676025782408470528</v>
      </c>
      <c r="AF1860" s="79">
        <v>45111.021527777775</v>
      </c>
      <c r="AG1860" s="85">
        <v>45111</v>
      </c>
      <c r="AH1860" s="81" t="s">
        <v>7486</v>
      </c>
      <c r="AI1860" s="77" t="b">
        <v>0</v>
      </c>
      <c r="AJ1860" s="77"/>
      <c r="AK1860" s="77"/>
      <c r="AL1860" s="77"/>
      <c r="AM1860" s="77"/>
      <c r="AN1860" s="77"/>
      <c r="AO1860" s="77"/>
      <c r="AP1860" s="77"/>
      <c r="AQ1860" s="77" t="s">
        <v>9121</v>
      </c>
      <c r="AR1860" s="77"/>
      <c r="AS1860" s="77"/>
      <c r="AT1860" s="77"/>
      <c r="AU1860" s="77"/>
      <c r="AV1860" s="83" t="str">
        <f>HYPERLINK("https://pbs.twimg.com/media/FrG4UleWcAAJaUT.jpg")</f>
        <v>https://pbs.twimg.com/media/FrG4UleWcAAJaUT.jpg</v>
      </c>
      <c r="AW1860" s="81" t="s">
        <v>10972</v>
      </c>
      <c r="AX1860" s="81" t="s">
        <v>10972</v>
      </c>
      <c r="AY1860" s="77"/>
      <c r="AZ1860" s="81" t="s">
        <v>11359</v>
      </c>
      <c r="BA1860" s="81" t="s">
        <v>11359</v>
      </c>
      <c r="BB1860" s="81" t="s">
        <v>11359</v>
      </c>
      <c r="BC1860" s="81" t="s">
        <v>10972</v>
      </c>
      <c r="BD1860" s="77">
        <v>1228954766</v>
      </c>
      <c r="BE1860" s="77"/>
      <c r="BF1860" s="77"/>
      <c r="BG1860" s="77"/>
      <c r="BH1860" s="77"/>
      <c r="BI1860" s="77"/>
    </row>
    <row r="1861" spans="1:61" x14ac:dyDescent="0.25">
      <c r="A1861" s="62" t="s">
        <v>774</v>
      </c>
      <c r="B1861" s="62" t="s">
        <v>774</v>
      </c>
      <c r="C1861" s="63"/>
      <c r="D1861" s="64"/>
      <c r="E1861" s="65"/>
      <c r="F1861" s="66"/>
      <c r="G1861" s="63"/>
      <c r="H1861" s="67"/>
      <c r="I1861" s="68"/>
      <c r="J1861" s="68"/>
      <c r="K1861" s="32"/>
      <c r="L1861" s="75">
        <v>1861</v>
      </c>
      <c r="M1861" s="75"/>
      <c r="N1861" s="70"/>
      <c r="O1861" s="77" t="s">
        <v>179</v>
      </c>
      <c r="P1861" s="79">
        <v>45142.021527777775</v>
      </c>
      <c r="Q1861" s="77" t="s">
        <v>2643</v>
      </c>
      <c r="R1861" s="77">
        <v>0</v>
      </c>
      <c r="S1861" s="77">
        <v>0</v>
      </c>
      <c r="T1861" s="77">
        <v>0</v>
      </c>
      <c r="U1861" s="77">
        <v>0</v>
      </c>
      <c r="V1861" s="77">
        <v>8</v>
      </c>
      <c r="W1861" s="81" t="s">
        <v>3968</v>
      </c>
      <c r="X1861" s="77"/>
      <c r="Y1861" s="77"/>
      <c r="Z1861" s="77"/>
      <c r="AA1861" s="77" t="s">
        <v>5621</v>
      </c>
      <c r="AB1861" s="77" t="s">
        <v>5794</v>
      </c>
      <c r="AC1861" s="81" t="s">
        <v>5845</v>
      </c>
      <c r="AD1861" s="77" t="s">
        <v>5850</v>
      </c>
      <c r="AE1861" s="83" t="str">
        <f>HYPERLINK("https://twitter.com/picaperumedios/status/1687259806074294272")</f>
        <v>https://twitter.com/picaperumedios/status/1687259806074294272</v>
      </c>
      <c r="AF1861" s="79">
        <v>45142.021527777775</v>
      </c>
      <c r="AG1861" s="85">
        <v>45142</v>
      </c>
      <c r="AH1861" s="81" t="s">
        <v>7486</v>
      </c>
      <c r="AI1861" s="77" t="b">
        <v>0</v>
      </c>
      <c r="AJ1861" s="77"/>
      <c r="AK1861" s="77"/>
      <c r="AL1861" s="77"/>
      <c r="AM1861" s="77"/>
      <c r="AN1861" s="77"/>
      <c r="AO1861" s="77"/>
      <c r="AP1861" s="77"/>
      <c r="AQ1861" s="77" t="s">
        <v>9121</v>
      </c>
      <c r="AR1861" s="77"/>
      <c r="AS1861" s="77"/>
      <c r="AT1861" s="77"/>
      <c r="AU1861" s="77"/>
      <c r="AV1861" s="83" t="str">
        <f>HYPERLINK("https://pbs.twimg.com/media/FrG4UleWcAAJaUT.jpg")</f>
        <v>https://pbs.twimg.com/media/FrG4UleWcAAJaUT.jpg</v>
      </c>
      <c r="AW1861" s="81" t="s">
        <v>10973</v>
      </c>
      <c r="AX1861" s="81" t="s">
        <v>10973</v>
      </c>
      <c r="AY1861" s="77"/>
      <c r="AZ1861" s="81" t="s">
        <v>11359</v>
      </c>
      <c r="BA1861" s="81" t="s">
        <v>11359</v>
      </c>
      <c r="BB1861" s="81" t="s">
        <v>11359</v>
      </c>
      <c r="BC1861" s="81" t="s">
        <v>10973</v>
      </c>
      <c r="BD1861" s="77">
        <v>1228954766</v>
      </c>
      <c r="BE1861" s="77"/>
      <c r="BF1861" s="77"/>
      <c r="BG1861" s="77"/>
      <c r="BH1861" s="77"/>
      <c r="BI1861" s="77"/>
    </row>
    <row r="1862" spans="1:61" x14ac:dyDescent="0.25">
      <c r="A1862" s="62" t="s">
        <v>774</v>
      </c>
      <c r="B1862" s="62" t="s">
        <v>774</v>
      </c>
      <c r="C1862" s="63"/>
      <c r="D1862" s="64"/>
      <c r="E1862" s="65"/>
      <c r="F1862" s="66"/>
      <c r="G1862" s="63"/>
      <c r="H1862" s="67"/>
      <c r="I1862" s="68"/>
      <c r="J1862" s="68"/>
      <c r="K1862" s="32"/>
      <c r="L1862" s="75">
        <v>1862</v>
      </c>
      <c r="M1862" s="75"/>
      <c r="N1862" s="70"/>
      <c r="O1862" s="77" t="s">
        <v>179</v>
      </c>
      <c r="P1862" s="79">
        <v>45173.021527777775</v>
      </c>
      <c r="Q1862" s="77" t="s">
        <v>2644</v>
      </c>
      <c r="R1862" s="77">
        <v>0</v>
      </c>
      <c r="S1862" s="77">
        <v>0</v>
      </c>
      <c r="T1862" s="77">
        <v>0</v>
      </c>
      <c r="U1862" s="77">
        <v>0</v>
      </c>
      <c r="V1862" s="77">
        <v>11</v>
      </c>
      <c r="W1862" s="81" t="s">
        <v>3968</v>
      </c>
      <c r="X1862" s="77"/>
      <c r="Y1862" s="77"/>
      <c r="Z1862" s="77"/>
      <c r="AA1862" s="77" t="s">
        <v>5622</v>
      </c>
      <c r="AB1862" s="77" t="s">
        <v>5794</v>
      </c>
      <c r="AC1862" s="81" t="s">
        <v>5845</v>
      </c>
      <c r="AD1862" s="77" t="s">
        <v>5850</v>
      </c>
      <c r="AE1862" s="83" t="str">
        <f>HYPERLINK("https://twitter.com/picaperumedios/status/1698493830188691606")</f>
        <v>https://twitter.com/picaperumedios/status/1698493830188691606</v>
      </c>
      <c r="AF1862" s="79">
        <v>45173.021527777775</v>
      </c>
      <c r="AG1862" s="85">
        <v>45173</v>
      </c>
      <c r="AH1862" s="81" t="s">
        <v>7486</v>
      </c>
      <c r="AI1862" s="77" t="b">
        <v>0</v>
      </c>
      <c r="AJ1862" s="77"/>
      <c r="AK1862" s="77"/>
      <c r="AL1862" s="77"/>
      <c r="AM1862" s="77"/>
      <c r="AN1862" s="77"/>
      <c r="AO1862" s="77"/>
      <c r="AP1862" s="77"/>
      <c r="AQ1862" s="77" t="s">
        <v>9121</v>
      </c>
      <c r="AR1862" s="77"/>
      <c r="AS1862" s="77"/>
      <c r="AT1862" s="77"/>
      <c r="AU1862" s="77"/>
      <c r="AV1862" s="83" t="str">
        <f>HYPERLINK("https://pbs.twimg.com/media/FrG4UleWcAAJaUT.jpg")</f>
        <v>https://pbs.twimg.com/media/FrG4UleWcAAJaUT.jpg</v>
      </c>
      <c r="AW1862" s="81" t="s">
        <v>10974</v>
      </c>
      <c r="AX1862" s="81" t="s">
        <v>10974</v>
      </c>
      <c r="AY1862" s="77"/>
      <c r="AZ1862" s="81" t="s">
        <v>11359</v>
      </c>
      <c r="BA1862" s="81" t="s">
        <v>11359</v>
      </c>
      <c r="BB1862" s="81" t="s">
        <v>11359</v>
      </c>
      <c r="BC1862" s="81" t="s">
        <v>10974</v>
      </c>
      <c r="BD1862" s="77">
        <v>1228954766</v>
      </c>
      <c r="BE1862" s="77"/>
      <c r="BF1862" s="77"/>
      <c r="BG1862" s="77"/>
      <c r="BH1862" s="77"/>
      <c r="BI1862" s="77"/>
    </row>
    <row r="1863" spans="1:61" x14ac:dyDescent="0.25">
      <c r="A1863" s="62" t="s">
        <v>774</v>
      </c>
      <c r="B1863" s="62" t="s">
        <v>774</v>
      </c>
      <c r="C1863" s="63"/>
      <c r="D1863" s="64"/>
      <c r="E1863" s="65"/>
      <c r="F1863" s="66"/>
      <c r="G1863" s="63"/>
      <c r="H1863" s="67"/>
      <c r="I1863" s="68"/>
      <c r="J1863" s="68"/>
      <c r="K1863" s="32"/>
      <c r="L1863" s="75">
        <v>1863</v>
      </c>
      <c r="M1863" s="75"/>
      <c r="N1863" s="70"/>
      <c r="O1863" s="77" t="s">
        <v>179</v>
      </c>
      <c r="P1863" s="79">
        <v>45081.021527777775</v>
      </c>
      <c r="Q1863" s="77" t="s">
        <v>2645</v>
      </c>
      <c r="R1863" s="77">
        <v>0</v>
      </c>
      <c r="S1863" s="77">
        <v>1</v>
      </c>
      <c r="T1863" s="77">
        <v>0</v>
      </c>
      <c r="U1863" s="77">
        <v>0</v>
      </c>
      <c r="V1863" s="77">
        <v>9</v>
      </c>
      <c r="W1863" s="81" t="s">
        <v>3968</v>
      </c>
      <c r="X1863" s="77"/>
      <c r="Y1863" s="77"/>
      <c r="Z1863" s="77"/>
      <c r="AA1863" s="77" t="s">
        <v>5623</v>
      </c>
      <c r="AB1863" s="77" t="s">
        <v>5794</v>
      </c>
      <c r="AC1863" s="81" t="s">
        <v>5845</v>
      </c>
      <c r="AD1863" s="77" t="s">
        <v>5850</v>
      </c>
      <c r="AE1863" s="83" t="str">
        <f>HYPERLINK("https://twitter.com/picaperumedios/status/1665154146486587392")</f>
        <v>https://twitter.com/picaperumedios/status/1665154146486587392</v>
      </c>
      <c r="AF1863" s="79">
        <v>45081.021527777775</v>
      </c>
      <c r="AG1863" s="85">
        <v>45081</v>
      </c>
      <c r="AH1863" s="81" t="s">
        <v>7486</v>
      </c>
      <c r="AI1863" s="77" t="b">
        <v>0</v>
      </c>
      <c r="AJ1863" s="77"/>
      <c r="AK1863" s="77"/>
      <c r="AL1863" s="77"/>
      <c r="AM1863" s="77"/>
      <c r="AN1863" s="77"/>
      <c r="AO1863" s="77"/>
      <c r="AP1863" s="77"/>
      <c r="AQ1863" s="77" t="s">
        <v>9121</v>
      </c>
      <c r="AR1863" s="77"/>
      <c r="AS1863" s="77"/>
      <c r="AT1863" s="77"/>
      <c r="AU1863" s="77"/>
      <c r="AV1863" s="83" t="str">
        <f>HYPERLINK("https://pbs.twimg.com/media/FrG4UleWcAAJaUT.jpg")</f>
        <v>https://pbs.twimg.com/media/FrG4UleWcAAJaUT.jpg</v>
      </c>
      <c r="AW1863" s="81" t="s">
        <v>10975</v>
      </c>
      <c r="AX1863" s="81" t="s">
        <v>10975</v>
      </c>
      <c r="AY1863" s="77"/>
      <c r="AZ1863" s="81" t="s">
        <v>11359</v>
      </c>
      <c r="BA1863" s="81" t="s">
        <v>11359</v>
      </c>
      <c r="BB1863" s="81" t="s">
        <v>11359</v>
      </c>
      <c r="BC1863" s="81" t="s">
        <v>10975</v>
      </c>
      <c r="BD1863" s="77">
        <v>1228954766</v>
      </c>
      <c r="BE1863" s="77"/>
      <c r="BF1863" s="77"/>
      <c r="BG1863" s="77"/>
      <c r="BH1863" s="77"/>
      <c r="BI1863" s="77"/>
    </row>
    <row r="1864" spans="1:61" x14ac:dyDescent="0.25">
      <c r="A1864" s="62" t="s">
        <v>775</v>
      </c>
      <c r="B1864" s="62" t="s">
        <v>775</v>
      </c>
      <c r="C1864" s="63"/>
      <c r="D1864" s="64"/>
      <c r="E1864" s="65"/>
      <c r="F1864" s="66"/>
      <c r="G1864" s="63"/>
      <c r="H1864" s="67"/>
      <c r="I1864" s="68"/>
      <c r="J1864" s="68"/>
      <c r="K1864" s="32"/>
      <c r="L1864" s="75">
        <v>1864</v>
      </c>
      <c r="M1864" s="75"/>
      <c r="N1864" s="70"/>
      <c r="O1864" s="77" t="s">
        <v>179</v>
      </c>
      <c r="P1864" s="79">
        <v>44959.776342592595</v>
      </c>
      <c r="Q1864" s="77" t="s">
        <v>2646</v>
      </c>
      <c r="R1864" s="77">
        <v>0</v>
      </c>
      <c r="S1864" s="77">
        <v>0</v>
      </c>
      <c r="T1864" s="77">
        <v>0</v>
      </c>
      <c r="U1864" s="77">
        <v>0</v>
      </c>
      <c r="V1864" s="77">
        <v>24</v>
      </c>
      <c r="W1864" s="81" t="s">
        <v>3969</v>
      </c>
      <c r="X1864" s="77"/>
      <c r="Y1864" s="77"/>
      <c r="Z1864" s="77"/>
      <c r="AA1864" s="77" t="s">
        <v>5624</v>
      </c>
      <c r="AB1864" s="77" t="s">
        <v>5794</v>
      </c>
      <c r="AC1864" s="81" t="s">
        <v>5805</v>
      </c>
      <c r="AD1864" s="77" t="s">
        <v>5850</v>
      </c>
      <c r="AE1864" s="83" t="str">
        <f>HYPERLINK("https://twitter.com/emmagonzalezrc/status/1621216362428338177")</f>
        <v>https://twitter.com/emmagonzalezrc/status/1621216362428338177</v>
      </c>
      <c r="AF1864" s="79">
        <v>44959.776342592595</v>
      </c>
      <c r="AG1864" s="85">
        <v>44959</v>
      </c>
      <c r="AH1864" s="81" t="s">
        <v>7487</v>
      </c>
      <c r="AI1864" s="77" t="b">
        <v>0</v>
      </c>
      <c r="AJ1864" s="77"/>
      <c r="AK1864" s="77"/>
      <c r="AL1864" s="77"/>
      <c r="AM1864" s="77"/>
      <c r="AN1864" s="77"/>
      <c r="AO1864" s="77"/>
      <c r="AP1864" s="77"/>
      <c r="AQ1864" s="77" t="s">
        <v>9122</v>
      </c>
      <c r="AR1864" s="77"/>
      <c r="AS1864" s="77"/>
      <c r="AT1864" s="77"/>
      <c r="AU1864" s="77"/>
      <c r="AV1864" s="83" t="str">
        <f>HYPERLINK("https://pbs.twimg.com/media/Fn-3VbSXoAIy9zw.jpg")</f>
        <v>https://pbs.twimg.com/media/Fn-3VbSXoAIy9zw.jpg</v>
      </c>
      <c r="AW1864" s="81" t="s">
        <v>10976</v>
      </c>
      <c r="AX1864" s="81" t="s">
        <v>10976</v>
      </c>
      <c r="AY1864" s="77"/>
      <c r="AZ1864" s="81" t="s">
        <v>11359</v>
      </c>
      <c r="BA1864" s="81" t="s">
        <v>11359</v>
      </c>
      <c r="BB1864" s="81" t="s">
        <v>11359</v>
      </c>
      <c r="BC1864" s="81" t="s">
        <v>10976</v>
      </c>
      <c r="BD1864" s="81" t="s">
        <v>11668</v>
      </c>
      <c r="BE1864" s="77"/>
      <c r="BF1864" s="77"/>
      <c r="BG1864" s="77"/>
      <c r="BH1864" s="77"/>
      <c r="BI1864" s="77"/>
    </row>
    <row r="1865" spans="1:61" x14ac:dyDescent="0.25">
      <c r="A1865" s="62" t="s">
        <v>776</v>
      </c>
      <c r="B1865" s="62" t="s">
        <v>776</v>
      </c>
      <c r="C1865" s="63"/>
      <c r="D1865" s="64"/>
      <c r="E1865" s="65"/>
      <c r="F1865" s="66"/>
      <c r="G1865" s="63"/>
      <c r="H1865" s="67"/>
      <c r="I1865" s="68"/>
      <c r="J1865" s="68"/>
      <c r="K1865" s="32"/>
      <c r="L1865" s="75">
        <v>1865</v>
      </c>
      <c r="M1865" s="75"/>
      <c r="N1865" s="70"/>
      <c r="O1865" s="77" t="s">
        <v>179</v>
      </c>
      <c r="P1865" s="79">
        <v>44995.830983796295</v>
      </c>
      <c r="Q1865" s="77" t="s">
        <v>2647</v>
      </c>
      <c r="R1865" s="77">
        <v>0</v>
      </c>
      <c r="S1865" s="77">
        <v>0</v>
      </c>
      <c r="T1865" s="77">
        <v>0</v>
      </c>
      <c r="U1865" s="77">
        <v>0</v>
      </c>
      <c r="V1865" s="77">
        <v>15</v>
      </c>
      <c r="W1865" s="81" t="s">
        <v>3970</v>
      </c>
      <c r="X1865" s="83" t="str">
        <f>HYPERLINK("http://antigoverno.politics.blog/2023/03/10/proposta-de-lei-vai-prejudicar-deficientes-proposta-de-lei-421-21/")</f>
        <v>http://antigoverno.politics.blog/2023/03/10/proposta-de-lei-vai-prejudicar-deficientes-proposta-de-lei-421-21/</v>
      </c>
      <c r="Y1865" s="77" t="s">
        <v>4340</v>
      </c>
      <c r="Z1865" s="77"/>
      <c r="AA1865" s="77"/>
      <c r="AB1865" s="77"/>
      <c r="AC1865" s="81" t="s">
        <v>5846</v>
      </c>
      <c r="AD1865" s="77" t="s">
        <v>5851</v>
      </c>
      <c r="AE1865" s="83" t="str">
        <f>HYPERLINK("https://twitter.com/advzimmermann/status/1634282127477952529")</f>
        <v>https://twitter.com/advzimmermann/status/1634282127477952529</v>
      </c>
      <c r="AF1865" s="79">
        <v>44995.830983796295</v>
      </c>
      <c r="AG1865" s="85">
        <v>44995</v>
      </c>
      <c r="AH1865" s="81" t="s">
        <v>7488</v>
      </c>
      <c r="AI1865" s="77" t="b">
        <v>0</v>
      </c>
      <c r="AJ1865" s="77"/>
      <c r="AK1865" s="77"/>
      <c r="AL1865" s="77"/>
      <c r="AM1865" s="77"/>
      <c r="AN1865" s="77"/>
      <c r="AO1865" s="77"/>
      <c r="AP1865" s="77"/>
      <c r="AQ1865" s="77"/>
      <c r="AR1865" s="77"/>
      <c r="AS1865" s="77"/>
      <c r="AT1865" s="77"/>
      <c r="AU1865" s="77"/>
      <c r="AV1865" s="83" t="str">
        <f>HYPERLINK("https://pbs.twimg.com/profile_images/1681318565469884419/73Hnl_8O_normal.jpg")</f>
        <v>https://pbs.twimg.com/profile_images/1681318565469884419/73Hnl_8O_normal.jpg</v>
      </c>
      <c r="AW1865" s="81" t="s">
        <v>10977</v>
      </c>
      <c r="AX1865" s="81" t="s">
        <v>10977</v>
      </c>
      <c r="AY1865" s="77"/>
      <c r="AZ1865" s="81" t="s">
        <v>11359</v>
      </c>
      <c r="BA1865" s="81" t="s">
        <v>11359</v>
      </c>
      <c r="BB1865" s="81" t="s">
        <v>11359</v>
      </c>
      <c r="BC1865" s="81" t="s">
        <v>10977</v>
      </c>
      <c r="BD1865" s="81" t="s">
        <v>11669</v>
      </c>
      <c r="BE1865" s="77"/>
      <c r="BF1865" s="77"/>
      <c r="BG1865" s="77"/>
      <c r="BH1865" s="77"/>
      <c r="BI1865" s="77"/>
    </row>
    <row r="1866" spans="1:61" x14ac:dyDescent="0.25">
      <c r="A1866" s="62" t="s">
        <v>777</v>
      </c>
      <c r="B1866" s="62" t="s">
        <v>883</v>
      </c>
      <c r="C1866" s="63"/>
      <c r="D1866" s="64"/>
      <c r="E1866" s="65"/>
      <c r="F1866" s="66"/>
      <c r="G1866" s="63"/>
      <c r="H1866" s="67"/>
      <c r="I1866" s="68"/>
      <c r="J1866" s="68"/>
      <c r="K1866" s="32"/>
      <c r="L1866" s="75">
        <v>1866</v>
      </c>
      <c r="M1866" s="75"/>
      <c r="N1866" s="70"/>
      <c r="O1866" s="77" t="s">
        <v>967</v>
      </c>
      <c r="P1866" s="79">
        <v>45086.357858796298</v>
      </c>
      <c r="Q1866" s="77" t="s">
        <v>2648</v>
      </c>
      <c r="R1866" s="77">
        <v>0</v>
      </c>
      <c r="S1866" s="77">
        <v>0</v>
      </c>
      <c r="T1866" s="77">
        <v>0</v>
      </c>
      <c r="U1866" s="77">
        <v>0</v>
      </c>
      <c r="V1866" s="77">
        <v>15</v>
      </c>
      <c r="W1866" s="81" t="s">
        <v>3971</v>
      </c>
      <c r="X1866" s="83" t="str">
        <f>HYPERLINK("https://www.spreaker.com/user/creemeloquetedigo/episodio-123-sergi-san-jose-explica-co-m_1")</f>
        <v>https://www.spreaker.com/user/creemeloquetedigo/episodio-123-sergi-san-jose-explica-co-m_1</v>
      </c>
      <c r="Y1866" s="77" t="s">
        <v>4235</v>
      </c>
      <c r="Z1866" s="77" t="s">
        <v>883</v>
      </c>
      <c r="AA1866" s="77"/>
      <c r="AB1866" s="77"/>
      <c r="AC1866" s="81" t="s">
        <v>5817</v>
      </c>
      <c r="AD1866" s="77" t="s">
        <v>5850</v>
      </c>
      <c r="AE1866" s="83" t="str">
        <f>HYPERLINK("https://twitter.com/interaccionhuma/status/1667087969759404032")</f>
        <v>https://twitter.com/interaccionhuma/status/1667087969759404032</v>
      </c>
      <c r="AF1866" s="79">
        <v>45086.357858796298</v>
      </c>
      <c r="AG1866" s="85">
        <v>45086</v>
      </c>
      <c r="AH1866" s="81" t="s">
        <v>7489</v>
      </c>
      <c r="AI1866" s="77" t="b">
        <v>0</v>
      </c>
      <c r="AJ1866" s="77"/>
      <c r="AK1866" s="77"/>
      <c r="AL1866" s="77"/>
      <c r="AM1866" s="77"/>
      <c r="AN1866" s="77"/>
      <c r="AO1866" s="77"/>
      <c r="AP1866" s="77"/>
      <c r="AQ1866" s="77"/>
      <c r="AR1866" s="77"/>
      <c r="AS1866" s="77"/>
      <c r="AT1866" s="77"/>
      <c r="AU1866" s="77"/>
      <c r="AV1866" s="83" t="str">
        <f>HYPERLINK("https://pbs.twimg.com/profile_images/1618322979577815055/tyL6RedL_normal.jpg")</f>
        <v>https://pbs.twimg.com/profile_images/1618322979577815055/tyL6RedL_normal.jpg</v>
      </c>
      <c r="AW1866" s="81" t="s">
        <v>10978</v>
      </c>
      <c r="AX1866" s="81" t="s">
        <v>10978</v>
      </c>
      <c r="AY1866" s="77"/>
      <c r="AZ1866" s="81" t="s">
        <v>11359</v>
      </c>
      <c r="BA1866" s="81" t="s">
        <v>11359</v>
      </c>
      <c r="BB1866" s="81" t="s">
        <v>11359</v>
      </c>
      <c r="BC1866" s="81" t="s">
        <v>10978</v>
      </c>
      <c r="BD1866" s="77">
        <v>390737687</v>
      </c>
      <c r="BE1866" s="77"/>
      <c r="BF1866" s="77"/>
      <c r="BG1866" s="77"/>
      <c r="BH1866" s="77"/>
      <c r="BI1866" s="77"/>
    </row>
    <row r="1867" spans="1:61" x14ac:dyDescent="0.25">
      <c r="A1867" s="62" t="s">
        <v>778</v>
      </c>
      <c r="B1867" s="62" t="s">
        <v>778</v>
      </c>
      <c r="C1867" s="63"/>
      <c r="D1867" s="64"/>
      <c r="E1867" s="65"/>
      <c r="F1867" s="66"/>
      <c r="G1867" s="63"/>
      <c r="H1867" s="67"/>
      <c r="I1867" s="68"/>
      <c r="J1867" s="68"/>
      <c r="K1867" s="32"/>
      <c r="L1867" s="75">
        <v>1867</v>
      </c>
      <c r="M1867" s="75"/>
      <c r="N1867" s="70"/>
      <c r="O1867" s="77" t="s">
        <v>179</v>
      </c>
      <c r="P1867" s="79">
        <v>44958.443020833336</v>
      </c>
      <c r="Q1867" s="77" t="s">
        <v>2649</v>
      </c>
      <c r="R1867" s="77">
        <v>0</v>
      </c>
      <c r="S1867" s="77">
        <v>0</v>
      </c>
      <c r="T1867" s="77">
        <v>0</v>
      </c>
      <c r="U1867" s="77">
        <v>0</v>
      </c>
      <c r="V1867" s="77">
        <v>136</v>
      </c>
      <c r="W1867" s="81" t="s">
        <v>3972</v>
      </c>
      <c r="X1867" s="77"/>
      <c r="Y1867" s="77"/>
      <c r="Z1867" s="77"/>
      <c r="AA1867" s="77" t="s">
        <v>5625</v>
      </c>
      <c r="AB1867" s="77" t="s">
        <v>5795</v>
      </c>
      <c r="AC1867" s="81" t="s">
        <v>5801</v>
      </c>
      <c r="AD1867" s="77" t="s">
        <v>5851</v>
      </c>
      <c r="AE1867" s="83" t="str">
        <f>HYPERLINK("https://twitter.com/fgdecristo/status/1620733183875760130")</f>
        <v>https://twitter.com/fgdecristo/status/1620733183875760130</v>
      </c>
      <c r="AF1867" s="79">
        <v>44958.443020833336</v>
      </c>
      <c r="AG1867" s="85">
        <v>44958</v>
      </c>
      <c r="AH1867" s="81" t="s">
        <v>7490</v>
      </c>
      <c r="AI1867" s="77" t="b">
        <v>0</v>
      </c>
      <c r="AJ1867" s="77"/>
      <c r="AK1867" s="77"/>
      <c r="AL1867" s="77"/>
      <c r="AM1867" s="77"/>
      <c r="AN1867" s="77"/>
      <c r="AO1867" s="77"/>
      <c r="AP1867" s="77"/>
      <c r="AQ1867" s="77" t="s">
        <v>9123</v>
      </c>
      <c r="AR1867" s="77">
        <v>101118</v>
      </c>
      <c r="AS1867" s="77"/>
      <c r="AT1867" s="77"/>
      <c r="AU1867" s="77"/>
      <c r="AV1867" s="83" t="str">
        <f>HYPERLINK("https://pbs.twimg.com/ext_tw_video_thumb/1620733116989022212/pu/img/GHdkTDmPbsVLqeJT.jpg")</f>
        <v>https://pbs.twimg.com/ext_tw_video_thumb/1620733116989022212/pu/img/GHdkTDmPbsVLqeJT.jpg</v>
      </c>
      <c r="AW1867" s="81" t="s">
        <v>10979</v>
      </c>
      <c r="AX1867" s="81" t="s">
        <v>10979</v>
      </c>
      <c r="AY1867" s="77"/>
      <c r="AZ1867" s="81" t="s">
        <v>11359</v>
      </c>
      <c r="BA1867" s="81" t="s">
        <v>11359</v>
      </c>
      <c r="BB1867" s="81" t="s">
        <v>11359</v>
      </c>
      <c r="BC1867" s="81" t="s">
        <v>10979</v>
      </c>
      <c r="BD1867" s="77">
        <v>135049513</v>
      </c>
      <c r="BE1867" s="77"/>
      <c r="BF1867" s="77"/>
      <c r="BG1867" s="77"/>
      <c r="BH1867" s="77"/>
      <c r="BI1867" s="77"/>
    </row>
    <row r="1868" spans="1:61" x14ac:dyDescent="0.25">
      <c r="A1868" s="62" t="s">
        <v>778</v>
      </c>
      <c r="B1868" s="62" t="s">
        <v>778</v>
      </c>
      <c r="C1868" s="63"/>
      <c r="D1868" s="64"/>
      <c r="E1868" s="65"/>
      <c r="F1868" s="66"/>
      <c r="G1868" s="63"/>
      <c r="H1868" s="67"/>
      <c r="I1868" s="68"/>
      <c r="J1868" s="68"/>
      <c r="K1868" s="32"/>
      <c r="L1868" s="75">
        <v>1868</v>
      </c>
      <c r="M1868" s="75"/>
      <c r="N1868" s="70"/>
      <c r="O1868" s="77" t="s">
        <v>179</v>
      </c>
      <c r="P1868" s="79">
        <v>44957.748692129629</v>
      </c>
      <c r="Q1868" s="77" t="s">
        <v>2650</v>
      </c>
      <c r="R1868" s="77">
        <v>0</v>
      </c>
      <c r="S1868" s="77">
        <v>0</v>
      </c>
      <c r="T1868" s="77">
        <v>0</v>
      </c>
      <c r="U1868" s="77">
        <v>0</v>
      </c>
      <c r="V1868" s="77">
        <v>182</v>
      </c>
      <c r="W1868" s="81" t="s">
        <v>3972</v>
      </c>
      <c r="X1868" s="77"/>
      <c r="Y1868" s="77"/>
      <c r="Z1868" s="77"/>
      <c r="AA1868" s="77" t="s">
        <v>5626</v>
      </c>
      <c r="AB1868" s="77" t="s">
        <v>5795</v>
      </c>
      <c r="AC1868" s="81" t="s">
        <v>5801</v>
      </c>
      <c r="AD1868" s="77" t="s">
        <v>5851</v>
      </c>
      <c r="AE1868" s="83" t="str">
        <f>HYPERLINK("https://twitter.com/fgdecristo/status/1620481566593155073")</f>
        <v>https://twitter.com/fgdecristo/status/1620481566593155073</v>
      </c>
      <c r="AF1868" s="79">
        <v>44957.748692129629</v>
      </c>
      <c r="AG1868" s="85">
        <v>44957</v>
      </c>
      <c r="AH1868" s="81" t="s">
        <v>7491</v>
      </c>
      <c r="AI1868" s="77" t="b">
        <v>0</v>
      </c>
      <c r="AJ1868" s="77"/>
      <c r="AK1868" s="77"/>
      <c r="AL1868" s="77"/>
      <c r="AM1868" s="77"/>
      <c r="AN1868" s="77"/>
      <c r="AO1868" s="77"/>
      <c r="AP1868" s="77"/>
      <c r="AQ1868" s="77" t="s">
        <v>9124</v>
      </c>
      <c r="AR1868" s="77">
        <v>30000</v>
      </c>
      <c r="AS1868" s="77"/>
      <c r="AT1868" s="77"/>
      <c r="AU1868" s="77"/>
      <c r="AV1868" s="83" t="str">
        <f>HYPERLINK("https://pbs.twimg.com/ext_tw_video_thumb/1620481491103784977/pu/img/gss5qdKvpiuwUXkb.jpg")</f>
        <v>https://pbs.twimg.com/ext_tw_video_thumb/1620481491103784977/pu/img/gss5qdKvpiuwUXkb.jpg</v>
      </c>
      <c r="AW1868" s="81" t="s">
        <v>10980</v>
      </c>
      <c r="AX1868" s="81" t="s">
        <v>10980</v>
      </c>
      <c r="AY1868" s="77"/>
      <c r="AZ1868" s="81" t="s">
        <v>11359</v>
      </c>
      <c r="BA1868" s="81" t="s">
        <v>11359</v>
      </c>
      <c r="BB1868" s="81" t="s">
        <v>11359</v>
      </c>
      <c r="BC1868" s="81" t="s">
        <v>10980</v>
      </c>
      <c r="BD1868" s="77">
        <v>135049513</v>
      </c>
      <c r="BE1868" s="77"/>
      <c r="BF1868" s="77"/>
      <c r="BG1868" s="77"/>
      <c r="BH1868" s="77"/>
      <c r="BI1868" s="77"/>
    </row>
    <row r="1869" spans="1:61" x14ac:dyDescent="0.25">
      <c r="A1869" s="62" t="s">
        <v>779</v>
      </c>
      <c r="B1869" s="62" t="s">
        <v>955</v>
      </c>
      <c r="C1869" s="63"/>
      <c r="D1869" s="64"/>
      <c r="E1869" s="65"/>
      <c r="F1869" s="66"/>
      <c r="G1869" s="63"/>
      <c r="H1869" s="67"/>
      <c r="I1869" s="68"/>
      <c r="J1869" s="68"/>
      <c r="K1869" s="32"/>
      <c r="L1869" s="75">
        <v>1869</v>
      </c>
      <c r="M1869" s="75"/>
      <c r="N1869" s="70"/>
      <c r="O1869" s="77" t="s">
        <v>967</v>
      </c>
      <c r="P1869" s="79">
        <v>44957.971886574072</v>
      </c>
      <c r="Q1869" s="77" t="s">
        <v>2651</v>
      </c>
      <c r="R1869" s="77">
        <v>0</v>
      </c>
      <c r="S1869" s="77">
        <v>1</v>
      </c>
      <c r="T1869" s="77">
        <v>1</v>
      </c>
      <c r="U1869" s="77">
        <v>0</v>
      </c>
      <c r="V1869" s="77">
        <v>9</v>
      </c>
      <c r="W1869" s="81" t="s">
        <v>3973</v>
      </c>
      <c r="X1869" s="83" t="str">
        <f>HYPERLINK("https://lnkd.in/ecE5F_4u")</f>
        <v>https://lnkd.in/ecE5F_4u</v>
      </c>
      <c r="Y1869" s="77" t="s">
        <v>4221</v>
      </c>
      <c r="Z1869" s="77" t="s">
        <v>955</v>
      </c>
      <c r="AA1869" s="77"/>
      <c r="AB1869" s="77"/>
      <c r="AC1869" s="81" t="s">
        <v>5810</v>
      </c>
      <c r="AD1869" s="77" t="s">
        <v>5850</v>
      </c>
      <c r="AE1869" s="83" t="str">
        <f>HYPERLINK("https://twitter.com/chemavich/status/1620562451640074240")</f>
        <v>https://twitter.com/chemavich/status/1620562451640074240</v>
      </c>
      <c r="AF1869" s="79">
        <v>44957.971886574072</v>
      </c>
      <c r="AG1869" s="85">
        <v>44957</v>
      </c>
      <c r="AH1869" s="81" t="s">
        <v>7492</v>
      </c>
      <c r="AI1869" s="77" t="b">
        <v>0</v>
      </c>
      <c r="AJ1869" s="77"/>
      <c r="AK1869" s="77"/>
      <c r="AL1869" s="77"/>
      <c r="AM1869" s="77"/>
      <c r="AN1869" s="77"/>
      <c r="AO1869" s="77"/>
      <c r="AP1869" s="77"/>
      <c r="AQ1869" s="77"/>
      <c r="AR1869" s="77"/>
      <c r="AS1869" s="77"/>
      <c r="AT1869" s="77"/>
      <c r="AU1869" s="77"/>
      <c r="AV1869" s="83" t="str">
        <f>HYPERLINK("https://pbs.twimg.com/profile_images/536566471900422145/ouYkwJDA_normal.jpeg")</f>
        <v>https://pbs.twimg.com/profile_images/536566471900422145/ouYkwJDA_normal.jpeg</v>
      </c>
      <c r="AW1869" s="81" t="s">
        <v>10981</v>
      </c>
      <c r="AX1869" s="81" t="s">
        <v>10981</v>
      </c>
      <c r="AY1869" s="77"/>
      <c r="AZ1869" s="81" t="s">
        <v>11359</v>
      </c>
      <c r="BA1869" s="81" t="s">
        <v>11359</v>
      </c>
      <c r="BB1869" s="81" t="s">
        <v>11359</v>
      </c>
      <c r="BC1869" s="81" t="s">
        <v>10981</v>
      </c>
      <c r="BD1869" s="77">
        <v>330255306</v>
      </c>
      <c r="BE1869" s="77"/>
      <c r="BF1869" s="77"/>
      <c r="BG1869" s="77"/>
      <c r="BH1869" s="77"/>
      <c r="BI1869" s="77"/>
    </row>
    <row r="1870" spans="1:61" x14ac:dyDescent="0.25">
      <c r="A1870" s="62" t="s">
        <v>779</v>
      </c>
      <c r="B1870" s="62" t="s">
        <v>956</v>
      </c>
      <c r="C1870" s="63"/>
      <c r="D1870" s="64"/>
      <c r="E1870" s="65"/>
      <c r="F1870" s="66"/>
      <c r="G1870" s="63"/>
      <c r="H1870" s="67"/>
      <c r="I1870" s="68"/>
      <c r="J1870" s="68"/>
      <c r="K1870" s="32"/>
      <c r="L1870" s="75">
        <v>1870</v>
      </c>
      <c r="M1870" s="75"/>
      <c r="N1870" s="70"/>
      <c r="O1870" s="77" t="s">
        <v>967</v>
      </c>
      <c r="P1870" s="79">
        <v>44979.708761574075</v>
      </c>
      <c r="Q1870" s="77" t="s">
        <v>2652</v>
      </c>
      <c r="R1870" s="77">
        <v>0</v>
      </c>
      <c r="S1870" s="77">
        <v>0</v>
      </c>
      <c r="T1870" s="77">
        <v>0</v>
      </c>
      <c r="U1870" s="77">
        <v>0</v>
      </c>
      <c r="V1870" s="77">
        <v>4</v>
      </c>
      <c r="W1870" s="81" t="s">
        <v>3974</v>
      </c>
      <c r="X1870" s="83" t="str">
        <f>HYPERLINK("https://lnkd.in/eNt3fHRF")</f>
        <v>https://lnkd.in/eNt3fHRF</v>
      </c>
      <c r="Y1870" s="77" t="s">
        <v>4221</v>
      </c>
      <c r="Z1870" s="77" t="s">
        <v>956</v>
      </c>
      <c r="AA1870" s="77"/>
      <c r="AB1870" s="77"/>
      <c r="AC1870" s="81" t="s">
        <v>5810</v>
      </c>
      <c r="AD1870" s="77" t="s">
        <v>5850</v>
      </c>
      <c r="AE1870" s="83" t="str">
        <f>HYPERLINK("https://twitter.com/chemavich/status/1628439628909797377")</f>
        <v>https://twitter.com/chemavich/status/1628439628909797377</v>
      </c>
      <c r="AF1870" s="79">
        <v>44979.708761574075</v>
      </c>
      <c r="AG1870" s="85">
        <v>44979</v>
      </c>
      <c r="AH1870" s="81" t="s">
        <v>7493</v>
      </c>
      <c r="AI1870" s="77" t="b">
        <v>0</v>
      </c>
      <c r="AJ1870" s="77"/>
      <c r="AK1870" s="77"/>
      <c r="AL1870" s="77"/>
      <c r="AM1870" s="77"/>
      <c r="AN1870" s="77"/>
      <c r="AO1870" s="77"/>
      <c r="AP1870" s="77"/>
      <c r="AQ1870" s="77"/>
      <c r="AR1870" s="77"/>
      <c r="AS1870" s="77"/>
      <c r="AT1870" s="77"/>
      <c r="AU1870" s="77"/>
      <c r="AV1870" s="83" t="str">
        <f>HYPERLINK("https://pbs.twimg.com/profile_images/536566471900422145/ouYkwJDA_normal.jpeg")</f>
        <v>https://pbs.twimg.com/profile_images/536566471900422145/ouYkwJDA_normal.jpeg</v>
      </c>
      <c r="AW1870" s="81" t="s">
        <v>10982</v>
      </c>
      <c r="AX1870" s="81" t="s">
        <v>10982</v>
      </c>
      <c r="AY1870" s="77"/>
      <c r="AZ1870" s="81" t="s">
        <v>11359</v>
      </c>
      <c r="BA1870" s="81" t="s">
        <v>11359</v>
      </c>
      <c r="BB1870" s="81" t="s">
        <v>11359</v>
      </c>
      <c r="BC1870" s="81" t="s">
        <v>10982</v>
      </c>
      <c r="BD1870" s="77">
        <v>330255306</v>
      </c>
      <c r="BE1870" s="77"/>
      <c r="BF1870" s="77"/>
      <c r="BG1870" s="77"/>
      <c r="BH1870" s="77"/>
      <c r="BI1870" s="77"/>
    </row>
    <row r="1871" spans="1:61" x14ac:dyDescent="0.25">
      <c r="A1871" s="62" t="s">
        <v>779</v>
      </c>
      <c r="B1871" s="62" t="s">
        <v>779</v>
      </c>
      <c r="C1871" s="63"/>
      <c r="D1871" s="64"/>
      <c r="E1871" s="65"/>
      <c r="F1871" s="66"/>
      <c r="G1871" s="63"/>
      <c r="H1871" s="67"/>
      <c r="I1871" s="68"/>
      <c r="J1871" s="68"/>
      <c r="K1871" s="32"/>
      <c r="L1871" s="75">
        <v>1871</v>
      </c>
      <c r="M1871" s="75"/>
      <c r="N1871" s="70"/>
      <c r="O1871" s="77" t="s">
        <v>179</v>
      </c>
      <c r="P1871" s="79">
        <v>44971.875185185185</v>
      </c>
      <c r="Q1871" s="77" t="s">
        <v>2653</v>
      </c>
      <c r="R1871" s="77">
        <v>0</v>
      </c>
      <c r="S1871" s="77">
        <v>0</v>
      </c>
      <c r="T1871" s="77">
        <v>0</v>
      </c>
      <c r="U1871" s="77">
        <v>0</v>
      </c>
      <c r="V1871" s="77">
        <v>35</v>
      </c>
      <c r="W1871" s="81" t="s">
        <v>3975</v>
      </c>
      <c r="X1871" s="83" t="str">
        <f>HYPERLINK("https://lnkd.in/eXx8Zjpm")</f>
        <v>https://lnkd.in/eXx8Zjpm</v>
      </c>
      <c r="Y1871" s="77" t="s">
        <v>4221</v>
      </c>
      <c r="Z1871" s="77"/>
      <c r="AA1871" s="77"/>
      <c r="AB1871" s="77"/>
      <c r="AC1871" s="81" t="s">
        <v>5810</v>
      </c>
      <c r="AD1871" s="77" t="s">
        <v>5850</v>
      </c>
      <c r="AE1871" s="83" t="str">
        <f>HYPERLINK("https://twitter.com/chemavich/status/1625600836167471106")</f>
        <v>https://twitter.com/chemavich/status/1625600836167471106</v>
      </c>
      <c r="AF1871" s="79">
        <v>44971.875185185185</v>
      </c>
      <c r="AG1871" s="85">
        <v>44971</v>
      </c>
      <c r="AH1871" s="81" t="s">
        <v>7494</v>
      </c>
      <c r="AI1871" s="77" t="b">
        <v>0</v>
      </c>
      <c r="AJ1871" s="77"/>
      <c r="AK1871" s="77"/>
      <c r="AL1871" s="77"/>
      <c r="AM1871" s="77"/>
      <c r="AN1871" s="77"/>
      <c r="AO1871" s="77"/>
      <c r="AP1871" s="77"/>
      <c r="AQ1871" s="77"/>
      <c r="AR1871" s="77"/>
      <c r="AS1871" s="77"/>
      <c r="AT1871" s="77"/>
      <c r="AU1871" s="77"/>
      <c r="AV1871" s="83" t="str">
        <f>HYPERLINK("https://pbs.twimg.com/profile_images/536566471900422145/ouYkwJDA_normal.jpeg")</f>
        <v>https://pbs.twimg.com/profile_images/536566471900422145/ouYkwJDA_normal.jpeg</v>
      </c>
      <c r="AW1871" s="81" t="s">
        <v>10983</v>
      </c>
      <c r="AX1871" s="81" t="s">
        <v>10983</v>
      </c>
      <c r="AY1871" s="77"/>
      <c r="AZ1871" s="81" t="s">
        <v>11359</v>
      </c>
      <c r="BA1871" s="81" t="s">
        <v>11359</v>
      </c>
      <c r="BB1871" s="81" t="s">
        <v>11359</v>
      </c>
      <c r="BC1871" s="81" t="s">
        <v>10983</v>
      </c>
      <c r="BD1871" s="77">
        <v>330255306</v>
      </c>
      <c r="BE1871" s="77"/>
      <c r="BF1871" s="77"/>
      <c r="BG1871" s="77"/>
      <c r="BH1871" s="77"/>
      <c r="BI1871" s="77"/>
    </row>
    <row r="1872" spans="1:61" x14ac:dyDescent="0.25">
      <c r="A1872" s="62" t="s">
        <v>779</v>
      </c>
      <c r="B1872" s="62" t="s">
        <v>779</v>
      </c>
      <c r="C1872" s="63"/>
      <c r="D1872" s="64"/>
      <c r="E1872" s="65"/>
      <c r="F1872" s="66"/>
      <c r="G1872" s="63"/>
      <c r="H1872" s="67"/>
      <c r="I1872" s="68"/>
      <c r="J1872" s="68"/>
      <c r="K1872" s="32"/>
      <c r="L1872" s="75">
        <v>1872</v>
      </c>
      <c r="M1872" s="75"/>
      <c r="N1872" s="70"/>
      <c r="O1872" s="77" t="s">
        <v>179</v>
      </c>
      <c r="P1872" s="79">
        <v>44971.479351851849</v>
      </c>
      <c r="Q1872" s="77" t="s">
        <v>2654</v>
      </c>
      <c r="R1872" s="77">
        <v>0</v>
      </c>
      <c r="S1872" s="77">
        <v>0</v>
      </c>
      <c r="T1872" s="77">
        <v>0</v>
      </c>
      <c r="U1872" s="77">
        <v>0</v>
      </c>
      <c r="V1872" s="77">
        <v>2</v>
      </c>
      <c r="W1872" s="81" t="s">
        <v>3976</v>
      </c>
      <c r="X1872" s="83" t="str">
        <f>HYPERLINK("https://lnkd.in/eVyaEY37")</f>
        <v>https://lnkd.in/eVyaEY37</v>
      </c>
      <c r="Y1872" s="77" t="s">
        <v>4221</v>
      </c>
      <c r="Z1872" s="77"/>
      <c r="AA1872" s="77"/>
      <c r="AB1872" s="77"/>
      <c r="AC1872" s="81" t="s">
        <v>5810</v>
      </c>
      <c r="AD1872" s="77" t="s">
        <v>5850</v>
      </c>
      <c r="AE1872" s="83" t="str">
        <f>HYPERLINK("https://twitter.com/chemavich/status/1625457392652587009")</f>
        <v>https://twitter.com/chemavich/status/1625457392652587009</v>
      </c>
      <c r="AF1872" s="79">
        <v>44971.479351851849</v>
      </c>
      <c r="AG1872" s="85">
        <v>44971</v>
      </c>
      <c r="AH1872" s="81" t="s">
        <v>7495</v>
      </c>
      <c r="AI1872" s="77" t="b">
        <v>0</v>
      </c>
      <c r="AJ1872" s="77"/>
      <c r="AK1872" s="77"/>
      <c r="AL1872" s="77"/>
      <c r="AM1872" s="77"/>
      <c r="AN1872" s="77"/>
      <c r="AO1872" s="77"/>
      <c r="AP1872" s="77"/>
      <c r="AQ1872" s="77"/>
      <c r="AR1872" s="77"/>
      <c r="AS1872" s="77"/>
      <c r="AT1872" s="77"/>
      <c r="AU1872" s="77"/>
      <c r="AV1872" s="83" t="str">
        <f>HYPERLINK("https://pbs.twimg.com/profile_images/536566471900422145/ouYkwJDA_normal.jpeg")</f>
        <v>https://pbs.twimg.com/profile_images/536566471900422145/ouYkwJDA_normal.jpeg</v>
      </c>
      <c r="AW1872" s="81" t="s">
        <v>10984</v>
      </c>
      <c r="AX1872" s="81" t="s">
        <v>10984</v>
      </c>
      <c r="AY1872" s="77"/>
      <c r="AZ1872" s="81" t="s">
        <v>11359</v>
      </c>
      <c r="BA1872" s="81" t="s">
        <v>11359</v>
      </c>
      <c r="BB1872" s="81" t="s">
        <v>11359</v>
      </c>
      <c r="BC1872" s="81" t="s">
        <v>10984</v>
      </c>
      <c r="BD1872" s="77">
        <v>330255306</v>
      </c>
      <c r="BE1872" s="77"/>
      <c r="BF1872" s="77"/>
      <c r="BG1872" s="77"/>
      <c r="BH1872" s="77"/>
      <c r="BI1872" s="77"/>
    </row>
    <row r="1873" spans="1:61" x14ac:dyDescent="0.25">
      <c r="A1873" s="62" t="s">
        <v>779</v>
      </c>
      <c r="B1873" s="62" t="s">
        <v>779</v>
      </c>
      <c r="C1873" s="63"/>
      <c r="D1873" s="64"/>
      <c r="E1873" s="65"/>
      <c r="F1873" s="66"/>
      <c r="G1873" s="63"/>
      <c r="H1873" s="67"/>
      <c r="I1873" s="68"/>
      <c r="J1873" s="68"/>
      <c r="K1873" s="32"/>
      <c r="L1873" s="75">
        <v>1873</v>
      </c>
      <c r="M1873" s="75"/>
      <c r="N1873" s="70"/>
      <c r="O1873" s="77" t="s">
        <v>179</v>
      </c>
      <c r="P1873" s="79">
        <v>44964.488229166665</v>
      </c>
      <c r="Q1873" s="77" t="s">
        <v>2655</v>
      </c>
      <c r="R1873" s="77">
        <v>0</v>
      </c>
      <c r="S1873" s="77">
        <v>1</v>
      </c>
      <c r="T1873" s="77">
        <v>0</v>
      </c>
      <c r="U1873" s="77">
        <v>0</v>
      </c>
      <c r="V1873" s="77">
        <v>16</v>
      </c>
      <c r="W1873" s="81" t="s">
        <v>3977</v>
      </c>
      <c r="X1873" s="83" t="str">
        <f>HYPERLINK("https://lnkd.in/erTj-dwX")</f>
        <v>https://lnkd.in/erTj-dwX</v>
      </c>
      <c r="Y1873" s="77" t="s">
        <v>4221</v>
      </c>
      <c r="Z1873" s="77"/>
      <c r="AA1873" s="77"/>
      <c r="AB1873" s="77"/>
      <c r="AC1873" s="81" t="s">
        <v>5810</v>
      </c>
      <c r="AD1873" s="77" t="s">
        <v>5850</v>
      </c>
      <c r="AE1873" s="83" t="str">
        <f>HYPERLINK("https://twitter.com/chemavich/status/1622923892527431683")</f>
        <v>https://twitter.com/chemavich/status/1622923892527431683</v>
      </c>
      <c r="AF1873" s="79">
        <v>44964.488229166665</v>
      </c>
      <c r="AG1873" s="85">
        <v>44964</v>
      </c>
      <c r="AH1873" s="81" t="s">
        <v>7496</v>
      </c>
      <c r="AI1873" s="77" t="b">
        <v>0</v>
      </c>
      <c r="AJ1873" s="77"/>
      <c r="AK1873" s="77"/>
      <c r="AL1873" s="77"/>
      <c r="AM1873" s="77"/>
      <c r="AN1873" s="77"/>
      <c r="AO1873" s="77"/>
      <c r="AP1873" s="77"/>
      <c r="AQ1873" s="77"/>
      <c r="AR1873" s="77"/>
      <c r="AS1873" s="77"/>
      <c r="AT1873" s="77"/>
      <c r="AU1873" s="77"/>
      <c r="AV1873" s="83" t="str">
        <f>HYPERLINK("https://pbs.twimg.com/profile_images/536566471900422145/ouYkwJDA_normal.jpeg")</f>
        <v>https://pbs.twimg.com/profile_images/536566471900422145/ouYkwJDA_normal.jpeg</v>
      </c>
      <c r="AW1873" s="81" t="s">
        <v>10985</v>
      </c>
      <c r="AX1873" s="81" t="s">
        <v>10985</v>
      </c>
      <c r="AY1873" s="77"/>
      <c r="AZ1873" s="81" t="s">
        <v>11359</v>
      </c>
      <c r="BA1873" s="81" t="s">
        <v>11359</v>
      </c>
      <c r="BB1873" s="81" t="s">
        <v>11359</v>
      </c>
      <c r="BC1873" s="81" t="s">
        <v>10985</v>
      </c>
      <c r="BD1873" s="77">
        <v>330255306</v>
      </c>
      <c r="BE1873" s="77"/>
      <c r="BF1873" s="77"/>
      <c r="BG1873" s="77"/>
      <c r="BH1873" s="77"/>
      <c r="BI1873" s="77"/>
    </row>
    <row r="1874" spans="1:61" x14ac:dyDescent="0.25">
      <c r="A1874" s="62" t="s">
        <v>779</v>
      </c>
      <c r="B1874" s="62" t="s">
        <v>779</v>
      </c>
      <c r="C1874" s="63"/>
      <c r="D1874" s="64"/>
      <c r="E1874" s="65"/>
      <c r="F1874" s="66"/>
      <c r="G1874" s="63"/>
      <c r="H1874" s="67"/>
      <c r="I1874" s="68"/>
      <c r="J1874" s="68"/>
      <c r="K1874" s="32"/>
      <c r="L1874" s="75">
        <v>1874</v>
      </c>
      <c r="M1874" s="75"/>
      <c r="N1874" s="70"/>
      <c r="O1874" s="77" t="s">
        <v>179</v>
      </c>
      <c r="P1874" s="79">
        <v>44970.621238425927</v>
      </c>
      <c r="Q1874" s="77" t="s">
        <v>2656</v>
      </c>
      <c r="R1874" s="77">
        <v>0</v>
      </c>
      <c r="S1874" s="77">
        <v>0</v>
      </c>
      <c r="T1874" s="77">
        <v>0</v>
      </c>
      <c r="U1874" s="77">
        <v>0</v>
      </c>
      <c r="V1874" s="77">
        <v>7</v>
      </c>
      <c r="W1874" s="81" t="s">
        <v>3978</v>
      </c>
      <c r="X1874" s="83" t="str">
        <f>HYPERLINK("https://lnkd.in/ecPzrBaf")</f>
        <v>https://lnkd.in/ecPzrBaf</v>
      </c>
      <c r="Y1874" s="77" t="s">
        <v>4221</v>
      </c>
      <c r="Z1874" s="77"/>
      <c r="AA1874" s="77"/>
      <c r="AB1874" s="77"/>
      <c r="AC1874" s="81" t="s">
        <v>5810</v>
      </c>
      <c r="AD1874" s="77" t="s">
        <v>5850</v>
      </c>
      <c r="AE1874" s="83" t="str">
        <f>HYPERLINK("https://twitter.com/chemavich/status/1625146420943548418")</f>
        <v>https://twitter.com/chemavich/status/1625146420943548418</v>
      </c>
      <c r="AF1874" s="79">
        <v>44970.621238425927</v>
      </c>
      <c r="AG1874" s="85">
        <v>44970</v>
      </c>
      <c r="AH1874" s="81" t="s">
        <v>7497</v>
      </c>
      <c r="AI1874" s="77" t="b">
        <v>0</v>
      </c>
      <c r="AJ1874" s="77"/>
      <c r="AK1874" s="77"/>
      <c r="AL1874" s="77"/>
      <c r="AM1874" s="77"/>
      <c r="AN1874" s="77"/>
      <c r="AO1874" s="77"/>
      <c r="AP1874" s="77"/>
      <c r="AQ1874" s="77"/>
      <c r="AR1874" s="77"/>
      <c r="AS1874" s="77"/>
      <c r="AT1874" s="77"/>
      <c r="AU1874" s="77"/>
      <c r="AV1874" s="83" t="str">
        <f>HYPERLINK("https://pbs.twimg.com/profile_images/536566471900422145/ouYkwJDA_normal.jpeg")</f>
        <v>https://pbs.twimg.com/profile_images/536566471900422145/ouYkwJDA_normal.jpeg</v>
      </c>
      <c r="AW1874" s="81" t="s">
        <v>10986</v>
      </c>
      <c r="AX1874" s="81" t="s">
        <v>10986</v>
      </c>
      <c r="AY1874" s="77"/>
      <c r="AZ1874" s="81" t="s">
        <v>11359</v>
      </c>
      <c r="BA1874" s="81" t="s">
        <v>11359</v>
      </c>
      <c r="BB1874" s="81" t="s">
        <v>11359</v>
      </c>
      <c r="BC1874" s="81" t="s">
        <v>10986</v>
      </c>
      <c r="BD1874" s="77">
        <v>330255306</v>
      </c>
      <c r="BE1874" s="77"/>
      <c r="BF1874" s="77"/>
      <c r="BG1874" s="77"/>
      <c r="BH1874" s="77"/>
      <c r="BI1874" s="77"/>
    </row>
    <row r="1875" spans="1:61" x14ac:dyDescent="0.25">
      <c r="A1875" s="62" t="s">
        <v>779</v>
      </c>
      <c r="B1875" s="62" t="s">
        <v>779</v>
      </c>
      <c r="C1875" s="63"/>
      <c r="D1875" s="64"/>
      <c r="E1875" s="65"/>
      <c r="F1875" s="66"/>
      <c r="G1875" s="63"/>
      <c r="H1875" s="67"/>
      <c r="I1875" s="68"/>
      <c r="J1875" s="68"/>
      <c r="K1875" s="32"/>
      <c r="L1875" s="75">
        <v>1875</v>
      </c>
      <c r="M1875" s="75"/>
      <c r="N1875" s="70"/>
      <c r="O1875" s="77" t="s">
        <v>179</v>
      </c>
      <c r="P1875" s="79">
        <v>44969.940532407411</v>
      </c>
      <c r="Q1875" s="77" t="s">
        <v>2657</v>
      </c>
      <c r="R1875" s="77">
        <v>0</v>
      </c>
      <c r="S1875" s="77">
        <v>0</v>
      </c>
      <c r="T1875" s="77">
        <v>0</v>
      </c>
      <c r="U1875" s="77">
        <v>0</v>
      </c>
      <c r="V1875" s="77">
        <v>17</v>
      </c>
      <c r="W1875" s="81" t="s">
        <v>3979</v>
      </c>
      <c r="X1875" s="77" t="s">
        <v>4205</v>
      </c>
      <c r="Y1875" s="77" t="s">
        <v>4282</v>
      </c>
      <c r="Z1875" s="77"/>
      <c r="AA1875" s="77"/>
      <c r="AB1875" s="77"/>
      <c r="AC1875" s="81" t="s">
        <v>5810</v>
      </c>
      <c r="AD1875" s="77" t="s">
        <v>5850</v>
      </c>
      <c r="AE1875" s="83" t="str">
        <f>HYPERLINK("https://twitter.com/chemavich/status/1624899741552189442")</f>
        <v>https://twitter.com/chemavich/status/1624899741552189442</v>
      </c>
      <c r="AF1875" s="79">
        <v>44969.940532407411</v>
      </c>
      <c r="AG1875" s="85">
        <v>44969</v>
      </c>
      <c r="AH1875" s="81" t="s">
        <v>7498</v>
      </c>
      <c r="AI1875" s="77" t="b">
        <v>0</v>
      </c>
      <c r="AJ1875" s="77"/>
      <c r="AK1875" s="77"/>
      <c r="AL1875" s="77"/>
      <c r="AM1875" s="77"/>
      <c r="AN1875" s="77"/>
      <c r="AO1875" s="77"/>
      <c r="AP1875" s="77"/>
      <c r="AQ1875" s="77"/>
      <c r="AR1875" s="77"/>
      <c r="AS1875" s="77"/>
      <c r="AT1875" s="77"/>
      <c r="AU1875" s="77"/>
      <c r="AV1875" s="83" t="str">
        <f>HYPERLINK("https://pbs.twimg.com/profile_images/536566471900422145/ouYkwJDA_normal.jpeg")</f>
        <v>https://pbs.twimg.com/profile_images/536566471900422145/ouYkwJDA_normal.jpeg</v>
      </c>
      <c r="AW1875" s="81" t="s">
        <v>10987</v>
      </c>
      <c r="AX1875" s="81" t="s">
        <v>10987</v>
      </c>
      <c r="AY1875" s="77"/>
      <c r="AZ1875" s="81" t="s">
        <v>11359</v>
      </c>
      <c r="BA1875" s="81" t="s">
        <v>11359</v>
      </c>
      <c r="BB1875" s="81" t="s">
        <v>11359</v>
      </c>
      <c r="BC1875" s="81" t="s">
        <v>10987</v>
      </c>
      <c r="BD1875" s="77">
        <v>330255306</v>
      </c>
      <c r="BE1875" s="77"/>
      <c r="BF1875" s="77"/>
      <c r="BG1875" s="77"/>
      <c r="BH1875" s="77"/>
      <c r="BI1875" s="77"/>
    </row>
    <row r="1876" spans="1:61" x14ac:dyDescent="0.25">
      <c r="A1876" s="62" t="s">
        <v>779</v>
      </c>
      <c r="B1876" s="62" t="s">
        <v>779</v>
      </c>
      <c r="C1876" s="63"/>
      <c r="D1876" s="64"/>
      <c r="E1876" s="65"/>
      <c r="F1876" s="66"/>
      <c r="G1876" s="63"/>
      <c r="H1876" s="67"/>
      <c r="I1876" s="68"/>
      <c r="J1876" s="68"/>
      <c r="K1876" s="32"/>
      <c r="L1876" s="75">
        <v>1876</v>
      </c>
      <c r="M1876" s="75"/>
      <c r="N1876" s="70"/>
      <c r="O1876" s="77" t="s">
        <v>179</v>
      </c>
      <c r="P1876" s="79">
        <v>44967.833252314813</v>
      </c>
      <c r="Q1876" s="77" t="s">
        <v>2658</v>
      </c>
      <c r="R1876" s="77">
        <v>0</v>
      </c>
      <c r="S1876" s="77">
        <v>0</v>
      </c>
      <c r="T1876" s="77">
        <v>0</v>
      </c>
      <c r="U1876" s="77">
        <v>0</v>
      </c>
      <c r="V1876" s="77">
        <v>7</v>
      </c>
      <c r="W1876" s="81" t="s">
        <v>3980</v>
      </c>
      <c r="X1876" s="83" t="str">
        <f>HYPERLINK("https://lnkd.in/exSH7uuP")</f>
        <v>https://lnkd.in/exSH7uuP</v>
      </c>
      <c r="Y1876" s="77" t="s">
        <v>4221</v>
      </c>
      <c r="Z1876" s="77"/>
      <c r="AA1876" s="77"/>
      <c r="AB1876" s="77"/>
      <c r="AC1876" s="81" t="s">
        <v>5810</v>
      </c>
      <c r="AD1876" s="77" t="s">
        <v>5850</v>
      </c>
      <c r="AE1876" s="83" t="str">
        <f>HYPERLINK("https://twitter.com/chemavich/status/1624136088431300618")</f>
        <v>https://twitter.com/chemavich/status/1624136088431300618</v>
      </c>
      <c r="AF1876" s="79">
        <v>44967.833252314813</v>
      </c>
      <c r="AG1876" s="85">
        <v>44967</v>
      </c>
      <c r="AH1876" s="81" t="s">
        <v>7499</v>
      </c>
      <c r="AI1876" s="77" t="b">
        <v>0</v>
      </c>
      <c r="AJ1876" s="77"/>
      <c r="AK1876" s="77"/>
      <c r="AL1876" s="77"/>
      <c r="AM1876" s="77"/>
      <c r="AN1876" s="77"/>
      <c r="AO1876" s="77"/>
      <c r="AP1876" s="77"/>
      <c r="AQ1876" s="77"/>
      <c r="AR1876" s="77"/>
      <c r="AS1876" s="77"/>
      <c r="AT1876" s="77"/>
      <c r="AU1876" s="77"/>
      <c r="AV1876" s="83" t="str">
        <f>HYPERLINK("https://pbs.twimg.com/profile_images/536566471900422145/ouYkwJDA_normal.jpeg")</f>
        <v>https://pbs.twimg.com/profile_images/536566471900422145/ouYkwJDA_normal.jpeg</v>
      </c>
      <c r="AW1876" s="81" t="s">
        <v>10988</v>
      </c>
      <c r="AX1876" s="81" t="s">
        <v>10988</v>
      </c>
      <c r="AY1876" s="77"/>
      <c r="AZ1876" s="81" t="s">
        <v>11359</v>
      </c>
      <c r="BA1876" s="81" t="s">
        <v>11359</v>
      </c>
      <c r="BB1876" s="81" t="s">
        <v>11359</v>
      </c>
      <c r="BC1876" s="81" t="s">
        <v>10988</v>
      </c>
      <c r="BD1876" s="77">
        <v>330255306</v>
      </c>
      <c r="BE1876" s="77"/>
      <c r="BF1876" s="77"/>
      <c r="BG1876" s="77"/>
      <c r="BH1876" s="77"/>
      <c r="BI1876" s="77"/>
    </row>
    <row r="1877" spans="1:61" x14ac:dyDescent="0.25">
      <c r="A1877" s="62" t="s">
        <v>779</v>
      </c>
      <c r="B1877" s="62" t="s">
        <v>779</v>
      </c>
      <c r="C1877" s="63"/>
      <c r="D1877" s="64"/>
      <c r="E1877" s="65"/>
      <c r="F1877" s="66"/>
      <c r="G1877" s="63"/>
      <c r="H1877" s="67"/>
      <c r="I1877" s="68"/>
      <c r="J1877" s="68"/>
      <c r="K1877" s="32"/>
      <c r="L1877" s="75">
        <v>1877</v>
      </c>
      <c r="M1877" s="75"/>
      <c r="N1877" s="70"/>
      <c r="O1877" s="77" t="s">
        <v>179</v>
      </c>
      <c r="P1877" s="79">
        <v>44977.95784722222</v>
      </c>
      <c r="Q1877" s="77" t="s">
        <v>2659</v>
      </c>
      <c r="R1877" s="77">
        <v>0</v>
      </c>
      <c r="S1877" s="77">
        <v>0</v>
      </c>
      <c r="T1877" s="77">
        <v>0</v>
      </c>
      <c r="U1877" s="77">
        <v>0</v>
      </c>
      <c r="V1877" s="77">
        <v>3</v>
      </c>
      <c r="W1877" s="81" t="s">
        <v>3981</v>
      </c>
      <c r="X1877" s="83" t="str">
        <f>HYPERLINK("https://lnkd.in/eZs6qJYN")</f>
        <v>https://lnkd.in/eZs6qJYN</v>
      </c>
      <c r="Y1877" s="77" t="s">
        <v>4221</v>
      </c>
      <c r="Z1877" s="77"/>
      <c r="AA1877" s="77"/>
      <c r="AB1877" s="77"/>
      <c r="AC1877" s="81" t="s">
        <v>5810</v>
      </c>
      <c r="AD1877" s="77" t="s">
        <v>5850</v>
      </c>
      <c r="AE1877" s="83" t="str">
        <f>HYPERLINK("https://twitter.com/chemavich/status/1627805122251087873")</f>
        <v>https://twitter.com/chemavich/status/1627805122251087873</v>
      </c>
      <c r="AF1877" s="79">
        <v>44977.95784722222</v>
      </c>
      <c r="AG1877" s="85">
        <v>44977</v>
      </c>
      <c r="AH1877" s="81" t="s">
        <v>7500</v>
      </c>
      <c r="AI1877" s="77" t="b">
        <v>0</v>
      </c>
      <c r="AJ1877" s="77"/>
      <c r="AK1877" s="77"/>
      <c r="AL1877" s="77"/>
      <c r="AM1877" s="77"/>
      <c r="AN1877" s="77"/>
      <c r="AO1877" s="77"/>
      <c r="AP1877" s="77"/>
      <c r="AQ1877" s="77"/>
      <c r="AR1877" s="77"/>
      <c r="AS1877" s="77"/>
      <c r="AT1877" s="77"/>
      <c r="AU1877" s="77"/>
      <c r="AV1877" s="83" t="str">
        <f>HYPERLINK("https://pbs.twimg.com/profile_images/536566471900422145/ouYkwJDA_normal.jpeg")</f>
        <v>https://pbs.twimg.com/profile_images/536566471900422145/ouYkwJDA_normal.jpeg</v>
      </c>
      <c r="AW1877" s="81" t="s">
        <v>10989</v>
      </c>
      <c r="AX1877" s="81" t="s">
        <v>10989</v>
      </c>
      <c r="AY1877" s="77"/>
      <c r="AZ1877" s="81" t="s">
        <v>11359</v>
      </c>
      <c r="BA1877" s="81" t="s">
        <v>11359</v>
      </c>
      <c r="BB1877" s="81" t="s">
        <v>11359</v>
      </c>
      <c r="BC1877" s="81" t="s">
        <v>10989</v>
      </c>
      <c r="BD1877" s="77">
        <v>330255306</v>
      </c>
      <c r="BE1877" s="77"/>
      <c r="BF1877" s="77"/>
      <c r="BG1877" s="77"/>
      <c r="BH1877" s="77"/>
      <c r="BI1877" s="77"/>
    </row>
    <row r="1878" spans="1:61" x14ac:dyDescent="0.25">
      <c r="A1878" s="62" t="s">
        <v>779</v>
      </c>
      <c r="B1878" s="62" t="s">
        <v>779</v>
      </c>
      <c r="C1878" s="63"/>
      <c r="D1878" s="64"/>
      <c r="E1878" s="65"/>
      <c r="F1878" s="66"/>
      <c r="G1878" s="63"/>
      <c r="H1878" s="67"/>
      <c r="I1878" s="68"/>
      <c r="J1878" s="68"/>
      <c r="K1878" s="32"/>
      <c r="L1878" s="75">
        <v>1878</v>
      </c>
      <c r="M1878" s="75"/>
      <c r="N1878" s="70"/>
      <c r="O1878" s="77" t="s">
        <v>179</v>
      </c>
      <c r="P1878" s="79">
        <v>44935.943333333336</v>
      </c>
      <c r="Q1878" s="77" t="s">
        <v>2660</v>
      </c>
      <c r="R1878" s="77">
        <v>0</v>
      </c>
      <c r="S1878" s="77">
        <v>0</v>
      </c>
      <c r="T1878" s="77">
        <v>0</v>
      </c>
      <c r="U1878" s="77">
        <v>0</v>
      </c>
      <c r="V1878" s="77">
        <v>5</v>
      </c>
      <c r="W1878" s="81" t="s">
        <v>2947</v>
      </c>
      <c r="X1878" s="83" t="str">
        <f>HYPERLINK("https://lnkd.in/ewJXH26e")</f>
        <v>https://lnkd.in/ewJXH26e</v>
      </c>
      <c r="Y1878" s="77" t="s">
        <v>4221</v>
      </c>
      <c r="Z1878" s="77"/>
      <c r="AA1878" s="77"/>
      <c r="AB1878" s="77"/>
      <c r="AC1878" s="81" t="s">
        <v>5810</v>
      </c>
      <c r="AD1878" s="77" t="s">
        <v>5850</v>
      </c>
      <c r="AE1878" s="83" t="str">
        <f>HYPERLINK("https://twitter.com/chemavich/status/1612579570133204993")</f>
        <v>https://twitter.com/chemavich/status/1612579570133204993</v>
      </c>
      <c r="AF1878" s="79">
        <v>44935.943333333336</v>
      </c>
      <c r="AG1878" s="85">
        <v>44935</v>
      </c>
      <c r="AH1878" s="81" t="s">
        <v>7501</v>
      </c>
      <c r="AI1878" s="77" t="b">
        <v>0</v>
      </c>
      <c r="AJ1878" s="77"/>
      <c r="AK1878" s="77"/>
      <c r="AL1878" s="77"/>
      <c r="AM1878" s="77"/>
      <c r="AN1878" s="77"/>
      <c r="AO1878" s="77"/>
      <c r="AP1878" s="77"/>
      <c r="AQ1878" s="77"/>
      <c r="AR1878" s="77"/>
      <c r="AS1878" s="77"/>
      <c r="AT1878" s="77"/>
      <c r="AU1878" s="77"/>
      <c r="AV1878" s="83" t="str">
        <f>HYPERLINK("https://pbs.twimg.com/profile_images/536566471900422145/ouYkwJDA_normal.jpeg")</f>
        <v>https://pbs.twimg.com/profile_images/536566471900422145/ouYkwJDA_normal.jpeg</v>
      </c>
      <c r="AW1878" s="81" t="s">
        <v>10990</v>
      </c>
      <c r="AX1878" s="81" t="s">
        <v>10990</v>
      </c>
      <c r="AY1878" s="77"/>
      <c r="AZ1878" s="81" t="s">
        <v>11359</v>
      </c>
      <c r="BA1878" s="81" t="s">
        <v>11359</v>
      </c>
      <c r="BB1878" s="81" t="s">
        <v>11359</v>
      </c>
      <c r="BC1878" s="81" t="s">
        <v>10990</v>
      </c>
      <c r="BD1878" s="77">
        <v>330255306</v>
      </c>
      <c r="BE1878" s="77"/>
      <c r="BF1878" s="77"/>
      <c r="BG1878" s="77"/>
      <c r="BH1878" s="77"/>
      <c r="BI1878" s="77"/>
    </row>
    <row r="1879" spans="1:61" x14ac:dyDescent="0.25">
      <c r="A1879" s="62" t="s">
        <v>779</v>
      </c>
      <c r="B1879" s="62" t="s">
        <v>779</v>
      </c>
      <c r="C1879" s="63"/>
      <c r="D1879" s="64"/>
      <c r="E1879" s="65"/>
      <c r="F1879" s="66"/>
      <c r="G1879" s="63"/>
      <c r="H1879" s="67"/>
      <c r="I1879" s="68"/>
      <c r="J1879" s="68"/>
      <c r="K1879" s="32"/>
      <c r="L1879" s="75">
        <v>1879</v>
      </c>
      <c r="M1879" s="75"/>
      <c r="N1879" s="70"/>
      <c r="O1879" s="77" t="s">
        <v>179</v>
      </c>
      <c r="P1879" s="79">
        <v>44935.939895833333</v>
      </c>
      <c r="Q1879" s="77" t="s">
        <v>2661</v>
      </c>
      <c r="R1879" s="77">
        <v>0</v>
      </c>
      <c r="S1879" s="77">
        <v>0</v>
      </c>
      <c r="T1879" s="77">
        <v>0</v>
      </c>
      <c r="U1879" s="77">
        <v>0</v>
      </c>
      <c r="V1879" s="77">
        <v>2</v>
      </c>
      <c r="W1879" s="81" t="s">
        <v>3982</v>
      </c>
      <c r="X1879" s="83" t="str">
        <f>HYPERLINK("https://lnkd.in/eZuwN7F8")</f>
        <v>https://lnkd.in/eZuwN7F8</v>
      </c>
      <c r="Y1879" s="77" t="s">
        <v>4221</v>
      </c>
      <c r="Z1879" s="77"/>
      <c r="AA1879" s="77"/>
      <c r="AB1879" s="77"/>
      <c r="AC1879" s="81" t="s">
        <v>5810</v>
      </c>
      <c r="AD1879" s="77" t="s">
        <v>5850</v>
      </c>
      <c r="AE1879" s="83" t="str">
        <f>HYPERLINK("https://twitter.com/chemavich/status/1612578322730418177")</f>
        <v>https://twitter.com/chemavich/status/1612578322730418177</v>
      </c>
      <c r="AF1879" s="79">
        <v>44935.939895833333</v>
      </c>
      <c r="AG1879" s="85">
        <v>44935</v>
      </c>
      <c r="AH1879" s="81" t="s">
        <v>7502</v>
      </c>
      <c r="AI1879" s="77" t="b">
        <v>0</v>
      </c>
      <c r="AJ1879" s="77"/>
      <c r="AK1879" s="77"/>
      <c r="AL1879" s="77"/>
      <c r="AM1879" s="77"/>
      <c r="AN1879" s="77"/>
      <c r="AO1879" s="77"/>
      <c r="AP1879" s="77"/>
      <c r="AQ1879" s="77"/>
      <c r="AR1879" s="77"/>
      <c r="AS1879" s="77"/>
      <c r="AT1879" s="77"/>
      <c r="AU1879" s="77"/>
      <c r="AV1879" s="83" t="str">
        <f>HYPERLINK("https://pbs.twimg.com/profile_images/536566471900422145/ouYkwJDA_normal.jpeg")</f>
        <v>https://pbs.twimg.com/profile_images/536566471900422145/ouYkwJDA_normal.jpeg</v>
      </c>
      <c r="AW1879" s="81" t="s">
        <v>10991</v>
      </c>
      <c r="AX1879" s="81" t="s">
        <v>10991</v>
      </c>
      <c r="AY1879" s="77"/>
      <c r="AZ1879" s="81" t="s">
        <v>11359</v>
      </c>
      <c r="BA1879" s="81" t="s">
        <v>11359</v>
      </c>
      <c r="BB1879" s="81" t="s">
        <v>11359</v>
      </c>
      <c r="BC1879" s="81" t="s">
        <v>10991</v>
      </c>
      <c r="BD1879" s="77">
        <v>330255306</v>
      </c>
      <c r="BE1879" s="77"/>
      <c r="BF1879" s="77"/>
      <c r="BG1879" s="77"/>
      <c r="BH1879" s="77"/>
      <c r="BI1879" s="77"/>
    </row>
    <row r="1880" spans="1:61" x14ac:dyDescent="0.25">
      <c r="A1880" s="62" t="s">
        <v>779</v>
      </c>
      <c r="B1880" s="62" t="s">
        <v>779</v>
      </c>
      <c r="C1880" s="63"/>
      <c r="D1880" s="64"/>
      <c r="E1880" s="65"/>
      <c r="F1880" s="66"/>
      <c r="G1880" s="63"/>
      <c r="H1880" s="67"/>
      <c r="I1880" s="68"/>
      <c r="J1880" s="68"/>
      <c r="K1880" s="32"/>
      <c r="L1880" s="75">
        <v>1880</v>
      </c>
      <c r="M1880" s="75"/>
      <c r="N1880" s="70"/>
      <c r="O1880" s="77" t="s">
        <v>179</v>
      </c>
      <c r="P1880" s="79">
        <v>44981.479351851849</v>
      </c>
      <c r="Q1880" s="77" t="s">
        <v>2662</v>
      </c>
      <c r="R1880" s="77">
        <v>0</v>
      </c>
      <c r="S1880" s="77">
        <v>0</v>
      </c>
      <c r="T1880" s="77">
        <v>0</v>
      </c>
      <c r="U1880" s="77">
        <v>0</v>
      </c>
      <c r="V1880" s="77">
        <v>4</v>
      </c>
      <c r="W1880" s="81" t="s">
        <v>3983</v>
      </c>
      <c r="X1880" s="83" t="str">
        <f>HYPERLINK("https://lnkd.in/eq9hDpZP")</f>
        <v>https://lnkd.in/eq9hDpZP</v>
      </c>
      <c r="Y1880" s="77" t="s">
        <v>4221</v>
      </c>
      <c r="Z1880" s="77"/>
      <c r="AA1880" s="77"/>
      <c r="AB1880" s="77"/>
      <c r="AC1880" s="81" t="s">
        <v>5810</v>
      </c>
      <c r="AD1880" s="77" t="s">
        <v>5850</v>
      </c>
      <c r="AE1880" s="83" t="str">
        <f>HYPERLINK("https://twitter.com/chemavich/status/1629081270826172417")</f>
        <v>https://twitter.com/chemavich/status/1629081270826172417</v>
      </c>
      <c r="AF1880" s="79">
        <v>44981.479351851849</v>
      </c>
      <c r="AG1880" s="85">
        <v>44981</v>
      </c>
      <c r="AH1880" s="81" t="s">
        <v>7495</v>
      </c>
      <c r="AI1880" s="77" t="b">
        <v>0</v>
      </c>
      <c r="AJ1880" s="77"/>
      <c r="AK1880" s="77"/>
      <c r="AL1880" s="77"/>
      <c r="AM1880" s="77"/>
      <c r="AN1880" s="77"/>
      <c r="AO1880" s="77"/>
      <c r="AP1880" s="77"/>
      <c r="AQ1880" s="77"/>
      <c r="AR1880" s="77"/>
      <c r="AS1880" s="77"/>
      <c r="AT1880" s="77"/>
      <c r="AU1880" s="77"/>
      <c r="AV1880" s="83" t="str">
        <f>HYPERLINK("https://pbs.twimg.com/profile_images/536566471900422145/ouYkwJDA_normal.jpeg")</f>
        <v>https://pbs.twimg.com/profile_images/536566471900422145/ouYkwJDA_normal.jpeg</v>
      </c>
      <c r="AW1880" s="81" t="s">
        <v>10992</v>
      </c>
      <c r="AX1880" s="81" t="s">
        <v>10992</v>
      </c>
      <c r="AY1880" s="77"/>
      <c r="AZ1880" s="81" t="s">
        <v>11359</v>
      </c>
      <c r="BA1880" s="81" t="s">
        <v>11359</v>
      </c>
      <c r="BB1880" s="81" t="s">
        <v>11359</v>
      </c>
      <c r="BC1880" s="81" t="s">
        <v>10992</v>
      </c>
      <c r="BD1880" s="77">
        <v>330255306</v>
      </c>
      <c r="BE1880" s="77"/>
      <c r="BF1880" s="77"/>
      <c r="BG1880" s="77"/>
      <c r="BH1880" s="77"/>
      <c r="BI1880" s="77"/>
    </row>
    <row r="1881" spans="1:61" x14ac:dyDescent="0.25">
      <c r="A1881" s="62" t="s">
        <v>780</v>
      </c>
      <c r="B1881" s="62" t="s">
        <v>780</v>
      </c>
      <c r="C1881" s="63"/>
      <c r="D1881" s="64"/>
      <c r="E1881" s="65"/>
      <c r="F1881" s="66"/>
      <c r="G1881" s="63"/>
      <c r="H1881" s="67"/>
      <c r="I1881" s="68"/>
      <c r="J1881" s="68"/>
      <c r="K1881" s="32"/>
      <c r="L1881" s="75">
        <v>1881</v>
      </c>
      <c r="M1881" s="75"/>
      <c r="N1881" s="70"/>
      <c r="O1881" s="77" t="s">
        <v>179</v>
      </c>
      <c r="P1881" s="79">
        <v>45043.894016203703</v>
      </c>
      <c r="Q1881" s="77" t="s">
        <v>2663</v>
      </c>
      <c r="R1881" s="77">
        <v>0</v>
      </c>
      <c r="S1881" s="77">
        <v>0</v>
      </c>
      <c r="T1881" s="77">
        <v>1</v>
      </c>
      <c r="U1881" s="77">
        <v>0</v>
      </c>
      <c r="V1881" s="77">
        <v>17</v>
      </c>
      <c r="W1881" s="81" t="s">
        <v>3984</v>
      </c>
      <c r="X1881" s="77"/>
      <c r="Y1881" s="77"/>
      <c r="Z1881" s="77"/>
      <c r="AA1881" s="77" t="s">
        <v>5627</v>
      </c>
      <c r="AB1881" s="77" t="s">
        <v>5794</v>
      </c>
      <c r="AC1881" s="81" t="s">
        <v>5805</v>
      </c>
      <c r="AD1881" s="77" t="s">
        <v>5851</v>
      </c>
      <c r="AE1881" s="83" t="str">
        <f>HYPERLINK("https://twitter.com/heromidiamkt/status/1651699588246429698")</f>
        <v>https://twitter.com/heromidiamkt/status/1651699588246429698</v>
      </c>
      <c r="AF1881" s="79">
        <v>45043.894016203703</v>
      </c>
      <c r="AG1881" s="85">
        <v>45043</v>
      </c>
      <c r="AH1881" s="81" t="s">
        <v>7503</v>
      </c>
      <c r="AI1881" s="77" t="b">
        <v>0</v>
      </c>
      <c r="AJ1881" s="77"/>
      <c r="AK1881" s="77"/>
      <c r="AL1881" s="77"/>
      <c r="AM1881" s="77"/>
      <c r="AN1881" s="77"/>
      <c r="AO1881" s="77"/>
      <c r="AP1881" s="77"/>
      <c r="AQ1881" s="77" t="s">
        <v>9125</v>
      </c>
      <c r="AR1881" s="77"/>
      <c r="AS1881" s="77"/>
      <c r="AT1881" s="77"/>
      <c r="AU1881" s="77"/>
      <c r="AV1881" s="83" t="str">
        <f>HYPERLINK("https://pbs.twimg.com/media/FuwC-onXoAg3-0b.jpg")</f>
        <v>https://pbs.twimg.com/media/FuwC-onXoAg3-0b.jpg</v>
      </c>
      <c r="AW1881" s="81" t="s">
        <v>10993</v>
      </c>
      <c r="AX1881" s="81" t="s">
        <v>10993</v>
      </c>
      <c r="AY1881" s="77"/>
      <c r="AZ1881" s="81" t="s">
        <v>11359</v>
      </c>
      <c r="BA1881" s="81" t="s">
        <v>11359</v>
      </c>
      <c r="BB1881" s="81" t="s">
        <v>11359</v>
      </c>
      <c r="BC1881" s="81" t="s">
        <v>10993</v>
      </c>
      <c r="BD1881" s="81" t="s">
        <v>11670</v>
      </c>
      <c r="BE1881" s="77"/>
      <c r="BF1881" s="77"/>
      <c r="BG1881" s="77"/>
      <c r="BH1881" s="77"/>
      <c r="BI1881" s="77"/>
    </row>
    <row r="1882" spans="1:61" x14ac:dyDescent="0.25">
      <c r="A1882" s="62" t="s">
        <v>781</v>
      </c>
      <c r="B1882" s="62" t="s">
        <v>781</v>
      </c>
      <c r="C1882" s="63"/>
      <c r="D1882" s="64"/>
      <c r="E1882" s="65"/>
      <c r="F1882" s="66"/>
      <c r="G1882" s="63"/>
      <c r="H1882" s="67"/>
      <c r="I1882" s="68"/>
      <c r="J1882" s="68"/>
      <c r="K1882" s="32"/>
      <c r="L1882" s="75">
        <v>1882</v>
      </c>
      <c r="M1882" s="75"/>
      <c r="N1882" s="70"/>
      <c r="O1882" s="77" t="s">
        <v>179</v>
      </c>
      <c r="P1882" s="79">
        <v>45012.760416666664</v>
      </c>
      <c r="Q1882" s="77" t="s">
        <v>2664</v>
      </c>
      <c r="R1882" s="77">
        <v>0</v>
      </c>
      <c r="S1882" s="77">
        <v>0</v>
      </c>
      <c r="T1882" s="77">
        <v>0</v>
      </c>
      <c r="U1882" s="77">
        <v>0</v>
      </c>
      <c r="V1882" s="77">
        <v>8</v>
      </c>
      <c r="W1882" s="81" t="s">
        <v>2947</v>
      </c>
      <c r="X1882" s="77"/>
      <c r="Y1882" s="77"/>
      <c r="Z1882" s="77"/>
      <c r="AA1882" s="77"/>
      <c r="AB1882" s="77"/>
      <c r="AC1882" s="81" t="s">
        <v>5805</v>
      </c>
      <c r="AD1882" s="77" t="s">
        <v>5851</v>
      </c>
      <c r="AE1882" s="83" t="str">
        <f>HYPERLINK("https://twitter.com/luisfpfreitas/status/1640417148001501219")</f>
        <v>https://twitter.com/luisfpfreitas/status/1640417148001501219</v>
      </c>
      <c r="AF1882" s="79">
        <v>45012.760416666664</v>
      </c>
      <c r="AG1882" s="85">
        <v>45012</v>
      </c>
      <c r="AH1882" s="81" t="s">
        <v>7504</v>
      </c>
      <c r="AI1882" s="77"/>
      <c r="AJ1882" s="77"/>
      <c r="AK1882" s="77"/>
      <c r="AL1882" s="77"/>
      <c r="AM1882" s="77"/>
      <c r="AN1882" s="77"/>
      <c r="AO1882" s="77"/>
      <c r="AP1882" s="77"/>
      <c r="AQ1882" s="77"/>
      <c r="AR1882" s="77"/>
      <c r="AS1882" s="77"/>
      <c r="AT1882" s="77"/>
      <c r="AU1882" s="77"/>
      <c r="AV1882" s="83" t="str">
        <f>HYPERLINK("https://pbs.twimg.com/profile_images/626549986881327104/0sbRzSxc_normal.png")</f>
        <v>https://pbs.twimg.com/profile_images/626549986881327104/0sbRzSxc_normal.png</v>
      </c>
      <c r="AW1882" s="81" t="s">
        <v>10994</v>
      </c>
      <c r="AX1882" s="81" t="s">
        <v>10994</v>
      </c>
      <c r="AY1882" s="77"/>
      <c r="AZ1882" s="81" t="s">
        <v>11359</v>
      </c>
      <c r="BA1882" s="81" t="s">
        <v>11359</v>
      </c>
      <c r="BB1882" s="81" t="s">
        <v>11359</v>
      </c>
      <c r="BC1882" s="81" t="s">
        <v>10994</v>
      </c>
      <c r="BD1882" s="77">
        <v>3346566197</v>
      </c>
      <c r="BE1882" s="77"/>
      <c r="BF1882" s="77"/>
      <c r="BG1882" s="77"/>
      <c r="BH1882" s="77"/>
      <c r="BI1882" s="77"/>
    </row>
    <row r="1883" spans="1:61" x14ac:dyDescent="0.25">
      <c r="A1883" s="62" t="s">
        <v>782</v>
      </c>
      <c r="B1883" s="62" t="s">
        <v>782</v>
      </c>
      <c r="C1883" s="63"/>
      <c r="D1883" s="64"/>
      <c r="E1883" s="65"/>
      <c r="F1883" s="66"/>
      <c r="G1883" s="63"/>
      <c r="H1883" s="67"/>
      <c r="I1883" s="68"/>
      <c r="J1883" s="68"/>
      <c r="K1883" s="32"/>
      <c r="L1883" s="75">
        <v>1883</v>
      </c>
      <c r="M1883" s="75"/>
      <c r="N1883" s="70"/>
      <c r="O1883" s="77" t="s">
        <v>179</v>
      </c>
      <c r="P1883" s="79">
        <v>45128.850763888891</v>
      </c>
      <c r="Q1883" s="77" t="s">
        <v>2665</v>
      </c>
      <c r="R1883" s="77">
        <v>0</v>
      </c>
      <c r="S1883" s="77">
        <v>0</v>
      </c>
      <c r="T1883" s="77">
        <v>0</v>
      </c>
      <c r="U1883" s="77">
        <v>0</v>
      </c>
      <c r="V1883" s="77">
        <v>93</v>
      </c>
      <c r="W1883" s="81" t="s">
        <v>3985</v>
      </c>
      <c r="X1883" s="77"/>
      <c r="Y1883" s="77"/>
      <c r="Z1883" s="77"/>
      <c r="AA1883" s="77" t="s">
        <v>5628</v>
      </c>
      <c r="AB1883" s="77" t="s">
        <v>5795</v>
      </c>
      <c r="AC1883" s="81" t="s">
        <v>5805</v>
      </c>
      <c r="AD1883" s="77" t="s">
        <v>5850</v>
      </c>
      <c r="AE1883" s="83" t="str">
        <f>HYPERLINK("https://twitter.com/diarioyaqui/status/1682486883132268548")</f>
        <v>https://twitter.com/diarioyaqui/status/1682486883132268548</v>
      </c>
      <c r="AF1883" s="79">
        <v>45128.850763888891</v>
      </c>
      <c r="AG1883" s="85">
        <v>45128</v>
      </c>
      <c r="AH1883" s="81" t="s">
        <v>7505</v>
      </c>
      <c r="AI1883" s="77" t="b">
        <v>0</v>
      </c>
      <c r="AJ1883" s="77"/>
      <c r="AK1883" s="77"/>
      <c r="AL1883" s="77"/>
      <c r="AM1883" s="77"/>
      <c r="AN1883" s="77"/>
      <c r="AO1883" s="77"/>
      <c r="AP1883" s="77"/>
      <c r="AQ1883" s="77" t="s">
        <v>9126</v>
      </c>
      <c r="AR1883" s="77">
        <v>54613</v>
      </c>
      <c r="AS1883" s="77"/>
      <c r="AT1883" s="77"/>
      <c r="AU1883" s="77"/>
      <c r="AV1883" s="83" t="str">
        <f>HYPERLINK("https://pbs.twimg.com/ext_tw_video_thumb/1682486792090705925/pu/img/8wRZXpHzu-4r4sXE.jpg")</f>
        <v>https://pbs.twimg.com/ext_tw_video_thumb/1682486792090705925/pu/img/8wRZXpHzu-4r4sXE.jpg</v>
      </c>
      <c r="AW1883" s="81" t="s">
        <v>10995</v>
      </c>
      <c r="AX1883" s="81" t="s">
        <v>10995</v>
      </c>
      <c r="AY1883" s="77"/>
      <c r="AZ1883" s="81" t="s">
        <v>11359</v>
      </c>
      <c r="BA1883" s="81" t="s">
        <v>11359</v>
      </c>
      <c r="BB1883" s="81" t="s">
        <v>11359</v>
      </c>
      <c r="BC1883" s="81" t="s">
        <v>10995</v>
      </c>
      <c r="BD1883" s="77">
        <v>107265881</v>
      </c>
      <c r="BE1883" s="77"/>
      <c r="BF1883" s="77"/>
      <c r="BG1883" s="77"/>
      <c r="BH1883" s="77"/>
      <c r="BI1883" s="77"/>
    </row>
    <row r="1884" spans="1:61" x14ac:dyDescent="0.25">
      <c r="A1884" s="62" t="s">
        <v>783</v>
      </c>
      <c r="B1884" s="62" t="s">
        <v>783</v>
      </c>
      <c r="C1884" s="63"/>
      <c r="D1884" s="64"/>
      <c r="E1884" s="65"/>
      <c r="F1884" s="66"/>
      <c r="G1884" s="63"/>
      <c r="H1884" s="67"/>
      <c r="I1884" s="68"/>
      <c r="J1884" s="68"/>
      <c r="K1884" s="32"/>
      <c r="L1884" s="75">
        <v>1884</v>
      </c>
      <c r="M1884" s="75"/>
      <c r="N1884" s="70"/>
      <c r="O1884" s="77" t="s">
        <v>969</v>
      </c>
      <c r="P1884" s="79">
        <v>44999.906192129631</v>
      </c>
      <c r="Q1884" s="77" t="s">
        <v>2666</v>
      </c>
      <c r="R1884" s="77">
        <v>0</v>
      </c>
      <c r="S1884" s="77">
        <v>1</v>
      </c>
      <c r="T1884" s="77">
        <v>0</v>
      </c>
      <c r="U1884" s="77">
        <v>0</v>
      </c>
      <c r="V1884" s="77">
        <v>10</v>
      </c>
      <c r="W1884" s="81" t="s">
        <v>3986</v>
      </c>
      <c r="X1884" s="77"/>
      <c r="Y1884" s="77"/>
      <c r="Z1884" s="77"/>
      <c r="AA1884" s="77"/>
      <c r="AB1884" s="77"/>
      <c r="AC1884" s="81" t="s">
        <v>5805</v>
      </c>
      <c r="AD1884" s="77" t="s">
        <v>5851</v>
      </c>
      <c r="AE1884" s="83" t="str">
        <f>HYPERLINK("https://twitter.com/vexadooficial/status/1635758933909405696")</f>
        <v>https://twitter.com/vexadooficial/status/1635758933909405696</v>
      </c>
      <c r="AF1884" s="79">
        <v>44999.906192129631</v>
      </c>
      <c r="AG1884" s="85">
        <v>44999</v>
      </c>
      <c r="AH1884" s="81" t="s">
        <v>7506</v>
      </c>
      <c r="AI1884" s="77"/>
      <c r="AJ1884" s="77"/>
      <c r="AK1884" s="77"/>
      <c r="AL1884" s="77"/>
      <c r="AM1884" s="77"/>
      <c r="AN1884" s="77"/>
      <c r="AO1884" s="77"/>
      <c r="AP1884" s="77"/>
      <c r="AQ1884" s="77"/>
      <c r="AR1884" s="77"/>
      <c r="AS1884" s="77"/>
      <c r="AT1884" s="77"/>
      <c r="AU1884" s="77"/>
      <c r="AV1884" s="83" t="str">
        <f>HYPERLINK("https://pbs.twimg.com/profile_images/1635696050538262529/WKNUu5vg_normal.png")</f>
        <v>https://pbs.twimg.com/profile_images/1635696050538262529/WKNUu5vg_normal.png</v>
      </c>
      <c r="AW1884" s="81" t="s">
        <v>10996</v>
      </c>
      <c r="AX1884" s="81" t="s">
        <v>11313</v>
      </c>
      <c r="AY1884" s="81" t="s">
        <v>11355</v>
      </c>
      <c r="AZ1884" s="81" t="s">
        <v>11395</v>
      </c>
      <c r="BA1884" s="81" t="s">
        <v>11359</v>
      </c>
      <c r="BB1884" s="81" t="s">
        <v>11359</v>
      </c>
      <c r="BC1884" s="81" t="s">
        <v>11395</v>
      </c>
      <c r="BD1884" s="81" t="s">
        <v>11355</v>
      </c>
      <c r="BE1884" s="77"/>
      <c r="BF1884" s="77"/>
      <c r="BG1884" s="77"/>
      <c r="BH1884" s="77"/>
      <c r="BI1884" s="77"/>
    </row>
    <row r="1885" spans="1:61" x14ac:dyDescent="0.25">
      <c r="A1885" s="62" t="s">
        <v>783</v>
      </c>
      <c r="B1885" s="62" t="s">
        <v>783</v>
      </c>
      <c r="C1885" s="63"/>
      <c r="D1885" s="64"/>
      <c r="E1885" s="65"/>
      <c r="F1885" s="66"/>
      <c r="G1885" s="63"/>
      <c r="H1885" s="67"/>
      <c r="I1885" s="68"/>
      <c r="J1885" s="68"/>
      <c r="K1885" s="32"/>
      <c r="L1885" s="75">
        <v>1885</v>
      </c>
      <c r="M1885" s="75"/>
      <c r="N1885" s="70"/>
      <c r="O1885" s="77" t="s">
        <v>179</v>
      </c>
      <c r="P1885" s="79">
        <v>44999.903275462966</v>
      </c>
      <c r="Q1885" s="77" t="s">
        <v>2667</v>
      </c>
      <c r="R1885" s="77">
        <v>0</v>
      </c>
      <c r="S1885" s="77">
        <v>1</v>
      </c>
      <c r="T1885" s="77">
        <v>1</v>
      </c>
      <c r="U1885" s="77">
        <v>0</v>
      </c>
      <c r="V1885" s="77">
        <v>20</v>
      </c>
      <c r="W1885" s="81" t="s">
        <v>3987</v>
      </c>
      <c r="X1885" s="77"/>
      <c r="Y1885" s="77"/>
      <c r="Z1885" s="77"/>
      <c r="AA1885" s="77" t="s">
        <v>5629</v>
      </c>
      <c r="AB1885" s="77" t="s">
        <v>5794</v>
      </c>
      <c r="AC1885" s="81" t="s">
        <v>5805</v>
      </c>
      <c r="AD1885" s="77" t="s">
        <v>5851</v>
      </c>
      <c r="AE1885" s="83" t="str">
        <f>HYPERLINK("https://twitter.com/vexadooficial/status/1635757875560693760")</f>
        <v>https://twitter.com/vexadooficial/status/1635757875560693760</v>
      </c>
      <c r="AF1885" s="79">
        <v>44999.903275462966</v>
      </c>
      <c r="AG1885" s="85">
        <v>44999</v>
      </c>
      <c r="AH1885" s="81" t="s">
        <v>7483</v>
      </c>
      <c r="AI1885" s="77" t="b">
        <v>0</v>
      </c>
      <c r="AJ1885" s="77"/>
      <c r="AK1885" s="77"/>
      <c r="AL1885" s="77"/>
      <c r="AM1885" s="77"/>
      <c r="AN1885" s="77"/>
      <c r="AO1885" s="77"/>
      <c r="AP1885" s="77"/>
      <c r="AQ1885" s="77" t="s">
        <v>9127</v>
      </c>
      <c r="AR1885" s="77"/>
      <c r="AS1885" s="77"/>
      <c r="AT1885" s="77"/>
      <c r="AU1885" s="77"/>
      <c r="AV1885" s="83" t="str">
        <f>HYPERLINK("https://pbs.twimg.com/media/FrNhFdUXoAMkcRH.jpg")</f>
        <v>https://pbs.twimg.com/media/FrNhFdUXoAMkcRH.jpg</v>
      </c>
      <c r="AW1885" s="81" t="s">
        <v>10997</v>
      </c>
      <c r="AX1885" s="81" t="s">
        <v>10997</v>
      </c>
      <c r="AY1885" s="77"/>
      <c r="AZ1885" s="81" t="s">
        <v>11359</v>
      </c>
      <c r="BA1885" s="81" t="s">
        <v>11359</v>
      </c>
      <c r="BB1885" s="81" t="s">
        <v>11359</v>
      </c>
      <c r="BC1885" s="81" t="s">
        <v>10997</v>
      </c>
      <c r="BD1885" s="81" t="s">
        <v>11355</v>
      </c>
      <c r="BE1885" s="77"/>
      <c r="BF1885" s="77"/>
      <c r="BG1885" s="77"/>
      <c r="BH1885" s="77"/>
      <c r="BI1885" s="77"/>
    </row>
    <row r="1886" spans="1:61" x14ac:dyDescent="0.25">
      <c r="A1886" s="62" t="s">
        <v>784</v>
      </c>
      <c r="B1886" s="62" t="s">
        <v>784</v>
      </c>
      <c r="C1886" s="63"/>
      <c r="D1886" s="64"/>
      <c r="E1886" s="65"/>
      <c r="F1886" s="66"/>
      <c r="G1886" s="63"/>
      <c r="H1886" s="67"/>
      <c r="I1886" s="68"/>
      <c r="J1886" s="68"/>
      <c r="K1886" s="32"/>
      <c r="L1886" s="75">
        <v>1886</v>
      </c>
      <c r="M1886" s="75"/>
      <c r="N1886" s="70"/>
      <c r="O1886" s="77" t="s">
        <v>179</v>
      </c>
      <c r="P1886" s="79">
        <v>45059.812962962962</v>
      </c>
      <c r="Q1886" s="77" t="s">
        <v>2668</v>
      </c>
      <c r="R1886" s="77">
        <v>0</v>
      </c>
      <c r="S1886" s="77">
        <v>1</v>
      </c>
      <c r="T1886" s="77">
        <v>0</v>
      </c>
      <c r="U1886" s="77">
        <v>0</v>
      </c>
      <c r="V1886" s="77">
        <v>3</v>
      </c>
      <c r="W1886" s="81" t="s">
        <v>3988</v>
      </c>
      <c r="X1886" s="83" t="str">
        <f>HYPERLINK("https://youtube.com/shorts/TRVZMrQvWP8?feature=share")</f>
        <v>https://youtube.com/shorts/TRVZMrQvWP8?feature=share</v>
      </c>
      <c r="Y1886" s="77" t="s">
        <v>4225</v>
      </c>
      <c r="Z1886" s="77"/>
      <c r="AA1886" s="77"/>
      <c r="AB1886" s="77"/>
      <c r="AC1886" s="81" t="s">
        <v>5805</v>
      </c>
      <c r="AD1886" s="77" t="s">
        <v>5851</v>
      </c>
      <c r="AE1886" s="83" t="str">
        <f>HYPERLINK("https://twitter.com/lsbusato/status/1657468419023708160")</f>
        <v>https://twitter.com/lsbusato/status/1657468419023708160</v>
      </c>
      <c r="AF1886" s="79">
        <v>45059.812962962962</v>
      </c>
      <c r="AG1886" s="85">
        <v>45059</v>
      </c>
      <c r="AH1886" s="81" t="s">
        <v>7507</v>
      </c>
      <c r="AI1886" s="77" t="b">
        <v>0</v>
      </c>
      <c r="AJ1886" s="77"/>
      <c r="AK1886" s="77"/>
      <c r="AL1886" s="77"/>
      <c r="AM1886" s="77"/>
      <c r="AN1886" s="77"/>
      <c r="AO1886" s="77"/>
      <c r="AP1886" s="77"/>
      <c r="AQ1886" s="77"/>
      <c r="AR1886" s="77"/>
      <c r="AS1886" s="77"/>
      <c r="AT1886" s="77"/>
      <c r="AU1886" s="77"/>
      <c r="AV1886" s="83" t="str">
        <f>HYPERLINK("https://pbs.twimg.com/profile_images/958048751884603392/DUVR9Q70_normal.jpg")</f>
        <v>https://pbs.twimg.com/profile_images/958048751884603392/DUVR9Q70_normal.jpg</v>
      </c>
      <c r="AW1886" s="81" t="s">
        <v>10998</v>
      </c>
      <c r="AX1886" s="81" t="s">
        <v>10998</v>
      </c>
      <c r="AY1886" s="77"/>
      <c r="AZ1886" s="81" t="s">
        <v>11359</v>
      </c>
      <c r="BA1886" s="81" t="s">
        <v>11359</v>
      </c>
      <c r="BB1886" s="81" t="s">
        <v>11359</v>
      </c>
      <c r="BC1886" s="81" t="s">
        <v>10998</v>
      </c>
      <c r="BD1886" s="77">
        <v>24704755</v>
      </c>
      <c r="BE1886" s="77"/>
      <c r="BF1886" s="77"/>
      <c r="BG1886" s="77"/>
      <c r="BH1886" s="77"/>
      <c r="BI1886" s="77"/>
    </row>
    <row r="1887" spans="1:61" x14ac:dyDescent="0.25">
      <c r="A1887" s="62" t="s">
        <v>784</v>
      </c>
      <c r="B1887" s="62" t="s">
        <v>784</v>
      </c>
      <c r="C1887" s="63"/>
      <c r="D1887" s="64"/>
      <c r="E1887" s="65"/>
      <c r="F1887" s="66"/>
      <c r="G1887" s="63"/>
      <c r="H1887" s="67"/>
      <c r="I1887" s="68"/>
      <c r="J1887" s="68"/>
      <c r="K1887" s="32"/>
      <c r="L1887" s="75">
        <v>1887</v>
      </c>
      <c r="M1887" s="75"/>
      <c r="N1887" s="70"/>
      <c r="O1887" s="77" t="s">
        <v>179</v>
      </c>
      <c r="P1887" s="79">
        <v>45066.919571759259</v>
      </c>
      <c r="Q1887" s="77" t="s">
        <v>2669</v>
      </c>
      <c r="R1887" s="77">
        <v>0</v>
      </c>
      <c r="S1887" s="77">
        <v>1</v>
      </c>
      <c r="T1887" s="77">
        <v>0</v>
      </c>
      <c r="U1887" s="77">
        <v>0</v>
      </c>
      <c r="V1887" s="77">
        <v>3</v>
      </c>
      <c r="W1887" s="81" t="s">
        <v>3989</v>
      </c>
      <c r="X1887" s="83" t="str">
        <f>HYPERLINK("https://youtube.com/shorts/XIJ95_VqKZU?feature=share")</f>
        <v>https://youtube.com/shorts/XIJ95_VqKZU?feature=share</v>
      </c>
      <c r="Y1887" s="77" t="s">
        <v>4225</v>
      </c>
      <c r="Z1887" s="77"/>
      <c r="AA1887" s="77"/>
      <c r="AB1887" s="77"/>
      <c r="AC1887" s="81" t="s">
        <v>5805</v>
      </c>
      <c r="AD1887" s="77" t="s">
        <v>5851</v>
      </c>
      <c r="AE1887" s="83" t="str">
        <f>HYPERLINK("https://twitter.com/lsbusato/status/1660043769775898624")</f>
        <v>https://twitter.com/lsbusato/status/1660043769775898624</v>
      </c>
      <c r="AF1887" s="79">
        <v>45066.919571759259</v>
      </c>
      <c r="AG1887" s="85">
        <v>45066</v>
      </c>
      <c r="AH1887" s="81" t="s">
        <v>7508</v>
      </c>
      <c r="AI1887" s="77" t="b">
        <v>0</v>
      </c>
      <c r="AJ1887" s="77"/>
      <c r="AK1887" s="77"/>
      <c r="AL1887" s="77"/>
      <c r="AM1887" s="77"/>
      <c r="AN1887" s="77"/>
      <c r="AO1887" s="77"/>
      <c r="AP1887" s="77"/>
      <c r="AQ1887" s="77"/>
      <c r="AR1887" s="77"/>
      <c r="AS1887" s="77"/>
      <c r="AT1887" s="77"/>
      <c r="AU1887" s="77"/>
      <c r="AV1887" s="83" t="str">
        <f>HYPERLINK("https://pbs.twimg.com/profile_images/958048751884603392/DUVR9Q70_normal.jpg")</f>
        <v>https://pbs.twimg.com/profile_images/958048751884603392/DUVR9Q70_normal.jpg</v>
      </c>
      <c r="AW1887" s="81" t="s">
        <v>10999</v>
      </c>
      <c r="AX1887" s="81" t="s">
        <v>10999</v>
      </c>
      <c r="AY1887" s="77"/>
      <c r="AZ1887" s="81" t="s">
        <v>11359</v>
      </c>
      <c r="BA1887" s="81" t="s">
        <v>11359</v>
      </c>
      <c r="BB1887" s="81" t="s">
        <v>11359</v>
      </c>
      <c r="BC1887" s="81" t="s">
        <v>10999</v>
      </c>
      <c r="BD1887" s="77">
        <v>24704755</v>
      </c>
      <c r="BE1887" s="77"/>
      <c r="BF1887" s="77"/>
      <c r="BG1887" s="77"/>
      <c r="BH1887" s="77"/>
      <c r="BI1887" s="77"/>
    </row>
    <row r="1888" spans="1:61" x14ac:dyDescent="0.25">
      <c r="A1888" s="62" t="s">
        <v>784</v>
      </c>
      <c r="B1888" s="62" t="s">
        <v>784</v>
      </c>
      <c r="C1888" s="63"/>
      <c r="D1888" s="64"/>
      <c r="E1888" s="65"/>
      <c r="F1888" s="66"/>
      <c r="G1888" s="63"/>
      <c r="H1888" s="67"/>
      <c r="I1888" s="68"/>
      <c r="J1888" s="68"/>
      <c r="K1888" s="32"/>
      <c r="L1888" s="75">
        <v>1888</v>
      </c>
      <c r="M1888" s="75"/>
      <c r="N1888" s="70"/>
      <c r="O1888" s="77" t="s">
        <v>179</v>
      </c>
      <c r="P1888" s="79">
        <v>45134.94321759259</v>
      </c>
      <c r="Q1888" s="77" t="s">
        <v>2670</v>
      </c>
      <c r="R1888" s="77">
        <v>0</v>
      </c>
      <c r="S1888" s="77">
        <v>1</v>
      </c>
      <c r="T1888" s="77">
        <v>0</v>
      </c>
      <c r="U1888" s="77">
        <v>0</v>
      </c>
      <c r="V1888" s="77">
        <v>1</v>
      </c>
      <c r="W1888" s="81" t="s">
        <v>3990</v>
      </c>
      <c r="X1888" s="83" t="str">
        <f>HYPERLINK("https://youtube.com/shorts/a95RwBsiIM8?feature=share")</f>
        <v>https://youtube.com/shorts/a95RwBsiIM8?feature=share</v>
      </c>
      <c r="Y1888" s="77" t="s">
        <v>4225</v>
      </c>
      <c r="Z1888" s="77"/>
      <c r="AA1888" s="77"/>
      <c r="AB1888" s="77"/>
      <c r="AC1888" s="81" t="s">
        <v>5805</v>
      </c>
      <c r="AD1888" s="77" t="s">
        <v>5851</v>
      </c>
      <c r="AE1888" s="83" t="str">
        <f>HYPERLINK("https://twitter.com/lsbusato/status/1684694712505229315")</f>
        <v>https://twitter.com/lsbusato/status/1684694712505229315</v>
      </c>
      <c r="AF1888" s="79">
        <v>45134.94321759259</v>
      </c>
      <c r="AG1888" s="85">
        <v>45134</v>
      </c>
      <c r="AH1888" s="81" t="s">
        <v>7509</v>
      </c>
      <c r="AI1888" s="77" t="b">
        <v>0</v>
      </c>
      <c r="AJ1888" s="77"/>
      <c r="AK1888" s="77"/>
      <c r="AL1888" s="77"/>
      <c r="AM1888" s="77"/>
      <c r="AN1888" s="77"/>
      <c r="AO1888" s="77"/>
      <c r="AP1888" s="77"/>
      <c r="AQ1888" s="77"/>
      <c r="AR1888" s="77"/>
      <c r="AS1888" s="77"/>
      <c r="AT1888" s="77"/>
      <c r="AU1888" s="77"/>
      <c r="AV1888" s="83" t="str">
        <f>HYPERLINK("https://pbs.twimg.com/profile_images/958048751884603392/DUVR9Q70_normal.jpg")</f>
        <v>https://pbs.twimg.com/profile_images/958048751884603392/DUVR9Q70_normal.jpg</v>
      </c>
      <c r="AW1888" s="81" t="s">
        <v>11000</v>
      </c>
      <c r="AX1888" s="81" t="s">
        <v>11000</v>
      </c>
      <c r="AY1888" s="77"/>
      <c r="AZ1888" s="81" t="s">
        <v>11359</v>
      </c>
      <c r="BA1888" s="81" t="s">
        <v>11359</v>
      </c>
      <c r="BB1888" s="81" t="s">
        <v>11359</v>
      </c>
      <c r="BC1888" s="81" t="s">
        <v>11000</v>
      </c>
      <c r="BD1888" s="77">
        <v>24704755</v>
      </c>
      <c r="BE1888" s="77"/>
      <c r="BF1888" s="77"/>
      <c r="BG1888" s="77"/>
      <c r="BH1888" s="77"/>
      <c r="BI1888" s="77"/>
    </row>
    <row r="1889" spans="1:61" x14ac:dyDescent="0.25">
      <c r="A1889" s="62" t="s">
        <v>784</v>
      </c>
      <c r="B1889" s="62" t="s">
        <v>784</v>
      </c>
      <c r="C1889" s="63"/>
      <c r="D1889" s="64"/>
      <c r="E1889" s="65"/>
      <c r="F1889" s="66"/>
      <c r="G1889" s="63"/>
      <c r="H1889" s="67"/>
      <c r="I1889" s="68"/>
      <c r="J1889" s="68"/>
      <c r="K1889" s="32"/>
      <c r="L1889" s="75">
        <v>1889</v>
      </c>
      <c r="M1889" s="75"/>
      <c r="N1889" s="70"/>
      <c r="O1889" s="77" t="s">
        <v>179</v>
      </c>
      <c r="P1889" s="79">
        <v>45161.54923611111</v>
      </c>
      <c r="Q1889" s="77" t="s">
        <v>2671</v>
      </c>
      <c r="R1889" s="77">
        <v>0</v>
      </c>
      <c r="S1889" s="77">
        <v>1</v>
      </c>
      <c r="T1889" s="77">
        <v>0</v>
      </c>
      <c r="U1889" s="77">
        <v>0</v>
      </c>
      <c r="V1889" s="77">
        <v>1</v>
      </c>
      <c r="W1889" s="81" t="s">
        <v>3991</v>
      </c>
      <c r="X1889" s="83" t="str">
        <f>HYPERLINK("https://youtube.com/shorts/jY4iSIyd1QQ?feature=share")</f>
        <v>https://youtube.com/shorts/jY4iSIyd1QQ?feature=share</v>
      </c>
      <c r="Y1889" s="77" t="s">
        <v>4225</v>
      </c>
      <c r="Z1889" s="77"/>
      <c r="AA1889" s="77"/>
      <c r="AB1889" s="77"/>
      <c r="AC1889" s="81" t="s">
        <v>5805</v>
      </c>
      <c r="AD1889" s="77" t="s">
        <v>5851</v>
      </c>
      <c r="AE1889" s="83" t="str">
        <f>HYPERLINK("https://twitter.com/lsbusato/status/1694336413150409101")</f>
        <v>https://twitter.com/lsbusato/status/1694336413150409101</v>
      </c>
      <c r="AF1889" s="79">
        <v>45161.54923611111</v>
      </c>
      <c r="AG1889" s="85">
        <v>45161</v>
      </c>
      <c r="AH1889" s="81" t="s">
        <v>7510</v>
      </c>
      <c r="AI1889" s="77" t="b">
        <v>0</v>
      </c>
      <c r="AJ1889" s="77"/>
      <c r="AK1889" s="77"/>
      <c r="AL1889" s="77"/>
      <c r="AM1889" s="77"/>
      <c r="AN1889" s="77"/>
      <c r="AO1889" s="77"/>
      <c r="AP1889" s="77"/>
      <c r="AQ1889" s="77"/>
      <c r="AR1889" s="77"/>
      <c r="AS1889" s="77"/>
      <c r="AT1889" s="77"/>
      <c r="AU1889" s="77"/>
      <c r="AV1889" s="83" t="str">
        <f>HYPERLINK("https://pbs.twimg.com/profile_images/958048751884603392/DUVR9Q70_normal.jpg")</f>
        <v>https://pbs.twimg.com/profile_images/958048751884603392/DUVR9Q70_normal.jpg</v>
      </c>
      <c r="AW1889" s="81" t="s">
        <v>11001</v>
      </c>
      <c r="AX1889" s="81" t="s">
        <v>11001</v>
      </c>
      <c r="AY1889" s="77"/>
      <c r="AZ1889" s="81" t="s">
        <v>11359</v>
      </c>
      <c r="BA1889" s="81" t="s">
        <v>11359</v>
      </c>
      <c r="BB1889" s="81" t="s">
        <v>11359</v>
      </c>
      <c r="BC1889" s="81" t="s">
        <v>11001</v>
      </c>
      <c r="BD1889" s="77">
        <v>24704755</v>
      </c>
      <c r="BE1889" s="77"/>
      <c r="BF1889" s="77"/>
      <c r="BG1889" s="77"/>
      <c r="BH1889" s="77"/>
      <c r="BI1889" s="77"/>
    </row>
    <row r="1890" spans="1:61" x14ac:dyDescent="0.25">
      <c r="A1890" s="62" t="s">
        <v>784</v>
      </c>
      <c r="B1890" s="62" t="s">
        <v>784</v>
      </c>
      <c r="C1890" s="63"/>
      <c r="D1890" s="64"/>
      <c r="E1890" s="65"/>
      <c r="F1890" s="66"/>
      <c r="G1890" s="63"/>
      <c r="H1890" s="67"/>
      <c r="I1890" s="68"/>
      <c r="J1890" s="68"/>
      <c r="K1890" s="32"/>
      <c r="L1890" s="75">
        <v>1890</v>
      </c>
      <c r="M1890" s="75"/>
      <c r="N1890" s="70"/>
      <c r="O1890" s="77" t="s">
        <v>179</v>
      </c>
      <c r="P1890" s="79">
        <v>45054.921701388892</v>
      </c>
      <c r="Q1890" s="77" t="s">
        <v>2672</v>
      </c>
      <c r="R1890" s="77">
        <v>0</v>
      </c>
      <c r="S1890" s="77">
        <v>1</v>
      </c>
      <c r="T1890" s="77">
        <v>0</v>
      </c>
      <c r="U1890" s="77">
        <v>0</v>
      </c>
      <c r="V1890" s="77">
        <v>11</v>
      </c>
      <c r="W1890" s="81" t="s">
        <v>3992</v>
      </c>
      <c r="X1890" s="83" t="str">
        <f>HYPERLINK("https://youtube.com/shorts/joCNV-md7ts?feature=share")</f>
        <v>https://youtube.com/shorts/joCNV-md7ts?feature=share</v>
      </c>
      <c r="Y1890" s="77" t="s">
        <v>4225</v>
      </c>
      <c r="Z1890" s="77"/>
      <c r="AA1890" s="77"/>
      <c r="AB1890" s="77"/>
      <c r="AC1890" s="81" t="s">
        <v>5805</v>
      </c>
      <c r="AD1890" s="77" t="s">
        <v>5851</v>
      </c>
      <c r="AE1890" s="83" t="str">
        <f>HYPERLINK("https://twitter.com/lsbusato/status/1655695887882919941")</f>
        <v>https://twitter.com/lsbusato/status/1655695887882919941</v>
      </c>
      <c r="AF1890" s="79">
        <v>45054.921701388892</v>
      </c>
      <c r="AG1890" s="85">
        <v>45054</v>
      </c>
      <c r="AH1890" s="81" t="s">
        <v>7511</v>
      </c>
      <c r="AI1890" s="77" t="b">
        <v>0</v>
      </c>
      <c r="AJ1890" s="77"/>
      <c r="AK1890" s="77"/>
      <c r="AL1890" s="77"/>
      <c r="AM1890" s="77"/>
      <c r="AN1890" s="77"/>
      <c r="AO1890" s="77"/>
      <c r="AP1890" s="77"/>
      <c r="AQ1890" s="77"/>
      <c r="AR1890" s="77"/>
      <c r="AS1890" s="77"/>
      <c r="AT1890" s="77"/>
      <c r="AU1890" s="77"/>
      <c r="AV1890" s="83" t="str">
        <f>HYPERLINK("https://pbs.twimg.com/profile_images/958048751884603392/DUVR9Q70_normal.jpg")</f>
        <v>https://pbs.twimg.com/profile_images/958048751884603392/DUVR9Q70_normal.jpg</v>
      </c>
      <c r="AW1890" s="81" t="s">
        <v>11002</v>
      </c>
      <c r="AX1890" s="81" t="s">
        <v>11002</v>
      </c>
      <c r="AY1890" s="77"/>
      <c r="AZ1890" s="81" t="s">
        <v>11359</v>
      </c>
      <c r="BA1890" s="81" t="s">
        <v>11359</v>
      </c>
      <c r="BB1890" s="81" t="s">
        <v>11359</v>
      </c>
      <c r="BC1890" s="81" t="s">
        <v>11002</v>
      </c>
      <c r="BD1890" s="77">
        <v>24704755</v>
      </c>
      <c r="BE1890" s="77"/>
      <c r="BF1890" s="77"/>
      <c r="BG1890" s="77"/>
      <c r="BH1890" s="77"/>
      <c r="BI1890" s="77"/>
    </row>
    <row r="1891" spans="1:61" x14ac:dyDescent="0.25">
      <c r="A1891" s="62" t="s">
        <v>784</v>
      </c>
      <c r="B1891" s="62" t="s">
        <v>784</v>
      </c>
      <c r="C1891" s="63"/>
      <c r="D1891" s="64"/>
      <c r="E1891" s="65"/>
      <c r="F1891" s="66"/>
      <c r="G1891" s="63"/>
      <c r="H1891" s="67"/>
      <c r="I1891" s="68"/>
      <c r="J1891" s="68"/>
      <c r="K1891" s="32"/>
      <c r="L1891" s="75">
        <v>1891</v>
      </c>
      <c r="M1891" s="75"/>
      <c r="N1891" s="70"/>
      <c r="O1891" s="77" t="s">
        <v>179</v>
      </c>
      <c r="P1891" s="79">
        <v>45182.966562499998</v>
      </c>
      <c r="Q1891" s="77" t="s">
        <v>2673</v>
      </c>
      <c r="R1891" s="77">
        <v>0</v>
      </c>
      <c r="S1891" s="77">
        <v>1</v>
      </c>
      <c r="T1891" s="77">
        <v>0</v>
      </c>
      <c r="U1891" s="77">
        <v>0</v>
      </c>
      <c r="V1891" s="77">
        <v>1</v>
      </c>
      <c r="W1891" s="81" t="s">
        <v>3991</v>
      </c>
      <c r="X1891" s="83" t="str">
        <f>HYPERLINK("https://youtube.com/shorts/6NO2z19YHOM?feature=share")</f>
        <v>https://youtube.com/shorts/6NO2z19YHOM?feature=share</v>
      </c>
      <c r="Y1891" s="77" t="s">
        <v>4225</v>
      </c>
      <c r="Z1891" s="77"/>
      <c r="AA1891" s="77"/>
      <c r="AB1891" s="77"/>
      <c r="AC1891" s="81" t="s">
        <v>5805</v>
      </c>
      <c r="AD1891" s="77" t="s">
        <v>5851</v>
      </c>
      <c r="AE1891" s="83" t="str">
        <f>HYPERLINK("https://twitter.com/lsbusato/status/1702097792989032879")</f>
        <v>https://twitter.com/lsbusato/status/1702097792989032879</v>
      </c>
      <c r="AF1891" s="79">
        <v>45182.966562499998</v>
      </c>
      <c r="AG1891" s="85">
        <v>45182</v>
      </c>
      <c r="AH1891" s="81" t="s">
        <v>7512</v>
      </c>
      <c r="AI1891" s="77" t="b">
        <v>0</v>
      </c>
      <c r="AJ1891" s="77"/>
      <c r="AK1891" s="77"/>
      <c r="AL1891" s="77"/>
      <c r="AM1891" s="77"/>
      <c r="AN1891" s="77"/>
      <c r="AO1891" s="77"/>
      <c r="AP1891" s="77"/>
      <c r="AQ1891" s="77"/>
      <c r="AR1891" s="77"/>
      <c r="AS1891" s="77"/>
      <c r="AT1891" s="77"/>
      <c r="AU1891" s="77"/>
      <c r="AV1891" s="83" t="str">
        <f>HYPERLINK("https://pbs.twimg.com/profile_images/958048751884603392/DUVR9Q70_normal.jpg")</f>
        <v>https://pbs.twimg.com/profile_images/958048751884603392/DUVR9Q70_normal.jpg</v>
      </c>
      <c r="AW1891" s="81" t="s">
        <v>11003</v>
      </c>
      <c r="AX1891" s="81" t="s">
        <v>11003</v>
      </c>
      <c r="AY1891" s="77"/>
      <c r="AZ1891" s="81" t="s">
        <v>11359</v>
      </c>
      <c r="BA1891" s="81" t="s">
        <v>11359</v>
      </c>
      <c r="BB1891" s="81" t="s">
        <v>11359</v>
      </c>
      <c r="BC1891" s="81" t="s">
        <v>11003</v>
      </c>
      <c r="BD1891" s="77">
        <v>24704755</v>
      </c>
      <c r="BE1891" s="77"/>
      <c r="BF1891" s="77"/>
      <c r="BG1891" s="77"/>
      <c r="BH1891" s="77"/>
      <c r="BI1891" s="77"/>
    </row>
    <row r="1892" spans="1:61" x14ac:dyDescent="0.25">
      <c r="A1892" s="62" t="s">
        <v>784</v>
      </c>
      <c r="B1892" s="62" t="s">
        <v>784</v>
      </c>
      <c r="C1892" s="63"/>
      <c r="D1892" s="64"/>
      <c r="E1892" s="65"/>
      <c r="F1892" s="66"/>
      <c r="G1892" s="63"/>
      <c r="H1892" s="67"/>
      <c r="I1892" s="68"/>
      <c r="J1892" s="68"/>
      <c r="K1892" s="32"/>
      <c r="L1892" s="75">
        <v>1892</v>
      </c>
      <c r="M1892" s="75"/>
      <c r="N1892" s="70"/>
      <c r="O1892" s="77" t="s">
        <v>179</v>
      </c>
      <c r="P1892" s="79">
        <v>45162.920092592591</v>
      </c>
      <c r="Q1892" s="77" t="s">
        <v>2674</v>
      </c>
      <c r="R1892" s="77">
        <v>0</v>
      </c>
      <c r="S1892" s="77">
        <v>1</v>
      </c>
      <c r="T1892" s="77">
        <v>0</v>
      </c>
      <c r="U1892" s="77">
        <v>0</v>
      </c>
      <c r="V1892" s="77">
        <v>1</v>
      </c>
      <c r="W1892" s="81" t="s">
        <v>3993</v>
      </c>
      <c r="X1892" s="83" t="str">
        <f>HYPERLINK("https://youtube.com/shorts/T3-FWVvlBYg?feature=share")</f>
        <v>https://youtube.com/shorts/T3-FWVvlBYg?feature=share</v>
      </c>
      <c r="Y1892" s="77" t="s">
        <v>4225</v>
      </c>
      <c r="Z1892" s="77"/>
      <c r="AA1892" s="77"/>
      <c r="AB1892" s="77"/>
      <c r="AC1892" s="81" t="s">
        <v>5805</v>
      </c>
      <c r="AD1892" s="77" t="s">
        <v>5851</v>
      </c>
      <c r="AE1892" s="83" t="str">
        <f>HYPERLINK("https://twitter.com/lsbusato/status/1694833193961062548")</f>
        <v>https://twitter.com/lsbusato/status/1694833193961062548</v>
      </c>
      <c r="AF1892" s="79">
        <v>45162.920092592591</v>
      </c>
      <c r="AG1892" s="85">
        <v>45162</v>
      </c>
      <c r="AH1892" s="81" t="s">
        <v>7513</v>
      </c>
      <c r="AI1892" s="77" t="b">
        <v>0</v>
      </c>
      <c r="AJ1892" s="77"/>
      <c r="AK1892" s="77"/>
      <c r="AL1892" s="77"/>
      <c r="AM1892" s="77"/>
      <c r="AN1892" s="77"/>
      <c r="AO1892" s="77"/>
      <c r="AP1892" s="77"/>
      <c r="AQ1892" s="77"/>
      <c r="AR1892" s="77"/>
      <c r="AS1892" s="77"/>
      <c r="AT1892" s="77"/>
      <c r="AU1892" s="77"/>
      <c r="AV1892" s="83" t="str">
        <f>HYPERLINK("https://pbs.twimg.com/profile_images/958048751884603392/DUVR9Q70_normal.jpg")</f>
        <v>https://pbs.twimg.com/profile_images/958048751884603392/DUVR9Q70_normal.jpg</v>
      </c>
      <c r="AW1892" s="81" t="s">
        <v>11004</v>
      </c>
      <c r="AX1892" s="81" t="s">
        <v>11004</v>
      </c>
      <c r="AY1892" s="77"/>
      <c r="AZ1892" s="81" t="s">
        <v>11359</v>
      </c>
      <c r="BA1892" s="81" t="s">
        <v>11359</v>
      </c>
      <c r="BB1892" s="81" t="s">
        <v>11359</v>
      </c>
      <c r="BC1892" s="81" t="s">
        <v>11004</v>
      </c>
      <c r="BD1892" s="77">
        <v>24704755</v>
      </c>
      <c r="BE1892" s="77"/>
      <c r="BF1892" s="77"/>
      <c r="BG1892" s="77"/>
      <c r="BH1892" s="77"/>
      <c r="BI1892" s="77"/>
    </row>
    <row r="1893" spans="1:61" x14ac:dyDescent="0.25">
      <c r="A1893" s="62" t="s">
        <v>784</v>
      </c>
      <c r="B1893" s="62" t="s">
        <v>784</v>
      </c>
      <c r="C1893" s="63"/>
      <c r="D1893" s="64"/>
      <c r="E1893" s="65"/>
      <c r="F1893" s="66"/>
      <c r="G1893" s="63"/>
      <c r="H1893" s="67"/>
      <c r="I1893" s="68"/>
      <c r="J1893" s="68"/>
      <c r="K1893" s="32"/>
      <c r="L1893" s="75">
        <v>1893</v>
      </c>
      <c r="M1893" s="75"/>
      <c r="N1893" s="70"/>
      <c r="O1893" s="77" t="s">
        <v>179</v>
      </c>
      <c r="P1893" s="79">
        <v>44943.909629629627</v>
      </c>
      <c r="Q1893" s="77" t="s">
        <v>2675</v>
      </c>
      <c r="R1893" s="77">
        <v>0</v>
      </c>
      <c r="S1893" s="77">
        <v>1</v>
      </c>
      <c r="T1893" s="77">
        <v>0</v>
      </c>
      <c r="U1893" s="77">
        <v>0</v>
      </c>
      <c r="V1893" s="77">
        <v>3</v>
      </c>
      <c r="W1893" s="81" t="s">
        <v>3994</v>
      </c>
      <c r="X1893" s="83" t="str">
        <f>HYPERLINK("https://p.eduzz.com/853222")</f>
        <v>https://p.eduzz.com/853222</v>
      </c>
      <c r="Y1893" s="77" t="s">
        <v>4341</v>
      </c>
      <c r="Z1893" s="77"/>
      <c r="AA1893" s="77" t="s">
        <v>5630</v>
      </c>
      <c r="AB1893" s="77" t="s">
        <v>5795</v>
      </c>
      <c r="AC1893" s="81" t="s">
        <v>5803</v>
      </c>
      <c r="AD1893" s="77" t="s">
        <v>5851</v>
      </c>
      <c r="AE1893" s="83" t="str">
        <f>HYPERLINK("https://twitter.com/lsbusato/status/1615466458749849600")</f>
        <v>https://twitter.com/lsbusato/status/1615466458749849600</v>
      </c>
      <c r="AF1893" s="79">
        <v>44943.909629629627</v>
      </c>
      <c r="AG1893" s="85">
        <v>44943</v>
      </c>
      <c r="AH1893" s="81" t="s">
        <v>7514</v>
      </c>
      <c r="AI1893" s="77" t="b">
        <v>0</v>
      </c>
      <c r="AJ1893" s="77"/>
      <c r="AK1893" s="77"/>
      <c r="AL1893" s="77"/>
      <c r="AM1893" s="77"/>
      <c r="AN1893" s="77"/>
      <c r="AO1893" s="77"/>
      <c r="AP1893" s="77"/>
      <c r="AQ1893" s="77" t="s">
        <v>9128</v>
      </c>
      <c r="AR1893" s="77">
        <v>59161</v>
      </c>
      <c r="AS1893" s="77"/>
      <c r="AT1893" s="77"/>
      <c r="AU1893" s="77"/>
      <c r="AV1893" s="83" t="str">
        <f>HYPERLINK("https://pbs.twimg.com/ext_tw_video_thumb/1615466368886874132/pu/img/0mCAktdj10gDWFnM.jpg")</f>
        <v>https://pbs.twimg.com/ext_tw_video_thumb/1615466368886874132/pu/img/0mCAktdj10gDWFnM.jpg</v>
      </c>
      <c r="AW1893" s="81" t="s">
        <v>11005</v>
      </c>
      <c r="AX1893" s="81" t="s">
        <v>11005</v>
      </c>
      <c r="AY1893" s="77"/>
      <c r="AZ1893" s="81" t="s">
        <v>11359</v>
      </c>
      <c r="BA1893" s="81" t="s">
        <v>11359</v>
      </c>
      <c r="BB1893" s="81" t="s">
        <v>11359</v>
      </c>
      <c r="BC1893" s="81" t="s">
        <v>11005</v>
      </c>
      <c r="BD1893" s="77">
        <v>24704755</v>
      </c>
      <c r="BE1893" s="77"/>
      <c r="BF1893" s="77"/>
      <c r="BG1893" s="77"/>
      <c r="BH1893" s="77"/>
      <c r="BI1893" s="77"/>
    </row>
    <row r="1894" spans="1:61" x14ac:dyDescent="0.25">
      <c r="A1894" s="62" t="s">
        <v>785</v>
      </c>
      <c r="B1894" s="62" t="s">
        <v>785</v>
      </c>
      <c r="C1894" s="63"/>
      <c r="D1894" s="64"/>
      <c r="E1894" s="65"/>
      <c r="F1894" s="66"/>
      <c r="G1894" s="63"/>
      <c r="H1894" s="67"/>
      <c r="I1894" s="68"/>
      <c r="J1894" s="68"/>
      <c r="K1894" s="32"/>
      <c r="L1894" s="75">
        <v>1894</v>
      </c>
      <c r="M1894" s="75"/>
      <c r="N1894" s="70"/>
      <c r="O1894" s="77" t="s">
        <v>179</v>
      </c>
      <c r="P1894" s="79">
        <v>45100.766365740739</v>
      </c>
      <c r="Q1894" s="77" t="s">
        <v>2676</v>
      </c>
      <c r="R1894" s="77">
        <v>0</v>
      </c>
      <c r="S1894" s="77">
        <v>0</v>
      </c>
      <c r="T1894" s="77">
        <v>0</v>
      </c>
      <c r="U1894" s="77">
        <v>0</v>
      </c>
      <c r="V1894" s="77">
        <v>19</v>
      </c>
      <c r="W1894" s="81" t="s">
        <v>3995</v>
      </c>
      <c r="X1894" s="77"/>
      <c r="Y1894" s="77"/>
      <c r="Z1894" s="77"/>
      <c r="AA1894" s="77"/>
      <c r="AB1894" s="77"/>
      <c r="AC1894" s="81" t="s">
        <v>5805</v>
      </c>
      <c r="AD1894" s="77" t="s">
        <v>5850</v>
      </c>
      <c r="AE1894" s="83" t="str">
        <f>HYPERLINK("https://twitter.com/festicopla/status/1672309437539790854")</f>
        <v>https://twitter.com/festicopla/status/1672309437539790854</v>
      </c>
      <c r="AF1894" s="79">
        <v>45100.766365740739</v>
      </c>
      <c r="AG1894" s="85">
        <v>45100</v>
      </c>
      <c r="AH1894" s="81" t="s">
        <v>7515</v>
      </c>
      <c r="AI1894" s="77"/>
      <c r="AJ1894" s="77"/>
      <c r="AK1894" s="77"/>
      <c r="AL1894" s="77"/>
      <c r="AM1894" s="77"/>
      <c r="AN1894" s="77"/>
      <c r="AO1894" s="77"/>
      <c r="AP1894" s="77"/>
      <c r="AQ1894" s="77"/>
      <c r="AR1894" s="77"/>
      <c r="AS1894" s="77"/>
      <c r="AT1894" s="77"/>
      <c r="AU1894" s="77"/>
      <c r="AV1894" s="83" t="str">
        <f>HYPERLINK("https://pbs.twimg.com/profile_images/939321462841679874/MVirAG46_normal.jpg")</f>
        <v>https://pbs.twimg.com/profile_images/939321462841679874/MVirAG46_normal.jpg</v>
      </c>
      <c r="AW1894" s="81" t="s">
        <v>11006</v>
      </c>
      <c r="AX1894" s="81" t="s">
        <v>11006</v>
      </c>
      <c r="AY1894" s="77"/>
      <c r="AZ1894" s="81" t="s">
        <v>11359</v>
      </c>
      <c r="BA1894" s="81" t="s">
        <v>11359</v>
      </c>
      <c r="BB1894" s="81" t="s">
        <v>11359</v>
      </c>
      <c r="BC1894" s="81" t="s">
        <v>11006</v>
      </c>
      <c r="BD1894" s="81" t="s">
        <v>11671</v>
      </c>
      <c r="BE1894" s="77"/>
      <c r="BF1894" s="77"/>
      <c r="BG1894" s="77"/>
      <c r="BH1894" s="77"/>
      <c r="BI1894" s="77"/>
    </row>
    <row r="1895" spans="1:61" x14ac:dyDescent="0.25">
      <c r="A1895" s="62" t="s">
        <v>786</v>
      </c>
      <c r="B1895" s="62" t="s">
        <v>786</v>
      </c>
      <c r="C1895" s="63"/>
      <c r="D1895" s="64"/>
      <c r="E1895" s="65"/>
      <c r="F1895" s="66"/>
      <c r="G1895" s="63"/>
      <c r="H1895" s="67"/>
      <c r="I1895" s="68"/>
      <c r="J1895" s="68"/>
      <c r="K1895" s="32"/>
      <c r="L1895" s="75">
        <v>1895</v>
      </c>
      <c r="M1895" s="75"/>
      <c r="N1895" s="70"/>
      <c r="O1895" s="77" t="s">
        <v>179</v>
      </c>
      <c r="P1895" s="79">
        <v>45194.328333333331</v>
      </c>
      <c r="Q1895" s="77" t="s">
        <v>2677</v>
      </c>
      <c r="R1895" s="77">
        <v>3</v>
      </c>
      <c r="S1895" s="77">
        <v>3</v>
      </c>
      <c r="T1895" s="77">
        <v>2</v>
      </c>
      <c r="U1895" s="77">
        <v>0</v>
      </c>
      <c r="V1895" s="77">
        <v>120</v>
      </c>
      <c r="W1895" s="81" t="s">
        <v>3996</v>
      </c>
      <c r="X1895" s="77"/>
      <c r="Y1895" s="77"/>
      <c r="Z1895" s="77"/>
      <c r="AA1895" s="77" t="s">
        <v>5631</v>
      </c>
      <c r="AB1895" s="77" t="s">
        <v>5794</v>
      </c>
      <c r="AC1895" s="81" t="s">
        <v>5805</v>
      </c>
      <c r="AD1895" s="77" t="s">
        <v>5850</v>
      </c>
      <c r="AE1895" s="83" t="str">
        <f>HYPERLINK("https://twitter.com/torcadul/status/1706215157783732733")</f>
        <v>https://twitter.com/torcadul/status/1706215157783732733</v>
      </c>
      <c r="AF1895" s="79">
        <v>45194.328333333331</v>
      </c>
      <c r="AG1895" s="85">
        <v>45194</v>
      </c>
      <c r="AH1895" s="81" t="s">
        <v>7516</v>
      </c>
      <c r="AI1895" s="77" t="b">
        <v>0</v>
      </c>
      <c r="AJ1895" s="77"/>
      <c r="AK1895" s="77"/>
      <c r="AL1895" s="77"/>
      <c r="AM1895" s="77"/>
      <c r="AN1895" s="77"/>
      <c r="AO1895" s="77"/>
      <c r="AP1895" s="77"/>
      <c r="AQ1895" s="77" t="s">
        <v>9129</v>
      </c>
      <c r="AR1895" s="77"/>
      <c r="AS1895" s="77"/>
      <c r="AT1895" s="77"/>
      <c r="AU1895" s="77"/>
      <c r="AV1895" s="83" t="str">
        <f>HYPERLINK("https://pbs.twimg.com/media/F62xnrjXQAAvms3.jpg")</f>
        <v>https://pbs.twimg.com/media/F62xnrjXQAAvms3.jpg</v>
      </c>
      <c r="AW1895" s="81" t="s">
        <v>11007</v>
      </c>
      <c r="AX1895" s="81" t="s">
        <v>11007</v>
      </c>
      <c r="AY1895" s="77"/>
      <c r="AZ1895" s="81" t="s">
        <v>11359</v>
      </c>
      <c r="BA1895" s="81" t="s">
        <v>11359</v>
      </c>
      <c r="BB1895" s="81" t="s">
        <v>11359</v>
      </c>
      <c r="BC1895" s="81" t="s">
        <v>11007</v>
      </c>
      <c r="BD1895" s="77">
        <v>618016478</v>
      </c>
      <c r="BE1895" s="77"/>
      <c r="BF1895" s="77"/>
      <c r="BG1895" s="77"/>
      <c r="BH1895" s="77"/>
      <c r="BI1895" s="77"/>
    </row>
    <row r="1896" spans="1:61" x14ac:dyDescent="0.25">
      <c r="A1896" s="62" t="s">
        <v>787</v>
      </c>
      <c r="B1896" s="62" t="s">
        <v>787</v>
      </c>
      <c r="C1896" s="63"/>
      <c r="D1896" s="64"/>
      <c r="E1896" s="65"/>
      <c r="F1896" s="66"/>
      <c r="G1896" s="63"/>
      <c r="H1896" s="67"/>
      <c r="I1896" s="68"/>
      <c r="J1896" s="68"/>
      <c r="K1896" s="32"/>
      <c r="L1896" s="75">
        <v>1896</v>
      </c>
      <c r="M1896" s="75"/>
      <c r="N1896" s="70"/>
      <c r="O1896" s="77" t="s">
        <v>179</v>
      </c>
      <c r="P1896" s="79">
        <v>45173.97729166667</v>
      </c>
      <c r="Q1896" s="77" t="s">
        <v>2678</v>
      </c>
      <c r="R1896" s="77">
        <v>0</v>
      </c>
      <c r="S1896" s="77">
        <v>0</v>
      </c>
      <c r="T1896" s="77">
        <v>0</v>
      </c>
      <c r="U1896" s="77">
        <v>0</v>
      </c>
      <c r="V1896" s="77">
        <v>92</v>
      </c>
      <c r="W1896" s="81" t="s">
        <v>3997</v>
      </c>
      <c r="X1896" s="83" t="str">
        <f>HYPERLINK("https://youtu.be/4sfvAux43As?si=DftTodSL8JUWMybi")</f>
        <v>https://youtu.be/4sfvAux43As?si=DftTodSL8JUWMybi</v>
      </c>
      <c r="Y1896" s="77" t="s">
        <v>4214</v>
      </c>
      <c r="Z1896" s="77"/>
      <c r="AA1896" s="77" t="s">
        <v>5632</v>
      </c>
      <c r="AB1896" s="77" t="s">
        <v>5795</v>
      </c>
      <c r="AC1896" s="81" t="s">
        <v>5801</v>
      </c>
      <c r="AD1896" s="77" t="s">
        <v>5851</v>
      </c>
      <c r="AE1896" s="83" t="str">
        <f>HYPERLINK("https://twitter.com/evovendsho/status/1698840188389105749")</f>
        <v>https://twitter.com/evovendsho/status/1698840188389105749</v>
      </c>
      <c r="AF1896" s="79">
        <v>45173.97729166667</v>
      </c>
      <c r="AG1896" s="85">
        <v>45173</v>
      </c>
      <c r="AH1896" s="81" t="s">
        <v>7517</v>
      </c>
      <c r="AI1896" s="77" t="b">
        <v>0</v>
      </c>
      <c r="AJ1896" s="77" t="s">
        <v>7756</v>
      </c>
      <c r="AK1896" s="77" t="s">
        <v>7763</v>
      </c>
      <c r="AL1896" s="77" t="s">
        <v>7772</v>
      </c>
      <c r="AM1896" s="77" t="s">
        <v>7810</v>
      </c>
      <c r="AN1896" s="77" t="s">
        <v>7846</v>
      </c>
      <c r="AO1896" s="77" t="s">
        <v>7882</v>
      </c>
      <c r="AP1896" s="77" t="s">
        <v>7889</v>
      </c>
      <c r="AQ1896" s="77" t="s">
        <v>9130</v>
      </c>
      <c r="AR1896" s="77">
        <v>44948</v>
      </c>
      <c r="AS1896" s="77"/>
      <c r="AT1896" s="77"/>
      <c r="AU1896" s="77"/>
      <c r="AV1896" s="83" t="str">
        <f>HYPERLINK("https://pbs.twimg.com/ext_tw_video_thumb/1698839796112658432/pu/img/NPMtUEBvlCPy1tHC.jpg")</f>
        <v>https://pbs.twimg.com/ext_tw_video_thumb/1698839796112658432/pu/img/NPMtUEBvlCPy1tHC.jpg</v>
      </c>
      <c r="AW1896" s="81" t="s">
        <v>11008</v>
      </c>
      <c r="AX1896" s="81" t="s">
        <v>11008</v>
      </c>
      <c r="AY1896" s="77"/>
      <c r="AZ1896" s="81" t="s">
        <v>11359</v>
      </c>
      <c r="BA1896" s="81" t="s">
        <v>11359</v>
      </c>
      <c r="BB1896" s="81" t="s">
        <v>11359</v>
      </c>
      <c r="BC1896" s="81" t="s">
        <v>11008</v>
      </c>
      <c r="BD1896" s="81" t="s">
        <v>11672</v>
      </c>
      <c r="BE1896" s="77"/>
      <c r="BF1896" s="77"/>
      <c r="BG1896" s="77"/>
      <c r="BH1896" s="77"/>
      <c r="BI1896" s="77"/>
    </row>
    <row r="1897" spans="1:61" x14ac:dyDescent="0.25">
      <c r="A1897" s="62" t="s">
        <v>788</v>
      </c>
      <c r="B1897" s="62" t="s">
        <v>788</v>
      </c>
      <c r="C1897" s="63"/>
      <c r="D1897" s="64"/>
      <c r="E1897" s="65"/>
      <c r="F1897" s="66"/>
      <c r="G1897" s="63"/>
      <c r="H1897" s="67"/>
      <c r="I1897" s="68"/>
      <c r="J1897" s="68"/>
      <c r="K1897" s="32"/>
      <c r="L1897" s="75">
        <v>1897</v>
      </c>
      <c r="M1897" s="75"/>
      <c r="N1897" s="70"/>
      <c r="O1897" s="77" t="s">
        <v>179</v>
      </c>
      <c r="P1897" s="79">
        <v>45044.629166666666</v>
      </c>
      <c r="Q1897" s="77" t="s">
        <v>2679</v>
      </c>
      <c r="R1897" s="77">
        <v>0</v>
      </c>
      <c r="S1897" s="77">
        <v>1</v>
      </c>
      <c r="T1897" s="77">
        <v>0</v>
      </c>
      <c r="U1897" s="77">
        <v>0</v>
      </c>
      <c r="V1897" s="77">
        <v>88</v>
      </c>
      <c r="W1897" s="81" t="s">
        <v>2947</v>
      </c>
      <c r="X1897" s="83" t="str">
        <f>HYPERLINK("https://bit.ly/4278rNr")</f>
        <v>https://bit.ly/4278rNr</v>
      </c>
      <c r="Y1897" s="77" t="s">
        <v>4213</v>
      </c>
      <c r="Z1897" s="77"/>
      <c r="AA1897" s="77"/>
      <c r="AB1897" s="77"/>
      <c r="AC1897" s="81" t="s">
        <v>5811</v>
      </c>
      <c r="AD1897" s="77" t="s">
        <v>5850</v>
      </c>
      <c r="AE1897" s="83" t="str">
        <f>HYPERLINK("https://twitter.com/chapintv_/status/1651965996708814849")</f>
        <v>https://twitter.com/chapintv_/status/1651965996708814849</v>
      </c>
      <c r="AF1897" s="79">
        <v>45044.629166666666</v>
      </c>
      <c r="AG1897" s="85">
        <v>45044</v>
      </c>
      <c r="AH1897" s="81" t="s">
        <v>7518</v>
      </c>
      <c r="AI1897" s="77" t="b">
        <v>0</v>
      </c>
      <c r="AJ1897" s="77"/>
      <c r="AK1897" s="77"/>
      <c r="AL1897" s="77"/>
      <c r="AM1897" s="77"/>
      <c r="AN1897" s="77"/>
      <c r="AO1897" s="77"/>
      <c r="AP1897" s="77"/>
      <c r="AQ1897" s="77"/>
      <c r="AR1897" s="77"/>
      <c r="AS1897" s="77"/>
      <c r="AT1897" s="77"/>
      <c r="AU1897" s="77"/>
      <c r="AV1897" s="83" t="str">
        <f>HYPERLINK("https://pbs.twimg.com/profile_images/950461978950160384/vBU9yDhv_normal.jpg")</f>
        <v>https://pbs.twimg.com/profile_images/950461978950160384/vBU9yDhv_normal.jpg</v>
      </c>
      <c r="AW1897" s="81" t="s">
        <v>11009</v>
      </c>
      <c r="AX1897" s="81" t="s">
        <v>11009</v>
      </c>
      <c r="AY1897" s="77"/>
      <c r="AZ1897" s="81" t="s">
        <v>11359</v>
      </c>
      <c r="BA1897" s="81" t="s">
        <v>11359</v>
      </c>
      <c r="BB1897" s="81" t="s">
        <v>11359</v>
      </c>
      <c r="BC1897" s="81" t="s">
        <v>11009</v>
      </c>
      <c r="BD1897" s="81" t="s">
        <v>11673</v>
      </c>
      <c r="BE1897" s="77"/>
      <c r="BF1897" s="77"/>
      <c r="BG1897" s="77"/>
      <c r="BH1897" s="77"/>
      <c r="BI1897" s="77"/>
    </row>
    <row r="1898" spans="1:61" x14ac:dyDescent="0.25">
      <c r="A1898" s="62" t="s">
        <v>788</v>
      </c>
      <c r="B1898" s="62" t="s">
        <v>788</v>
      </c>
      <c r="C1898" s="63"/>
      <c r="D1898" s="64"/>
      <c r="E1898" s="65"/>
      <c r="F1898" s="66"/>
      <c r="G1898" s="63"/>
      <c r="H1898" s="67"/>
      <c r="I1898" s="68"/>
      <c r="J1898" s="68"/>
      <c r="K1898" s="32"/>
      <c r="L1898" s="75">
        <v>1898</v>
      </c>
      <c r="M1898" s="75"/>
      <c r="N1898" s="70"/>
      <c r="O1898" s="77" t="s">
        <v>179</v>
      </c>
      <c r="P1898" s="79">
        <v>45005.725381944445</v>
      </c>
      <c r="Q1898" s="77" t="s">
        <v>2680</v>
      </c>
      <c r="R1898" s="77">
        <v>0</v>
      </c>
      <c r="S1898" s="77">
        <v>1</v>
      </c>
      <c r="T1898" s="77">
        <v>0</v>
      </c>
      <c r="U1898" s="77">
        <v>0</v>
      </c>
      <c r="V1898" s="77">
        <v>89</v>
      </c>
      <c r="W1898" s="81" t="s">
        <v>3706</v>
      </c>
      <c r="X1898" s="83" t="str">
        <f>HYPERLINK("https://bit.ly/3JxCg1R")</f>
        <v>https://bit.ly/3JxCg1R</v>
      </c>
      <c r="Y1898" s="77" t="s">
        <v>4213</v>
      </c>
      <c r="Z1898" s="77"/>
      <c r="AA1898" s="77"/>
      <c r="AB1898" s="77"/>
      <c r="AC1898" s="81" t="s">
        <v>5811</v>
      </c>
      <c r="AD1898" s="77" t="s">
        <v>5850</v>
      </c>
      <c r="AE1898" s="83" t="str">
        <f>HYPERLINK("https://twitter.com/chapintv_/status/1637867738759585826")</f>
        <v>https://twitter.com/chapintv_/status/1637867738759585826</v>
      </c>
      <c r="AF1898" s="79">
        <v>45005.725381944445</v>
      </c>
      <c r="AG1898" s="85">
        <v>45005</v>
      </c>
      <c r="AH1898" s="81" t="s">
        <v>7519</v>
      </c>
      <c r="AI1898" s="77" t="b">
        <v>0</v>
      </c>
      <c r="AJ1898" s="77"/>
      <c r="AK1898" s="77"/>
      <c r="AL1898" s="77"/>
      <c r="AM1898" s="77"/>
      <c r="AN1898" s="77"/>
      <c r="AO1898" s="77"/>
      <c r="AP1898" s="77"/>
      <c r="AQ1898" s="77"/>
      <c r="AR1898" s="77"/>
      <c r="AS1898" s="77"/>
      <c r="AT1898" s="77"/>
      <c r="AU1898" s="77"/>
      <c r="AV1898" s="83" t="str">
        <f>HYPERLINK("https://pbs.twimg.com/profile_images/950461978950160384/vBU9yDhv_normal.jpg")</f>
        <v>https://pbs.twimg.com/profile_images/950461978950160384/vBU9yDhv_normal.jpg</v>
      </c>
      <c r="AW1898" s="81" t="s">
        <v>11010</v>
      </c>
      <c r="AX1898" s="81" t="s">
        <v>11010</v>
      </c>
      <c r="AY1898" s="77"/>
      <c r="AZ1898" s="81" t="s">
        <v>11359</v>
      </c>
      <c r="BA1898" s="81" t="s">
        <v>11359</v>
      </c>
      <c r="BB1898" s="81" t="s">
        <v>11359</v>
      </c>
      <c r="BC1898" s="81" t="s">
        <v>11010</v>
      </c>
      <c r="BD1898" s="81" t="s">
        <v>11673</v>
      </c>
      <c r="BE1898" s="77"/>
      <c r="BF1898" s="77"/>
      <c r="BG1898" s="77"/>
      <c r="BH1898" s="77"/>
      <c r="BI1898" s="77"/>
    </row>
    <row r="1899" spans="1:61" x14ac:dyDescent="0.25">
      <c r="A1899" s="62" t="s">
        <v>789</v>
      </c>
      <c r="B1899" s="62" t="s">
        <v>789</v>
      </c>
      <c r="C1899" s="63"/>
      <c r="D1899" s="64"/>
      <c r="E1899" s="65"/>
      <c r="F1899" s="66"/>
      <c r="G1899" s="63"/>
      <c r="H1899" s="67"/>
      <c r="I1899" s="68"/>
      <c r="J1899" s="68"/>
      <c r="K1899" s="32"/>
      <c r="L1899" s="75">
        <v>1899</v>
      </c>
      <c r="M1899" s="75"/>
      <c r="N1899" s="70"/>
      <c r="O1899" s="77" t="s">
        <v>179</v>
      </c>
      <c r="P1899" s="79">
        <v>44989.578819444447</v>
      </c>
      <c r="Q1899" s="77" t="s">
        <v>2681</v>
      </c>
      <c r="R1899" s="77">
        <v>0</v>
      </c>
      <c r="S1899" s="77">
        <v>0</v>
      </c>
      <c r="T1899" s="77">
        <v>0</v>
      </c>
      <c r="U1899" s="77">
        <v>0</v>
      </c>
      <c r="V1899" s="77">
        <v>54</v>
      </c>
      <c r="W1899" s="81" t="s">
        <v>3998</v>
      </c>
      <c r="X1899" s="83" t="str">
        <f>HYPERLINK("https://lnkd.in/dqunWEw5")</f>
        <v>https://lnkd.in/dqunWEw5</v>
      </c>
      <c r="Y1899" s="77" t="s">
        <v>4221</v>
      </c>
      <c r="Z1899" s="77"/>
      <c r="AA1899" s="77"/>
      <c r="AB1899" s="77"/>
      <c r="AC1899" s="81" t="s">
        <v>5810</v>
      </c>
      <c r="AD1899" s="77" t="s">
        <v>5851</v>
      </c>
      <c r="AE1899" s="83" t="str">
        <f>HYPERLINK("https://twitter.com/vanessa21br/status/1632016419280789506")</f>
        <v>https://twitter.com/vanessa21br/status/1632016419280789506</v>
      </c>
      <c r="AF1899" s="79">
        <v>44989.578819444447</v>
      </c>
      <c r="AG1899" s="85">
        <v>44989</v>
      </c>
      <c r="AH1899" s="81" t="s">
        <v>7520</v>
      </c>
      <c r="AI1899" s="77" t="b">
        <v>1</v>
      </c>
      <c r="AJ1899" s="77"/>
      <c r="AK1899" s="77"/>
      <c r="AL1899" s="77"/>
      <c r="AM1899" s="77"/>
      <c r="AN1899" s="77"/>
      <c r="AO1899" s="77"/>
      <c r="AP1899" s="77"/>
      <c r="AQ1899" s="77"/>
      <c r="AR1899" s="77"/>
      <c r="AS1899" s="77"/>
      <c r="AT1899" s="77"/>
      <c r="AU1899" s="77"/>
      <c r="AV1899" s="83" t="str">
        <f>HYPERLINK("https://pbs.twimg.com/profile_images/1590536034793803776/EBFXJZDY_normal.jpg")</f>
        <v>https://pbs.twimg.com/profile_images/1590536034793803776/EBFXJZDY_normal.jpg</v>
      </c>
      <c r="AW1899" s="81" t="s">
        <v>11011</v>
      </c>
      <c r="AX1899" s="81" t="s">
        <v>11011</v>
      </c>
      <c r="AY1899" s="77"/>
      <c r="AZ1899" s="81" t="s">
        <v>11359</v>
      </c>
      <c r="BA1899" s="81" t="s">
        <v>11359</v>
      </c>
      <c r="BB1899" s="81" t="s">
        <v>11359</v>
      </c>
      <c r="BC1899" s="81" t="s">
        <v>11011</v>
      </c>
      <c r="BD1899" s="77">
        <v>69910132</v>
      </c>
      <c r="BE1899" s="77"/>
      <c r="BF1899" s="77"/>
      <c r="BG1899" s="77"/>
      <c r="BH1899" s="77"/>
      <c r="BI1899" s="77"/>
    </row>
    <row r="1900" spans="1:61" x14ac:dyDescent="0.25">
      <c r="A1900" s="62" t="s">
        <v>790</v>
      </c>
      <c r="B1900" s="62" t="s">
        <v>790</v>
      </c>
      <c r="C1900" s="63"/>
      <c r="D1900" s="64"/>
      <c r="E1900" s="65"/>
      <c r="F1900" s="66"/>
      <c r="G1900" s="63"/>
      <c r="H1900" s="67"/>
      <c r="I1900" s="68"/>
      <c r="J1900" s="68"/>
      <c r="K1900" s="32"/>
      <c r="L1900" s="75">
        <v>1900</v>
      </c>
      <c r="M1900" s="75"/>
      <c r="N1900" s="70"/>
      <c r="O1900" s="77" t="s">
        <v>179</v>
      </c>
      <c r="P1900" s="79">
        <v>45076.624016203707</v>
      </c>
      <c r="Q1900" s="77" t="s">
        <v>2682</v>
      </c>
      <c r="R1900" s="77">
        <v>0</v>
      </c>
      <c r="S1900" s="77">
        <v>0</v>
      </c>
      <c r="T1900" s="77">
        <v>0</v>
      </c>
      <c r="U1900" s="77">
        <v>0</v>
      </c>
      <c r="V1900" s="77">
        <v>82</v>
      </c>
      <c r="W1900" s="81" t="s">
        <v>3999</v>
      </c>
      <c r="X1900" s="77"/>
      <c r="Y1900" s="77"/>
      <c r="Z1900" s="77"/>
      <c r="AA1900" s="77" t="s">
        <v>5633</v>
      </c>
      <c r="AB1900" s="77" t="s">
        <v>5794</v>
      </c>
      <c r="AC1900" s="81" t="s">
        <v>5805</v>
      </c>
      <c r="AD1900" s="77" t="s">
        <v>5850</v>
      </c>
      <c r="AE1900" s="83" t="str">
        <f>HYPERLINK("https://twitter.com/tveocanal41/status/1663560542001446913")</f>
        <v>https://twitter.com/tveocanal41/status/1663560542001446913</v>
      </c>
      <c r="AF1900" s="79">
        <v>45076.624016203707</v>
      </c>
      <c r="AG1900" s="85">
        <v>45076</v>
      </c>
      <c r="AH1900" s="81" t="s">
        <v>7521</v>
      </c>
      <c r="AI1900" s="77" t="b">
        <v>0</v>
      </c>
      <c r="AJ1900" s="77"/>
      <c r="AK1900" s="77"/>
      <c r="AL1900" s="77"/>
      <c r="AM1900" s="77"/>
      <c r="AN1900" s="77"/>
      <c r="AO1900" s="77"/>
      <c r="AP1900" s="77"/>
      <c r="AQ1900" s="77" t="s">
        <v>9131</v>
      </c>
      <c r="AR1900" s="77"/>
      <c r="AS1900" s="77"/>
      <c r="AT1900" s="77"/>
      <c r="AU1900" s="77"/>
      <c r="AV1900" s="83" t="str">
        <f>HYPERLINK("https://pbs.twimg.com/media/FxYmtysagAExWAF.png")</f>
        <v>https://pbs.twimg.com/media/FxYmtysagAExWAF.png</v>
      </c>
      <c r="AW1900" s="81" t="s">
        <v>11012</v>
      </c>
      <c r="AX1900" s="81" t="s">
        <v>11012</v>
      </c>
      <c r="AY1900" s="77"/>
      <c r="AZ1900" s="81" t="s">
        <v>11359</v>
      </c>
      <c r="BA1900" s="81" t="s">
        <v>11359</v>
      </c>
      <c r="BB1900" s="81" t="s">
        <v>11359</v>
      </c>
      <c r="BC1900" s="81" t="s">
        <v>11012</v>
      </c>
      <c r="BD1900" s="77">
        <v>3362078833</v>
      </c>
      <c r="BE1900" s="77"/>
      <c r="BF1900" s="77"/>
      <c r="BG1900" s="77"/>
      <c r="BH1900" s="77"/>
      <c r="BI1900" s="77"/>
    </row>
    <row r="1901" spans="1:61" x14ac:dyDescent="0.25">
      <c r="A1901" s="62" t="s">
        <v>791</v>
      </c>
      <c r="B1901" s="62" t="s">
        <v>791</v>
      </c>
      <c r="C1901" s="63"/>
      <c r="D1901" s="64"/>
      <c r="E1901" s="65"/>
      <c r="F1901" s="66"/>
      <c r="G1901" s="63"/>
      <c r="H1901" s="67"/>
      <c r="I1901" s="68"/>
      <c r="J1901" s="68"/>
      <c r="K1901" s="32"/>
      <c r="L1901" s="75">
        <v>1901</v>
      </c>
      <c r="M1901" s="75"/>
      <c r="N1901" s="70"/>
      <c r="O1901" s="77" t="s">
        <v>179</v>
      </c>
      <c r="P1901" s="79">
        <v>45128.520254629628</v>
      </c>
      <c r="Q1901" s="77" t="s">
        <v>2683</v>
      </c>
      <c r="R1901" s="77">
        <v>0</v>
      </c>
      <c r="S1901" s="77">
        <v>0</v>
      </c>
      <c r="T1901" s="77">
        <v>0</v>
      </c>
      <c r="U1901" s="77">
        <v>0</v>
      </c>
      <c r="V1901" s="77">
        <v>65</v>
      </c>
      <c r="W1901" s="81" t="s">
        <v>2947</v>
      </c>
      <c r="X1901" s="83" t="str">
        <f>HYPERLINK("https://mensajeconpoder.blogspot.com/2011/06/un-gran-vendedor.html")</f>
        <v>https://mensajeconpoder.blogspot.com/2011/06/un-gran-vendedor.html</v>
      </c>
      <c r="Y1901" s="77" t="s">
        <v>4216</v>
      </c>
      <c r="Z1901" s="77"/>
      <c r="AA1901" s="77"/>
      <c r="AB1901" s="77"/>
      <c r="AC1901" s="81" t="s">
        <v>5801</v>
      </c>
      <c r="AD1901" s="77" t="s">
        <v>5850</v>
      </c>
      <c r="AE1901" s="83" t="str">
        <f>HYPERLINK("https://twitter.com/notibolivia/status/1682367111346126856")</f>
        <v>https://twitter.com/notibolivia/status/1682367111346126856</v>
      </c>
      <c r="AF1901" s="79">
        <v>45128.520254629628</v>
      </c>
      <c r="AG1901" s="85">
        <v>45128</v>
      </c>
      <c r="AH1901" s="81" t="s">
        <v>7522</v>
      </c>
      <c r="AI1901" s="77" t="b">
        <v>0</v>
      </c>
      <c r="AJ1901" s="77"/>
      <c r="AK1901" s="77"/>
      <c r="AL1901" s="77"/>
      <c r="AM1901" s="77"/>
      <c r="AN1901" s="77"/>
      <c r="AO1901" s="77"/>
      <c r="AP1901" s="77"/>
      <c r="AQ1901" s="77"/>
      <c r="AR1901" s="77"/>
      <c r="AS1901" s="77"/>
      <c r="AT1901" s="77"/>
      <c r="AU1901" s="77"/>
      <c r="AV1901" s="83" t="str">
        <f>HYPERLINK("https://pbs.twimg.com/profile_images/1167819521/bandebolivia_normal.JPG")</f>
        <v>https://pbs.twimg.com/profile_images/1167819521/bandebolivia_normal.JPG</v>
      </c>
      <c r="AW1901" s="81" t="s">
        <v>11013</v>
      </c>
      <c r="AX1901" s="81" t="s">
        <v>11013</v>
      </c>
      <c r="AY1901" s="77"/>
      <c r="AZ1901" s="81" t="s">
        <v>11359</v>
      </c>
      <c r="BA1901" s="81" t="s">
        <v>11359</v>
      </c>
      <c r="BB1901" s="81" t="s">
        <v>11359</v>
      </c>
      <c r="BC1901" s="81" t="s">
        <v>11013</v>
      </c>
      <c r="BD1901" s="77">
        <v>216018961</v>
      </c>
      <c r="BE1901" s="77"/>
      <c r="BF1901" s="77"/>
      <c r="BG1901" s="77"/>
      <c r="BH1901" s="77"/>
      <c r="BI1901" s="77"/>
    </row>
    <row r="1902" spans="1:61" x14ac:dyDescent="0.25">
      <c r="A1902" s="62" t="s">
        <v>792</v>
      </c>
      <c r="B1902" s="62" t="s">
        <v>792</v>
      </c>
      <c r="C1902" s="63"/>
      <c r="D1902" s="64"/>
      <c r="E1902" s="65"/>
      <c r="F1902" s="66"/>
      <c r="G1902" s="63"/>
      <c r="H1902" s="67"/>
      <c r="I1902" s="68"/>
      <c r="J1902" s="68"/>
      <c r="K1902" s="32"/>
      <c r="L1902" s="75">
        <v>1902</v>
      </c>
      <c r="M1902" s="75"/>
      <c r="N1902" s="70"/>
      <c r="O1902" s="77" t="s">
        <v>179</v>
      </c>
      <c r="P1902" s="79">
        <v>45004.627500000002</v>
      </c>
      <c r="Q1902" s="77" t="s">
        <v>2684</v>
      </c>
      <c r="R1902" s="77">
        <v>0</v>
      </c>
      <c r="S1902" s="77">
        <v>0</v>
      </c>
      <c r="T1902" s="77">
        <v>0</v>
      </c>
      <c r="U1902" s="77">
        <v>0</v>
      </c>
      <c r="V1902" s="77">
        <v>39</v>
      </c>
      <c r="W1902" s="81" t="s">
        <v>4000</v>
      </c>
      <c r="X1902" s="77"/>
      <c r="Y1902" s="77"/>
      <c r="Z1902" s="77"/>
      <c r="AA1902" s="77" t="s">
        <v>5634</v>
      </c>
      <c r="AB1902" s="77" t="s">
        <v>5794</v>
      </c>
      <c r="AC1902" s="81" t="s">
        <v>5805</v>
      </c>
      <c r="AD1902" s="77" t="s">
        <v>5850</v>
      </c>
      <c r="AE1902" s="83" t="str">
        <f>HYPERLINK("https://twitter.com/pamplin60079201/status/1637469876787847169")</f>
        <v>https://twitter.com/pamplin60079201/status/1637469876787847169</v>
      </c>
      <c r="AF1902" s="79">
        <v>45004.627500000002</v>
      </c>
      <c r="AG1902" s="85">
        <v>45004</v>
      </c>
      <c r="AH1902" s="81" t="s">
        <v>7523</v>
      </c>
      <c r="AI1902" s="77" t="b">
        <v>0</v>
      </c>
      <c r="AJ1902" s="77"/>
      <c r="AK1902" s="77"/>
      <c r="AL1902" s="77"/>
      <c r="AM1902" s="77"/>
      <c r="AN1902" s="77"/>
      <c r="AO1902" s="77"/>
      <c r="AP1902" s="77"/>
      <c r="AQ1902" s="77" t="s">
        <v>9132</v>
      </c>
      <c r="AR1902" s="77"/>
      <c r="AS1902" s="77"/>
      <c r="AT1902" s="77"/>
      <c r="AU1902" s="77"/>
      <c r="AV1902" s="83" t="str">
        <f>HYPERLINK("https://pbs.twimg.com/media/Frl1dt0WwAIC58S.jpg")</f>
        <v>https://pbs.twimg.com/media/Frl1dt0WwAIC58S.jpg</v>
      </c>
      <c r="AW1902" s="81" t="s">
        <v>11014</v>
      </c>
      <c r="AX1902" s="81" t="s">
        <v>11014</v>
      </c>
      <c r="AY1902" s="77"/>
      <c r="AZ1902" s="81" t="s">
        <v>11359</v>
      </c>
      <c r="BA1902" s="81" t="s">
        <v>11359</v>
      </c>
      <c r="BB1902" s="81" t="s">
        <v>11359</v>
      </c>
      <c r="BC1902" s="81" t="s">
        <v>11014</v>
      </c>
      <c r="BD1902" s="81" t="s">
        <v>11674</v>
      </c>
      <c r="BE1902" s="77"/>
      <c r="BF1902" s="77"/>
      <c r="BG1902" s="77"/>
      <c r="BH1902" s="77"/>
      <c r="BI1902" s="77"/>
    </row>
    <row r="1903" spans="1:61" x14ac:dyDescent="0.25">
      <c r="A1903" s="62" t="s">
        <v>793</v>
      </c>
      <c r="B1903" s="62" t="s">
        <v>793</v>
      </c>
      <c r="C1903" s="63"/>
      <c r="D1903" s="64"/>
      <c r="E1903" s="65"/>
      <c r="F1903" s="66"/>
      <c r="G1903" s="63"/>
      <c r="H1903" s="67"/>
      <c r="I1903" s="68"/>
      <c r="J1903" s="68"/>
      <c r="K1903" s="32"/>
      <c r="L1903" s="75">
        <v>1903</v>
      </c>
      <c r="M1903" s="75"/>
      <c r="N1903" s="70"/>
      <c r="O1903" s="77" t="s">
        <v>179</v>
      </c>
      <c r="P1903" s="79">
        <v>44978.643807870372</v>
      </c>
      <c r="Q1903" s="77" t="s">
        <v>2685</v>
      </c>
      <c r="R1903" s="77">
        <v>0</v>
      </c>
      <c r="S1903" s="77">
        <v>0</v>
      </c>
      <c r="T1903" s="77">
        <v>0</v>
      </c>
      <c r="U1903" s="77">
        <v>0</v>
      </c>
      <c r="V1903" s="77">
        <v>28</v>
      </c>
      <c r="W1903" s="81" t="s">
        <v>3111</v>
      </c>
      <c r="X1903" s="83" t="str">
        <f>HYPERLINK("https://bit.ly/3aEOhVH")</f>
        <v>https://bit.ly/3aEOhVH</v>
      </c>
      <c r="Y1903" s="77" t="s">
        <v>4213</v>
      </c>
      <c r="Z1903" s="77"/>
      <c r="AA1903" s="77" t="s">
        <v>5635</v>
      </c>
      <c r="AB1903" s="77" t="s">
        <v>5794</v>
      </c>
      <c r="AC1903" s="81" t="s">
        <v>5823</v>
      </c>
      <c r="AD1903" s="77" t="s">
        <v>5850</v>
      </c>
      <c r="AE1903" s="83" t="str">
        <f>HYPERLINK("https://twitter.com/diegocandi/status/1628053702111113216")</f>
        <v>https://twitter.com/diegocandi/status/1628053702111113216</v>
      </c>
      <c r="AF1903" s="79">
        <v>44978.643807870372</v>
      </c>
      <c r="AG1903" s="85">
        <v>44978</v>
      </c>
      <c r="AH1903" s="81" t="s">
        <v>7524</v>
      </c>
      <c r="AI1903" s="77" t="b">
        <v>0</v>
      </c>
      <c r="AJ1903" s="77"/>
      <c r="AK1903" s="77"/>
      <c r="AL1903" s="77"/>
      <c r="AM1903" s="77"/>
      <c r="AN1903" s="77"/>
      <c r="AO1903" s="77"/>
      <c r="AP1903" s="77"/>
      <c r="AQ1903" s="77" t="s">
        <v>9133</v>
      </c>
      <c r="AR1903" s="77"/>
      <c r="AS1903" s="77"/>
      <c r="AT1903" s="77"/>
      <c r="AU1903" s="77"/>
      <c r="AV1903" s="83" t="str">
        <f>HYPERLINK("https://pbs.twimg.com/media/FpgCNu7XsAIfHl1.png")</f>
        <v>https://pbs.twimg.com/media/FpgCNu7XsAIfHl1.png</v>
      </c>
      <c r="AW1903" s="81" t="s">
        <v>11015</v>
      </c>
      <c r="AX1903" s="81" t="s">
        <v>11015</v>
      </c>
      <c r="AY1903" s="77"/>
      <c r="AZ1903" s="81" t="s">
        <v>11359</v>
      </c>
      <c r="BA1903" s="81" t="s">
        <v>11359</v>
      </c>
      <c r="BB1903" s="81" t="s">
        <v>11359</v>
      </c>
      <c r="BC1903" s="81" t="s">
        <v>11015</v>
      </c>
      <c r="BD1903" s="77">
        <v>305653088</v>
      </c>
      <c r="BE1903" s="77"/>
      <c r="BF1903" s="77"/>
      <c r="BG1903" s="77"/>
      <c r="BH1903" s="77"/>
      <c r="BI1903" s="77"/>
    </row>
    <row r="1904" spans="1:61" x14ac:dyDescent="0.25">
      <c r="A1904" s="62" t="s">
        <v>793</v>
      </c>
      <c r="B1904" s="62" t="s">
        <v>793</v>
      </c>
      <c r="C1904" s="63"/>
      <c r="D1904" s="64"/>
      <c r="E1904" s="65"/>
      <c r="F1904" s="66"/>
      <c r="G1904" s="63"/>
      <c r="H1904" s="67"/>
      <c r="I1904" s="68"/>
      <c r="J1904" s="68"/>
      <c r="K1904" s="32"/>
      <c r="L1904" s="75">
        <v>1904</v>
      </c>
      <c r="M1904" s="75"/>
      <c r="N1904" s="70"/>
      <c r="O1904" s="77" t="s">
        <v>179</v>
      </c>
      <c r="P1904" s="79">
        <v>44944.893796296295</v>
      </c>
      <c r="Q1904" s="77" t="s">
        <v>2686</v>
      </c>
      <c r="R1904" s="77">
        <v>0</v>
      </c>
      <c r="S1904" s="77">
        <v>0</v>
      </c>
      <c r="T1904" s="77">
        <v>0</v>
      </c>
      <c r="U1904" s="77">
        <v>0</v>
      </c>
      <c r="V1904" s="77">
        <v>34</v>
      </c>
      <c r="W1904" s="81" t="s">
        <v>3114</v>
      </c>
      <c r="X1904" s="83" t="str">
        <f>HYPERLINK("https://bit.ly/3avB0Pi")</f>
        <v>https://bit.ly/3avB0Pi</v>
      </c>
      <c r="Y1904" s="77" t="s">
        <v>4213</v>
      </c>
      <c r="Z1904" s="77"/>
      <c r="AA1904" s="77" t="s">
        <v>5636</v>
      </c>
      <c r="AB1904" s="77" t="s">
        <v>5794</v>
      </c>
      <c r="AC1904" s="81" t="s">
        <v>5823</v>
      </c>
      <c r="AD1904" s="77" t="s">
        <v>5850</v>
      </c>
      <c r="AE1904" s="83" t="str">
        <f>HYPERLINK("https://twitter.com/diegocandi/status/1615823111437287430")</f>
        <v>https://twitter.com/diegocandi/status/1615823111437287430</v>
      </c>
      <c r="AF1904" s="79">
        <v>44944.893796296295</v>
      </c>
      <c r="AG1904" s="85">
        <v>44944</v>
      </c>
      <c r="AH1904" s="81" t="s">
        <v>7525</v>
      </c>
      <c r="AI1904" s="77" t="b">
        <v>0</v>
      </c>
      <c r="AJ1904" s="77"/>
      <c r="AK1904" s="77"/>
      <c r="AL1904" s="77"/>
      <c r="AM1904" s="77"/>
      <c r="AN1904" s="77"/>
      <c r="AO1904" s="77"/>
      <c r="AP1904" s="77"/>
      <c r="AQ1904" s="77" t="s">
        <v>9134</v>
      </c>
      <c r="AR1904" s="77"/>
      <c r="AS1904" s="77"/>
      <c r="AT1904" s="77"/>
      <c r="AU1904" s="77"/>
      <c r="AV1904" s="83" t="str">
        <f>HYPERLINK("https://pbs.twimg.com/media/FmyOjr4WIAATU8R.png")</f>
        <v>https://pbs.twimg.com/media/FmyOjr4WIAATU8R.png</v>
      </c>
      <c r="AW1904" s="81" t="s">
        <v>11016</v>
      </c>
      <c r="AX1904" s="81" t="s">
        <v>11016</v>
      </c>
      <c r="AY1904" s="77"/>
      <c r="AZ1904" s="81" t="s">
        <v>11359</v>
      </c>
      <c r="BA1904" s="81" t="s">
        <v>11359</v>
      </c>
      <c r="BB1904" s="81" t="s">
        <v>11359</v>
      </c>
      <c r="BC1904" s="81" t="s">
        <v>11016</v>
      </c>
      <c r="BD1904" s="77">
        <v>305653088</v>
      </c>
      <c r="BE1904" s="77"/>
      <c r="BF1904" s="77"/>
      <c r="BG1904" s="77"/>
      <c r="BH1904" s="77"/>
      <c r="BI1904" s="77"/>
    </row>
    <row r="1905" spans="1:61" x14ac:dyDescent="0.25">
      <c r="A1905" s="62" t="s">
        <v>793</v>
      </c>
      <c r="B1905" s="62" t="s">
        <v>793</v>
      </c>
      <c r="C1905" s="63"/>
      <c r="D1905" s="64"/>
      <c r="E1905" s="65"/>
      <c r="F1905" s="66"/>
      <c r="G1905" s="63"/>
      <c r="H1905" s="67"/>
      <c r="I1905" s="68"/>
      <c r="J1905" s="68"/>
      <c r="K1905" s="32"/>
      <c r="L1905" s="75">
        <v>1905</v>
      </c>
      <c r="M1905" s="75"/>
      <c r="N1905" s="70"/>
      <c r="O1905" s="77" t="s">
        <v>179</v>
      </c>
      <c r="P1905" s="79">
        <v>44944.8903125</v>
      </c>
      <c r="Q1905" s="77" t="s">
        <v>2687</v>
      </c>
      <c r="R1905" s="77">
        <v>0</v>
      </c>
      <c r="S1905" s="77">
        <v>0</v>
      </c>
      <c r="T1905" s="77">
        <v>0</v>
      </c>
      <c r="U1905" s="77">
        <v>0</v>
      </c>
      <c r="V1905" s="77">
        <v>39</v>
      </c>
      <c r="W1905" s="81" t="s">
        <v>3111</v>
      </c>
      <c r="X1905" s="83" t="str">
        <f>HYPERLINK("https://bit.ly/3aEOhVH")</f>
        <v>https://bit.ly/3aEOhVH</v>
      </c>
      <c r="Y1905" s="77" t="s">
        <v>4213</v>
      </c>
      <c r="Z1905" s="77"/>
      <c r="AA1905" s="77" t="s">
        <v>5637</v>
      </c>
      <c r="AB1905" s="77" t="s">
        <v>5794</v>
      </c>
      <c r="AC1905" s="81" t="s">
        <v>5823</v>
      </c>
      <c r="AD1905" s="77" t="s">
        <v>5850</v>
      </c>
      <c r="AE1905" s="83" t="str">
        <f>HYPERLINK("https://twitter.com/diegocandi/status/1615821848486285319")</f>
        <v>https://twitter.com/diegocandi/status/1615821848486285319</v>
      </c>
      <c r="AF1905" s="79">
        <v>44944.8903125</v>
      </c>
      <c r="AG1905" s="85">
        <v>44944</v>
      </c>
      <c r="AH1905" s="81" t="s">
        <v>7526</v>
      </c>
      <c r="AI1905" s="77" t="b">
        <v>0</v>
      </c>
      <c r="AJ1905" s="77"/>
      <c r="AK1905" s="77"/>
      <c r="AL1905" s="77"/>
      <c r="AM1905" s="77"/>
      <c r="AN1905" s="77"/>
      <c r="AO1905" s="77"/>
      <c r="AP1905" s="77"/>
      <c r="AQ1905" s="77" t="s">
        <v>9135</v>
      </c>
      <c r="AR1905" s="77"/>
      <c r="AS1905" s="77"/>
      <c r="AT1905" s="77"/>
      <c r="AU1905" s="77"/>
      <c r="AV1905" s="83" t="str">
        <f>HYPERLINK("https://pbs.twimg.com/media/FmyNaLVWYAIj1_3.png")</f>
        <v>https://pbs.twimg.com/media/FmyNaLVWYAIj1_3.png</v>
      </c>
      <c r="AW1905" s="81" t="s">
        <v>11017</v>
      </c>
      <c r="AX1905" s="81" t="s">
        <v>11017</v>
      </c>
      <c r="AY1905" s="77"/>
      <c r="AZ1905" s="81" t="s">
        <v>11359</v>
      </c>
      <c r="BA1905" s="81" t="s">
        <v>11359</v>
      </c>
      <c r="BB1905" s="81" t="s">
        <v>11359</v>
      </c>
      <c r="BC1905" s="81" t="s">
        <v>11017</v>
      </c>
      <c r="BD1905" s="77">
        <v>305653088</v>
      </c>
      <c r="BE1905" s="77"/>
      <c r="BF1905" s="77"/>
      <c r="BG1905" s="77"/>
      <c r="BH1905" s="77"/>
      <c r="BI1905" s="77"/>
    </row>
    <row r="1906" spans="1:61" x14ac:dyDescent="0.25">
      <c r="A1906" s="62" t="s">
        <v>793</v>
      </c>
      <c r="B1906" s="62" t="s">
        <v>793</v>
      </c>
      <c r="C1906" s="63"/>
      <c r="D1906" s="64"/>
      <c r="E1906" s="65"/>
      <c r="F1906" s="66"/>
      <c r="G1906" s="63"/>
      <c r="H1906" s="67"/>
      <c r="I1906" s="68"/>
      <c r="J1906" s="68"/>
      <c r="K1906" s="32"/>
      <c r="L1906" s="75">
        <v>1906</v>
      </c>
      <c r="M1906" s="75"/>
      <c r="N1906" s="70"/>
      <c r="O1906" s="77" t="s">
        <v>179</v>
      </c>
      <c r="P1906" s="79">
        <v>44971.893807870372</v>
      </c>
      <c r="Q1906" s="77" t="s">
        <v>2688</v>
      </c>
      <c r="R1906" s="77">
        <v>0</v>
      </c>
      <c r="S1906" s="77">
        <v>0</v>
      </c>
      <c r="T1906" s="77">
        <v>0</v>
      </c>
      <c r="U1906" s="77">
        <v>0</v>
      </c>
      <c r="V1906" s="77">
        <v>41</v>
      </c>
      <c r="W1906" s="81" t="s">
        <v>3114</v>
      </c>
      <c r="X1906" s="83" t="str">
        <f>HYPERLINK("https://bit.ly/3avB0Pi")</f>
        <v>https://bit.ly/3avB0Pi</v>
      </c>
      <c r="Y1906" s="77" t="s">
        <v>4213</v>
      </c>
      <c r="Z1906" s="77"/>
      <c r="AA1906" s="77" t="s">
        <v>5638</v>
      </c>
      <c r="AB1906" s="77" t="s">
        <v>5794</v>
      </c>
      <c r="AC1906" s="81" t="s">
        <v>5823</v>
      </c>
      <c r="AD1906" s="77" t="s">
        <v>5850</v>
      </c>
      <c r="AE1906" s="83" t="str">
        <f>HYPERLINK("https://twitter.com/diegocandi/status/1625607587797278728")</f>
        <v>https://twitter.com/diegocandi/status/1625607587797278728</v>
      </c>
      <c r="AF1906" s="79">
        <v>44971.893807870372</v>
      </c>
      <c r="AG1906" s="85">
        <v>44971</v>
      </c>
      <c r="AH1906" s="81" t="s">
        <v>7527</v>
      </c>
      <c r="AI1906" s="77" t="b">
        <v>0</v>
      </c>
      <c r="AJ1906" s="77"/>
      <c r="AK1906" s="77"/>
      <c r="AL1906" s="77"/>
      <c r="AM1906" s="77"/>
      <c r="AN1906" s="77"/>
      <c r="AO1906" s="77"/>
      <c r="AP1906" s="77"/>
      <c r="AQ1906" s="77" t="s">
        <v>9136</v>
      </c>
      <c r="AR1906" s="77"/>
      <c r="AS1906" s="77"/>
      <c r="AT1906" s="77"/>
      <c r="AU1906" s="77"/>
      <c r="AV1906" s="83" t="str">
        <f>HYPERLINK("https://pbs.twimg.com/media/Fo9RfIQXwAQiObD.png")</f>
        <v>https://pbs.twimg.com/media/Fo9RfIQXwAQiObD.png</v>
      </c>
      <c r="AW1906" s="81" t="s">
        <v>11018</v>
      </c>
      <c r="AX1906" s="81" t="s">
        <v>11018</v>
      </c>
      <c r="AY1906" s="77"/>
      <c r="AZ1906" s="81" t="s">
        <v>11359</v>
      </c>
      <c r="BA1906" s="81" t="s">
        <v>11359</v>
      </c>
      <c r="BB1906" s="81" t="s">
        <v>11359</v>
      </c>
      <c r="BC1906" s="81" t="s">
        <v>11018</v>
      </c>
      <c r="BD1906" s="77">
        <v>305653088</v>
      </c>
      <c r="BE1906" s="77"/>
      <c r="BF1906" s="77"/>
      <c r="BG1906" s="77"/>
      <c r="BH1906" s="77"/>
      <c r="BI1906" s="77"/>
    </row>
    <row r="1907" spans="1:61" x14ac:dyDescent="0.25">
      <c r="A1907" s="62" t="s">
        <v>793</v>
      </c>
      <c r="B1907" s="62" t="s">
        <v>793</v>
      </c>
      <c r="C1907" s="63"/>
      <c r="D1907" s="64"/>
      <c r="E1907" s="65"/>
      <c r="F1907" s="66"/>
      <c r="G1907" s="63"/>
      <c r="H1907" s="67"/>
      <c r="I1907" s="68"/>
      <c r="J1907" s="68"/>
      <c r="K1907" s="32"/>
      <c r="L1907" s="75">
        <v>1907</v>
      </c>
      <c r="M1907" s="75"/>
      <c r="N1907" s="70"/>
      <c r="O1907" s="77" t="s">
        <v>179</v>
      </c>
      <c r="P1907" s="79">
        <v>44971.890335648146</v>
      </c>
      <c r="Q1907" s="77" t="s">
        <v>2689</v>
      </c>
      <c r="R1907" s="77">
        <v>0</v>
      </c>
      <c r="S1907" s="77">
        <v>0</v>
      </c>
      <c r="T1907" s="77">
        <v>0</v>
      </c>
      <c r="U1907" s="77">
        <v>0</v>
      </c>
      <c r="V1907" s="77">
        <v>39</v>
      </c>
      <c r="W1907" s="81" t="s">
        <v>3111</v>
      </c>
      <c r="X1907" s="83" t="str">
        <f>HYPERLINK("https://bit.ly/3aEOhVH")</f>
        <v>https://bit.ly/3aEOhVH</v>
      </c>
      <c r="Y1907" s="77" t="s">
        <v>4213</v>
      </c>
      <c r="Z1907" s="77"/>
      <c r="AA1907" s="77" t="s">
        <v>5639</v>
      </c>
      <c r="AB1907" s="77" t="s">
        <v>5794</v>
      </c>
      <c r="AC1907" s="81" t="s">
        <v>5823</v>
      </c>
      <c r="AD1907" s="77" t="s">
        <v>5850</v>
      </c>
      <c r="AE1907" s="83" t="str">
        <f>HYPERLINK("https://twitter.com/diegocandi/status/1625606327744491520")</f>
        <v>https://twitter.com/diegocandi/status/1625606327744491520</v>
      </c>
      <c r="AF1907" s="79">
        <v>44971.890335648146</v>
      </c>
      <c r="AG1907" s="85">
        <v>44971</v>
      </c>
      <c r="AH1907" s="81" t="s">
        <v>7528</v>
      </c>
      <c r="AI1907" s="77" t="b">
        <v>0</v>
      </c>
      <c r="AJ1907" s="77"/>
      <c r="AK1907" s="77"/>
      <c r="AL1907" s="77"/>
      <c r="AM1907" s="77"/>
      <c r="AN1907" s="77"/>
      <c r="AO1907" s="77"/>
      <c r="AP1907" s="77"/>
      <c r="AQ1907" s="77" t="s">
        <v>9137</v>
      </c>
      <c r="AR1907" s="77"/>
      <c r="AS1907" s="77"/>
      <c r="AT1907" s="77"/>
      <c r="AU1907" s="77"/>
      <c r="AV1907" s="83" t="str">
        <f>HYPERLINK("https://pbs.twimg.com/media/Fo9QV0uXoAEN3hG.png")</f>
        <v>https://pbs.twimg.com/media/Fo9QV0uXoAEN3hG.png</v>
      </c>
      <c r="AW1907" s="81" t="s">
        <v>11019</v>
      </c>
      <c r="AX1907" s="81" t="s">
        <v>11019</v>
      </c>
      <c r="AY1907" s="77"/>
      <c r="AZ1907" s="81" t="s">
        <v>11359</v>
      </c>
      <c r="BA1907" s="81" t="s">
        <v>11359</v>
      </c>
      <c r="BB1907" s="81" t="s">
        <v>11359</v>
      </c>
      <c r="BC1907" s="81" t="s">
        <v>11019</v>
      </c>
      <c r="BD1907" s="77">
        <v>305653088</v>
      </c>
      <c r="BE1907" s="77"/>
      <c r="BF1907" s="77"/>
      <c r="BG1907" s="77"/>
      <c r="BH1907" s="77"/>
      <c r="BI1907" s="77"/>
    </row>
    <row r="1908" spans="1:61" x14ac:dyDescent="0.25">
      <c r="A1908" s="62" t="s">
        <v>793</v>
      </c>
      <c r="B1908" s="62" t="s">
        <v>793</v>
      </c>
      <c r="C1908" s="63"/>
      <c r="D1908" s="64"/>
      <c r="E1908" s="65"/>
      <c r="F1908" s="66"/>
      <c r="G1908" s="63"/>
      <c r="H1908" s="67"/>
      <c r="I1908" s="68"/>
      <c r="J1908" s="68"/>
      <c r="K1908" s="32"/>
      <c r="L1908" s="75">
        <v>1908</v>
      </c>
      <c r="M1908" s="75"/>
      <c r="N1908" s="70"/>
      <c r="O1908" s="77" t="s">
        <v>179</v>
      </c>
      <c r="P1908" s="79">
        <v>45007.883391203701</v>
      </c>
      <c r="Q1908" s="77" t="s">
        <v>2690</v>
      </c>
      <c r="R1908" s="77">
        <v>0</v>
      </c>
      <c r="S1908" s="77">
        <v>0</v>
      </c>
      <c r="T1908" s="77">
        <v>0</v>
      </c>
      <c r="U1908" s="77">
        <v>0</v>
      </c>
      <c r="V1908" s="77">
        <v>21</v>
      </c>
      <c r="W1908" s="81" t="s">
        <v>3114</v>
      </c>
      <c r="X1908" s="83" t="str">
        <f>HYPERLINK("https://patriciamurphy.com.ar/ofertas/635/detail/")</f>
        <v>https://patriciamurphy.com.ar/ofertas/635/detail/</v>
      </c>
      <c r="Y1908" s="77" t="s">
        <v>4231</v>
      </c>
      <c r="Z1908" s="77"/>
      <c r="AA1908" s="77" t="s">
        <v>5640</v>
      </c>
      <c r="AB1908" s="77" t="s">
        <v>5794</v>
      </c>
      <c r="AC1908" s="81" t="s">
        <v>5823</v>
      </c>
      <c r="AD1908" s="77" t="s">
        <v>5850</v>
      </c>
      <c r="AE1908" s="83" t="str">
        <f>HYPERLINK("https://twitter.com/diegocandi/status/1638649776337207296")</f>
        <v>https://twitter.com/diegocandi/status/1638649776337207296</v>
      </c>
      <c r="AF1908" s="79">
        <v>45007.883391203701</v>
      </c>
      <c r="AG1908" s="85">
        <v>45007</v>
      </c>
      <c r="AH1908" s="81" t="s">
        <v>7529</v>
      </c>
      <c r="AI1908" s="77" t="b">
        <v>0</v>
      </c>
      <c r="AJ1908" s="77"/>
      <c r="AK1908" s="77"/>
      <c r="AL1908" s="77"/>
      <c r="AM1908" s="77"/>
      <c r="AN1908" s="77"/>
      <c r="AO1908" s="77"/>
      <c r="AP1908" s="77"/>
      <c r="AQ1908" s="77" t="s">
        <v>9138</v>
      </c>
      <c r="AR1908" s="77"/>
      <c r="AS1908" s="77"/>
      <c r="AT1908" s="77"/>
      <c r="AU1908" s="77"/>
      <c r="AV1908" s="83" t="str">
        <f>HYPERLINK("https://pbs.twimg.com/media/Fr2nSb5WIAABWuW.png")</f>
        <v>https://pbs.twimg.com/media/Fr2nSb5WIAABWuW.png</v>
      </c>
      <c r="AW1908" s="81" t="s">
        <v>11020</v>
      </c>
      <c r="AX1908" s="81" t="s">
        <v>11020</v>
      </c>
      <c r="AY1908" s="77"/>
      <c r="AZ1908" s="81" t="s">
        <v>11359</v>
      </c>
      <c r="BA1908" s="81" t="s">
        <v>11359</v>
      </c>
      <c r="BB1908" s="81" t="s">
        <v>11359</v>
      </c>
      <c r="BC1908" s="81" t="s">
        <v>11020</v>
      </c>
      <c r="BD1908" s="77">
        <v>305653088</v>
      </c>
      <c r="BE1908" s="77"/>
      <c r="BF1908" s="77"/>
      <c r="BG1908" s="77"/>
      <c r="BH1908" s="77"/>
      <c r="BI1908" s="77"/>
    </row>
    <row r="1909" spans="1:61" x14ac:dyDescent="0.25">
      <c r="A1909" s="62" t="s">
        <v>793</v>
      </c>
      <c r="B1909" s="62" t="s">
        <v>793</v>
      </c>
      <c r="C1909" s="63"/>
      <c r="D1909" s="64"/>
      <c r="E1909" s="65"/>
      <c r="F1909" s="66"/>
      <c r="G1909" s="63"/>
      <c r="H1909" s="67"/>
      <c r="I1909" s="68"/>
      <c r="J1909" s="68"/>
      <c r="K1909" s="32"/>
      <c r="L1909" s="75">
        <v>1909</v>
      </c>
      <c r="M1909" s="75"/>
      <c r="N1909" s="70"/>
      <c r="O1909" s="77" t="s">
        <v>179</v>
      </c>
      <c r="P1909" s="79">
        <v>45006.900752314818</v>
      </c>
      <c r="Q1909" s="77" t="s">
        <v>2691</v>
      </c>
      <c r="R1909" s="77">
        <v>0</v>
      </c>
      <c r="S1909" s="77">
        <v>0</v>
      </c>
      <c r="T1909" s="77">
        <v>0</v>
      </c>
      <c r="U1909" s="77">
        <v>0</v>
      </c>
      <c r="V1909" s="77">
        <v>41</v>
      </c>
      <c r="W1909" s="81" t="s">
        <v>3111</v>
      </c>
      <c r="X1909" s="83" t="str">
        <f>HYPERLINK("https://patriciamurphy.com.ar/ofertas/636/detail/")</f>
        <v>https://patriciamurphy.com.ar/ofertas/636/detail/</v>
      </c>
      <c r="Y1909" s="77" t="s">
        <v>4231</v>
      </c>
      <c r="Z1909" s="77"/>
      <c r="AA1909" s="77" t="s">
        <v>5641</v>
      </c>
      <c r="AB1909" s="77" t="s">
        <v>5794</v>
      </c>
      <c r="AC1909" s="81" t="s">
        <v>5823</v>
      </c>
      <c r="AD1909" s="77" t="s">
        <v>5850</v>
      </c>
      <c r="AE1909" s="83" t="str">
        <f>HYPERLINK("https://twitter.com/diegocandi/status/1638293677427638279")</f>
        <v>https://twitter.com/diegocandi/status/1638293677427638279</v>
      </c>
      <c r="AF1909" s="79">
        <v>45006.900752314818</v>
      </c>
      <c r="AG1909" s="85">
        <v>45006</v>
      </c>
      <c r="AH1909" s="81" t="s">
        <v>7530</v>
      </c>
      <c r="AI1909" s="77" t="b">
        <v>0</v>
      </c>
      <c r="AJ1909" s="77"/>
      <c r="AK1909" s="77"/>
      <c r="AL1909" s="77"/>
      <c r="AM1909" s="77"/>
      <c r="AN1909" s="77"/>
      <c r="AO1909" s="77"/>
      <c r="AP1909" s="77"/>
      <c r="AQ1909" s="77" t="s">
        <v>9139</v>
      </c>
      <c r="AR1909" s="77"/>
      <c r="AS1909" s="77"/>
      <c r="AT1909" s="77"/>
      <c r="AU1909" s="77"/>
      <c r="AV1909" s="83" t="str">
        <f>HYPERLINK("https://pbs.twimg.com/media/FrxjaxKWAAAlT-v.png")</f>
        <v>https://pbs.twimg.com/media/FrxjaxKWAAAlT-v.png</v>
      </c>
      <c r="AW1909" s="81" t="s">
        <v>11021</v>
      </c>
      <c r="AX1909" s="81" t="s">
        <v>11021</v>
      </c>
      <c r="AY1909" s="77"/>
      <c r="AZ1909" s="81" t="s">
        <v>11359</v>
      </c>
      <c r="BA1909" s="81" t="s">
        <v>11359</v>
      </c>
      <c r="BB1909" s="81" t="s">
        <v>11359</v>
      </c>
      <c r="BC1909" s="81" t="s">
        <v>11021</v>
      </c>
      <c r="BD1909" s="77">
        <v>305653088</v>
      </c>
      <c r="BE1909" s="77"/>
      <c r="BF1909" s="77"/>
      <c r="BG1909" s="77"/>
      <c r="BH1909" s="77"/>
      <c r="BI1909" s="77"/>
    </row>
    <row r="1910" spans="1:61" x14ac:dyDescent="0.25">
      <c r="A1910" s="62" t="s">
        <v>793</v>
      </c>
      <c r="B1910" s="62" t="s">
        <v>793</v>
      </c>
      <c r="C1910" s="63"/>
      <c r="D1910" s="64"/>
      <c r="E1910" s="65"/>
      <c r="F1910" s="66"/>
      <c r="G1910" s="63"/>
      <c r="H1910" s="67"/>
      <c r="I1910" s="68"/>
      <c r="J1910" s="68"/>
      <c r="K1910" s="32"/>
      <c r="L1910" s="75">
        <v>1910</v>
      </c>
      <c r="M1910" s="75"/>
      <c r="N1910" s="70"/>
      <c r="O1910" s="77" t="s">
        <v>179</v>
      </c>
      <c r="P1910" s="79">
        <v>44977.897268518522</v>
      </c>
      <c r="Q1910" s="77" t="s">
        <v>2692</v>
      </c>
      <c r="R1910" s="77">
        <v>0</v>
      </c>
      <c r="S1910" s="77">
        <v>0</v>
      </c>
      <c r="T1910" s="77">
        <v>0</v>
      </c>
      <c r="U1910" s="77">
        <v>0</v>
      </c>
      <c r="V1910" s="77">
        <v>32</v>
      </c>
      <c r="W1910" s="81" t="s">
        <v>3111</v>
      </c>
      <c r="X1910" s="83" t="str">
        <f>HYPERLINK("https://bit.ly/3aEOhVH")</f>
        <v>https://bit.ly/3aEOhVH</v>
      </c>
      <c r="Y1910" s="77" t="s">
        <v>4213</v>
      </c>
      <c r="Z1910" s="77"/>
      <c r="AA1910" s="77" t="s">
        <v>5642</v>
      </c>
      <c r="AB1910" s="77" t="s">
        <v>5794</v>
      </c>
      <c r="AC1910" s="81" t="s">
        <v>5823</v>
      </c>
      <c r="AD1910" s="77" t="s">
        <v>5850</v>
      </c>
      <c r="AE1910" s="83" t="str">
        <f>HYPERLINK("https://twitter.com/diegocandi/status/1627783166122418176")</f>
        <v>https://twitter.com/diegocandi/status/1627783166122418176</v>
      </c>
      <c r="AF1910" s="79">
        <v>44977.897268518522</v>
      </c>
      <c r="AG1910" s="85">
        <v>44977</v>
      </c>
      <c r="AH1910" s="81" t="s">
        <v>7531</v>
      </c>
      <c r="AI1910" s="77" t="b">
        <v>0</v>
      </c>
      <c r="AJ1910" s="77"/>
      <c r="AK1910" s="77"/>
      <c r="AL1910" s="77"/>
      <c r="AM1910" s="77"/>
      <c r="AN1910" s="77"/>
      <c r="AO1910" s="77"/>
      <c r="AP1910" s="77"/>
      <c r="AQ1910" s="77" t="s">
        <v>9140</v>
      </c>
      <c r="AR1910" s="77"/>
      <c r="AS1910" s="77"/>
      <c r="AT1910" s="77"/>
      <c r="AU1910" s="77"/>
      <c r="AV1910" s="83" t="str">
        <f>HYPERLINK("https://pbs.twimg.com/media/FpcMKfoXoAQ-PVj.png")</f>
        <v>https://pbs.twimg.com/media/FpcMKfoXoAQ-PVj.png</v>
      </c>
      <c r="AW1910" s="81" t="s">
        <v>11022</v>
      </c>
      <c r="AX1910" s="81" t="s">
        <v>11022</v>
      </c>
      <c r="AY1910" s="77"/>
      <c r="AZ1910" s="81" t="s">
        <v>11359</v>
      </c>
      <c r="BA1910" s="81" t="s">
        <v>11359</v>
      </c>
      <c r="BB1910" s="81" t="s">
        <v>11359</v>
      </c>
      <c r="BC1910" s="81" t="s">
        <v>11022</v>
      </c>
      <c r="BD1910" s="77">
        <v>305653088</v>
      </c>
      <c r="BE1910" s="77"/>
      <c r="BF1910" s="77"/>
      <c r="BG1910" s="77"/>
      <c r="BH1910" s="77"/>
      <c r="BI1910" s="77"/>
    </row>
    <row r="1911" spans="1:61" x14ac:dyDescent="0.25">
      <c r="A1911" s="62" t="s">
        <v>793</v>
      </c>
      <c r="B1911" s="62" t="s">
        <v>793</v>
      </c>
      <c r="C1911" s="63"/>
      <c r="D1911" s="64"/>
      <c r="E1911" s="65"/>
      <c r="F1911" s="66"/>
      <c r="G1911" s="63"/>
      <c r="H1911" s="67"/>
      <c r="I1911" s="68"/>
      <c r="J1911" s="68"/>
      <c r="K1911" s="32"/>
      <c r="L1911" s="75">
        <v>1911</v>
      </c>
      <c r="M1911" s="75"/>
      <c r="N1911" s="70"/>
      <c r="O1911" s="77" t="s">
        <v>179</v>
      </c>
      <c r="P1911" s="79">
        <v>44936.886863425927</v>
      </c>
      <c r="Q1911" s="77" t="s">
        <v>2693</v>
      </c>
      <c r="R1911" s="77">
        <v>0</v>
      </c>
      <c r="S1911" s="77">
        <v>0</v>
      </c>
      <c r="T1911" s="77">
        <v>0</v>
      </c>
      <c r="U1911" s="77">
        <v>0</v>
      </c>
      <c r="V1911" s="77">
        <v>30</v>
      </c>
      <c r="W1911" s="81" t="s">
        <v>3114</v>
      </c>
      <c r="X1911" s="83" t="str">
        <f>HYPERLINK("https://bit.ly/3avB0Pi")</f>
        <v>https://bit.ly/3avB0Pi</v>
      </c>
      <c r="Y1911" s="77" t="s">
        <v>4213</v>
      </c>
      <c r="Z1911" s="77"/>
      <c r="AA1911" s="77" t="s">
        <v>5643</v>
      </c>
      <c r="AB1911" s="77" t="s">
        <v>5794</v>
      </c>
      <c r="AC1911" s="81" t="s">
        <v>5823</v>
      </c>
      <c r="AD1911" s="77" t="s">
        <v>5850</v>
      </c>
      <c r="AE1911" s="83" t="str">
        <f>HYPERLINK("https://twitter.com/diegocandi/status/1612921494975266816")</f>
        <v>https://twitter.com/diegocandi/status/1612921494975266816</v>
      </c>
      <c r="AF1911" s="79">
        <v>44936.886863425927</v>
      </c>
      <c r="AG1911" s="85">
        <v>44936</v>
      </c>
      <c r="AH1911" s="81" t="s">
        <v>7532</v>
      </c>
      <c r="AI1911" s="77" t="b">
        <v>0</v>
      </c>
      <c r="AJ1911" s="77"/>
      <c r="AK1911" s="77"/>
      <c r="AL1911" s="77"/>
      <c r="AM1911" s="77"/>
      <c r="AN1911" s="77"/>
      <c r="AO1911" s="77"/>
      <c r="AP1911" s="77"/>
      <c r="AQ1911" s="77" t="s">
        <v>9141</v>
      </c>
      <c r="AR1911" s="77"/>
      <c r="AS1911" s="77"/>
      <c r="AT1911" s="77"/>
      <c r="AU1911" s="77"/>
      <c r="AV1911" s="83" t="str">
        <f>HYPERLINK("https://pbs.twimg.com/media/FmI_jVBX0CU8LjR.png")</f>
        <v>https://pbs.twimg.com/media/FmI_jVBX0CU8LjR.png</v>
      </c>
      <c r="AW1911" s="81" t="s">
        <v>11023</v>
      </c>
      <c r="AX1911" s="81" t="s">
        <v>11023</v>
      </c>
      <c r="AY1911" s="77"/>
      <c r="AZ1911" s="81" t="s">
        <v>11359</v>
      </c>
      <c r="BA1911" s="81" t="s">
        <v>11359</v>
      </c>
      <c r="BB1911" s="81" t="s">
        <v>11359</v>
      </c>
      <c r="BC1911" s="81" t="s">
        <v>11023</v>
      </c>
      <c r="BD1911" s="77">
        <v>305653088</v>
      </c>
      <c r="BE1911" s="77"/>
      <c r="BF1911" s="77"/>
      <c r="BG1911" s="77"/>
      <c r="BH1911" s="77"/>
      <c r="BI1911" s="77"/>
    </row>
    <row r="1912" spans="1:61" x14ac:dyDescent="0.25">
      <c r="A1912" s="62" t="s">
        <v>793</v>
      </c>
      <c r="B1912" s="62" t="s">
        <v>793</v>
      </c>
      <c r="C1912" s="63"/>
      <c r="D1912" s="64"/>
      <c r="E1912" s="65"/>
      <c r="F1912" s="66"/>
      <c r="G1912" s="63"/>
      <c r="H1912" s="67"/>
      <c r="I1912" s="68"/>
      <c r="J1912" s="68"/>
      <c r="K1912" s="32"/>
      <c r="L1912" s="75">
        <v>1912</v>
      </c>
      <c r="M1912" s="75"/>
      <c r="N1912" s="70"/>
      <c r="O1912" s="77" t="s">
        <v>179</v>
      </c>
      <c r="P1912" s="79">
        <v>44936.636863425927</v>
      </c>
      <c r="Q1912" s="77" t="s">
        <v>2694</v>
      </c>
      <c r="R1912" s="77">
        <v>0</v>
      </c>
      <c r="S1912" s="77">
        <v>0</v>
      </c>
      <c r="T1912" s="77">
        <v>0</v>
      </c>
      <c r="U1912" s="77">
        <v>0</v>
      </c>
      <c r="V1912" s="77">
        <v>34</v>
      </c>
      <c r="W1912" s="81" t="s">
        <v>3111</v>
      </c>
      <c r="X1912" s="83" t="str">
        <f>HYPERLINK("https://bit.ly/3aEOhVH")</f>
        <v>https://bit.ly/3aEOhVH</v>
      </c>
      <c r="Y1912" s="77" t="s">
        <v>4213</v>
      </c>
      <c r="Z1912" s="77"/>
      <c r="AA1912" s="77" t="s">
        <v>5644</v>
      </c>
      <c r="AB1912" s="77" t="s">
        <v>5794</v>
      </c>
      <c r="AC1912" s="81" t="s">
        <v>5823</v>
      </c>
      <c r="AD1912" s="77" t="s">
        <v>5850</v>
      </c>
      <c r="AE1912" s="83" t="str">
        <f>HYPERLINK("https://twitter.com/diegocandi/status/1612830896024961029")</f>
        <v>https://twitter.com/diegocandi/status/1612830896024961029</v>
      </c>
      <c r="AF1912" s="79">
        <v>44936.636863425927</v>
      </c>
      <c r="AG1912" s="85">
        <v>44936</v>
      </c>
      <c r="AH1912" s="81" t="s">
        <v>7533</v>
      </c>
      <c r="AI1912" s="77" t="b">
        <v>0</v>
      </c>
      <c r="AJ1912" s="77"/>
      <c r="AK1912" s="77"/>
      <c r="AL1912" s="77"/>
      <c r="AM1912" s="77"/>
      <c r="AN1912" s="77"/>
      <c r="AO1912" s="77"/>
      <c r="AP1912" s="77"/>
      <c r="AQ1912" s="77" t="s">
        <v>9142</v>
      </c>
      <c r="AR1912" s="77"/>
      <c r="AS1912" s="77"/>
      <c r="AT1912" s="77"/>
      <c r="AU1912" s="77"/>
      <c r="AV1912" s="83" t="str">
        <f>HYPERLINK("https://pbs.twimg.com/media/FmHtJxBWIAIvlG3.png")</f>
        <v>https://pbs.twimg.com/media/FmHtJxBWIAIvlG3.png</v>
      </c>
      <c r="AW1912" s="81" t="s">
        <v>11024</v>
      </c>
      <c r="AX1912" s="81" t="s">
        <v>11024</v>
      </c>
      <c r="AY1912" s="77"/>
      <c r="AZ1912" s="81" t="s">
        <v>11359</v>
      </c>
      <c r="BA1912" s="81" t="s">
        <v>11359</v>
      </c>
      <c r="BB1912" s="81" t="s">
        <v>11359</v>
      </c>
      <c r="BC1912" s="81" t="s">
        <v>11024</v>
      </c>
      <c r="BD1912" s="77">
        <v>305653088</v>
      </c>
      <c r="BE1912" s="77"/>
      <c r="BF1912" s="77"/>
      <c r="BG1912" s="77"/>
      <c r="BH1912" s="77"/>
      <c r="BI1912" s="77"/>
    </row>
    <row r="1913" spans="1:61" x14ac:dyDescent="0.25">
      <c r="A1913" s="62" t="s">
        <v>793</v>
      </c>
      <c r="B1913" s="62" t="s">
        <v>793</v>
      </c>
      <c r="C1913" s="63"/>
      <c r="D1913" s="64"/>
      <c r="E1913" s="65"/>
      <c r="F1913" s="66"/>
      <c r="G1913" s="63"/>
      <c r="H1913" s="67"/>
      <c r="I1913" s="68"/>
      <c r="J1913" s="68"/>
      <c r="K1913" s="32"/>
      <c r="L1913" s="75">
        <v>1913</v>
      </c>
      <c r="M1913" s="75"/>
      <c r="N1913" s="70"/>
      <c r="O1913" s="77" t="s">
        <v>179</v>
      </c>
      <c r="P1913" s="79">
        <v>45018.629918981482</v>
      </c>
      <c r="Q1913" s="77" t="s">
        <v>2695</v>
      </c>
      <c r="R1913" s="77">
        <v>0</v>
      </c>
      <c r="S1913" s="77">
        <v>0</v>
      </c>
      <c r="T1913" s="77">
        <v>0</v>
      </c>
      <c r="U1913" s="77">
        <v>0</v>
      </c>
      <c r="V1913" s="77">
        <v>28</v>
      </c>
      <c r="W1913" s="81" t="s">
        <v>3112</v>
      </c>
      <c r="X1913" s="83" t="str">
        <f>HYPERLINK("https://patriciamurphy.com.ar/ofertas/713/detail/")</f>
        <v>https://patriciamurphy.com.ar/ofertas/713/detail/</v>
      </c>
      <c r="Y1913" s="77" t="s">
        <v>4231</v>
      </c>
      <c r="Z1913" s="77"/>
      <c r="AA1913" s="77" t="s">
        <v>5645</v>
      </c>
      <c r="AB1913" s="77" t="s">
        <v>5794</v>
      </c>
      <c r="AC1913" s="81" t="s">
        <v>5823</v>
      </c>
      <c r="AD1913" s="77" t="s">
        <v>5850</v>
      </c>
      <c r="AE1913" s="83" t="str">
        <f>HYPERLINK("https://twitter.com/diegocandi/status/1642544187403902976")</f>
        <v>https://twitter.com/diegocandi/status/1642544187403902976</v>
      </c>
      <c r="AF1913" s="79">
        <v>45018.629918981482</v>
      </c>
      <c r="AG1913" s="85">
        <v>45018</v>
      </c>
      <c r="AH1913" s="81" t="s">
        <v>7534</v>
      </c>
      <c r="AI1913" s="77" t="b">
        <v>0</v>
      </c>
      <c r="AJ1913" s="77"/>
      <c r="AK1913" s="77"/>
      <c r="AL1913" s="77"/>
      <c r="AM1913" s="77"/>
      <c r="AN1913" s="77"/>
      <c r="AO1913" s="77"/>
      <c r="AP1913" s="77"/>
      <c r="AQ1913" s="77" t="s">
        <v>9143</v>
      </c>
      <c r="AR1913" s="77"/>
      <c r="AS1913" s="77"/>
      <c r="AT1913" s="77"/>
      <c r="AU1913" s="77"/>
      <c r="AV1913" s="83" t="str">
        <f>HYPERLINK("https://pbs.twimg.com/media/Fst9OkNWAAEauun.jpg")</f>
        <v>https://pbs.twimg.com/media/Fst9OkNWAAEauun.jpg</v>
      </c>
      <c r="AW1913" s="81" t="s">
        <v>11025</v>
      </c>
      <c r="AX1913" s="81" t="s">
        <v>11025</v>
      </c>
      <c r="AY1913" s="77"/>
      <c r="AZ1913" s="81" t="s">
        <v>11359</v>
      </c>
      <c r="BA1913" s="81" t="s">
        <v>11359</v>
      </c>
      <c r="BB1913" s="81" t="s">
        <v>11359</v>
      </c>
      <c r="BC1913" s="81" t="s">
        <v>11025</v>
      </c>
      <c r="BD1913" s="77">
        <v>305653088</v>
      </c>
      <c r="BE1913" s="77"/>
      <c r="BF1913" s="77"/>
      <c r="BG1913" s="77"/>
      <c r="BH1913" s="77"/>
      <c r="BI1913" s="77"/>
    </row>
    <row r="1914" spans="1:61" x14ac:dyDescent="0.25">
      <c r="A1914" s="62" t="s">
        <v>793</v>
      </c>
      <c r="B1914" s="62" t="s">
        <v>793</v>
      </c>
      <c r="C1914" s="63"/>
      <c r="D1914" s="64"/>
      <c r="E1914" s="65"/>
      <c r="F1914" s="66"/>
      <c r="G1914" s="63"/>
      <c r="H1914" s="67"/>
      <c r="I1914" s="68"/>
      <c r="J1914" s="68"/>
      <c r="K1914" s="32"/>
      <c r="L1914" s="75">
        <v>1914</v>
      </c>
      <c r="M1914" s="75"/>
      <c r="N1914" s="70"/>
      <c r="O1914" s="77" t="s">
        <v>179</v>
      </c>
      <c r="P1914" s="79">
        <v>45017.643807870372</v>
      </c>
      <c r="Q1914" s="77" t="s">
        <v>2696</v>
      </c>
      <c r="R1914" s="77">
        <v>0</v>
      </c>
      <c r="S1914" s="77">
        <v>0</v>
      </c>
      <c r="T1914" s="77">
        <v>0</v>
      </c>
      <c r="U1914" s="77">
        <v>0</v>
      </c>
      <c r="V1914" s="77">
        <v>9</v>
      </c>
      <c r="W1914" s="81" t="s">
        <v>3114</v>
      </c>
      <c r="X1914" s="83" t="str">
        <f>HYPERLINK("https://patriciamurphy.com.ar/ofertas/635/detail/")</f>
        <v>https://patriciamurphy.com.ar/ofertas/635/detail/</v>
      </c>
      <c r="Y1914" s="77" t="s">
        <v>4231</v>
      </c>
      <c r="Z1914" s="77"/>
      <c r="AA1914" s="77" t="s">
        <v>5646</v>
      </c>
      <c r="AB1914" s="77" t="s">
        <v>5794</v>
      </c>
      <c r="AC1914" s="81" t="s">
        <v>5823</v>
      </c>
      <c r="AD1914" s="77" t="s">
        <v>5850</v>
      </c>
      <c r="AE1914" s="83" t="str">
        <f>HYPERLINK("https://twitter.com/diegocandi/status/1642186829720870912")</f>
        <v>https://twitter.com/diegocandi/status/1642186829720870912</v>
      </c>
      <c r="AF1914" s="79">
        <v>45017.643807870372</v>
      </c>
      <c r="AG1914" s="85">
        <v>45017</v>
      </c>
      <c r="AH1914" s="81" t="s">
        <v>7524</v>
      </c>
      <c r="AI1914" s="77" t="b">
        <v>0</v>
      </c>
      <c r="AJ1914" s="77"/>
      <c r="AK1914" s="77"/>
      <c r="AL1914" s="77"/>
      <c r="AM1914" s="77"/>
      <c r="AN1914" s="77"/>
      <c r="AO1914" s="77"/>
      <c r="AP1914" s="77"/>
      <c r="AQ1914" s="77" t="s">
        <v>9144</v>
      </c>
      <c r="AR1914" s="77"/>
      <c r="AS1914" s="77"/>
      <c r="AT1914" s="77"/>
      <c r="AU1914" s="77"/>
      <c r="AV1914" s="83" t="str">
        <f>HYPERLINK("https://pbs.twimg.com/media/Fso4OD_XoAcsL7h.png")</f>
        <v>https://pbs.twimg.com/media/Fso4OD_XoAcsL7h.png</v>
      </c>
      <c r="AW1914" s="81" t="s">
        <v>11026</v>
      </c>
      <c r="AX1914" s="81" t="s">
        <v>11026</v>
      </c>
      <c r="AY1914" s="77"/>
      <c r="AZ1914" s="81" t="s">
        <v>11359</v>
      </c>
      <c r="BA1914" s="81" t="s">
        <v>11359</v>
      </c>
      <c r="BB1914" s="81" t="s">
        <v>11359</v>
      </c>
      <c r="BC1914" s="81" t="s">
        <v>11026</v>
      </c>
      <c r="BD1914" s="77">
        <v>305653088</v>
      </c>
      <c r="BE1914" s="77"/>
      <c r="BF1914" s="77"/>
      <c r="BG1914" s="77"/>
      <c r="BH1914" s="77"/>
      <c r="BI1914" s="77"/>
    </row>
    <row r="1915" spans="1:61" x14ac:dyDescent="0.25">
      <c r="A1915" s="62" t="s">
        <v>793</v>
      </c>
      <c r="B1915" s="62" t="s">
        <v>793</v>
      </c>
      <c r="C1915" s="63"/>
      <c r="D1915" s="64"/>
      <c r="E1915" s="65"/>
      <c r="F1915" s="66"/>
      <c r="G1915" s="63"/>
      <c r="H1915" s="67"/>
      <c r="I1915" s="68"/>
      <c r="J1915" s="68"/>
      <c r="K1915" s="32"/>
      <c r="L1915" s="75">
        <v>1915</v>
      </c>
      <c r="M1915" s="75"/>
      <c r="N1915" s="70"/>
      <c r="O1915" s="77" t="s">
        <v>179</v>
      </c>
      <c r="P1915" s="79">
        <v>45017.640324074076</v>
      </c>
      <c r="Q1915" s="77" t="s">
        <v>2697</v>
      </c>
      <c r="R1915" s="77">
        <v>0</v>
      </c>
      <c r="S1915" s="77">
        <v>0</v>
      </c>
      <c r="T1915" s="77">
        <v>0</v>
      </c>
      <c r="U1915" s="77">
        <v>0</v>
      </c>
      <c r="V1915" s="77">
        <v>9</v>
      </c>
      <c r="W1915" s="81" t="s">
        <v>3111</v>
      </c>
      <c r="X1915" s="83" t="str">
        <f>HYPERLINK("https://patriciamurphy.com.ar/ofertas/636/detail/")</f>
        <v>https://patriciamurphy.com.ar/ofertas/636/detail/</v>
      </c>
      <c r="Y1915" s="77" t="s">
        <v>4231</v>
      </c>
      <c r="Z1915" s="77"/>
      <c r="AA1915" s="77" t="s">
        <v>5647</v>
      </c>
      <c r="AB1915" s="77" t="s">
        <v>5794</v>
      </c>
      <c r="AC1915" s="81" t="s">
        <v>5823</v>
      </c>
      <c r="AD1915" s="77" t="s">
        <v>5850</v>
      </c>
      <c r="AE1915" s="83" t="str">
        <f>HYPERLINK("https://twitter.com/diegocandi/status/1642185570481852419")</f>
        <v>https://twitter.com/diegocandi/status/1642185570481852419</v>
      </c>
      <c r="AF1915" s="79">
        <v>45017.640324074076</v>
      </c>
      <c r="AG1915" s="85">
        <v>45017</v>
      </c>
      <c r="AH1915" s="81" t="s">
        <v>7535</v>
      </c>
      <c r="AI1915" s="77" t="b">
        <v>0</v>
      </c>
      <c r="AJ1915" s="77"/>
      <c r="AK1915" s="77"/>
      <c r="AL1915" s="77"/>
      <c r="AM1915" s="77"/>
      <c r="AN1915" s="77"/>
      <c r="AO1915" s="77"/>
      <c r="AP1915" s="77"/>
      <c r="AQ1915" s="77" t="s">
        <v>9145</v>
      </c>
      <c r="AR1915" s="77"/>
      <c r="AS1915" s="77"/>
      <c r="AT1915" s="77"/>
      <c r="AU1915" s="77"/>
      <c r="AV1915" s="83" t="str">
        <f>HYPERLINK("https://pbs.twimg.com/media/Fso3EuCWcAgb7if.png")</f>
        <v>https://pbs.twimg.com/media/Fso3EuCWcAgb7if.png</v>
      </c>
      <c r="AW1915" s="81" t="s">
        <v>11027</v>
      </c>
      <c r="AX1915" s="81" t="s">
        <v>11027</v>
      </c>
      <c r="AY1915" s="77"/>
      <c r="AZ1915" s="81" t="s">
        <v>11359</v>
      </c>
      <c r="BA1915" s="81" t="s">
        <v>11359</v>
      </c>
      <c r="BB1915" s="81" t="s">
        <v>11359</v>
      </c>
      <c r="BC1915" s="81" t="s">
        <v>11027</v>
      </c>
      <c r="BD1915" s="77">
        <v>305653088</v>
      </c>
      <c r="BE1915" s="77"/>
      <c r="BF1915" s="77"/>
      <c r="BG1915" s="77"/>
      <c r="BH1915" s="77"/>
      <c r="BI1915" s="77"/>
    </row>
    <row r="1916" spans="1:61" x14ac:dyDescent="0.25">
      <c r="A1916" s="62" t="s">
        <v>793</v>
      </c>
      <c r="B1916" s="62" t="s">
        <v>793</v>
      </c>
      <c r="C1916" s="63"/>
      <c r="D1916" s="64"/>
      <c r="E1916" s="65"/>
      <c r="F1916" s="66"/>
      <c r="G1916" s="63"/>
      <c r="H1916" s="67"/>
      <c r="I1916" s="68"/>
      <c r="J1916" s="68"/>
      <c r="K1916" s="32"/>
      <c r="L1916" s="75">
        <v>1916</v>
      </c>
      <c r="M1916" s="75"/>
      <c r="N1916" s="70"/>
      <c r="O1916" s="77" t="s">
        <v>179</v>
      </c>
      <c r="P1916" s="79">
        <v>45017.636886574073</v>
      </c>
      <c r="Q1916" s="77" t="s">
        <v>2698</v>
      </c>
      <c r="R1916" s="77">
        <v>1</v>
      </c>
      <c r="S1916" s="77">
        <v>1</v>
      </c>
      <c r="T1916" s="77">
        <v>0</v>
      </c>
      <c r="U1916" s="77">
        <v>0</v>
      </c>
      <c r="V1916" s="77">
        <v>59</v>
      </c>
      <c r="W1916" s="81" t="s">
        <v>3113</v>
      </c>
      <c r="X1916" s="83" t="str">
        <f>HYPERLINK("https://lnkd.in/dqn8XbC7")</f>
        <v>https://lnkd.in/dqn8XbC7</v>
      </c>
      <c r="Y1916" s="77" t="s">
        <v>4221</v>
      </c>
      <c r="Z1916" s="77"/>
      <c r="AA1916" s="77" t="s">
        <v>5648</v>
      </c>
      <c r="AB1916" s="77" t="s">
        <v>5794</v>
      </c>
      <c r="AC1916" s="81" t="s">
        <v>5823</v>
      </c>
      <c r="AD1916" s="77" t="s">
        <v>5850</v>
      </c>
      <c r="AE1916" s="83" t="str">
        <f>HYPERLINK("https://twitter.com/diegocandi/status/1642184321879375873")</f>
        <v>https://twitter.com/diegocandi/status/1642184321879375873</v>
      </c>
      <c r="AF1916" s="79">
        <v>45017.636886574073</v>
      </c>
      <c r="AG1916" s="85">
        <v>45017</v>
      </c>
      <c r="AH1916" s="81" t="s">
        <v>7536</v>
      </c>
      <c r="AI1916" s="77" t="b">
        <v>0</v>
      </c>
      <c r="AJ1916" s="77"/>
      <c r="AK1916" s="77"/>
      <c r="AL1916" s="77"/>
      <c r="AM1916" s="77"/>
      <c r="AN1916" s="77"/>
      <c r="AO1916" s="77"/>
      <c r="AP1916" s="77"/>
      <c r="AQ1916" s="77" t="s">
        <v>9146</v>
      </c>
      <c r="AR1916" s="77"/>
      <c r="AS1916" s="77"/>
      <c r="AT1916" s="77"/>
      <c r="AU1916" s="77"/>
      <c r="AV1916" s="83" t="str">
        <f>HYPERLINK("https://pbs.twimg.com/media/Fso17wLXsAIDu30.jpg")</f>
        <v>https://pbs.twimg.com/media/Fso17wLXsAIDu30.jpg</v>
      </c>
      <c r="AW1916" s="81" t="s">
        <v>11028</v>
      </c>
      <c r="AX1916" s="81" t="s">
        <v>11028</v>
      </c>
      <c r="AY1916" s="77"/>
      <c r="AZ1916" s="81" t="s">
        <v>11359</v>
      </c>
      <c r="BA1916" s="81" t="s">
        <v>11359</v>
      </c>
      <c r="BB1916" s="81" t="s">
        <v>11359</v>
      </c>
      <c r="BC1916" s="81" t="s">
        <v>11028</v>
      </c>
      <c r="BD1916" s="77">
        <v>305653088</v>
      </c>
      <c r="BE1916" s="77"/>
      <c r="BF1916" s="77"/>
      <c r="BG1916" s="77"/>
      <c r="BH1916" s="77"/>
      <c r="BI1916" s="77"/>
    </row>
    <row r="1917" spans="1:61" x14ac:dyDescent="0.25">
      <c r="A1917" s="62" t="s">
        <v>793</v>
      </c>
      <c r="B1917" s="62" t="s">
        <v>793</v>
      </c>
      <c r="C1917" s="63"/>
      <c r="D1917" s="64"/>
      <c r="E1917" s="65"/>
      <c r="F1917" s="66"/>
      <c r="G1917" s="63"/>
      <c r="H1917" s="67"/>
      <c r="I1917" s="68"/>
      <c r="J1917" s="68"/>
      <c r="K1917" s="32"/>
      <c r="L1917" s="75">
        <v>1917</v>
      </c>
      <c r="M1917" s="75"/>
      <c r="N1917" s="70"/>
      <c r="O1917" s="77" t="s">
        <v>179</v>
      </c>
      <c r="P1917" s="79">
        <v>45016.886840277781</v>
      </c>
      <c r="Q1917" s="77" t="s">
        <v>2699</v>
      </c>
      <c r="R1917" s="77">
        <v>0</v>
      </c>
      <c r="S1917" s="77">
        <v>0</v>
      </c>
      <c r="T1917" s="77">
        <v>0</v>
      </c>
      <c r="U1917" s="77">
        <v>0</v>
      </c>
      <c r="V1917" s="77">
        <v>11</v>
      </c>
      <c r="W1917" s="81" t="s">
        <v>3111</v>
      </c>
      <c r="X1917" s="83" t="str">
        <f>HYPERLINK("https://patriciamurphy.com.ar/ofertas/636/detail/")</f>
        <v>https://patriciamurphy.com.ar/ofertas/636/detail/</v>
      </c>
      <c r="Y1917" s="77" t="s">
        <v>4231</v>
      </c>
      <c r="Z1917" s="77"/>
      <c r="AA1917" s="77" t="s">
        <v>5649</v>
      </c>
      <c r="AB1917" s="77" t="s">
        <v>5794</v>
      </c>
      <c r="AC1917" s="81" t="s">
        <v>5823</v>
      </c>
      <c r="AD1917" s="77" t="s">
        <v>5850</v>
      </c>
      <c r="AE1917" s="83" t="str">
        <f>HYPERLINK("https://twitter.com/diegocandi/status/1641912516799283204")</f>
        <v>https://twitter.com/diegocandi/status/1641912516799283204</v>
      </c>
      <c r="AF1917" s="79">
        <v>45016.886840277781</v>
      </c>
      <c r="AG1917" s="85">
        <v>45016</v>
      </c>
      <c r="AH1917" s="81" t="s">
        <v>7537</v>
      </c>
      <c r="AI1917" s="77" t="b">
        <v>0</v>
      </c>
      <c r="AJ1917" s="77"/>
      <c r="AK1917" s="77"/>
      <c r="AL1917" s="77"/>
      <c r="AM1917" s="77"/>
      <c r="AN1917" s="77"/>
      <c r="AO1917" s="77"/>
      <c r="AP1917" s="77"/>
      <c r="AQ1917" s="77" t="s">
        <v>9147</v>
      </c>
      <c r="AR1917" s="77"/>
      <c r="AS1917" s="77"/>
      <c r="AT1917" s="77"/>
      <c r="AU1917" s="77"/>
      <c r="AV1917" s="83" t="str">
        <f>HYPERLINK("https://pbs.twimg.com/media/Fsk-u6QWAAM-Kf4.png")</f>
        <v>https://pbs.twimg.com/media/Fsk-u6QWAAM-Kf4.png</v>
      </c>
      <c r="AW1917" s="81" t="s">
        <v>11029</v>
      </c>
      <c r="AX1917" s="81" t="s">
        <v>11029</v>
      </c>
      <c r="AY1917" s="77"/>
      <c r="AZ1917" s="81" t="s">
        <v>11359</v>
      </c>
      <c r="BA1917" s="81" t="s">
        <v>11359</v>
      </c>
      <c r="BB1917" s="81" t="s">
        <v>11359</v>
      </c>
      <c r="BC1917" s="81" t="s">
        <v>11029</v>
      </c>
      <c r="BD1917" s="77">
        <v>305653088</v>
      </c>
      <c r="BE1917" s="77"/>
      <c r="BF1917" s="77"/>
      <c r="BG1917" s="77"/>
      <c r="BH1917" s="77"/>
      <c r="BI1917" s="77"/>
    </row>
    <row r="1918" spans="1:61" x14ac:dyDescent="0.25">
      <c r="A1918" s="62" t="s">
        <v>793</v>
      </c>
      <c r="B1918" s="62" t="s">
        <v>793</v>
      </c>
      <c r="C1918" s="63"/>
      <c r="D1918" s="64"/>
      <c r="E1918" s="65"/>
      <c r="F1918" s="66"/>
      <c r="G1918" s="63"/>
      <c r="H1918" s="67"/>
      <c r="I1918" s="68"/>
      <c r="J1918" s="68"/>
      <c r="K1918" s="32"/>
      <c r="L1918" s="75">
        <v>1918</v>
      </c>
      <c r="M1918" s="75"/>
      <c r="N1918" s="70"/>
      <c r="O1918" s="77" t="s">
        <v>179</v>
      </c>
      <c r="P1918" s="79">
        <v>45015.904224537036</v>
      </c>
      <c r="Q1918" s="77" t="s">
        <v>2700</v>
      </c>
      <c r="R1918" s="77">
        <v>0</v>
      </c>
      <c r="S1918" s="77">
        <v>0</v>
      </c>
      <c r="T1918" s="77">
        <v>0</v>
      </c>
      <c r="U1918" s="77">
        <v>0</v>
      </c>
      <c r="V1918" s="77">
        <v>62</v>
      </c>
      <c r="W1918" s="81" t="s">
        <v>3113</v>
      </c>
      <c r="X1918" s="83" t="str">
        <f>HYPERLINK("https://patriciamurphy.com.ar/ofertas/706/detail/")</f>
        <v>https://patriciamurphy.com.ar/ofertas/706/detail/</v>
      </c>
      <c r="Y1918" s="77" t="s">
        <v>4231</v>
      </c>
      <c r="Z1918" s="77"/>
      <c r="AA1918" s="77" t="s">
        <v>5650</v>
      </c>
      <c r="AB1918" s="77" t="s">
        <v>5794</v>
      </c>
      <c r="AC1918" s="81" t="s">
        <v>5823</v>
      </c>
      <c r="AD1918" s="77" t="s">
        <v>5850</v>
      </c>
      <c r="AE1918" s="83" t="str">
        <f>HYPERLINK("https://twitter.com/diegocandi/status/1641556425087254531")</f>
        <v>https://twitter.com/diegocandi/status/1641556425087254531</v>
      </c>
      <c r="AF1918" s="79">
        <v>45015.904224537036</v>
      </c>
      <c r="AG1918" s="85">
        <v>45015</v>
      </c>
      <c r="AH1918" s="81" t="s">
        <v>7538</v>
      </c>
      <c r="AI1918" s="77" t="b">
        <v>0</v>
      </c>
      <c r="AJ1918" s="77"/>
      <c r="AK1918" s="77"/>
      <c r="AL1918" s="77"/>
      <c r="AM1918" s="77"/>
      <c r="AN1918" s="77"/>
      <c r="AO1918" s="77"/>
      <c r="AP1918" s="77"/>
      <c r="AQ1918" s="77" t="s">
        <v>9148</v>
      </c>
      <c r="AR1918" s="77"/>
      <c r="AS1918" s="77"/>
      <c r="AT1918" s="77"/>
      <c r="AU1918" s="77"/>
      <c r="AV1918" s="83" t="str">
        <f>HYPERLINK("https://pbs.twimg.com/media/Fsf63kGWcAAUm2e.jpg")</f>
        <v>https://pbs.twimg.com/media/Fsf63kGWcAAUm2e.jpg</v>
      </c>
      <c r="AW1918" s="81" t="s">
        <v>11030</v>
      </c>
      <c r="AX1918" s="81" t="s">
        <v>11030</v>
      </c>
      <c r="AY1918" s="77"/>
      <c r="AZ1918" s="81" t="s">
        <v>11359</v>
      </c>
      <c r="BA1918" s="81" t="s">
        <v>11359</v>
      </c>
      <c r="BB1918" s="81" t="s">
        <v>11359</v>
      </c>
      <c r="BC1918" s="81" t="s">
        <v>11030</v>
      </c>
      <c r="BD1918" s="77">
        <v>305653088</v>
      </c>
      <c r="BE1918" s="77"/>
      <c r="BF1918" s="77"/>
      <c r="BG1918" s="77"/>
      <c r="BH1918" s="77"/>
      <c r="BI1918" s="77"/>
    </row>
    <row r="1919" spans="1:61" x14ac:dyDescent="0.25">
      <c r="A1919" s="62" t="s">
        <v>793</v>
      </c>
      <c r="B1919" s="62" t="s">
        <v>793</v>
      </c>
      <c r="C1919" s="63"/>
      <c r="D1919" s="64"/>
      <c r="E1919" s="65"/>
      <c r="F1919" s="66"/>
      <c r="G1919" s="63"/>
      <c r="H1919" s="67"/>
      <c r="I1919" s="68"/>
      <c r="J1919" s="68"/>
      <c r="K1919" s="32"/>
      <c r="L1919" s="75">
        <v>1919</v>
      </c>
      <c r="M1919" s="75"/>
      <c r="N1919" s="70"/>
      <c r="O1919" s="77" t="s">
        <v>179</v>
      </c>
      <c r="P1919" s="79">
        <v>44952.636863425927</v>
      </c>
      <c r="Q1919" s="77" t="s">
        <v>2701</v>
      </c>
      <c r="R1919" s="77">
        <v>0</v>
      </c>
      <c r="S1919" s="77">
        <v>0</v>
      </c>
      <c r="T1919" s="77">
        <v>0</v>
      </c>
      <c r="U1919" s="77">
        <v>0</v>
      </c>
      <c r="V1919" s="77">
        <v>19</v>
      </c>
      <c r="W1919" s="81" t="s">
        <v>3114</v>
      </c>
      <c r="X1919" s="83" t="str">
        <f>HYPERLINK("https://bit.ly/3avB0Pi")</f>
        <v>https://bit.ly/3avB0Pi</v>
      </c>
      <c r="Y1919" s="77" t="s">
        <v>4213</v>
      </c>
      <c r="Z1919" s="77"/>
      <c r="AA1919" s="77" t="s">
        <v>5651</v>
      </c>
      <c r="AB1919" s="77" t="s">
        <v>5794</v>
      </c>
      <c r="AC1919" s="81" t="s">
        <v>5823</v>
      </c>
      <c r="AD1919" s="77" t="s">
        <v>5850</v>
      </c>
      <c r="AE1919" s="83" t="str">
        <f>HYPERLINK("https://twitter.com/diegocandi/status/1618629102562312192")</f>
        <v>https://twitter.com/diegocandi/status/1618629102562312192</v>
      </c>
      <c r="AF1919" s="79">
        <v>44952.636863425927</v>
      </c>
      <c r="AG1919" s="85">
        <v>44952</v>
      </c>
      <c r="AH1919" s="81" t="s">
        <v>7533</v>
      </c>
      <c r="AI1919" s="77" t="b">
        <v>0</v>
      </c>
      <c r="AJ1919" s="77"/>
      <c r="AK1919" s="77"/>
      <c r="AL1919" s="77"/>
      <c r="AM1919" s="77"/>
      <c r="AN1919" s="77"/>
      <c r="AO1919" s="77"/>
      <c r="AP1919" s="77"/>
      <c r="AQ1919" s="77" t="s">
        <v>9149</v>
      </c>
      <c r="AR1919" s="77"/>
      <c r="AS1919" s="77"/>
      <c r="AT1919" s="77"/>
      <c r="AU1919" s="77"/>
      <c r="AV1919" s="83" t="str">
        <f>HYPERLINK("https://pbs.twimg.com/media/FnaGl13XwAIATG6.png")</f>
        <v>https://pbs.twimg.com/media/FnaGl13XwAIATG6.png</v>
      </c>
      <c r="AW1919" s="81" t="s">
        <v>11031</v>
      </c>
      <c r="AX1919" s="81" t="s">
        <v>11031</v>
      </c>
      <c r="AY1919" s="77"/>
      <c r="AZ1919" s="81" t="s">
        <v>11359</v>
      </c>
      <c r="BA1919" s="81" t="s">
        <v>11359</v>
      </c>
      <c r="BB1919" s="81" t="s">
        <v>11359</v>
      </c>
      <c r="BC1919" s="81" t="s">
        <v>11031</v>
      </c>
      <c r="BD1919" s="77">
        <v>305653088</v>
      </c>
      <c r="BE1919" s="77"/>
      <c r="BF1919" s="77"/>
      <c r="BG1919" s="77"/>
      <c r="BH1919" s="77"/>
      <c r="BI1919" s="77"/>
    </row>
    <row r="1920" spans="1:61" x14ac:dyDescent="0.25">
      <c r="A1920" s="62" t="s">
        <v>793</v>
      </c>
      <c r="B1920" s="62" t="s">
        <v>793</v>
      </c>
      <c r="C1920" s="63"/>
      <c r="D1920" s="64"/>
      <c r="E1920" s="65"/>
      <c r="F1920" s="66"/>
      <c r="G1920" s="63"/>
      <c r="H1920" s="67"/>
      <c r="I1920" s="68"/>
      <c r="J1920" s="68"/>
      <c r="K1920" s="32"/>
      <c r="L1920" s="75">
        <v>1920</v>
      </c>
      <c r="M1920" s="75"/>
      <c r="N1920" s="70"/>
      <c r="O1920" s="77" t="s">
        <v>179</v>
      </c>
      <c r="P1920" s="79">
        <v>44952.633379629631</v>
      </c>
      <c r="Q1920" s="77" t="s">
        <v>2702</v>
      </c>
      <c r="R1920" s="77">
        <v>0</v>
      </c>
      <c r="S1920" s="77">
        <v>0</v>
      </c>
      <c r="T1920" s="77">
        <v>0</v>
      </c>
      <c r="U1920" s="77">
        <v>0</v>
      </c>
      <c r="V1920" s="77">
        <v>22</v>
      </c>
      <c r="W1920" s="81" t="s">
        <v>3111</v>
      </c>
      <c r="X1920" s="83" t="str">
        <f>HYPERLINK("https://bit.ly/3aEOhVH")</f>
        <v>https://bit.ly/3aEOhVH</v>
      </c>
      <c r="Y1920" s="77" t="s">
        <v>4213</v>
      </c>
      <c r="Z1920" s="77"/>
      <c r="AA1920" s="77" t="s">
        <v>5652</v>
      </c>
      <c r="AB1920" s="77" t="s">
        <v>5794</v>
      </c>
      <c r="AC1920" s="81" t="s">
        <v>5823</v>
      </c>
      <c r="AD1920" s="77" t="s">
        <v>5850</v>
      </c>
      <c r="AE1920" s="83" t="str">
        <f>HYPERLINK("https://twitter.com/diegocandi/status/1618627840144035842")</f>
        <v>https://twitter.com/diegocandi/status/1618627840144035842</v>
      </c>
      <c r="AF1920" s="79">
        <v>44952.633379629631</v>
      </c>
      <c r="AG1920" s="85">
        <v>44952</v>
      </c>
      <c r="AH1920" s="81" t="s">
        <v>7539</v>
      </c>
      <c r="AI1920" s="77" t="b">
        <v>0</v>
      </c>
      <c r="AJ1920" s="77"/>
      <c r="AK1920" s="77"/>
      <c r="AL1920" s="77"/>
      <c r="AM1920" s="77"/>
      <c r="AN1920" s="77"/>
      <c r="AO1920" s="77"/>
      <c r="AP1920" s="77"/>
      <c r="AQ1920" s="77" t="s">
        <v>9150</v>
      </c>
      <c r="AR1920" s="77"/>
      <c r="AS1920" s="77"/>
      <c r="AT1920" s="77"/>
      <c r="AU1920" s="77"/>
      <c r="AV1920" s="83" t="str">
        <f>HYPERLINK("https://pbs.twimg.com/media/FnaFcYcWYAM0bGw.png")</f>
        <v>https://pbs.twimg.com/media/FnaFcYcWYAM0bGw.png</v>
      </c>
      <c r="AW1920" s="81" t="s">
        <v>11032</v>
      </c>
      <c r="AX1920" s="81" t="s">
        <v>11032</v>
      </c>
      <c r="AY1920" s="77"/>
      <c r="AZ1920" s="81" t="s">
        <v>11359</v>
      </c>
      <c r="BA1920" s="81" t="s">
        <v>11359</v>
      </c>
      <c r="BB1920" s="81" t="s">
        <v>11359</v>
      </c>
      <c r="BC1920" s="81" t="s">
        <v>11032</v>
      </c>
      <c r="BD1920" s="77">
        <v>305653088</v>
      </c>
      <c r="BE1920" s="77"/>
      <c r="BF1920" s="77"/>
      <c r="BG1920" s="77"/>
      <c r="BH1920" s="77"/>
      <c r="BI1920" s="77"/>
    </row>
    <row r="1921" spans="1:61" x14ac:dyDescent="0.25">
      <c r="A1921" s="62" t="s">
        <v>793</v>
      </c>
      <c r="B1921" s="62" t="s">
        <v>793</v>
      </c>
      <c r="C1921" s="63"/>
      <c r="D1921" s="64"/>
      <c r="E1921" s="65"/>
      <c r="F1921" s="66"/>
      <c r="G1921" s="63"/>
      <c r="H1921" s="67"/>
      <c r="I1921" s="68"/>
      <c r="J1921" s="68"/>
      <c r="K1921" s="32"/>
      <c r="L1921" s="75">
        <v>1921</v>
      </c>
      <c r="M1921" s="75"/>
      <c r="N1921" s="70"/>
      <c r="O1921" s="77" t="s">
        <v>179</v>
      </c>
      <c r="P1921" s="79">
        <v>45037.911157407405</v>
      </c>
      <c r="Q1921" s="77" t="s">
        <v>2703</v>
      </c>
      <c r="R1921" s="77">
        <v>0</v>
      </c>
      <c r="S1921" s="77">
        <v>0</v>
      </c>
      <c r="T1921" s="77">
        <v>0</v>
      </c>
      <c r="U1921" s="77">
        <v>0</v>
      </c>
      <c r="V1921" s="77">
        <v>11</v>
      </c>
      <c r="W1921" s="81" t="s">
        <v>3114</v>
      </c>
      <c r="X1921" s="83" t="str">
        <f>HYPERLINK("https://patriciamurphy.com.ar/ofertas/635/detail/")</f>
        <v>https://patriciamurphy.com.ar/ofertas/635/detail/</v>
      </c>
      <c r="Y1921" s="77" t="s">
        <v>4231</v>
      </c>
      <c r="Z1921" s="77"/>
      <c r="AA1921" s="77" t="s">
        <v>5653</v>
      </c>
      <c r="AB1921" s="77" t="s">
        <v>5794</v>
      </c>
      <c r="AC1921" s="81" t="s">
        <v>5823</v>
      </c>
      <c r="AD1921" s="77" t="s">
        <v>5850</v>
      </c>
      <c r="AE1921" s="83" t="str">
        <f>HYPERLINK("https://twitter.com/diegocandi/status/1649531472842194944")</f>
        <v>https://twitter.com/diegocandi/status/1649531472842194944</v>
      </c>
      <c r="AF1921" s="79">
        <v>45037.911157407405</v>
      </c>
      <c r="AG1921" s="85">
        <v>45037</v>
      </c>
      <c r="AH1921" s="81" t="s">
        <v>7540</v>
      </c>
      <c r="AI1921" s="77" t="b">
        <v>0</v>
      </c>
      <c r="AJ1921" s="77"/>
      <c r="AK1921" s="77"/>
      <c r="AL1921" s="77"/>
      <c r="AM1921" s="77"/>
      <c r="AN1921" s="77"/>
      <c r="AO1921" s="77"/>
      <c r="AP1921" s="77"/>
      <c r="AQ1921" s="77" t="s">
        <v>9151</v>
      </c>
      <c r="AR1921" s="77"/>
      <c r="AS1921" s="77"/>
      <c r="AT1921" s="77"/>
      <c r="AU1921" s="77"/>
      <c r="AV1921" s="83" t="str">
        <f>HYPERLINK("https://pbs.twimg.com/media/FuRQIi6WYAI3Wgr.png")</f>
        <v>https://pbs.twimg.com/media/FuRQIi6WYAI3Wgr.png</v>
      </c>
      <c r="AW1921" s="81" t="s">
        <v>11033</v>
      </c>
      <c r="AX1921" s="81" t="s">
        <v>11033</v>
      </c>
      <c r="AY1921" s="77"/>
      <c r="AZ1921" s="81" t="s">
        <v>11359</v>
      </c>
      <c r="BA1921" s="81" t="s">
        <v>11359</v>
      </c>
      <c r="BB1921" s="81" t="s">
        <v>11359</v>
      </c>
      <c r="BC1921" s="81" t="s">
        <v>11033</v>
      </c>
      <c r="BD1921" s="77">
        <v>305653088</v>
      </c>
      <c r="BE1921" s="77"/>
      <c r="BF1921" s="77"/>
      <c r="BG1921" s="77"/>
      <c r="BH1921" s="77"/>
      <c r="BI1921" s="77"/>
    </row>
    <row r="1922" spans="1:61" x14ac:dyDescent="0.25">
      <c r="A1922" s="62" t="s">
        <v>793</v>
      </c>
      <c r="B1922" s="62" t="s">
        <v>793</v>
      </c>
      <c r="C1922" s="63"/>
      <c r="D1922" s="64"/>
      <c r="E1922" s="65"/>
      <c r="F1922" s="66"/>
      <c r="G1922" s="63"/>
      <c r="H1922" s="67"/>
      <c r="I1922" s="68"/>
      <c r="J1922" s="68"/>
      <c r="K1922" s="32"/>
      <c r="L1922" s="75">
        <v>1922</v>
      </c>
      <c r="M1922" s="75"/>
      <c r="N1922" s="70"/>
      <c r="O1922" s="77" t="s">
        <v>179</v>
      </c>
      <c r="P1922" s="79">
        <v>45037.907685185186</v>
      </c>
      <c r="Q1922" s="77" t="s">
        <v>2704</v>
      </c>
      <c r="R1922" s="77">
        <v>0</v>
      </c>
      <c r="S1922" s="77">
        <v>0</v>
      </c>
      <c r="T1922" s="77">
        <v>0</v>
      </c>
      <c r="U1922" s="77">
        <v>0</v>
      </c>
      <c r="V1922" s="77">
        <v>18</v>
      </c>
      <c r="W1922" s="81" t="s">
        <v>3111</v>
      </c>
      <c r="X1922" s="83" t="str">
        <f>HYPERLINK("https://patriciamurphy.com.ar/ofertas/636/detail/")</f>
        <v>https://patriciamurphy.com.ar/ofertas/636/detail/</v>
      </c>
      <c r="Y1922" s="77" t="s">
        <v>4231</v>
      </c>
      <c r="Z1922" s="77"/>
      <c r="AA1922" s="77" t="s">
        <v>5654</v>
      </c>
      <c r="AB1922" s="77" t="s">
        <v>5794</v>
      </c>
      <c r="AC1922" s="81" t="s">
        <v>5823</v>
      </c>
      <c r="AD1922" s="77" t="s">
        <v>5850</v>
      </c>
      <c r="AE1922" s="83" t="str">
        <f>HYPERLINK("https://twitter.com/diegocandi/status/1649530215645736962")</f>
        <v>https://twitter.com/diegocandi/status/1649530215645736962</v>
      </c>
      <c r="AF1922" s="79">
        <v>45037.907685185186</v>
      </c>
      <c r="AG1922" s="85">
        <v>45037</v>
      </c>
      <c r="AH1922" s="81" t="s">
        <v>7541</v>
      </c>
      <c r="AI1922" s="77" t="b">
        <v>0</v>
      </c>
      <c r="AJ1922" s="77"/>
      <c r="AK1922" s="77"/>
      <c r="AL1922" s="77"/>
      <c r="AM1922" s="77"/>
      <c r="AN1922" s="77"/>
      <c r="AO1922" s="77"/>
      <c r="AP1922" s="77"/>
      <c r="AQ1922" s="77" t="s">
        <v>9152</v>
      </c>
      <c r="AR1922" s="77"/>
      <c r="AS1922" s="77"/>
      <c r="AT1922" s="77"/>
      <c r="AU1922" s="77"/>
      <c r="AV1922" s="83" t="str">
        <f>HYPERLINK("https://pbs.twimg.com/media/FuRO_YiWYAEaA6P.png")</f>
        <v>https://pbs.twimg.com/media/FuRO_YiWYAEaA6P.png</v>
      </c>
      <c r="AW1922" s="81" t="s">
        <v>11034</v>
      </c>
      <c r="AX1922" s="81" t="s">
        <v>11034</v>
      </c>
      <c r="AY1922" s="77"/>
      <c r="AZ1922" s="81" t="s">
        <v>11359</v>
      </c>
      <c r="BA1922" s="81" t="s">
        <v>11359</v>
      </c>
      <c r="BB1922" s="81" t="s">
        <v>11359</v>
      </c>
      <c r="BC1922" s="81" t="s">
        <v>11034</v>
      </c>
      <c r="BD1922" s="77">
        <v>305653088</v>
      </c>
      <c r="BE1922" s="77"/>
      <c r="BF1922" s="77"/>
      <c r="BG1922" s="77"/>
      <c r="BH1922" s="77"/>
      <c r="BI1922" s="77"/>
    </row>
    <row r="1923" spans="1:61" x14ac:dyDescent="0.25">
      <c r="A1923" s="62" t="s">
        <v>793</v>
      </c>
      <c r="B1923" s="62" t="s">
        <v>793</v>
      </c>
      <c r="C1923" s="63"/>
      <c r="D1923" s="64"/>
      <c r="E1923" s="65"/>
      <c r="F1923" s="66"/>
      <c r="G1923" s="63"/>
      <c r="H1923" s="67"/>
      <c r="I1923" s="68"/>
      <c r="J1923" s="68"/>
      <c r="K1923" s="32"/>
      <c r="L1923" s="75">
        <v>1923</v>
      </c>
      <c r="M1923" s="75"/>
      <c r="N1923" s="70"/>
      <c r="O1923" s="77" t="s">
        <v>179</v>
      </c>
      <c r="P1923" s="79">
        <v>45036.893807870372</v>
      </c>
      <c r="Q1923" s="77" t="s">
        <v>2705</v>
      </c>
      <c r="R1923" s="77">
        <v>0</v>
      </c>
      <c r="S1923" s="77">
        <v>0</v>
      </c>
      <c r="T1923" s="77">
        <v>0</v>
      </c>
      <c r="U1923" s="77">
        <v>0</v>
      </c>
      <c r="V1923" s="77">
        <v>37</v>
      </c>
      <c r="W1923" s="81" t="s">
        <v>3113</v>
      </c>
      <c r="X1923" s="83" t="str">
        <f>HYPERLINK("https://patriciamurphy.com.ar/ofertas/706/detail/")</f>
        <v>https://patriciamurphy.com.ar/ofertas/706/detail/</v>
      </c>
      <c r="Y1923" s="77" t="s">
        <v>4231</v>
      </c>
      <c r="Z1923" s="77"/>
      <c r="AA1923" s="77" t="s">
        <v>5655</v>
      </c>
      <c r="AB1923" s="77" t="s">
        <v>5794</v>
      </c>
      <c r="AC1923" s="81" t="s">
        <v>5823</v>
      </c>
      <c r="AD1923" s="77" t="s">
        <v>5850</v>
      </c>
      <c r="AE1923" s="83" t="str">
        <f>HYPERLINK("https://twitter.com/diegocandi/status/1649162798352461824")</f>
        <v>https://twitter.com/diegocandi/status/1649162798352461824</v>
      </c>
      <c r="AF1923" s="79">
        <v>45036.893807870372</v>
      </c>
      <c r="AG1923" s="85">
        <v>45036</v>
      </c>
      <c r="AH1923" s="81" t="s">
        <v>7527</v>
      </c>
      <c r="AI1923" s="77" t="b">
        <v>0</v>
      </c>
      <c r="AJ1923" s="77"/>
      <c r="AK1923" s="77"/>
      <c r="AL1923" s="77"/>
      <c r="AM1923" s="77"/>
      <c r="AN1923" s="77"/>
      <c r="AO1923" s="77"/>
      <c r="AP1923" s="77"/>
      <c r="AQ1923" s="77" t="s">
        <v>9153</v>
      </c>
      <c r="AR1923" s="77"/>
      <c r="AS1923" s="77"/>
      <c r="AT1923" s="77"/>
      <c r="AU1923" s="77"/>
      <c r="AV1923" s="83" t="str">
        <f>HYPERLINK("https://pbs.twimg.com/media/FuMA0xPWAAMBsLV.jpg")</f>
        <v>https://pbs.twimg.com/media/FuMA0xPWAAMBsLV.jpg</v>
      </c>
      <c r="AW1923" s="81" t="s">
        <v>11035</v>
      </c>
      <c r="AX1923" s="81" t="s">
        <v>11035</v>
      </c>
      <c r="AY1923" s="77"/>
      <c r="AZ1923" s="81" t="s">
        <v>11359</v>
      </c>
      <c r="BA1923" s="81" t="s">
        <v>11359</v>
      </c>
      <c r="BB1923" s="81" t="s">
        <v>11359</v>
      </c>
      <c r="BC1923" s="81" t="s">
        <v>11035</v>
      </c>
      <c r="BD1923" s="77">
        <v>305653088</v>
      </c>
      <c r="BE1923" s="77"/>
      <c r="BF1923" s="77"/>
      <c r="BG1923" s="77"/>
      <c r="BH1923" s="77"/>
      <c r="BI1923" s="77"/>
    </row>
    <row r="1924" spans="1:61" x14ac:dyDescent="0.25">
      <c r="A1924" s="62" t="s">
        <v>793</v>
      </c>
      <c r="B1924" s="62" t="s">
        <v>793</v>
      </c>
      <c r="C1924" s="63"/>
      <c r="D1924" s="64"/>
      <c r="E1924" s="65"/>
      <c r="F1924" s="66"/>
      <c r="G1924" s="63"/>
      <c r="H1924" s="67"/>
      <c r="I1924" s="68"/>
      <c r="J1924" s="68"/>
      <c r="K1924" s="32"/>
      <c r="L1924" s="75">
        <v>1924</v>
      </c>
      <c r="M1924" s="75"/>
      <c r="N1924" s="70"/>
      <c r="O1924" s="77" t="s">
        <v>179</v>
      </c>
      <c r="P1924" s="79">
        <v>44990.890347222223</v>
      </c>
      <c r="Q1924" s="77" t="s">
        <v>2706</v>
      </c>
      <c r="R1924" s="77">
        <v>0</v>
      </c>
      <c r="S1924" s="77">
        <v>0</v>
      </c>
      <c r="T1924" s="77">
        <v>0</v>
      </c>
      <c r="U1924" s="77">
        <v>0</v>
      </c>
      <c r="V1924" s="77">
        <v>16</v>
      </c>
      <c r="W1924" s="81" t="s">
        <v>3111</v>
      </c>
      <c r="X1924" s="83" t="str">
        <f>HYPERLINK("https://patriciamurphy.com.ar/ofertas/636/detail/")</f>
        <v>https://patriciamurphy.com.ar/ofertas/636/detail/</v>
      </c>
      <c r="Y1924" s="77" t="s">
        <v>4231</v>
      </c>
      <c r="Z1924" s="77"/>
      <c r="AA1924" s="77" t="s">
        <v>5656</v>
      </c>
      <c r="AB1924" s="77" t="s">
        <v>5794</v>
      </c>
      <c r="AC1924" s="81" t="s">
        <v>5823</v>
      </c>
      <c r="AD1924" s="77" t="s">
        <v>5850</v>
      </c>
      <c r="AE1924" s="83" t="str">
        <f>HYPERLINK("https://twitter.com/diegocandi/status/1632491700726710272")</f>
        <v>https://twitter.com/diegocandi/status/1632491700726710272</v>
      </c>
      <c r="AF1924" s="79">
        <v>44990.890347222223</v>
      </c>
      <c r="AG1924" s="85">
        <v>44990</v>
      </c>
      <c r="AH1924" s="81" t="s">
        <v>7542</v>
      </c>
      <c r="AI1924" s="77" t="b">
        <v>0</v>
      </c>
      <c r="AJ1924" s="77"/>
      <c r="AK1924" s="77"/>
      <c r="AL1924" s="77"/>
      <c r="AM1924" s="77"/>
      <c r="AN1924" s="77"/>
      <c r="AO1924" s="77"/>
      <c r="AP1924" s="77"/>
      <c r="AQ1924" s="77" t="s">
        <v>9154</v>
      </c>
      <c r="AR1924" s="77"/>
      <c r="AS1924" s="77"/>
      <c r="AT1924" s="77"/>
      <c r="AU1924" s="77"/>
      <c r="AV1924" s="83" t="str">
        <f>HYPERLINK("https://pbs.twimg.com/media/FqfGiwbWYAMyxCV.png")</f>
        <v>https://pbs.twimg.com/media/FqfGiwbWYAMyxCV.png</v>
      </c>
      <c r="AW1924" s="81" t="s">
        <v>11036</v>
      </c>
      <c r="AX1924" s="81" t="s">
        <v>11036</v>
      </c>
      <c r="AY1924" s="77"/>
      <c r="AZ1924" s="81" t="s">
        <v>11359</v>
      </c>
      <c r="BA1924" s="81" t="s">
        <v>11359</v>
      </c>
      <c r="BB1924" s="81" t="s">
        <v>11359</v>
      </c>
      <c r="BC1924" s="81" t="s">
        <v>11036</v>
      </c>
      <c r="BD1924" s="77">
        <v>305653088</v>
      </c>
      <c r="BE1924" s="77"/>
      <c r="BF1924" s="77"/>
      <c r="BG1924" s="77"/>
      <c r="BH1924" s="77"/>
      <c r="BI1924" s="77"/>
    </row>
    <row r="1925" spans="1:61" x14ac:dyDescent="0.25">
      <c r="A1925" s="62" t="s">
        <v>793</v>
      </c>
      <c r="B1925" s="62" t="s">
        <v>793</v>
      </c>
      <c r="C1925" s="63"/>
      <c r="D1925" s="64"/>
      <c r="E1925" s="65"/>
      <c r="F1925" s="66"/>
      <c r="G1925" s="63"/>
      <c r="H1925" s="67"/>
      <c r="I1925" s="68"/>
      <c r="J1925" s="68"/>
      <c r="K1925" s="32"/>
      <c r="L1925" s="75">
        <v>1925</v>
      </c>
      <c r="M1925" s="75"/>
      <c r="N1925" s="70"/>
      <c r="O1925" s="77" t="s">
        <v>179</v>
      </c>
      <c r="P1925" s="79">
        <v>45028.643807870372</v>
      </c>
      <c r="Q1925" s="77" t="s">
        <v>2707</v>
      </c>
      <c r="R1925" s="77">
        <v>0</v>
      </c>
      <c r="S1925" s="77">
        <v>1</v>
      </c>
      <c r="T1925" s="77">
        <v>0</v>
      </c>
      <c r="U1925" s="77">
        <v>0</v>
      </c>
      <c r="V1925" s="77">
        <v>27</v>
      </c>
      <c r="W1925" s="81" t="s">
        <v>3111</v>
      </c>
      <c r="X1925" s="83" t="str">
        <f>HYPERLINK("https://patriciamurphy.com.ar/ofertas/636/detail/")</f>
        <v>https://patriciamurphy.com.ar/ofertas/636/detail/</v>
      </c>
      <c r="Y1925" s="77" t="s">
        <v>4231</v>
      </c>
      <c r="Z1925" s="77"/>
      <c r="AA1925" s="77" t="s">
        <v>5657</v>
      </c>
      <c r="AB1925" s="77" t="s">
        <v>5794</v>
      </c>
      <c r="AC1925" s="81" t="s">
        <v>5823</v>
      </c>
      <c r="AD1925" s="77" t="s">
        <v>5850</v>
      </c>
      <c r="AE1925" s="83" t="str">
        <f>HYPERLINK("https://twitter.com/diegocandi/status/1646173097425289219")</f>
        <v>https://twitter.com/diegocandi/status/1646173097425289219</v>
      </c>
      <c r="AF1925" s="79">
        <v>45028.643807870372</v>
      </c>
      <c r="AG1925" s="85">
        <v>45028</v>
      </c>
      <c r="AH1925" s="81" t="s">
        <v>7524</v>
      </c>
      <c r="AI1925" s="77" t="b">
        <v>0</v>
      </c>
      <c r="AJ1925" s="77"/>
      <c r="AK1925" s="77"/>
      <c r="AL1925" s="77"/>
      <c r="AM1925" s="77"/>
      <c r="AN1925" s="77"/>
      <c r="AO1925" s="77"/>
      <c r="AP1925" s="77"/>
      <c r="AQ1925" s="77" t="s">
        <v>9155</v>
      </c>
      <c r="AR1925" s="77"/>
      <c r="AS1925" s="77"/>
      <c r="AT1925" s="77"/>
      <c r="AU1925" s="77"/>
      <c r="AV1925" s="83" t="str">
        <f>HYPERLINK("https://pbs.twimg.com/media/FthhtWkWcAQP8pE.png")</f>
        <v>https://pbs.twimg.com/media/FthhtWkWcAQP8pE.png</v>
      </c>
      <c r="AW1925" s="81" t="s">
        <v>11037</v>
      </c>
      <c r="AX1925" s="81" t="s">
        <v>11037</v>
      </c>
      <c r="AY1925" s="77"/>
      <c r="AZ1925" s="81" t="s">
        <v>11359</v>
      </c>
      <c r="BA1925" s="81" t="s">
        <v>11359</v>
      </c>
      <c r="BB1925" s="81" t="s">
        <v>11359</v>
      </c>
      <c r="BC1925" s="81" t="s">
        <v>11037</v>
      </c>
      <c r="BD1925" s="77">
        <v>305653088</v>
      </c>
      <c r="BE1925" s="77"/>
      <c r="BF1925" s="77"/>
      <c r="BG1925" s="77"/>
      <c r="BH1925" s="77"/>
      <c r="BI1925" s="77"/>
    </row>
    <row r="1926" spans="1:61" x14ac:dyDescent="0.25">
      <c r="A1926" s="62" t="s">
        <v>793</v>
      </c>
      <c r="B1926" s="62" t="s">
        <v>793</v>
      </c>
      <c r="C1926" s="63"/>
      <c r="D1926" s="64"/>
      <c r="E1926" s="65"/>
      <c r="F1926" s="66"/>
      <c r="G1926" s="63"/>
      <c r="H1926" s="67"/>
      <c r="I1926" s="68"/>
      <c r="J1926" s="68"/>
      <c r="K1926" s="32"/>
      <c r="L1926" s="75">
        <v>1926</v>
      </c>
      <c r="M1926" s="75"/>
      <c r="N1926" s="70"/>
      <c r="O1926" s="77" t="s">
        <v>179</v>
      </c>
      <c r="P1926" s="79">
        <v>45028.640335648146</v>
      </c>
      <c r="Q1926" s="77" t="s">
        <v>2708</v>
      </c>
      <c r="R1926" s="77">
        <v>0</v>
      </c>
      <c r="S1926" s="77">
        <v>1</v>
      </c>
      <c r="T1926" s="77">
        <v>0</v>
      </c>
      <c r="U1926" s="77">
        <v>0</v>
      </c>
      <c r="V1926" s="77">
        <v>46</v>
      </c>
      <c r="W1926" s="81" t="s">
        <v>3112</v>
      </c>
      <c r="X1926" s="83" t="str">
        <f>HYPERLINK("https://patriciamurphy.com.ar/ofertas/713/detail/")</f>
        <v>https://patriciamurphy.com.ar/ofertas/713/detail/</v>
      </c>
      <c r="Y1926" s="77" t="s">
        <v>4231</v>
      </c>
      <c r="Z1926" s="77"/>
      <c r="AA1926" s="77" t="s">
        <v>5658</v>
      </c>
      <c r="AB1926" s="77" t="s">
        <v>5794</v>
      </c>
      <c r="AC1926" s="81" t="s">
        <v>5823</v>
      </c>
      <c r="AD1926" s="77" t="s">
        <v>5850</v>
      </c>
      <c r="AE1926" s="83" t="str">
        <f>HYPERLINK("https://twitter.com/diegocandi/status/1646171839649947653")</f>
        <v>https://twitter.com/diegocandi/status/1646171839649947653</v>
      </c>
      <c r="AF1926" s="79">
        <v>45028.640335648146</v>
      </c>
      <c r="AG1926" s="85">
        <v>45028</v>
      </c>
      <c r="AH1926" s="81" t="s">
        <v>7543</v>
      </c>
      <c r="AI1926" s="77" t="b">
        <v>0</v>
      </c>
      <c r="AJ1926" s="77"/>
      <c r="AK1926" s="77"/>
      <c r="AL1926" s="77"/>
      <c r="AM1926" s="77"/>
      <c r="AN1926" s="77"/>
      <c r="AO1926" s="77"/>
      <c r="AP1926" s="77"/>
      <c r="AQ1926" s="77" t="s">
        <v>9156</v>
      </c>
      <c r="AR1926" s="77"/>
      <c r="AS1926" s="77"/>
      <c r="AT1926" s="77"/>
      <c r="AU1926" s="77"/>
      <c r="AV1926" s="83" t="str">
        <f>HYPERLINK("https://pbs.twimg.com/media/Fthgjw_WcAACE_H.jpg")</f>
        <v>https://pbs.twimg.com/media/Fthgjw_WcAACE_H.jpg</v>
      </c>
      <c r="AW1926" s="81" t="s">
        <v>11038</v>
      </c>
      <c r="AX1926" s="81" t="s">
        <v>11038</v>
      </c>
      <c r="AY1926" s="77"/>
      <c r="AZ1926" s="81" t="s">
        <v>11359</v>
      </c>
      <c r="BA1926" s="81" t="s">
        <v>11359</v>
      </c>
      <c r="BB1926" s="81" t="s">
        <v>11359</v>
      </c>
      <c r="BC1926" s="81" t="s">
        <v>11038</v>
      </c>
      <c r="BD1926" s="77">
        <v>305653088</v>
      </c>
      <c r="BE1926" s="77"/>
      <c r="BF1926" s="77"/>
      <c r="BG1926" s="77"/>
      <c r="BH1926" s="77"/>
      <c r="BI1926" s="77"/>
    </row>
    <row r="1927" spans="1:61" x14ac:dyDescent="0.25">
      <c r="A1927" s="62" t="s">
        <v>793</v>
      </c>
      <c r="B1927" s="62" t="s">
        <v>793</v>
      </c>
      <c r="C1927" s="63"/>
      <c r="D1927" s="64"/>
      <c r="E1927" s="65"/>
      <c r="F1927" s="66"/>
      <c r="G1927" s="63"/>
      <c r="H1927" s="67"/>
      <c r="I1927" s="68"/>
      <c r="J1927" s="68"/>
      <c r="K1927" s="32"/>
      <c r="L1927" s="75">
        <v>1927</v>
      </c>
      <c r="M1927" s="75"/>
      <c r="N1927" s="70"/>
      <c r="O1927" s="77" t="s">
        <v>179</v>
      </c>
      <c r="P1927" s="79">
        <v>45027.782719907409</v>
      </c>
      <c r="Q1927" s="77" t="s">
        <v>2709</v>
      </c>
      <c r="R1927" s="77">
        <v>0</v>
      </c>
      <c r="S1927" s="77">
        <v>0</v>
      </c>
      <c r="T1927" s="77">
        <v>0</v>
      </c>
      <c r="U1927" s="77">
        <v>0</v>
      </c>
      <c r="V1927" s="77">
        <v>43</v>
      </c>
      <c r="W1927" s="81" t="s">
        <v>3113</v>
      </c>
      <c r="X1927" s="83" t="str">
        <f>HYPERLINK("https://patriciamurphy.com.ar/ofertas/706/detail/")</f>
        <v>https://patriciamurphy.com.ar/ofertas/706/detail/</v>
      </c>
      <c r="Y1927" s="77" t="s">
        <v>4231</v>
      </c>
      <c r="Z1927" s="77"/>
      <c r="AA1927" s="77" t="s">
        <v>5659</v>
      </c>
      <c r="AB1927" s="77" t="s">
        <v>5794</v>
      </c>
      <c r="AC1927" s="81" t="s">
        <v>5823</v>
      </c>
      <c r="AD1927" s="77" t="s">
        <v>5850</v>
      </c>
      <c r="AE1927" s="83" t="str">
        <f>HYPERLINK("https://twitter.com/diegocandi/status/1645861051035013124")</f>
        <v>https://twitter.com/diegocandi/status/1645861051035013124</v>
      </c>
      <c r="AF1927" s="79">
        <v>45027.782719907409</v>
      </c>
      <c r="AG1927" s="85">
        <v>45027</v>
      </c>
      <c r="AH1927" s="81" t="s">
        <v>6928</v>
      </c>
      <c r="AI1927" s="77" t="b">
        <v>0</v>
      </c>
      <c r="AJ1927" s="77"/>
      <c r="AK1927" s="77"/>
      <c r="AL1927" s="77"/>
      <c r="AM1927" s="77"/>
      <c r="AN1927" s="77"/>
      <c r="AO1927" s="77"/>
      <c r="AP1927" s="77"/>
      <c r="AQ1927" s="77" t="s">
        <v>9157</v>
      </c>
      <c r="AR1927" s="77"/>
      <c r="AS1927" s="77"/>
      <c r="AT1927" s="77"/>
      <c r="AU1927" s="77"/>
      <c r="AV1927" s="83" t="str">
        <f>HYPERLINK("https://pbs.twimg.com/media/FtdF5xRX0BUyLS5.jpg")</f>
        <v>https://pbs.twimg.com/media/FtdF5xRX0BUyLS5.jpg</v>
      </c>
      <c r="AW1927" s="81" t="s">
        <v>11039</v>
      </c>
      <c r="AX1927" s="81" t="s">
        <v>11039</v>
      </c>
      <c r="AY1927" s="77"/>
      <c r="AZ1927" s="81" t="s">
        <v>11359</v>
      </c>
      <c r="BA1927" s="81" t="s">
        <v>11359</v>
      </c>
      <c r="BB1927" s="81" t="s">
        <v>11359</v>
      </c>
      <c r="BC1927" s="81" t="s">
        <v>11039</v>
      </c>
      <c r="BD1927" s="77">
        <v>305653088</v>
      </c>
      <c r="BE1927" s="77"/>
      <c r="BF1927" s="77"/>
      <c r="BG1927" s="77"/>
      <c r="BH1927" s="77"/>
      <c r="BI1927" s="77"/>
    </row>
    <row r="1928" spans="1:61" x14ac:dyDescent="0.25">
      <c r="A1928" s="62" t="s">
        <v>793</v>
      </c>
      <c r="B1928" s="62" t="s">
        <v>793</v>
      </c>
      <c r="C1928" s="63"/>
      <c r="D1928" s="64"/>
      <c r="E1928" s="65"/>
      <c r="F1928" s="66"/>
      <c r="G1928" s="63"/>
      <c r="H1928" s="67"/>
      <c r="I1928" s="68"/>
      <c r="J1928" s="68"/>
      <c r="K1928" s="32"/>
      <c r="L1928" s="75">
        <v>1928</v>
      </c>
      <c r="M1928" s="75"/>
      <c r="N1928" s="70"/>
      <c r="O1928" s="77" t="s">
        <v>179</v>
      </c>
      <c r="P1928" s="79">
        <v>44982.907685185186</v>
      </c>
      <c r="Q1928" s="77" t="s">
        <v>2710</v>
      </c>
      <c r="R1928" s="77">
        <v>0</v>
      </c>
      <c r="S1928" s="77">
        <v>0</v>
      </c>
      <c r="T1928" s="77">
        <v>0</v>
      </c>
      <c r="U1928" s="77">
        <v>0</v>
      </c>
      <c r="V1928" s="77">
        <v>23</v>
      </c>
      <c r="W1928" s="81" t="s">
        <v>3114</v>
      </c>
      <c r="X1928" s="83" t="str">
        <f>HYPERLINK("https://bit.ly/3avB0Pi")</f>
        <v>https://bit.ly/3avB0Pi</v>
      </c>
      <c r="Y1928" s="77" t="s">
        <v>4213</v>
      </c>
      <c r="Z1928" s="77"/>
      <c r="AA1928" s="77" t="s">
        <v>5660</v>
      </c>
      <c r="AB1928" s="77" t="s">
        <v>5794</v>
      </c>
      <c r="AC1928" s="81" t="s">
        <v>5823</v>
      </c>
      <c r="AD1928" s="77" t="s">
        <v>5850</v>
      </c>
      <c r="AE1928" s="83" t="str">
        <f>HYPERLINK("https://twitter.com/diegocandi/status/1629598881741766656")</f>
        <v>https://twitter.com/diegocandi/status/1629598881741766656</v>
      </c>
      <c r="AF1928" s="79">
        <v>44982.907685185186</v>
      </c>
      <c r="AG1928" s="85">
        <v>44982</v>
      </c>
      <c r="AH1928" s="81" t="s">
        <v>7541</v>
      </c>
      <c r="AI1928" s="77" t="b">
        <v>0</v>
      </c>
      <c r="AJ1928" s="77"/>
      <c r="AK1928" s="77"/>
      <c r="AL1928" s="77"/>
      <c r="AM1928" s="77"/>
      <c r="AN1928" s="77"/>
      <c r="AO1928" s="77"/>
      <c r="AP1928" s="77"/>
      <c r="AQ1928" s="77" t="s">
        <v>9158</v>
      </c>
      <c r="AR1928" s="77"/>
      <c r="AS1928" s="77"/>
      <c r="AT1928" s="77"/>
      <c r="AU1928" s="77"/>
      <c r="AV1928" s="83" t="str">
        <f>HYPERLINK("https://pbs.twimg.com/media/Fp1_jDXXsAIaBSe.png")</f>
        <v>https://pbs.twimg.com/media/Fp1_jDXXsAIaBSe.png</v>
      </c>
      <c r="AW1928" s="81" t="s">
        <v>11040</v>
      </c>
      <c r="AX1928" s="81" t="s">
        <v>11040</v>
      </c>
      <c r="AY1928" s="77"/>
      <c r="AZ1928" s="81" t="s">
        <v>11359</v>
      </c>
      <c r="BA1928" s="81" t="s">
        <v>11359</v>
      </c>
      <c r="BB1928" s="81" t="s">
        <v>11359</v>
      </c>
      <c r="BC1928" s="81" t="s">
        <v>11040</v>
      </c>
      <c r="BD1928" s="77">
        <v>305653088</v>
      </c>
      <c r="BE1928" s="77"/>
      <c r="BF1928" s="77"/>
      <c r="BG1928" s="77"/>
      <c r="BH1928" s="77"/>
      <c r="BI1928" s="77"/>
    </row>
    <row r="1929" spans="1:61" x14ac:dyDescent="0.25">
      <c r="A1929" s="62" t="s">
        <v>793</v>
      </c>
      <c r="B1929" s="62" t="s">
        <v>793</v>
      </c>
      <c r="C1929" s="63"/>
      <c r="D1929" s="64"/>
      <c r="E1929" s="65"/>
      <c r="F1929" s="66"/>
      <c r="G1929" s="63"/>
      <c r="H1929" s="67"/>
      <c r="I1929" s="68"/>
      <c r="J1929" s="68"/>
      <c r="K1929" s="32"/>
      <c r="L1929" s="75">
        <v>1929</v>
      </c>
      <c r="M1929" s="75"/>
      <c r="N1929" s="70"/>
      <c r="O1929" s="77" t="s">
        <v>179</v>
      </c>
      <c r="P1929" s="79">
        <v>44982.900729166664</v>
      </c>
      <c r="Q1929" s="77" t="s">
        <v>2711</v>
      </c>
      <c r="R1929" s="77">
        <v>0</v>
      </c>
      <c r="S1929" s="77">
        <v>0</v>
      </c>
      <c r="T1929" s="77">
        <v>0</v>
      </c>
      <c r="U1929" s="77">
        <v>0</v>
      </c>
      <c r="V1929" s="77">
        <v>20</v>
      </c>
      <c r="W1929" s="81" t="s">
        <v>3111</v>
      </c>
      <c r="X1929" s="83" t="str">
        <f>HYPERLINK("https://bit.ly/3aEOhVH")</f>
        <v>https://bit.ly/3aEOhVH</v>
      </c>
      <c r="Y1929" s="77" t="s">
        <v>4213</v>
      </c>
      <c r="Z1929" s="77"/>
      <c r="AA1929" s="77" t="s">
        <v>5661</v>
      </c>
      <c r="AB1929" s="77" t="s">
        <v>5794</v>
      </c>
      <c r="AC1929" s="81" t="s">
        <v>5823</v>
      </c>
      <c r="AD1929" s="77" t="s">
        <v>5850</v>
      </c>
      <c r="AE1929" s="83" t="str">
        <f>HYPERLINK("https://twitter.com/diegocandi/status/1629596361069850624")</f>
        <v>https://twitter.com/diegocandi/status/1629596361069850624</v>
      </c>
      <c r="AF1929" s="79">
        <v>44982.900729166664</v>
      </c>
      <c r="AG1929" s="85">
        <v>44982</v>
      </c>
      <c r="AH1929" s="81" t="s">
        <v>7544</v>
      </c>
      <c r="AI1929" s="77" t="b">
        <v>0</v>
      </c>
      <c r="AJ1929" s="77"/>
      <c r="AK1929" s="77"/>
      <c r="AL1929" s="77"/>
      <c r="AM1929" s="77"/>
      <c r="AN1929" s="77"/>
      <c r="AO1929" s="77"/>
      <c r="AP1929" s="77"/>
      <c r="AQ1929" s="77" t="s">
        <v>9159</v>
      </c>
      <c r="AR1929" s="77"/>
      <c r="AS1929" s="77"/>
      <c r="AT1929" s="77"/>
      <c r="AU1929" s="77"/>
      <c r="AV1929" s="83" t="str">
        <f>HYPERLINK("https://pbs.twimg.com/media/Fp19QVWXgAAvoIs.png")</f>
        <v>https://pbs.twimg.com/media/Fp19QVWXgAAvoIs.png</v>
      </c>
      <c r="AW1929" s="81" t="s">
        <v>11041</v>
      </c>
      <c r="AX1929" s="81" t="s">
        <v>11041</v>
      </c>
      <c r="AY1929" s="77"/>
      <c r="AZ1929" s="81" t="s">
        <v>11359</v>
      </c>
      <c r="BA1929" s="81" t="s">
        <v>11359</v>
      </c>
      <c r="BB1929" s="81" t="s">
        <v>11359</v>
      </c>
      <c r="BC1929" s="81" t="s">
        <v>11041</v>
      </c>
      <c r="BD1929" s="77">
        <v>305653088</v>
      </c>
      <c r="BE1929" s="77"/>
      <c r="BF1929" s="77"/>
      <c r="BG1929" s="77"/>
      <c r="BH1929" s="77"/>
      <c r="BI1929" s="77"/>
    </row>
    <row r="1930" spans="1:61" x14ac:dyDescent="0.25">
      <c r="A1930" s="62" t="s">
        <v>793</v>
      </c>
      <c r="B1930" s="62" t="s">
        <v>793</v>
      </c>
      <c r="C1930" s="63"/>
      <c r="D1930" s="64"/>
      <c r="E1930" s="65"/>
      <c r="F1930" s="66"/>
      <c r="G1930" s="63"/>
      <c r="H1930" s="67"/>
      <c r="I1930" s="68"/>
      <c r="J1930" s="68"/>
      <c r="K1930" s="32"/>
      <c r="L1930" s="75">
        <v>1930</v>
      </c>
      <c r="M1930" s="75"/>
      <c r="N1930" s="70"/>
      <c r="O1930" s="77" t="s">
        <v>179</v>
      </c>
      <c r="P1930" s="79">
        <v>44959.904236111113</v>
      </c>
      <c r="Q1930" s="77" t="s">
        <v>2712</v>
      </c>
      <c r="R1930" s="77">
        <v>0</v>
      </c>
      <c r="S1930" s="77">
        <v>0</v>
      </c>
      <c r="T1930" s="77">
        <v>0</v>
      </c>
      <c r="U1930" s="77">
        <v>0</v>
      </c>
      <c r="V1930" s="77">
        <v>27</v>
      </c>
      <c r="W1930" s="81" t="s">
        <v>3114</v>
      </c>
      <c r="X1930" s="83" t="str">
        <f>HYPERLINK("https://bit.ly/3avB0Pi")</f>
        <v>https://bit.ly/3avB0Pi</v>
      </c>
      <c r="Y1930" s="77" t="s">
        <v>4213</v>
      </c>
      <c r="Z1930" s="77"/>
      <c r="AA1930" s="77" t="s">
        <v>5662</v>
      </c>
      <c r="AB1930" s="77" t="s">
        <v>5794</v>
      </c>
      <c r="AC1930" s="81" t="s">
        <v>5823</v>
      </c>
      <c r="AD1930" s="77" t="s">
        <v>5850</v>
      </c>
      <c r="AE1930" s="83" t="str">
        <f>HYPERLINK("https://twitter.com/diegocandi/status/1621262710611623936")</f>
        <v>https://twitter.com/diegocandi/status/1621262710611623936</v>
      </c>
      <c r="AF1930" s="79">
        <v>44959.904236111113</v>
      </c>
      <c r="AG1930" s="85">
        <v>44959</v>
      </c>
      <c r="AH1930" s="81" t="s">
        <v>7545</v>
      </c>
      <c r="AI1930" s="77" t="b">
        <v>0</v>
      </c>
      <c r="AJ1930" s="77"/>
      <c r="AK1930" s="77"/>
      <c r="AL1930" s="77"/>
      <c r="AM1930" s="77"/>
      <c r="AN1930" s="77"/>
      <c r="AO1930" s="77"/>
      <c r="AP1930" s="77"/>
      <c r="AQ1930" s="77" t="s">
        <v>9160</v>
      </c>
      <c r="AR1930" s="77"/>
      <c r="AS1930" s="77"/>
      <c r="AT1930" s="77"/>
      <c r="AU1930" s="77"/>
      <c r="AV1930" s="83" t="str">
        <f>HYPERLINK("https://pbs.twimg.com/media/Fn_h16SWQAIQS6u.png")</f>
        <v>https://pbs.twimg.com/media/Fn_h16SWQAIQS6u.png</v>
      </c>
      <c r="AW1930" s="81" t="s">
        <v>11042</v>
      </c>
      <c r="AX1930" s="81" t="s">
        <v>11042</v>
      </c>
      <c r="AY1930" s="77"/>
      <c r="AZ1930" s="81" t="s">
        <v>11359</v>
      </c>
      <c r="BA1930" s="81" t="s">
        <v>11359</v>
      </c>
      <c r="BB1930" s="81" t="s">
        <v>11359</v>
      </c>
      <c r="BC1930" s="81" t="s">
        <v>11042</v>
      </c>
      <c r="BD1930" s="77">
        <v>305653088</v>
      </c>
      <c r="BE1930" s="77"/>
      <c r="BF1930" s="77"/>
      <c r="BG1930" s="77"/>
      <c r="BH1930" s="77"/>
      <c r="BI1930" s="77"/>
    </row>
    <row r="1931" spans="1:61" x14ac:dyDescent="0.25">
      <c r="A1931" s="62" t="s">
        <v>793</v>
      </c>
      <c r="B1931" s="62" t="s">
        <v>793</v>
      </c>
      <c r="C1931" s="63"/>
      <c r="D1931" s="64"/>
      <c r="E1931" s="65"/>
      <c r="F1931" s="66"/>
      <c r="G1931" s="63"/>
      <c r="H1931" s="67"/>
      <c r="I1931" s="68"/>
      <c r="J1931" s="68"/>
      <c r="K1931" s="32"/>
      <c r="L1931" s="75">
        <v>1931</v>
      </c>
      <c r="M1931" s="75"/>
      <c r="N1931" s="70"/>
      <c r="O1931" s="77" t="s">
        <v>179</v>
      </c>
      <c r="P1931" s="79">
        <v>44959.654224537036</v>
      </c>
      <c r="Q1931" s="77" t="s">
        <v>2713</v>
      </c>
      <c r="R1931" s="77">
        <v>0</v>
      </c>
      <c r="S1931" s="77">
        <v>0</v>
      </c>
      <c r="T1931" s="77">
        <v>0</v>
      </c>
      <c r="U1931" s="77">
        <v>0</v>
      </c>
      <c r="V1931" s="77">
        <v>29</v>
      </c>
      <c r="W1931" s="81" t="s">
        <v>3111</v>
      </c>
      <c r="X1931" s="83" t="str">
        <f>HYPERLINK("https://bit.ly/3aEOhVH")</f>
        <v>https://bit.ly/3aEOhVH</v>
      </c>
      <c r="Y1931" s="77" t="s">
        <v>4213</v>
      </c>
      <c r="Z1931" s="77"/>
      <c r="AA1931" s="77" t="s">
        <v>5663</v>
      </c>
      <c r="AB1931" s="77" t="s">
        <v>5794</v>
      </c>
      <c r="AC1931" s="81" t="s">
        <v>5823</v>
      </c>
      <c r="AD1931" s="77" t="s">
        <v>5850</v>
      </c>
      <c r="AE1931" s="83" t="str">
        <f>HYPERLINK("https://twitter.com/diegocandi/status/1621172109241159681")</f>
        <v>https://twitter.com/diegocandi/status/1621172109241159681</v>
      </c>
      <c r="AF1931" s="79">
        <v>44959.654224537036</v>
      </c>
      <c r="AG1931" s="85">
        <v>44959</v>
      </c>
      <c r="AH1931" s="81" t="s">
        <v>7546</v>
      </c>
      <c r="AI1931" s="77" t="b">
        <v>0</v>
      </c>
      <c r="AJ1931" s="77"/>
      <c r="AK1931" s="77"/>
      <c r="AL1931" s="77"/>
      <c r="AM1931" s="77"/>
      <c r="AN1931" s="77"/>
      <c r="AO1931" s="77"/>
      <c r="AP1931" s="77"/>
      <c r="AQ1931" s="77" t="s">
        <v>9161</v>
      </c>
      <c r="AR1931" s="77"/>
      <c r="AS1931" s="77"/>
      <c r="AT1931" s="77"/>
      <c r="AU1931" s="77"/>
      <c r="AV1931" s="83" t="str">
        <f>HYPERLINK("https://pbs.twimg.com/media/Fn-PcRnWAAMk9Tb.png")</f>
        <v>https://pbs.twimg.com/media/Fn-PcRnWAAMk9Tb.png</v>
      </c>
      <c r="AW1931" s="81" t="s">
        <v>11043</v>
      </c>
      <c r="AX1931" s="81" t="s">
        <v>11043</v>
      </c>
      <c r="AY1931" s="77"/>
      <c r="AZ1931" s="81" t="s">
        <v>11359</v>
      </c>
      <c r="BA1931" s="81" t="s">
        <v>11359</v>
      </c>
      <c r="BB1931" s="81" t="s">
        <v>11359</v>
      </c>
      <c r="BC1931" s="81" t="s">
        <v>11043</v>
      </c>
      <c r="BD1931" s="77">
        <v>305653088</v>
      </c>
      <c r="BE1931" s="77"/>
      <c r="BF1931" s="77"/>
      <c r="BG1931" s="77"/>
      <c r="BH1931" s="77"/>
      <c r="BI1931" s="77"/>
    </row>
    <row r="1932" spans="1:61" x14ac:dyDescent="0.25">
      <c r="A1932" s="62" t="s">
        <v>793</v>
      </c>
      <c r="B1932" s="62" t="s">
        <v>793</v>
      </c>
      <c r="C1932" s="63"/>
      <c r="D1932" s="64"/>
      <c r="E1932" s="65"/>
      <c r="F1932" s="66"/>
      <c r="G1932" s="63"/>
      <c r="H1932" s="67"/>
      <c r="I1932" s="68"/>
      <c r="J1932" s="68"/>
      <c r="K1932" s="32"/>
      <c r="L1932" s="75">
        <v>1932</v>
      </c>
      <c r="M1932" s="75"/>
      <c r="N1932" s="70"/>
      <c r="O1932" s="77" t="s">
        <v>179</v>
      </c>
      <c r="P1932" s="79">
        <v>45043.890324074076</v>
      </c>
      <c r="Q1932" s="77" t="s">
        <v>2714</v>
      </c>
      <c r="R1932" s="77">
        <v>0</v>
      </c>
      <c r="S1932" s="77">
        <v>0</v>
      </c>
      <c r="T1932" s="77">
        <v>0</v>
      </c>
      <c r="U1932" s="77">
        <v>0</v>
      </c>
      <c r="V1932" s="77">
        <v>64</v>
      </c>
      <c r="W1932" s="81" t="s">
        <v>3113</v>
      </c>
      <c r="X1932" s="83" t="str">
        <f>HYPERLINK("https://patriciamurphy.com.ar/ofertas/706/detail/")</f>
        <v>https://patriciamurphy.com.ar/ofertas/706/detail/</v>
      </c>
      <c r="Y1932" s="77" t="s">
        <v>4231</v>
      </c>
      <c r="Z1932" s="77"/>
      <c r="AA1932" s="77" t="s">
        <v>5664</v>
      </c>
      <c r="AB1932" s="77" t="s">
        <v>5794</v>
      </c>
      <c r="AC1932" s="81" t="s">
        <v>5823</v>
      </c>
      <c r="AD1932" s="77" t="s">
        <v>5850</v>
      </c>
      <c r="AE1932" s="83" t="str">
        <f>HYPERLINK("https://twitter.com/diegocandi/status/1651698251878334465")</f>
        <v>https://twitter.com/diegocandi/status/1651698251878334465</v>
      </c>
      <c r="AF1932" s="79">
        <v>45043.890324074076</v>
      </c>
      <c r="AG1932" s="85">
        <v>45043</v>
      </c>
      <c r="AH1932" s="81" t="s">
        <v>7547</v>
      </c>
      <c r="AI1932" s="77" t="b">
        <v>0</v>
      </c>
      <c r="AJ1932" s="77"/>
      <c r="AK1932" s="77"/>
      <c r="AL1932" s="77"/>
      <c r="AM1932" s="77"/>
      <c r="AN1932" s="77"/>
      <c r="AO1932" s="77"/>
      <c r="AP1932" s="77"/>
      <c r="AQ1932" s="77" t="s">
        <v>9162</v>
      </c>
      <c r="AR1932" s="77"/>
      <c r="AS1932" s="77"/>
      <c r="AT1932" s="77"/>
      <c r="AU1932" s="77"/>
      <c r="AV1932" s="83" t="str">
        <f>HYPERLINK("https://pbs.twimg.com/media/FuwCzn2XoAArEox.jpg")</f>
        <v>https://pbs.twimg.com/media/FuwCzn2XoAArEox.jpg</v>
      </c>
      <c r="AW1932" s="81" t="s">
        <v>11044</v>
      </c>
      <c r="AX1932" s="81" t="s">
        <v>11044</v>
      </c>
      <c r="AY1932" s="77"/>
      <c r="AZ1932" s="81" t="s">
        <v>11359</v>
      </c>
      <c r="BA1932" s="81" t="s">
        <v>11359</v>
      </c>
      <c r="BB1932" s="81" t="s">
        <v>11359</v>
      </c>
      <c r="BC1932" s="81" t="s">
        <v>11044</v>
      </c>
      <c r="BD1932" s="77">
        <v>305653088</v>
      </c>
      <c r="BE1932" s="77"/>
      <c r="BF1932" s="77"/>
      <c r="BG1932" s="77"/>
      <c r="BH1932" s="77"/>
      <c r="BI1932" s="77"/>
    </row>
    <row r="1933" spans="1:61" x14ac:dyDescent="0.25">
      <c r="A1933" s="62" t="s">
        <v>793</v>
      </c>
      <c r="B1933" s="62" t="s">
        <v>793</v>
      </c>
      <c r="C1933" s="63"/>
      <c r="D1933" s="64"/>
      <c r="E1933" s="65"/>
      <c r="F1933" s="66"/>
      <c r="G1933" s="63"/>
      <c r="H1933" s="67"/>
      <c r="I1933" s="68"/>
      <c r="J1933" s="68"/>
      <c r="K1933" s="32"/>
      <c r="L1933" s="75">
        <v>1933</v>
      </c>
      <c r="M1933" s="75"/>
      <c r="N1933" s="70"/>
      <c r="O1933" s="77" t="s">
        <v>179</v>
      </c>
      <c r="P1933" s="79">
        <v>45006.893819444442</v>
      </c>
      <c r="Q1933" s="77" t="s">
        <v>2715</v>
      </c>
      <c r="R1933" s="77">
        <v>0</v>
      </c>
      <c r="S1933" s="77">
        <v>0</v>
      </c>
      <c r="T1933" s="77">
        <v>0</v>
      </c>
      <c r="U1933" s="77">
        <v>0</v>
      </c>
      <c r="V1933" s="77">
        <v>62</v>
      </c>
      <c r="W1933" s="81" t="s">
        <v>3113</v>
      </c>
      <c r="X1933" s="83" t="str">
        <f>HYPERLINK("https://patriciamurphy.com.ar/ofertas/706/detail/")</f>
        <v>https://patriciamurphy.com.ar/ofertas/706/detail/</v>
      </c>
      <c r="Y1933" s="77" t="s">
        <v>4231</v>
      </c>
      <c r="Z1933" s="77"/>
      <c r="AA1933" s="77" t="s">
        <v>5665</v>
      </c>
      <c r="AB1933" s="77" t="s">
        <v>5794</v>
      </c>
      <c r="AC1933" s="81" t="s">
        <v>5823</v>
      </c>
      <c r="AD1933" s="77" t="s">
        <v>5850</v>
      </c>
      <c r="AE1933" s="83" t="str">
        <f>HYPERLINK("https://twitter.com/diegocandi/status/1638291166490943488")</f>
        <v>https://twitter.com/diegocandi/status/1638291166490943488</v>
      </c>
      <c r="AF1933" s="79">
        <v>45006.893819444442</v>
      </c>
      <c r="AG1933" s="85">
        <v>45006</v>
      </c>
      <c r="AH1933" s="81" t="s">
        <v>7548</v>
      </c>
      <c r="AI1933" s="77" t="b">
        <v>0</v>
      </c>
      <c r="AJ1933" s="77"/>
      <c r="AK1933" s="77"/>
      <c r="AL1933" s="77"/>
      <c r="AM1933" s="77"/>
      <c r="AN1933" s="77"/>
      <c r="AO1933" s="77"/>
      <c r="AP1933" s="77"/>
      <c r="AQ1933" s="77" t="s">
        <v>9163</v>
      </c>
      <c r="AR1933" s="77"/>
      <c r="AS1933" s="77"/>
      <c r="AT1933" s="77"/>
      <c r="AU1933" s="77"/>
      <c r="AV1933" s="83" t="str">
        <f>HYPERLINK("https://pbs.twimg.com/media/FrxhIeJWcAIqO7d.jpg")</f>
        <v>https://pbs.twimg.com/media/FrxhIeJWcAIqO7d.jpg</v>
      </c>
      <c r="AW1933" s="81" t="s">
        <v>11045</v>
      </c>
      <c r="AX1933" s="81" t="s">
        <v>11045</v>
      </c>
      <c r="AY1933" s="77"/>
      <c r="AZ1933" s="81" t="s">
        <v>11359</v>
      </c>
      <c r="BA1933" s="81" t="s">
        <v>11359</v>
      </c>
      <c r="BB1933" s="81" t="s">
        <v>11359</v>
      </c>
      <c r="BC1933" s="81" t="s">
        <v>11045</v>
      </c>
      <c r="BD1933" s="77">
        <v>305653088</v>
      </c>
      <c r="BE1933" s="77"/>
      <c r="BF1933" s="77"/>
      <c r="BG1933" s="77"/>
      <c r="BH1933" s="77"/>
      <c r="BI1933" s="77"/>
    </row>
    <row r="1934" spans="1:61" x14ac:dyDescent="0.25">
      <c r="A1934" s="62" t="s">
        <v>793</v>
      </c>
      <c r="B1934" s="62" t="s">
        <v>793</v>
      </c>
      <c r="C1934" s="63"/>
      <c r="D1934" s="64"/>
      <c r="E1934" s="65"/>
      <c r="F1934" s="66"/>
      <c r="G1934" s="63"/>
      <c r="H1934" s="67"/>
      <c r="I1934" s="68"/>
      <c r="J1934" s="68"/>
      <c r="K1934" s="32"/>
      <c r="L1934" s="75">
        <v>1934</v>
      </c>
      <c r="M1934" s="75"/>
      <c r="N1934" s="70"/>
      <c r="O1934" s="77" t="s">
        <v>179</v>
      </c>
      <c r="P1934" s="79">
        <v>45035.984074074076</v>
      </c>
      <c r="Q1934" s="77" t="s">
        <v>2716</v>
      </c>
      <c r="R1934" s="77">
        <v>0</v>
      </c>
      <c r="S1934" s="77">
        <v>0</v>
      </c>
      <c r="T1934" s="77">
        <v>0</v>
      </c>
      <c r="U1934" s="77">
        <v>0</v>
      </c>
      <c r="V1934" s="77">
        <v>63</v>
      </c>
      <c r="W1934" s="81" t="s">
        <v>3113</v>
      </c>
      <c r="X1934" s="83" t="str">
        <f>HYPERLINK("https://patriciamurphy.com.ar/ofertas/706/detail/")</f>
        <v>https://patriciamurphy.com.ar/ofertas/706/detail/</v>
      </c>
      <c r="Y1934" s="77" t="s">
        <v>4231</v>
      </c>
      <c r="Z1934" s="77"/>
      <c r="AA1934" s="77" t="s">
        <v>5666</v>
      </c>
      <c r="AB1934" s="77" t="s">
        <v>5794</v>
      </c>
      <c r="AC1934" s="81" t="s">
        <v>5823</v>
      </c>
      <c r="AD1934" s="77" t="s">
        <v>5850</v>
      </c>
      <c r="AE1934" s="83" t="str">
        <f>HYPERLINK("https://twitter.com/diegocandi/status/1648833119980597248")</f>
        <v>https://twitter.com/diegocandi/status/1648833119980597248</v>
      </c>
      <c r="AF1934" s="79">
        <v>45035.984074074076</v>
      </c>
      <c r="AG1934" s="85">
        <v>45035</v>
      </c>
      <c r="AH1934" s="81" t="s">
        <v>7549</v>
      </c>
      <c r="AI1934" s="77" t="b">
        <v>0</v>
      </c>
      <c r="AJ1934" s="77"/>
      <c r="AK1934" s="77"/>
      <c r="AL1934" s="77"/>
      <c r="AM1934" s="77"/>
      <c r="AN1934" s="77"/>
      <c r="AO1934" s="77"/>
      <c r="AP1934" s="77"/>
      <c r="AQ1934" s="77" t="s">
        <v>9164</v>
      </c>
      <c r="AR1934" s="77"/>
      <c r="AS1934" s="77"/>
      <c r="AT1934" s="77"/>
      <c r="AU1934" s="77"/>
      <c r="AV1934" s="83" t="str">
        <f>HYPERLINK("https://pbs.twimg.com/media/FuHU-9aWcAEEZ22.jpg")</f>
        <v>https://pbs.twimg.com/media/FuHU-9aWcAEEZ22.jpg</v>
      </c>
      <c r="AW1934" s="81" t="s">
        <v>11046</v>
      </c>
      <c r="AX1934" s="81" t="s">
        <v>11046</v>
      </c>
      <c r="AY1934" s="77"/>
      <c r="AZ1934" s="81" t="s">
        <v>11359</v>
      </c>
      <c r="BA1934" s="81" t="s">
        <v>11359</v>
      </c>
      <c r="BB1934" s="81" t="s">
        <v>11359</v>
      </c>
      <c r="BC1934" s="81" t="s">
        <v>11046</v>
      </c>
      <c r="BD1934" s="77">
        <v>305653088</v>
      </c>
      <c r="BE1934" s="77"/>
      <c r="BF1934" s="77"/>
      <c r="BG1934" s="77"/>
      <c r="BH1934" s="77"/>
      <c r="BI1934" s="77"/>
    </row>
    <row r="1935" spans="1:61" x14ac:dyDescent="0.25">
      <c r="A1935" s="62" t="s">
        <v>793</v>
      </c>
      <c r="B1935" s="62" t="s">
        <v>793</v>
      </c>
      <c r="C1935" s="63"/>
      <c r="D1935" s="64"/>
      <c r="E1935" s="65"/>
      <c r="F1935" s="66"/>
      <c r="G1935" s="63"/>
      <c r="H1935" s="67"/>
      <c r="I1935" s="68"/>
      <c r="J1935" s="68"/>
      <c r="K1935" s="32"/>
      <c r="L1935" s="75">
        <v>1935</v>
      </c>
      <c r="M1935" s="75"/>
      <c r="N1935" s="70"/>
      <c r="O1935" s="77" t="s">
        <v>179</v>
      </c>
      <c r="P1935" s="79">
        <v>44998.675081018519</v>
      </c>
      <c r="Q1935" s="77" t="s">
        <v>2717</v>
      </c>
      <c r="R1935" s="77">
        <v>0</v>
      </c>
      <c r="S1935" s="77">
        <v>0</v>
      </c>
      <c r="T1935" s="77">
        <v>0</v>
      </c>
      <c r="U1935" s="77">
        <v>0</v>
      </c>
      <c r="V1935" s="77">
        <v>23</v>
      </c>
      <c r="W1935" s="81" t="s">
        <v>3114</v>
      </c>
      <c r="X1935" s="83" t="str">
        <f>HYPERLINK("https://patriciamurphy.com.ar/ofertas/635/detail/")</f>
        <v>https://patriciamurphy.com.ar/ofertas/635/detail/</v>
      </c>
      <c r="Y1935" s="77" t="s">
        <v>4231</v>
      </c>
      <c r="Z1935" s="77"/>
      <c r="AA1935" s="77" t="s">
        <v>5667</v>
      </c>
      <c r="AB1935" s="77" t="s">
        <v>5794</v>
      </c>
      <c r="AC1935" s="81" t="s">
        <v>5823</v>
      </c>
      <c r="AD1935" s="77" t="s">
        <v>5850</v>
      </c>
      <c r="AE1935" s="83" t="str">
        <f>HYPERLINK("https://twitter.com/diegocandi/status/1635312796270489600")</f>
        <v>https://twitter.com/diegocandi/status/1635312796270489600</v>
      </c>
      <c r="AF1935" s="79">
        <v>44998.675081018519</v>
      </c>
      <c r="AG1935" s="85">
        <v>44998</v>
      </c>
      <c r="AH1935" s="81" t="s">
        <v>7550</v>
      </c>
      <c r="AI1935" s="77" t="b">
        <v>0</v>
      </c>
      <c r="AJ1935" s="77"/>
      <c r="AK1935" s="77"/>
      <c r="AL1935" s="77"/>
      <c r="AM1935" s="77"/>
      <c r="AN1935" s="77"/>
      <c r="AO1935" s="77"/>
      <c r="AP1935" s="77"/>
      <c r="AQ1935" s="77" t="s">
        <v>9165</v>
      </c>
      <c r="AR1935" s="77"/>
      <c r="AS1935" s="77"/>
      <c r="AT1935" s="77"/>
      <c r="AU1935" s="77"/>
      <c r="AV1935" s="83" t="str">
        <f>HYPERLINK("https://pbs.twimg.com/media/FrHMUHYWcAQ-bSU.png")</f>
        <v>https://pbs.twimg.com/media/FrHMUHYWcAQ-bSU.png</v>
      </c>
      <c r="AW1935" s="81" t="s">
        <v>11047</v>
      </c>
      <c r="AX1935" s="81" t="s">
        <v>11047</v>
      </c>
      <c r="AY1935" s="77"/>
      <c r="AZ1935" s="81" t="s">
        <v>11359</v>
      </c>
      <c r="BA1935" s="81" t="s">
        <v>11359</v>
      </c>
      <c r="BB1935" s="81" t="s">
        <v>11359</v>
      </c>
      <c r="BC1935" s="81" t="s">
        <v>11047</v>
      </c>
      <c r="BD1935" s="77">
        <v>305653088</v>
      </c>
      <c r="BE1935" s="77"/>
      <c r="BF1935" s="77"/>
      <c r="BG1935" s="77"/>
      <c r="BH1935" s="77"/>
      <c r="BI1935" s="77"/>
    </row>
    <row r="1936" spans="1:61" x14ac:dyDescent="0.25">
      <c r="A1936" s="62" t="s">
        <v>793</v>
      </c>
      <c r="B1936" s="62" t="s">
        <v>793</v>
      </c>
      <c r="C1936" s="63"/>
      <c r="D1936" s="64"/>
      <c r="E1936" s="65"/>
      <c r="F1936" s="66"/>
      <c r="G1936" s="63"/>
      <c r="H1936" s="67"/>
      <c r="I1936" s="68"/>
      <c r="J1936" s="68"/>
      <c r="K1936" s="32"/>
      <c r="L1936" s="75">
        <v>1936</v>
      </c>
      <c r="M1936" s="75"/>
      <c r="N1936" s="70"/>
      <c r="O1936" s="77" t="s">
        <v>179</v>
      </c>
      <c r="P1936" s="79">
        <v>44995.893784722219</v>
      </c>
      <c r="Q1936" s="77" t="s">
        <v>2718</v>
      </c>
      <c r="R1936" s="77">
        <v>0</v>
      </c>
      <c r="S1936" s="77">
        <v>0</v>
      </c>
      <c r="T1936" s="77">
        <v>0</v>
      </c>
      <c r="U1936" s="77">
        <v>0</v>
      </c>
      <c r="V1936" s="77">
        <v>23</v>
      </c>
      <c r="W1936" s="81" t="s">
        <v>3111</v>
      </c>
      <c r="X1936" s="83" t="str">
        <f>HYPERLINK("https://patriciamurphy.com.ar/ofertas/636/detail/")</f>
        <v>https://patriciamurphy.com.ar/ofertas/636/detail/</v>
      </c>
      <c r="Y1936" s="77" t="s">
        <v>4231</v>
      </c>
      <c r="Z1936" s="77"/>
      <c r="AA1936" s="77" t="s">
        <v>5668</v>
      </c>
      <c r="AB1936" s="77" t="s">
        <v>5794</v>
      </c>
      <c r="AC1936" s="81" t="s">
        <v>5823</v>
      </c>
      <c r="AD1936" s="77" t="s">
        <v>5850</v>
      </c>
      <c r="AE1936" s="83" t="str">
        <f>HYPERLINK("https://twitter.com/diegocandi/status/1634304887579107328")</f>
        <v>https://twitter.com/diegocandi/status/1634304887579107328</v>
      </c>
      <c r="AF1936" s="79">
        <v>44995.893784722219</v>
      </c>
      <c r="AG1936" s="85">
        <v>44995</v>
      </c>
      <c r="AH1936" s="81" t="s">
        <v>7551</v>
      </c>
      <c r="AI1936" s="77" t="b">
        <v>0</v>
      </c>
      <c r="AJ1936" s="77"/>
      <c r="AK1936" s="77"/>
      <c r="AL1936" s="77"/>
      <c r="AM1936" s="77"/>
      <c r="AN1936" s="77"/>
      <c r="AO1936" s="77"/>
      <c r="AP1936" s="77"/>
      <c r="AQ1936" s="77" t="s">
        <v>9166</v>
      </c>
      <c r="AR1936" s="77"/>
      <c r="AS1936" s="77"/>
      <c r="AT1936" s="77"/>
      <c r="AU1936" s="77"/>
      <c r="AV1936" s="83" t="str">
        <f>HYPERLINK("https://pbs.twimg.com/media/Fq43opPXoAIEVYy.png")</f>
        <v>https://pbs.twimg.com/media/Fq43opPXoAIEVYy.png</v>
      </c>
      <c r="AW1936" s="81" t="s">
        <v>11048</v>
      </c>
      <c r="AX1936" s="81" t="s">
        <v>11048</v>
      </c>
      <c r="AY1936" s="77"/>
      <c r="AZ1936" s="81" t="s">
        <v>11359</v>
      </c>
      <c r="BA1936" s="81" t="s">
        <v>11359</v>
      </c>
      <c r="BB1936" s="81" t="s">
        <v>11359</v>
      </c>
      <c r="BC1936" s="81" t="s">
        <v>11048</v>
      </c>
      <c r="BD1936" s="77">
        <v>305653088</v>
      </c>
      <c r="BE1936" s="77"/>
      <c r="BF1936" s="77"/>
      <c r="BG1936" s="77"/>
      <c r="BH1936" s="77"/>
      <c r="BI1936" s="77"/>
    </row>
    <row r="1937" spans="1:61" x14ac:dyDescent="0.25">
      <c r="A1937" s="62" t="s">
        <v>794</v>
      </c>
      <c r="B1937" s="62" t="s">
        <v>794</v>
      </c>
      <c r="C1937" s="63"/>
      <c r="D1937" s="64"/>
      <c r="E1937" s="65"/>
      <c r="F1937" s="66"/>
      <c r="G1937" s="63"/>
      <c r="H1937" s="67"/>
      <c r="I1937" s="68"/>
      <c r="J1937" s="68"/>
      <c r="K1937" s="32"/>
      <c r="L1937" s="75">
        <v>1937</v>
      </c>
      <c r="M1937" s="75"/>
      <c r="N1937" s="70"/>
      <c r="O1937" s="77" t="s">
        <v>179</v>
      </c>
      <c r="P1937" s="79">
        <v>45097.664652777778</v>
      </c>
      <c r="Q1937" s="77" t="s">
        <v>2719</v>
      </c>
      <c r="R1937" s="77">
        <v>0</v>
      </c>
      <c r="S1937" s="77">
        <v>1</v>
      </c>
      <c r="T1937" s="77">
        <v>1</v>
      </c>
      <c r="U1937" s="77">
        <v>0</v>
      </c>
      <c r="V1937" s="77">
        <v>24</v>
      </c>
      <c r="W1937" s="81" t="s">
        <v>4001</v>
      </c>
      <c r="X1937" s="77"/>
      <c r="Y1937" s="77"/>
      <c r="Z1937" s="77"/>
      <c r="AA1937" s="77" t="s">
        <v>5669</v>
      </c>
      <c r="AB1937" s="77" t="s">
        <v>5794</v>
      </c>
      <c r="AC1937" s="81" t="s">
        <v>5805</v>
      </c>
      <c r="AD1937" s="77" t="s">
        <v>5850</v>
      </c>
      <c r="AE1937" s="83" t="str">
        <f>HYPERLINK("https://twitter.com/choby03/status/1671185415800225792")</f>
        <v>https://twitter.com/choby03/status/1671185415800225792</v>
      </c>
      <c r="AF1937" s="79">
        <v>45097.664652777778</v>
      </c>
      <c r="AG1937" s="85">
        <v>45097</v>
      </c>
      <c r="AH1937" s="81" t="s">
        <v>7552</v>
      </c>
      <c r="AI1937" s="77" t="b">
        <v>0</v>
      </c>
      <c r="AJ1937" s="77"/>
      <c r="AK1937" s="77"/>
      <c r="AL1937" s="77"/>
      <c r="AM1937" s="77"/>
      <c r="AN1937" s="77"/>
      <c r="AO1937" s="77"/>
      <c r="AP1937" s="77"/>
      <c r="AQ1937" s="77" t="s">
        <v>9167</v>
      </c>
      <c r="AR1937" s="77"/>
      <c r="AS1937" s="77"/>
      <c r="AT1937" s="77"/>
      <c r="AU1937" s="77"/>
      <c r="AV1937" s="83" t="str">
        <f>HYPERLINK("https://pbs.twimg.com/media/FzE9jJBXgAIPLfn.jpg")</f>
        <v>https://pbs.twimg.com/media/FzE9jJBXgAIPLfn.jpg</v>
      </c>
      <c r="AW1937" s="81" t="s">
        <v>11049</v>
      </c>
      <c r="AX1937" s="81" t="s">
        <v>11049</v>
      </c>
      <c r="AY1937" s="77"/>
      <c r="AZ1937" s="81" t="s">
        <v>11359</v>
      </c>
      <c r="BA1937" s="81" t="s">
        <v>11359</v>
      </c>
      <c r="BB1937" s="81" t="s">
        <v>11359</v>
      </c>
      <c r="BC1937" s="81" t="s">
        <v>11049</v>
      </c>
      <c r="BD1937" s="77">
        <v>179595367</v>
      </c>
      <c r="BE1937" s="77"/>
      <c r="BF1937" s="77"/>
      <c r="BG1937" s="77"/>
      <c r="BH1937" s="77"/>
      <c r="BI1937" s="77"/>
    </row>
    <row r="1938" spans="1:61" x14ac:dyDescent="0.25">
      <c r="A1938" s="62" t="s">
        <v>794</v>
      </c>
      <c r="B1938" s="62" t="s">
        <v>794</v>
      </c>
      <c r="C1938" s="63"/>
      <c r="D1938" s="64"/>
      <c r="E1938" s="65"/>
      <c r="F1938" s="66"/>
      <c r="G1938" s="63"/>
      <c r="H1938" s="67"/>
      <c r="I1938" s="68"/>
      <c r="J1938" s="68"/>
      <c r="K1938" s="32"/>
      <c r="L1938" s="75">
        <v>1938</v>
      </c>
      <c r="M1938" s="75"/>
      <c r="N1938" s="70"/>
      <c r="O1938" s="77" t="s">
        <v>179</v>
      </c>
      <c r="P1938" s="79">
        <v>45105.725127314814</v>
      </c>
      <c r="Q1938" s="77" t="s">
        <v>2720</v>
      </c>
      <c r="R1938" s="77">
        <v>0</v>
      </c>
      <c r="S1938" s="77">
        <v>1</v>
      </c>
      <c r="T1938" s="77">
        <v>1</v>
      </c>
      <c r="U1938" s="77">
        <v>0</v>
      </c>
      <c r="V1938" s="77">
        <v>16</v>
      </c>
      <c r="W1938" s="81" t="s">
        <v>4002</v>
      </c>
      <c r="X1938" s="83" t="str">
        <f>HYPERLINK("https://www.youtube.com/watch?v=TJ5U37MkA2E")</f>
        <v>https://www.youtube.com/watch?v=TJ5U37MkA2E</v>
      </c>
      <c r="Y1938" s="77" t="s">
        <v>4225</v>
      </c>
      <c r="Z1938" s="77"/>
      <c r="AA1938" s="77"/>
      <c r="AB1938" s="77"/>
      <c r="AC1938" s="81" t="s">
        <v>5805</v>
      </c>
      <c r="AD1938" s="77" t="s">
        <v>5850</v>
      </c>
      <c r="AE1938" s="83" t="str">
        <f>HYPERLINK("https://twitter.com/choby03/status/1674106433355251718")</f>
        <v>https://twitter.com/choby03/status/1674106433355251718</v>
      </c>
      <c r="AF1938" s="79">
        <v>45105.725127314814</v>
      </c>
      <c r="AG1938" s="85">
        <v>45105</v>
      </c>
      <c r="AH1938" s="81" t="s">
        <v>7553</v>
      </c>
      <c r="AI1938" s="77" t="b">
        <v>0</v>
      </c>
      <c r="AJ1938" s="77"/>
      <c r="AK1938" s="77"/>
      <c r="AL1938" s="77"/>
      <c r="AM1938" s="77"/>
      <c r="AN1938" s="77"/>
      <c r="AO1938" s="77"/>
      <c r="AP1938" s="77"/>
      <c r="AQ1938" s="77"/>
      <c r="AR1938" s="77"/>
      <c r="AS1938" s="77"/>
      <c r="AT1938" s="77"/>
      <c r="AU1938" s="77"/>
      <c r="AV1938" s="83" t="str">
        <f>HYPERLINK("https://pbs.twimg.com/profile_images/956917300518641665/w9a7WeFL_normal.jpg")</f>
        <v>https://pbs.twimg.com/profile_images/956917300518641665/w9a7WeFL_normal.jpg</v>
      </c>
      <c r="AW1938" s="81" t="s">
        <v>11050</v>
      </c>
      <c r="AX1938" s="81" t="s">
        <v>11050</v>
      </c>
      <c r="AY1938" s="77"/>
      <c r="AZ1938" s="81" t="s">
        <v>11359</v>
      </c>
      <c r="BA1938" s="81" t="s">
        <v>11359</v>
      </c>
      <c r="BB1938" s="81" t="s">
        <v>11359</v>
      </c>
      <c r="BC1938" s="81" t="s">
        <v>11050</v>
      </c>
      <c r="BD1938" s="77">
        <v>179595367</v>
      </c>
      <c r="BE1938" s="77"/>
      <c r="BF1938" s="77"/>
      <c r="BG1938" s="77"/>
      <c r="BH1938" s="77"/>
      <c r="BI1938" s="77"/>
    </row>
    <row r="1939" spans="1:61" x14ac:dyDescent="0.25">
      <c r="A1939" s="62" t="s">
        <v>794</v>
      </c>
      <c r="B1939" s="62" t="s">
        <v>794</v>
      </c>
      <c r="C1939" s="63"/>
      <c r="D1939" s="64"/>
      <c r="E1939" s="65"/>
      <c r="F1939" s="66"/>
      <c r="G1939" s="63"/>
      <c r="H1939" s="67"/>
      <c r="I1939" s="68"/>
      <c r="J1939" s="68"/>
      <c r="K1939" s="32"/>
      <c r="L1939" s="75">
        <v>1939</v>
      </c>
      <c r="M1939" s="75"/>
      <c r="N1939" s="70"/>
      <c r="O1939" s="77" t="s">
        <v>179</v>
      </c>
      <c r="P1939" s="79">
        <v>45106.695231481484</v>
      </c>
      <c r="Q1939" s="77" t="s">
        <v>2721</v>
      </c>
      <c r="R1939" s="77">
        <v>1</v>
      </c>
      <c r="S1939" s="77">
        <v>2</v>
      </c>
      <c r="T1939" s="77">
        <v>1</v>
      </c>
      <c r="U1939" s="77">
        <v>0</v>
      </c>
      <c r="V1939" s="77">
        <v>21</v>
      </c>
      <c r="W1939" s="81" t="s">
        <v>2947</v>
      </c>
      <c r="X1939" s="77"/>
      <c r="Y1939" s="77"/>
      <c r="Z1939" s="77"/>
      <c r="AA1939" s="77" t="s">
        <v>5670</v>
      </c>
      <c r="AB1939" s="77" t="s">
        <v>5794</v>
      </c>
      <c r="AC1939" s="81" t="s">
        <v>5805</v>
      </c>
      <c r="AD1939" s="77" t="s">
        <v>5850</v>
      </c>
      <c r="AE1939" s="83" t="str">
        <f>HYPERLINK("https://twitter.com/choby03/status/1674457984506769411")</f>
        <v>https://twitter.com/choby03/status/1674457984506769411</v>
      </c>
      <c r="AF1939" s="79">
        <v>45106.695231481484</v>
      </c>
      <c r="AG1939" s="85">
        <v>45106</v>
      </c>
      <c r="AH1939" s="81" t="s">
        <v>7554</v>
      </c>
      <c r="AI1939" s="77" t="b">
        <v>0</v>
      </c>
      <c r="AJ1939" s="77"/>
      <c r="AK1939" s="77"/>
      <c r="AL1939" s="77"/>
      <c r="AM1939" s="77"/>
      <c r="AN1939" s="77"/>
      <c r="AO1939" s="77"/>
      <c r="AP1939" s="77"/>
      <c r="AQ1939" s="77" t="s">
        <v>9168</v>
      </c>
      <c r="AR1939" s="77"/>
      <c r="AS1939" s="77"/>
      <c r="AT1939" s="77"/>
      <c r="AU1939" s="77"/>
      <c r="AV1939" s="83" t="str">
        <f>HYPERLINK("https://pbs.twimg.com/media/FzzehUJWcAAjgJl.jpg")</f>
        <v>https://pbs.twimg.com/media/FzzehUJWcAAjgJl.jpg</v>
      </c>
      <c r="AW1939" s="81" t="s">
        <v>11051</v>
      </c>
      <c r="AX1939" s="81" t="s">
        <v>11051</v>
      </c>
      <c r="AY1939" s="77"/>
      <c r="AZ1939" s="81" t="s">
        <v>11359</v>
      </c>
      <c r="BA1939" s="81" t="s">
        <v>11359</v>
      </c>
      <c r="BB1939" s="81" t="s">
        <v>11359</v>
      </c>
      <c r="BC1939" s="81" t="s">
        <v>11051</v>
      </c>
      <c r="BD1939" s="77">
        <v>179595367</v>
      </c>
      <c r="BE1939" s="77"/>
      <c r="BF1939" s="77"/>
      <c r="BG1939" s="77"/>
      <c r="BH1939" s="77"/>
      <c r="BI1939" s="77"/>
    </row>
    <row r="1940" spans="1:61" x14ac:dyDescent="0.25">
      <c r="A1940" s="62" t="s">
        <v>794</v>
      </c>
      <c r="B1940" s="62" t="s">
        <v>794</v>
      </c>
      <c r="C1940" s="63"/>
      <c r="D1940" s="64"/>
      <c r="E1940" s="65"/>
      <c r="F1940" s="66"/>
      <c r="G1940" s="63"/>
      <c r="H1940" s="67"/>
      <c r="I1940" s="68"/>
      <c r="J1940" s="68"/>
      <c r="K1940" s="32"/>
      <c r="L1940" s="75">
        <v>1940</v>
      </c>
      <c r="M1940" s="75"/>
      <c r="N1940" s="70"/>
      <c r="O1940" s="77" t="s">
        <v>179</v>
      </c>
      <c r="P1940" s="79">
        <v>45104.692627314813</v>
      </c>
      <c r="Q1940" s="77" t="s">
        <v>2722</v>
      </c>
      <c r="R1940" s="77">
        <v>0</v>
      </c>
      <c r="S1940" s="77">
        <v>1</v>
      </c>
      <c r="T1940" s="77">
        <v>1</v>
      </c>
      <c r="U1940" s="77">
        <v>0</v>
      </c>
      <c r="V1940" s="77">
        <v>13</v>
      </c>
      <c r="W1940" s="81" t="s">
        <v>4003</v>
      </c>
      <c r="X1940" s="77"/>
      <c r="Y1940" s="77"/>
      <c r="Z1940" s="77"/>
      <c r="AA1940" s="77" t="s">
        <v>5671</v>
      </c>
      <c r="AB1940" s="77" t="s">
        <v>5794</v>
      </c>
      <c r="AC1940" s="81" t="s">
        <v>5805</v>
      </c>
      <c r="AD1940" s="77" t="s">
        <v>5850</v>
      </c>
      <c r="AE1940" s="83" t="str">
        <f>HYPERLINK("https://twitter.com/choby03/status/1673732266718031872")</f>
        <v>https://twitter.com/choby03/status/1673732266718031872</v>
      </c>
      <c r="AF1940" s="79">
        <v>45104.692627314813</v>
      </c>
      <c r="AG1940" s="85">
        <v>45104</v>
      </c>
      <c r="AH1940" s="81" t="s">
        <v>7555</v>
      </c>
      <c r="AI1940" s="77" t="b">
        <v>0</v>
      </c>
      <c r="AJ1940" s="77"/>
      <c r="AK1940" s="77"/>
      <c r="AL1940" s="77"/>
      <c r="AM1940" s="77"/>
      <c r="AN1940" s="77"/>
      <c r="AO1940" s="77"/>
      <c r="AP1940" s="77"/>
      <c r="AQ1940" s="77" t="s">
        <v>9169</v>
      </c>
      <c r="AR1940" s="77"/>
      <c r="AS1940" s="77"/>
      <c r="AT1940" s="77"/>
      <c r="AU1940" s="77"/>
      <c r="AV1940" s="83" t="str">
        <f>HYPERLINK("https://pbs.twimg.com/media/FzpKZnuXwBIcnWP.jpg")</f>
        <v>https://pbs.twimg.com/media/FzpKZnuXwBIcnWP.jpg</v>
      </c>
      <c r="AW1940" s="81" t="s">
        <v>11052</v>
      </c>
      <c r="AX1940" s="81" t="s">
        <v>11052</v>
      </c>
      <c r="AY1940" s="77"/>
      <c r="AZ1940" s="81" t="s">
        <v>11359</v>
      </c>
      <c r="BA1940" s="81" t="s">
        <v>11359</v>
      </c>
      <c r="BB1940" s="81" t="s">
        <v>11359</v>
      </c>
      <c r="BC1940" s="81" t="s">
        <v>11052</v>
      </c>
      <c r="BD1940" s="77">
        <v>179595367</v>
      </c>
      <c r="BE1940" s="77"/>
      <c r="BF1940" s="77"/>
      <c r="BG1940" s="77"/>
      <c r="BH1940" s="77"/>
      <c r="BI1940" s="77"/>
    </row>
    <row r="1941" spans="1:61" x14ac:dyDescent="0.25">
      <c r="A1941" s="62" t="s">
        <v>794</v>
      </c>
      <c r="B1941" s="62" t="s">
        <v>794</v>
      </c>
      <c r="C1941" s="63"/>
      <c r="D1941" s="64"/>
      <c r="E1941" s="65"/>
      <c r="F1941" s="66"/>
      <c r="G1941" s="63"/>
      <c r="H1941" s="67"/>
      <c r="I1941" s="68"/>
      <c r="J1941" s="68"/>
      <c r="K1941" s="32"/>
      <c r="L1941" s="75">
        <v>1941</v>
      </c>
      <c r="M1941" s="75"/>
      <c r="N1941" s="70"/>
      <c r="O1941" s="77" t="s">
        <v>179</v>
      </c>
      <c r="P1941" s="79">
        <v>45103.67523148148</v>
      </c>
      <c r="Q1941" s="77" t="s">
        <v>2723</v>
      </c>
      <c r="R1941" s="77">
        <v>0</v>
      </c>
      <c r="S1941" s="77">
        <v>1</v>
      </c>
      <c r="T1941" s="77">
        <v>1</v>
      </c>
      <c r="U1941" s="77">
        <v>0</v>
      </c>
      <c r="V1941" s="77">
        <v>20</v>
      </c>
      <c r="W1941" s="81" t="s">
        <v>4004</v>
      </c>
      <c r="X1941" s="77"/>
      <c r="Y1941" s="77"/>
      <c r="Z1941" s="77"/>
      <c r="AA1941" s="77" t="s">
        <v>5672</v>
      </c>
      <c r="AB1941" s="77" t="s">
        <v>5794</v>
      </c>
      <c r="AC1941" s="81" t="s">
        <v>5805</v>
      </c>
      <c r="AD1941" s="77" t="s">
        <v>5850</v>
      </c>
      <c r="AE1941" s="83" t="str">
        <f>HYPERLINK("https://twitter.com/choby03/status/1673363573064515584")</f>
        <v>https://twitter.com/choby03/status/1673363573064515584</v>
      </c>
      <c r="AF1941" s="79">
        <v>45103.67523148148</v>
      </c>
      <c r="AG1941" s="85">
        <v>45103</v>
      </c>
      <c r="AH1941" s="81" t="s">
        <v>7556</v>
      </c>
      <c r="AI1941" s="77" t="b">
        <v>0</v>
      </c>
      <c r="AJ1941" s="77"/>
      <c r="AK1941" s="77"/>
      <c r="AL1941" s="77"/>
      <c r="AM1941" s="77"/>
      <c r="AN1941" s="77"/>
      <c r="AO1941" s="77"/>
      <c r="AP1941" s="77"/>
      <c r="AQ1941" s="77" t="s">
        <v>9170</v>
      </c>
      <c r="AR1941" s="77"/>
      <c r="AS1941" s="77"/>
      <c r="AT1941" s="77"/>
      <c r="AU1941" s="77"/>
      <c r="AV1941" s="83" t="str">
        <f>HYPERLINK("https://pbs.twimg.com/media/Fzj6nVOXgAAH4I-.jpg")</f>
        <v>https://pbs.twimg.com/media/Fzj6nVOXgAAH4I-.jpg</v>
      </c>
      <c r="AW1941" s="81" t="s">
        <v>11053</v>
      </c>
      <c r="AX1941" s="81" t="s">
        <v>11053</v>
      </c>
      <c r="AY1941" s="77"/>
      <c r="AZ1941" s="81" t="s">
        <v>11359</v>
      </c>
      <c r="BA1941" s="81" t="s">
        <v>11359</v>
      </c>
      <c r="BB1941" s="81" t="s">
        <v>11359</v>
      </c>
      <c r="BC1941" s="81" t="s">
        <v>11053</v>
      </c>
      <c r="BD1941" s="77">
        <v>179595367</v>
      </c>
      <c r="BE1941" s="77"/>
      <c r="BF1941" s="77"/>
      <c r="BG1941" s="77"/>
      <c r="BH1941" s="77"/>
      <c r="BI1941" s="77"/>
    </row>
    <row r="1942" spans="1:61" x14ac:dyDescent="0.25">
      <c r="A1942" s="62" t="s">
        <v>794</v>
      </c>
      <c r="B1942" s="62" t="s">
        <v>794</v>
      </c>
      <c r="C1942" s="63"/>
      <c r="D1942" s="64"/>
      <c r="E1942" s="65"/>
      <c r="F1942" s="66"/>
      <c r="G1942" s="63"/>
      <c r="H1942" s="67"/>
      <c r="I1942" s="68"/>
      <c r="J1942" s="68"/>
      <c r="K1942" s="32"/>
      <c r="L1942" s="75">
        <v>1942</v>
      </c>
      <c r="M1942" s="75"/>
      <c r="N1942" s="70"/>
      <c r="O1942" s="77" t="s">
        <v>179</v>
      </c>
      <c r="P1942" s="79">
        <v>45062.692708333336</v>
      </c>
      <c r="Q1942" s="77" t="s">
        <v>2724</v>
      </c>
      <c r="R1942" s="77">
        <v>0</v>
      </c>
      <c r="S1942" s="77">
        <v>1</v>
      </c>
      <c r="T1942" s="77">
        <v>2</v>
      </c>
      <c r="U1942" s="77">
        <v>0</v>
      </c>
      <c r="V1942" s="77">
        <v>43</v>
      </c>
      <c r="W1942" s="81" t="s">
        <v>4005</v>
      </c>
      <c r="X1942" s="77"/>
      <c r="Y1942" s="77"/>
      <c r="Z1942" s="77"/>
      <c r="AA1942" s="77" t="s">
        <v>5673</v>
      </c>
      <c r="AB1942" s="77" t="s">
        <v>5794</v>
      </c>
      <c r="AC1942" s="81" t="s">
        <v>5805</v>
      </c>
      <c r="AD1942" s="77" t="s">
        <v>5850</v>
      </c>
      <c r="AE1942" s="83" t="str">
        <f>HYPERLINK("https://twitter.com/choby03/status/1658512007329349637")</f>
        <v>https://twitter.com/choby03/status/1658512007329349637</v>
      </c>
      <c r="AF1942" s="79">
        <v>45062.692708333336</v>
      </c>
      <c r="AG1942" s="85">
        <v>45062</v>
      </c>
      <c r="AH1942" s="81" t="s">
        <v>7557</v>
      </c>
      <c r="AI1942" s="77" t="b">
        <v>0</v>
      </c>
      <c r="AJ1942" s="77"/>
      <c r="AK1942" s="77"/>
      <c r="AL1942" s="77"/>
      <c r="AM1942" s="77"/>
      <c r="AN1942" s="77"/>
      <c r="AO1942" s="77"/>
      <c r="AP1942" s="77"/>
      <c r="AQ1942" s="77" t="s">
        <v>9171</v>
      </c>
      <c r="AR1942" s="77"/>
      <c r="AS1942" s="77"/>
      <c r="AT1942" s="77"/>
      <c r="AU1942" s="77"/>
      <c r="AV1942" s="83" t="str">
        <f>HYPERLINK("https://pbs.twimg.com/media/FwQ3GH8X0AAeuk2.jpg")</f>
        <v>https://pbs.twimg.com/media/FwQ3GH8X0AAeuk2.jpg</v>
      </c>
      <c r="AW1942" s="81" t="s">
        <v>11054</v>
      </c>
      <c r="AX1942" s="81" t="s">
        <v>11054</v>
      </c>
      <c r="AY1942" s="77"/>
      <c r="AZ1942" s="81" t="s">
        <v>11359</v>
      </c>
      <c r="BA1942" s="81" t="s">
        <v>11359</v>
      </c>
      <c r="BB1942" s="81" t="s">
        <v>11359</v>
      </c>
      <c r="BC1942" s="81" t="s">
        <v>11054</v>
      </c>
      <c r="BD1942" s="77">
        <v>179595367</v>
      </c>
      <c r="BE1942" s="77"/>
      <c r="BF1942" s="77"/>
      <c r="BG1942" s="77"/>
      <c r="BH1942" s="77"/>
      <c r="BI1942" s="77"/>
    </row>
    <row r="1943" spans="1:61" x14ac:dyDescent="0.25">
      <c r="A1943" s="62" t="s">
        <v>794</v>
      </c>
      <c r="B1943" s="62" t="s">
        <v>794</v>
      </c>
      <c r="C1943" s="63"/>
      <c r="D1943" s="64"/>
      <c r="E1943" s="65"/>
      <c r="F1943" s="66"/>
      <c r="G1943" s="63"/>
      <c r="H1943" s="67"/>
      <c r="I1943" s="68"/>
      <c r="J1943" s="68"/>
      <c r="K1943" s="32"/>
      <c r="L1943" s="75">
        <v>1943</v>
      </c>
      <c r="M1943" s="75"/>
      <c r="N1943" s="70"/>
      <c r="O1943" s="77" t="s">
        <v>969</v>
      </c>
      <c r="P1943" s="79">
        <v>45061.665891203702</v>
      </c>
      <c r="Q1943" s="77" t="s">
        <v>2725</v>
      </c>
      <c r="R1943" s="77">
        <v>0</v>
      </c>
      <c r="S1943" s="77">
        <v>1</v>
      </c>
      <c r="T1943" s="77">
        <v>2</v>
      </c>
      <c r="U1943" s="77">
        <v>0</v>
      </c>
      <c r="V1943" s="77">
        <v>4</v>
      </c>
      <c r="W1943" s="81" t="s">
        <v>2947</v>
      </c>
      <c r="X1943" s="77"/>
      <c r="Y1943" s="77"/>
      <c r="Z1943" s="77"/>
      <c r="AA1943" s="77"/>
      <c r="AB1943" s="77"/>
      <c r="AC1943" s="81" t="s">
        <v>5805</v>
      </c>
      <c r="AD1943" s="77" t="s">
        <v>5850</v>
      </c>
      <c r="AE1943" s="83" t="str">
        <f>HYPERLINK("https://twitter.com/choby03/status/1658139898208034816")</f>
        <v>https://twitter.com/choby03/status/1658139898208034816</v>
      </c>
      <c r="AF1943" s="79">
        <v>45061.665891203702</v>
      </c>
      <c r="AG1943" s="85">
        <v>45061</v>
      </c>
      <c r="AH1943" s="81" t="s">
        <v>7558</v>
      </c>
      <c r="AI1943" s="77"/>
      <c r="AJ1943" s="77"/>
      <c r="AK1943" s="77"/>
      <c r="AL1943" s="77"/>
      <c r="AM1943" s="77"/>
      <c r="AN1943" s="77"/>
      <c r="AO1943" s="77"/>
      <c r="AP1943" s="77"/>
      <c r="AQ1943" s="77"/>
      <c r="AR1943" s="77"/>
      <c r="AS1943" s="77"/>
      <c r="AT1943" s="77"/>
      <c r="AU1943" s="77"/>
      <c r="AV1943" s="83" t="str">
        <f>HYPERLINK("https://pbs.twimg.com/profile_images/956917300518641665/w9a7WeFL_normal.jpg")</f>
        <v>https://pbs.twimg.com/profile_images/956917300518641665/w9a7WeFL_normal.jpg</v>
      </c>
      <c r="AW1943" s="81" t="s">
        <v>11055</v>
      </c>
      <c r="AX1943" s="81" t="s">
        <v>11314</v>
      </c>
      <c r="AY1943" s="81" t="s">
        <v>11356</v>
      </c>
      <c r="AZ1943" s="81" t="s">
        <v>11314</v>
      </c>
      <c r="BA1943" s="81" t="s">
        <v>11359</v>
      </c>
      <c r="BB1943" s="81" t="s">
        <v>11359</v>
      </c>
      <c r="BC1943" s="81" t="s">
        <v>11314</v>
      </c>
      <c r="BD1943" s="77">
        <v>179595367</v>
      </c>
      <c r="BE1943" s="77"/>
      <c r="BF1943" s="77"/>
      <c r="BG1943" s="77"/>
      <c r="BH1943" s="77"/>
      <c r="BI1943" s="77"/>
    </row>
    <row r="1944" spans="1:61" x14ac:dyDescent="0.25">
      <c r="A1944" s="62" t="s">
        <v>795</v>
      </c>
      <c r="B1944" s="62" t="s">
        <v>795</v>
      </c>
      <c r="C1944" s="63"/>
      <c r="D1944" s="64"/>
      <c r="E1944" s="65"/>
      <c r="F1944" s="66"/>
      <c r="G1944" s="63"/>
      <c r="H1944" s="67"/>
      <c r="I1944" s="68"/>
      <c r="J1944" s="68"/>
      <c r="K1944" s="32"/>
      <c r="L1944" s="75">
        <v>1944</v>
      </c>
      <c r="M1944" s="75"/>
      <c r="N1944" s="70"/>
      <c r="O1944" s="77" t="s">
        <v>179</v>
      </c>
      <c r="P1944" s="79">
        <v>45030.308020833334</v>
      </c>
      <c r="Q1944" s="77" t="s">
        <v>2726</v>
      </c>
      <c r="R1944" s="77">
        <v>0</v>
      </c>
      <c r="S1944" s="77">
        <v>0</v>
      </c>
      <c r="T1944" s="77">
        <v>0</v>
      </c>
      <c r="U1944" s="77">
        <v>0</v>
      </c>
      <c r="V1944" s="77">
        <v>23</v>
      </c>
      <c r="W1944" s="81" t="s">
        <v>4006</v>
      </c>
      <c r="X1944" s="77" t="s">
        <v>4206</v>
      </c>
      <c r="Y1944" s="77" t="s">
        <v>4282</v>
      </c>
      <c r="Z1944" s="77"/>
      <c r="AA1944" s="77"/>
      <c r="AB1944" s="77"/>
      <c r="AC1944" s="81" t="s">
        <v>5810</v>
      </c>
      <c r="AD1944" s="77" t="s">
        <v>5850</v>
      </c>
      <c r="AE1944" s="83" t="str">
        <f>HYPERLINK("https://twitter.com/varolaura/status/1646776188516302849")</f>
        <v>https://twitter.com/varolaura/status/1646776188516302849</v>
      </c>
      <c r="AF1944" s="79">
        <v>45030.308020833334</v>
      </c>
      <c r="AG1944" s="85">
        <v>45030</v>
      </c>
      <c r="AH1944" s="81" t="s">
        <v>7559</v>
      </c>
      <c r="AI1944" s="77" t="b">
        <v>0</v>
      </c>
      <c r="AJ1944" s="77"/>
      <c r="AK1944" s="77"/>
      <c r="AL1944" s="77"/>
      <c r="AM1944" s="77"/>
      <c r="AN1944" s="77"/>
      <c r="AO1944" s="77"/>
      <c r="AP1944" s="77"/>
      <c r="AQ1944" s="77"/>
      <c r="AR1944" s="77"/>
      <c r="AS1944" s="77"/>
      <c r="AT1944" s="77"/>
      <c r="AU1944" s="77"/>
      <c r="AV1944" s="83" t="str">
        <f>HYPERLINK("https://pbs.twimg.com/profile_images/463975370610339840/YKhO0Mzo_normal.jpeg")</f>
        <v>https://pbs.twimg.com/profile_images/463975370610339840/YKhO0Mzo_normal.jpeg</v>
      </c>
      <c r="AW1944" s="81" t="s">
        <v>11056</v>
      </c>
      <c r="AX1944" s="81" t="s">
        <v>11056</v>
      </c>
      <c r="AY1944" s="77"/>
      <c r="AZ1944" s="81" t="s">
        <v>11359</v>
      </c>
      <c r="BA1944" s="81" t="s">
        <v>11359</v>
      </c>
      <c r="BB1944" s="81" t="s">
        <v>11359</v>
      </c>
      <c r="BC1944" s="81" t="s">
        <v>11056</v>
      </c>
      <c r="BD1944" s="77">
        <v>435767047</v>
      </c>
      <c r="BE1944" s="77"/>
      <c r="BF1944" s="77"/>
      <c r="BG1944" s="77"/>
      <c r="BH1944" s="77"/>
      <c r="BI1944" s="77"/>
    </row>
    <row r="1945" spans="1:61" x14ac:dyDescent="0.25">
      <c r="A1945" s="62" t="s">
        <v>795</v>
      </c>
      <c r="B1945" s="62" t="s">
        <v>795</v>
      </c>
      <c r="C1945" s="63"/>
      <c r="D1945" s="64"/>
      <c r="E1945" s="65"/>
      <c r="F1945" s="66"/>
      <c r="G1945" s="63"/>
      <c r="H1945" s="67"/>
      <c r="I1945" s="68"/>
      <c r="J1945" s="68"/>
      <c r="K1945" s="32"/>
      <c r="L1945" s="75">
        <v>1945</v>
      </c>
      <c r="M1945" s="75"/>
      <c r="N1945" s="70"/>
      <c r="O1945" s="77" t="s">
        <v>179</v>
      </c>
      <c r="P1945" s="79">
        <v>45050.408946759257</v>
      </c>
      <c r="Q1945" s="77" t="s">
        <v>2727</v>
      </c>
      <c r="R1945" s="77">
        <v>0</v>
      </c>
      <c r="S1945" s="77">
        <v>0</v>
      </c>
      <c r="T1945" s="77">
        <v>0</v>
      </c>
      <c r="U1945" s="77">
        <v>0</v>
      </c>
      <c r="V1945" s="77">
        <v>12</v>
      </c>
      <c r="W1945" s="81" t="s">
        <v>4007</v>
      </c>
      <c r="X1945" s="77" t="s">
        <v>4207</v>
      </c>
      <c r="Y1945" s="77" t="s">
        <v>4282</v>
      </c>
      <c r="Z1945" s="77"/>
      <c r="AA1945" s="77"/>
      <c r="AB1945" s="77"/>
      <c r="AC1945" s="81" t="s">
        <v>5810</v>
      </c>
      <c r="AD1945" s="77" t="s">
        <v>5850</v>
      </c>
      <c r="AE1945" s="83" t="str">
        <f>HYPERLINK("https://twitter.com/varolaura/status/1654060520318681089")</f>
        <v>https://twitter.com/varolaura/status/1654060520318681089</v>
      </c>
      <c r="AF1945" s="79">
        <v>45050.408946759257</v>
      </c>
      <c r="AG1945" s="85">
        <v>45050</v>
      </c>
      <c r="AH1945" s="81" t="s">
        <v>7560</v>
      </c>
      <c r="AI1945" s="77" t="b">
        <v>0</v>
      </c>
      <c r="AJ1945" s="77"/>
      <c r="AK1945" s="77"/>
      <c r="AL1945" s="77"/>
      <c r="AM1945" s="77"/>
      <c r="AN1945" s="77"/>
      <c r="AO1945" s="77"/>
      <c r="AP1945" s="77"/>
      <c r="AQ1945" s="77"/>
      <c r="AR1945" s="77"/>
      <c r="AS1945" s="77"/>
      <c r="AT1945" s="77"/>
      <c r="AU1945" s="77"/>
      <c r="AV1945" s="83" t="str">
        <f>HYPERLINK("https://pbs.twimg.com/profile_images/463975370610339840/YKhO0Mzo_normal.jpeg")</f>
        <v>https://pbs.twimg.com/profile_images/463975370610339840/YKhO0Mzo_normal.jpeg</v>
      </c>
      <c r="AW1945" s="81" t="s">
        <v>11057</v>
      </c>
      <c r="AX1945" s="81" t="s">
        <v>11057</v>
      </c>
      <c r="AY1945" s="77"/>
      <c r="AZ1945" s="81" t="s">
        <v>11359</v>
      </c>
      <c r="BA1945" s="81" t="s">
        <v>11359</v>
      </c>
      <c r="BB1945" s="81" t="s">
        <v>11359</v>
      </c>
      <c r="BC1945" s="81" t="s">
        <v>11057</v>
      </c>
      <c r="BD1945" s="77">
        <v>435767047</v>
      </c>
      <c r="BE1945" s="77"/>
      <c r="BF1945" s="77"/>
      <c r="BG1945" s="77"/>
      <c r="BH1945" s="77"/>
      <c r="BI1945" s="77"/>
    </row>
    <row r="1946" spans="1:61" x14ac:dyDescent="0.25">
      <c r="A1946" s="62" t="s">
        <v>795</v>
      </c>
      <c r="B1946" s="62" t="s">
        <v>795</v>
      </c>
      <c r="C1946" s="63"/>
      <c r="D1946" s="64"/>
      <c r="E1946" s="65"/>
      <c r="F1946" s="66"/>
      <c r="G1946" s="63"/>
      <c r="H1946" s="67"/>
      <c r="I1946" s="68"/>
      <c r="J1946" s="68"/>
      <c r="K1946" s="32"/>
      <c r="L1946" s="75">
        <v>1946</v>
      </c>
      <c r="M1946" s="75"/>
      <c r="N1946" s="70"/>
      <c r="O1946" s="77" t="s">
        <v>179</v>
      </c>
      <c r="P1946" s="79">
        <v>45055.34480324074</v>
      </c>
      <c r="Q1946" s="77" t="s">
        <v>2728</v>
      </c>
      <c r="R1946" s="77">
        <v>0</v>
      </c>
      <c r="S1946" s="77">
        <v>0</v>
      </c>
      <c r="T1946" s="77">
        <v>0</v>
      </c>
      <c r="U1946" s="77">
        <v>0</v>
      </c>
      <c r="V1946" s="77">
        <v>6</v>
      </c>
      <c r="W1946" s="81" t="s">
        <v>4007</v>
      </c>
      <c r="X1946" s="77" t="s">
        <v>4208</v>
      </c>
      <c r="Y1946" s="77" t="s">
        <v>4282</v>
      </c>
      <c r="Z1946" s="77"/>
      <c r="AA1946" s="77"/>
      <c r="AB1946" s="77"/>
      <c r="AC1946" s="81" t="s">
        <v>5810</v>
      </c>
      <c r="AD1946" s="77" t="s">
        <v>5850</v>
      </c>
      <c r="AE1946" s="83" t="str">
        <f>HYPERLINK("https://twitter.com/varolaura/status/1655849212490182658")</f>
        <v>https://twitter.com/varolaura/status/1655849212490182658</v>
      </c>
      <c r="AF1946" s="79">
        <v>45055.34480324074</v>
      </c>
      <c r="AG1946" s="85">
        <v>45055</v>
      </c>
      <c r="AH1946" s="81" t="s">
        <v>7561</v>
      </c>
      <c r="AI1946" s="77" t="b">
        <v>0</v>
      </c>
      <c r="AJ1946" s="77"/>
      <c r="AK1946" s="77"/>
      <c r="AL1946" s="77"/>
      <c r="AM1946" s="77"/>
      <c r="AN1946" s="77"/>
      <c r="AO1946" s="77"/>
      <c r="AP1946" s="77"/>
      <c r="AQ1946" s="77"/>
      <c r="AR1946" s="77"/>
      <c r="AS1946" s="77"/>
      <c r="AT1946" s="77"/>
      <c r="AU1946" s="77"/>
      <c r="AV1946" s="83" t="str">
        <f>HYPERLINK("https://pbs.twimg.com/profile_images/463975370610339840/YKhO0Mzo_normal.jpeg")</f>
        <v>https://pbs.twimg.com/profile_images/463975370610339840/YKhO0Mzo_normal.jpeg</v>
      </c>
      <c r="AW1946" s="81" t="s">
        <v>11058</v>
      </c>
      <c r="AX1946" s="81" t="s">
        <v>11058</v>
      </c>
      <c r="AY1946" s="77"/>
      <c r="AZ1946" s="81" t="s">
        <v>11359</v>
      </c>
      <c r="BA1946" s="81" t="s">
        <v>11359</v>
      </c>
      <c r="BB1946" s="81" t="s">
        <v>11359</v>
      </c>
      <c r="BC1946" s="81" t="s">
        <v>11058</v>
      </c>
      <c r="BD1946" s="77">
        <v>435767047</v>
      </c>
      <c r="BE1946" s="77"/>
      <c r="BF1946" s="77"/>
      <c r="BG1946" s="77"/>
      <c r="BH1946" s="77"/>
      <c r="BI1946" s="77"/>
    </row>
    <row r="1947" spans="1:61" x14ac:dyDescent="0.25">
      <c r="A1947" s="62" t="s">
        <v>796</v>
      </c>
      <c r="B1947" s="62" t="s">
        <v>796</v>
      </c>
      <c r="C1947" s="63"/>
      <c r="D1947" s="64"/>
      <c r="E1947" s="65"/>
      <c r="F1947" s="66"/>
      <c r="G1947" s="63"/>
      <c r="H1947" s="67"/>
      <c r="I1947" s="68"/>
      <c r="J1947" s="68"/>
      <c r="K1947" s="32"/>
      <c r="L1947" s="75">
        <v>1947</v>
      </c>
      <c r="M1947" s="75"/>
      <c r="N1947" s="70"/>
      <c r="O1947" s="77" t="s">
        <v>179</v>
      </c>
      <c r="P1947" s="79">
        <v>45072.833726851852</v>
      </c>
      <c r="Q1947" s="77" t="s">
        <v>2729</v>
      </c>
      <c r="R1947" s="77">
        <v>0</v>
      </c>
      <c r="S1947" s="77">
        <v>0</v>
      </c>
      <c r="T1947" s="77">
        <v>0</v>
      </c>
      <c r="U1947" s="77">
        <v>0</v>
      </c>
      <c r="V1947" s="77">
        <v>217</v>
      </c>
      <c r="W1947" s="81" t="s">
        <v>4008</v>
      </c>
      <c r="X1947" s="77"/>
      <c r="Y1947" s="77"/>
      <c r="Z1947" s="77"/>
      <c r="AA1947" s="77" t="s">
        <v>5674</v>
      </c>
      <c r="AB1947" s="77" t="s">
        <v>5795</v>
      </c>
      <c r="AC1947" s="81" t="s">
        <v>5801</v>
      </c>
      <c r="AD1947" s="77" t="s">
        <v>5853</v>
      </c>
      <c r="AE1947" s="83" t="str">
        <f>HYPERLINK("https://twitter.com/rafalui/status/1662186989909688320")</f>
        <v>https://twitter.com/rafalui/status/1662186989909688320</v>
      </c>
      <c r="AF1947" s="79">
        <v>45072.833726851852</v>
      </c>
      <c r="AG1947" s="85">
        <v>45072</v>
      </c>
      <c r="AH1947" s="81" t="s">
        <v>7562</v>
      </c>
      <c r="AI1947" s="77" t="b">
        <v>0</v>
      </c>
      <c r="AJ1947" s="77"/>
      <c r="AK1947" s="77"/>
      <c r="AL1947" s="77"/>
      <c r="AM1947" s="77"/>
      <c r="AN1947" s="77"/>
      <c r="AO1947" s="77"/>
      <c r="AP1947" s="77"/>
      <c r="AQ1947" s="77" t="s">
        <v>9172</v>
      </c>
      <c r="AR1947" s="77">
        <v>18233</v>
      </c>
      <c r="AS1947" s="77"/>
      <c r="AT1947" s="77"/>
      <c r="AU1947" s="77"/>
      <c r="AV1947" s="83" t="str">
        <f>HYPERLINK("https://pbs.twimg.com/ext_tw_video_thumb/1662186929025105933/pu/img/E3RUjBr8cs9FyqFn.jpg")</f>
        <v>https://pbs.twimg.com/ext_tw_video_thumb/1662186929025105933/pu/img/E3RUjBr8cs9FyqFn.jpg</v>
      </c>
      <c r="AW1947" s="81" t="s">
        <v>11059</v>
      </c>
      <c r="AX1947" s="81" t="s">
        <v>11059</v>
      </c>
      <c r="AY1947" s="77"/>
      <c r="AZ1947" s="81" t="s">
        <v>11359</v>
      </c>
      <c r="BA1947" s="81" t="s">
        <v>11359</v>
      </c>
      <c r="BB1947" s="81" t="s">
        <v>11359</v>
      </c>
      <c r="BC1947" s="81" t="s">
        <v>11059</v>
      </c>
      <c r="BD1947" s="77">
        <v>81370619</v>
      </c>
      <c r="BE1947" s="77"/>
      <c r="BF1947" s="77"/>
      <c r="BG1947" s="77"/>
      <c r="BH1947" s="77"/>
      <c r="BI1947" s="77"/>
    </row>
    <row r="1948" spans="1:61" x14ac:dyDescent="0.25">
      <c r="A1948" s="62" t="s">
        <v>797</v>
      </c>
      <c r="B1948" s="62" t="s">
        <v>797</v>
      </c>
      <c r="C1948" s="63"/>
      <c r="D1948" s="64"/>
      <c r="E1948" s="65"/>
      <c r="F1948" s="66"/>
      <c r="G1948" s="63"/>
      <c r="H1948" s="67"/>
      <c r="I1948" s="68"/>
      <c r="J1948" s="68"/>
      <c r="K1948" s="32"/>
      <c r="L1948" s="75">
        <v>1948</v>
      </c>
      <c r="M1948" s="75"/>
      <c r="N1948" s="70"/>
      <c r="O1948" s="77" t="s">
        <v>179</v>
      </c>
      <c r="P1948" s="79">
        <v>45090.755613425928</v>
      </c>
      <c r="Q1948" s="77" t="s">
        <v>2730</v>
      </c>
      <c r="R1948" s="77">
        <v>0</v>
      </c>
      <c r="S1948" s="77">
        <v>1</v>
      </c>
      <c r="T1948" s="77">
        <v>0</v>
      </c>
      <c r="U1948" s="77">
        <v>0</v>
      </c>
      <c r="V1948" s="77">
        <v>11</v>
      </c>
      <c r="W1948" s="81" t="s">
        <v>4009</v>
      </c>
      <c r="X1948" s="83" t="str">
        <f>HYPERLINK("https://farodigital.mx/vendedor-ofrece-lavadora-en-marketplace-la-prueba-y-no-la-compra/")</f>
        <v>https://farodigital.mx/vendedor-ofrece-lavadora-en-marketplace-la-prueba-y-no-la-compra/</v>
      </c>
      <c r="Y1948" s="77" t="s">
        <v>4342</v>
      </c>
      <c r="Z1948" s="77"/>
      <c r="AA1948" s="77"/>
      <c r="AB1948" s="77"/>
      <c r="AC1948" s="81" t="s">
        <v>5801</v>
      </c>
      <c r="AD1948" s="77" t="s">
        <v>5850</v>
      </c>
      <c r="AE1948" s="83" t="str">
        <f>HYPERLINK("https://twitter.com/diana_va_ar/status/1668681663218327568")</f>
        <v>https://twitter.com/diana_va_ar/status/1668681663218327568</v>
      </c>
      <c r="AF1948" s="79">
        <v>45090.755613425928</v>
      </c>
      <c r="AG1948" s="85">
        <v>45090</v>
      </c>
      <c r="AH1948" s="81" t="s">
        <v>7563</v>
      </c>
      <c r="AI1948" s="77" t="b">
        <v>0</v>
      </c>
      <c r="AJ1948" s="77"/>
      <c r="AK1948" s="77"/>
      <c r="AL1948" s="77"/>
      <c r="AM1948" s="77"/>
      <c r="AN1948" s="77"/>
      <c r="AO1948" s="77"/>
      <c r="AP1948" s="77"/>
      <c r="AQ1948" s="77"/>
      <c r="AR1948" s="77"/>
      <c r="AS1948" s="77"/>
      <c r="AT1948" s="77"/>
      <c r="AU1948" s="77"/>
      <c r="AV1948" s="83" t="str">
        <f>HYPERLINK("https://pbs.twimg.com/profile_images/1546711178302427141/mK7hvsQ__normal.jpg")</f>
        <v>https://pbs.twimg.com/profile_images/1546711178302427141/mK7hvsQ__normal.jpg</v>
      </c>
      <c r="AW1948" s="81" t="s">
        <v>11060</v>
      </c>
      <c r="AX1948" s="81" t="s">
        <v>11060</v>
      </c>
      <c r="AY1948" s="77"/>
      <c r="AZ1948" s="81" t="s">
        <v>11359</v>
      </c>
      <c r="BA1948" s="81" t="s">
        <v>11359</v>
      </c>
      <c r="BB1948" s="81" t="s">
        <v>11359</v>
      </c>
      <c r="BC1948" s="81" t="s">
        <v>11060</v>
      </c>
      <c r="BD1948" s="81" t="s">
        <v>11675</v>
      </c>
      <c r="BE1948" s="77"/>
      <c r="BF1948" s="77"/>
      <c r="BG1948" s="77"/>
      <c r="BH1948" s="77"/>
      <c r="BI1948" s="77"/>
    </row>
    <row r="1949" spans="1:61" x14ac:dyDescent="0.25">
      <c r="A1949" s="62" t="s">
        <v>797</v>
      </c>
      <c r="B1949" s="62" t="s">
        <v>797</v>
      </c>
      <c r="C1949" s="63"/>
      <c r="D1949" s="64"/>
      <c r="E1949" s="65"/>
      <c r="F1949" s="66"/>
      <c r="G1949" s="63"/>
      <c r="H1949" s="67"/>
      <c r="I1949" s="68"/>
      <c r="J1949" s="68"/>
      <c r="K1949" s="32"/>
      <c r="L1949" s="75">
        <v>1949</v>
      </c>
      <c r="M1949" s="75"/>
      <c r="N1949" s="70"/>
      <c r="O1949" s="77" t="s">
        <v>179</v>
      </c>
      <c r="P1949" s="79">
        <v>45117.754930555559</v>
      </c>
      <c r="Q1949" s="77" t="s">
        <v>2731</v>
      </c>
      <c r="R1949" s="77">
        <v>0</v>
      </c>
      <c r="S1949" s="77">
        <v>0</v>
      </c>
      <c r="T1949" s="77">
        <v>0</v>
      </c>
      <c r="U1949" s="77">
        <v>0</v>
      </c>
      <c r="V1949" s="77">
        <v>11</v>
      </c>
      <c r="W1949" s="81" t="s">
        <v>4010</v>
      </c>
      <c r="X1949" s="83" t="str">
        <f>HYPERLINK("https://farodigital.mx/vendedor-de-carnitas-despacha-con-tenis-de-mas-de-14-mil-pesos/")</f>
        <v>https://farodigital.mx/vendedor-de-carnitas-despacha-con-tenis-de-mas-de-14-mil-pesos/</v>
      </c>
      <c r="Y1949" s="77" t="s">
        <v>4342</v>
      </c>
      <c r="Z1949" s="77"/>
      <c r="AA1949" s="77"/>
      <c r="AB1949" s="77"/>
      <c r="AC1949" s="81" t="s">
        <v>5801</v>
      </c>
      <c r="AD1949" s="77" t="s">
        <v>5850</v>
      </c>
      <c r="AE1949" s="83" t="str">
        <f>HYPERLINK("https://twitter.com/diana_va_ar/status/1678465887454502912")</f>
        <v>https://twitter.com/diana_va_ar/status/1678465887454502912</v>
      </c>
      <c r="AF1949" s="79">
        <v>45117.754930555559</v>
      </c>
      <c r="AG1949" s="85">
        <v>45117</v>
      </c>
      <c r="AH1949" s="81" t="s">
        <v>7564</v>
      </c>
      <c r="AI1949" s="77" t="b">
        <v>0</v>
      </c>
      <c r="AJ1949" s="77"/>
      <c r="AK1949" s="77"/>
      <c r="AL1949" s="77"/>
      <c r="AM1949" s="77"/>
      <c r="AN1949" s="77"/>
      <c r="AO1949" s="77"/>
      <c r="AP1949" s="77"/>
      <c r="AQ1949" s="77"/>
      <c r="AR1949" s="77"/>
      <c r="AS1949" s="77"/>
      <c r="AT1949" s="77"/>
      <c r="AU1949" s="77"/>
      <c r="AV1949" s="83" t="str">
        <f>HYPERLINK("https://pbs.twimg.com/profile_images/1546711178302427141/mK7hvsQ__normal.jpg")</f>
        <v>https://pbs.twimg.com/profile_images/1546711178302427141/mK7hvsQ__normal.jpg</v>
      </c>
      <c r="AW1949" s="81" t="s">
        <v>11061</v>
      </c>
      <c r="AX1949" s="81" t="s">
        <v>11061</v>
      </c>
      <c r="AY1949" s="77"/>
      <c r="AZ1949" s="81" t="s">
        <v>11359</v>
      </c>
      <c r="BA1949" s="81" t="s">
        <v>11359</v>
      </c>
      <c r="BB1949" s="81" t="s">
        <v>11359</v>
      </c>
      <c r="BC1949" s="81" t="s">
        <v>11061</v>
      </c>
      <c r="BD1949" s="81" t="s">
        <v>11675</v>
      </c>
      <c r="BE1949" s="77"/>
      <c r="BF1949" s="77"/>
      <c r="BG1949" s="77"/>
      <c r="BH1949" s="77"/>
      <c r="BI1949" s="77"/>
    </row>
    <row r="1950" spans="1:61" x14ac:dyDescent="0.25">
      <c r="A1950" s="62" t="s">
        <v>798</v>
      </c>
      <c r="B1950" s="62" t="s">
        <v>798</v>
      </c>
      <c r="C1950" s="63"/>
      <c r="D1950" s="64"/>
      <c r="E1950" s="65"/>
      <c r="F1950" s="66"/>
      <c r="G1950" s="63"/>
      <c r="H1950" s="67"/>
      <c r="I1950" s="68"/>
      <c r="J1950" s="68"/>
      <c r="K1950" s="32"/>
      <c r="L1950" s="75">
        <v>1950</v>
      </c>
      <c r="M1950" s="75"/>
      <c r="N1950" s="70"/>
      <c r="O1950" s="77" t="s">
        <v>179</v>
      </c>
      <c r="P1950" s="79">
        <v>44937.869432870371</v>
      </c>
      <c r="Q1950" s="77" t="s">
        <v>2732</v>
      </c>
      <c r="R1950" s="77">
        <v>0</v>
      </c>
      <c r="S1950" s="77">
        <v>0</v>
      </c>
      <c r="T1950" s="77">
        <v>0</v>
      </c>
      <c r="U1950" s="77">
        <v>0</v>
      </c>
      <c r="V1950" s="77">
        <v>149</v>
      </c>
      <c r="W1950" s="81" t="s">
        <v>4011</v>
      </c>
      <c r="X1950" s="77"/>
      <c r="Y1950" s="77"/>
      <c r="Z1950" s="77"/>
      <c r="AA1950" s="77" t="s">
        <v>5675</v>
      </c>
      <c r="AB1950" s="77" t="s">
        <v>5795</v>
      </c>
      <c r="AC1950" s="81" t="s">
        <v>5805</v>
      </c>
      <c r="AD1950" s="77" t="s">
        <v>5851</v>
      </c>
      <c r="AE1950" s="83" t="str">
        <f>HYPERLINK("https://twitter.com/recorrentep/status/1613277566009511936")</f>
        <v>https://twitter.com/recorrentep/status/1613277566009511936</v>
      </c>
      <c r="AF1950" s="79">
        <v>44937.869432870371</v>
      </c>
      <c r="AG1950" s="85">
        <v>44937</v>
      </c>
      <c r="AH1950" s="81" t="s">
        <v>7565</v>
      </c>
      <c r="AI1950" s="77" t="b">
        <v>0</v>
      </c>
      <c r="AJ1950" s="77"/>
      <c r="AK1950" s="77"/>
      <c r="AL1950" s="77"/>
      <c r="AM1950" s="77"/>
      <c r="AN1950" s="77"/>
      <c r="AO1950" s="77"/>
      <c r="AP1950" s="77"/>
      <c r="AQ1950" s="77" t="s">
        <v>9173</v>
      </c>
      <c r="AR1950" s="77">
        <v>58359</v>
      </c>
      <c r="AS1950" s="77"/>
      <c r="AT1950" s="77"/>
      <c r="AU1950" s="77"/>
      <c r="AV1950" s="83" t="str">
        <f>HYPERLINK("https://pbs.twimg.com/ext_tw_video_thumb/1613277455380250625/pu/img/slHSvp4Nm1IMAbhW.jpg")</f>
        <v>https://pbs.twimg.com/ext_tw_video_thumb/1613277455380250625/pu/img/slHSvp4Nm1IMAbhW.jpg</v>
      </c>
      <c r="AW1950" s="81" t="s">
        <v>11062</v>
      </c>
      <c r="AX1950" s="81" t="s">
        <v>11062</v>
      </c>
      <c r="AY1950" s="77"/>
      <c r="AZ1950" s="81" t="s">
        <v>11359</v>
      </c>
      <c r="BA1950" s="81" t="s">
        <v>11359</v>
      </c>
      <c r="BB1950" s="81" t="s">
        <v>11359</v>
      </c>
      <c r="BC1950" s="81" t="s">
        <v>11062</v>
      </c>
      <c r="BD1950" s="81" t="s">
        <v>11676</v>
      </c>
      <c r="BE1950" s="77"/>
      <c r="BF1950" s="77"/>
      <c r="BG1950" s="77"/>
      <c r="BH1950" s="77"/>
      <c r="BI1950" s="77"/>
    </row>
    <row r="1951" spans="1:61" x14ac:dyDescent="0.25">
      <c r="A1951" s="62" t="s">
        <v>799</v>
      </c>
      <c r="B1951" s="62" t="s">
        <v>799</v>
      </c>
      <c r="C1951" s="63"/>
      <c r="D1951" s="64"/>
      <c r="E1951" s="65"/>
      <c r="F1951" s="66"/>
      <c r="G1951" s="63"/>
      <c r="H1951" s="67"/>
      <c r="I1951" s="68"/>
      <c r="J1951" s="68"/>
      <c r="K1951" s="32"/>
      <c r="L1951" s="75">
        <v>1951</v>
      </c>
      <c r="M1951" s="75"/>
      <c r="N1951" s="70"/>
      <c r="O1951" s="77" t="s">
        <v>179</v>
      </c>
      <c r="P1951" s="79">
        <v>45103.915856481479</v>
      </c>
      <c r="Q1951" s="77" t="s">
        <v>2733</v>
      </c>
      <c r="R1951" s="77">
        <v>0</v>
      </c>
      <c r="S1951" s="77">
        <v>0</v>
      </c>
      <c r="T1951" s="77">
        <v>0</v>
      </c>
      <c r="U1951" s="77">
        <v>0</v>
      </c>
      <c r="V1951" s="77">
        <v>37</v>
      </c>
      <c r="W1951" s="81" t="s">
        <v>4012</v>
      </c>
      <c r="X1951" s="77" t="s">
        <v>4209</v>
      </c>
      <c r="Y1951" s="77" t="s">
        <v>4343</v>
      </c>
      <c r="Z1951" s="77"/>
      <c r="AA1951" s="77"/>
      <c r="AB1951" s="77"/>
      <c r="AC1951" s="81" t="s">
        <v>5810</v>
      </c>
      <c r="AD1951" s="77" t="s">
        <v>5850</v>
      </c>
      <c r="AE1951" s="83" t="str">
        <f>HYPERLINK("https://twitter.com/humanoendesarro/status/1673450775194873856")</f>
        <v>https://twitter.com/humanoendesarro/status/1673450775194873856</v>
      </c>
      <c r="AF1951" s="79">
        <v>45103.915856481479</v>
      </c>
      <c r="AG1951" s="85">
        <v>45103</v>
      </c>
      <c r="AH1951" s="81" t="s">
        <v>7566</v>
      </c>
      <c r="AI1951" s="77" t="b">
        <v>0</v>
      </c>
      <c r="AJ1951" s="77"/>
      <c r="AK1951" s="77"/>
      <c r="AL1951" s="77"/>
      <c r="AM1951" s="77"/>
      <c r="AN1951" s="77"/>
      <c r="AO1951" s="77"/>
      <c r="AP1951" s="77"/>
      <c r="AQ1951" s="77"/>
      <c r="AR1951" s="77"/>
      <c r="AS1951" s="77"/>
      <c r="AT1951" s="77"/>
      <c r="AU1951" s="77"/>
      <c r="AV1951" s="83" t="str">
        <f>HYPERLINK("https://pbs.twimg.com/profile_images/1479519547023577089/zZSA2jxv_normal.jpg")</f>
        <v>https://pbs.twimg.com/profile_images/1479519547023577089/zZSA2jxv_normal.jpg</v>
      </c>
      <c r="AW1951" s="81" t="s">
        <v>11063</v>
      </c>
      <c r="AX1951" s="81" t="s">
        <v>11063</v>
      </c>
      <c r="AY1951" s="77"/>
      <c r="AZ1951" s="81" t="s">
        <v>11359</v>
      </c>
      <c r="BA1951" s="81" t="s">
        <v>11359</v>
      </c>
      <c r="BB1951" s="81" t="s">
        <v>11359</v>
      </c>
      <c r="BC1951" s="81" t="s">
        <v>11063</v>
      </c>
      <c r="BD1951" s="77">
        <v>836025380</v>
      </c>
      <c r="BE1951" s="77"/>
      <c r="BF1951" s="77"/>
      <c r="BG1951" s="77"/>
      <c r="BH1951" s="77"/>
      <c r="BI1951" s="77"/>
    </row>
    <row r="1952" spans="1:61" x14ac:dyDescent="0.25">
      <c r="A1952" s="62" t="s">
        <v>800</v>
      </c>
      <c r="B1952" s="62" t="s">
        <v>800</v>
      </c>
      <c r="C1952" s="63"/>
      <c r="D1952" s="64"/>
      <c r="E1952" s="65"/>
      <c r="F1952" s="66"/>
      <c r="G1952" s="63"/>
      <c r="H1952" s="67"/>
      <c r="I1952" s="68"/>
      <c r="J1952" s="68"/>
      <c r="K1952" s="32"/>
      <c r="L1952" s="75">
        <v>1952</v>
      </c>
      <c r="M1952" s="75"/>
      <c r="N1952" s="70"/>
      <c r="O1952" s="77" t="s">
        <v>179</v>
      </c>
      <c r="P1952" s="79">
        <v>44952.123831018522</v>
      </c>
      <c r="Q1952" s="77" t="s">
        <v>2734</v>
      </c>
      <c r="R1952" s="77">
        <v>1</v>
      </c>
      <c r="S1952" s="77">
        <v>6</v>
      </c>
      <c r="T1952" s="77">
        <v>0</v>
      </c>
      <c r="U1952" s="77">
        <v>0</v>
      </c>
      <c r="V1952" s="77">
        <v>352</v>
      </c>
      <c r="W1952" s="81" t="s">
        <v>3115</v>
      </c>
      <c r="X1952" s="77"/>
      <c r="Y1952" s="77"/>
      <c r="Z1952" s="77"/>
      <c r="AA1952" s="77" t="s">
        <v>5676</v>
      </c>
      <c r="AB1952" s="77" t="s">
        <v>5794</v>
      </c>
      <c r="AC1952" s="81" t="s">
        <v>5801</v>
      </c>
      <c r="AD1952" s="77" t="s">
        <v>5850</v>
      </c>
      <c r="AE1952" s="83" t="str">
        <f>HYPERLINK("https://twitter.com/gomezcarlos79/status/1618443184295784449")</f>
        <v>https://twitter.com/gomezcarlos79/status/1618443184295784449</v>
      </c>
      <c r="AF1952" s="79">
        <v>44952.123831018522</v>
      </c>
      <c r="AG1952" s="85">
        <v>44952</v>
      </c>
      <c r="AH1952" s="81" t="s">
        <v>7567</v>
      </c>
      <c r="AI1952" s="77" t="b">
        <v>1</v>
      </c>
      <c r="AJ1952" s="77"/>
      <c r="AK1952" s="77"/>
      <c r="AL1952" s="77"/>
      <c r="AM1952" s="77"/>
      <c r="AN1952" s="77"/>
      <c r="AO1952" s="77"/>
      <c r="AP1952" s="77"/>
      <c r="AQ1952" s="77" t="s">
        <v>9174</v>
      </c>
      <c r="AR1952" s="77"/>
      <c r="AS1952" s="77"/>
      <c r="AT1952" s="77"/>
      <c r="AU1952" s="77"/>
      <c r="AV1952" s="83" t="str">
        <f>HYPERLINK("https://pbs.twimg.com/media/FnXdf-oX0AIBiuU.jpg")</f>
        <v>https://pbs.twimg.com/media/FnXdf-oX0AIBiuU.jpg</v>
      </c>
      <c r="AW1952" s="81" t="s">
        <v>11064</v>
      </c>
      <c r="AX1952" s="81" t="s">
        <v>11064</v>
      </c>
      <c r="AY1952" s="77"/>
      <c r="AZ1952" s="81" t="s">
        <v>11359</v>
      </c>
      <c r="BA1952" s="81" t="s">
        <v>11359</v>
      </c>
      <c r="BB1952" s="81" t="s">
        <v>11359</v>
      </c>
      <c r="BC1952" s="81" t="s">
        <v>11064</v>
      </c>
      <c r="BD1952" s="77">
        <v>114498335</v>
      </c>
      <c r="BE1952" s="77"/>
      <c r="BF1952" s="77"/>
      <c r="BG1952" s="77"/>
      <c r="BH1952" s="77"/>
      <c r="BI1952" s="77"/>
    </row>
    <row r="1953" spans="1:61" x14ac:dyDescent="0.25">
      <c r="A1953" s="62" t="s">
        <v>801</v>
      </c>
      <c r="B1953" s="62" t="s">
        <v>801</v>
      </c>
      <c r="C1953" s="63"/>
      <c r="D1953" s="64"/>
      <c r="E1953" s="65"/>
      <c r="F1953" s="66"/>
      <c r="G1953" s="63"/>
      <c r="H1953" s="67"/>
      <c r="I1953" s="68"/>
      <c r="J1953" s="68"/>
      <c r="K1953" s="32"/>
      <c r="L1953" s="75">
        <v>1953</v>
      </c>
      <c r="M1953" s="75"/>
      <c r="N1953" s="70"/>
      <c r="O1953" s="77" t="s">
        <v>179</v>
      </c>
      <c r="P1953" s="79">
        <v>45092.624444444446</v>
      </c>
      <c r="Q1953" s="77" t="s">
        <v>2735</v>
      </c>
      <c r="R1953" s="77">
        <v>0</v>
      </c>
      <c r="S1953" s="77">
        <v>0</v>
      </c>
      <c r="T1953" s="77">
        <v>0</v>
      </c>
      <c r="U1953" s="77">
        <v>0</v>
      </c>
      <c r="V1953" s="77">
        <v>13</v>
      </c>
      <c r="W1953" s="81" t="s">
        <v>4013</v>
      </c>
      <c r="X1953" s="77"/>
      <c r="Y1953" s="77"/>
      <c r="Z1953" s="77"/>
      <c r="AA1953" s="77" t="s">
        <v>5677</v>
      </c>
      <c r="AB1953" s="77" t="s">
        <v>5795</v>
      </c>
      <c r="AC1953" s="81" t="s">
        <v>5803</v>
      </c>
      <c r="AD1953" s="77" t="s">
        <v>5851</v>
      </c>
      <c r="AE1953" s="83" t="str">
        <f>HYPERLINK("https://twitter.com/rodrigo_diario/status/1669358903484882944")</f>
        <v>https://twitter.com/rodrigo_diario/status/1669358903484882944</v>
      </c>
      <c r="AF1953" s="79">
        <v>45092.624444444446</v>
      </c>
      <c r="AG1953" s="85">
        <v>45092</v>
      </c>
      <c r="AH1953" s="81" t="s">
        <v>7568</v>
      </c>
      <c r="AI1953" s="77" t="b">
        <v>0</v>
      </c>
      <c r="AJ1953" s="77"/>
      <c r="AK1953" s="77"/>
      <c r="AL1953" s="77"/>
      <c r="AM1953" s="77"/>
      <c r="AN1953" s="77"/>
      <c r="AO1953" s="77"/>
      <c r="AP1953" s="77"/>
      <c r="AQ1953" s="77" t="s">
        <v>9175</v>
      </c>
      <c r="AR1953" s="77">
        <v>54510</v>
      </c>
      <c r="AS1953" s="77"/>
      <c r="AT1953" s="77"/>
      <c r="AU1953" s="77"/>
      <c r="AV1953" s="83" t="str">
        <f>HYPERLINK("https://pbs.twimg.com/ext_tw_video_thumb/1669358811159875586/pu/img/uHcFOV3us6ylzJwC.jpg")</f>
        <v>https://pbs.twimg.com/ext_tw_video_thumb/1669358811159875586/pu/img/uHcFOV3us6ylzJwC.jpg</v>
      </c>
      <c r="AW1953" s="81" t="s">
        <v>11065</v>
      </c>
      <c r="AX1953" s="81" t="s">
        <v>11065</v>
      </c>
      <c r="AY1953" s="77"/>
      <c r="AZ1953" s="81" t="s">
        <v>11359</v>
      </c>
      <c r="BA1953" s="81" t="s">
        <v>11359</v>
      </c>
      <c r="BB1953" s="81" t="s">
        <v>11359</v>
      </c>
      <c r="BC1953" s="81" t="s">
        <v>11065</v>
      </c>
      <c r="BD1953" s="81" t="s">
        <v>11677</v>
      </c>
      <c r="BE1953" s="77"/>
      <c r="BF1953" s="77"/>
      <c r="BG1953" s="77"/>
      <c r="BH1953" s="77"/>
      <c r="BI1953" s="77"/>
    </row>
    <row r="1954" spans="1:61" x14ac:dyDescent="0.25">
      <c r="A1954" s="62" t="s">
        <v>802</v>
      </c>
      <c r="B1954" s="62" t="s">
        <v>802</v>
      </c>
      <c r="C1954" s="63"/>
      <c r="D1954" s="64"/>
      <c r="E1954" s="65"/>
      <c r="F1954" s="66"/>
      <c r="G1954" s="63"/>
      <c r="H1954" s="67"/>
      <c r="I1954" s="68"/>
      <c r="J1954" s="68"/>
      <c r="K1954" s="32"/>
      <c r="L1954" s="75">
        <v>1954</v>
      </c>
      <c r="M1954" s="75"/>
      <c r="N1954" s="70"/>
      <c r="O1954" s="77" t="s">
        <v>179</v>
      </c>
      <c r="P1954" s="79">
        <v>44939.539421296293</v>
      </c>
      <c r="Q1954" s="77" t="s">
        <v>2736</v>
      </c>
      <c r="R1954" s="77">
        <v>0</v>
      </c>
      <c r="S1954" s="77">
        <v>2</v>
      </c>
      <c r="T1954" s="77">
        <v>0</v>
      </c>
      <c r="U1954" s="77">
        <v>0</v>
      </c>
      <c r="V1954" s="77">
        <v>47</v>
      </c>
      <c r="W1954" s="81" t="s">
        <v>4014</v>
      </c>
      <c r="X1954" s="77"/>
      <c r="Y1954" s="77"/>
      <c r="Z1954" s="77"/>
      <c r="AA1954" s="77" t="s">
        <v>5678</v>
      </c>
      <c r="AB1954" s="77" t="s">
        <v>5794</v>
      </c>
      <c r="AC1954" s="81" t="s">
        <v>5801</v>
      </c>
      <c r="AD1954" s="77" t="s">
        <v>5851</v>
      </c>
      <c r="AE1954" s="83" t="str">
        <f>HYPERLINK("https://twitter.com/joseluisgodoyph/status/1613882750754512897")</f>
        <v>https://twitter.com/joseluisgodoyph/status/1613882750754512897</v>
      </c>
      <c r="AF1954" s="79">
        <v>44939.539421296293</v>
      </c>
      <c r="AG1954" s="85">
        <v>44939</v>
      </c>
      <c r="AH1954" s="81" t="s">
        <v>7569</v>
      </c>
      <c r="AI1954" s="77" t="b">
        <v>0</v>
      </c>
      <c r="AJ1954" s="77" t="s">
        <v>7757</v>
      </c>
      <c r="AK1954" s="77" t="s">
        <v>7765</v>
      </c>
      <c r="AL1954" s="77" t="s">
        <v>7774</v>
      </c>
      <c r="AM1954" s="77" t="s">
        <v>7811</v>
      </c>
      <c r="AN1954" s="77" t="s">
        <v>7847</v>
      </c>
      <c r="AO1954" s="77" t="s">
        <v>7883</v>
      </c>
      <c r="AP1954" s="77" t="s">
        <v>7889</v>
      </c>
      <c r="AQ1954" s="77" t="s">
        <v>9176</v>
      </c>
      <c r="AR1954" s="77"/>
      <c r="AS1954" s="77"/>
      <c r="AT1954" s="77"/>
      <c r="AU1954" s="77"/>
      <c r="AV1954" s="83" t="str">
        <f>HYPERLINK("https://pbs.twimg.com/media/FmWpztRXwAI4Buy.jpg")</f>
        <v>https://pbs.twimg.com/media/FmWpztRXwAI4Buy.jpg</v>
      </c>
      <c r="AW1954" s="81" t="s">
        <v>11066</v>
      </c>
      <c r="AX1954" s="81" t="s">
        <v>11066</v>
      </c>
      <c r="AY1954" s="77"/>
      <c r="AZ1954" s="81" t="s">
        <v>11359</v>
      </c>
      <c r="BA1954" s="81" t="s">
        <v>11359</v>
      </c>
      <c r="BB1954" s="81" t="s">
        <v>11359</v>
      </c>
      <c r="BC1954" s="81" t="s">
        <v>11066</v>
      </c>
      <c r="BD1954" s="81" t="s">
        <v>11678</v>
      </c>
      <c r="BE1954" s="77"/>
      <c r="BF1954" s="77"/>
      <c r="BG1954" s="77"/>
      <c r="BH1954" s="77"/>
      <c r="BI1954" s="77"/>
    </row>
    <row r="1955" spans="1:61" x14ac:dyDescent="0.25">
      <c r="A1955" s="62" t="s">
        <v>803</v>
      </c>
      <c r="B1955" s="62" t="s">
        <v>803</v>
      </c>
      <c r="C1955" s="63"/>
      <c r="D1955" s="64"/>
      <c r="E1955" s="65"/>
      <c r="F1955" s="66"/>
      <c r="G1955" s="63"/>
      <c r="H1955" s="67"/>
      <c r="I1955" s="68"/>
      <c r="J1955" s="68"/>
      <c r="K1955" s="32"/>
      <c r="L1955" s="75">
        <v>1955</v>
      </c>
      <c r="M1955" s="75"/>
      <c r="N1955" s="70"/>
      <c r="O1955" s="77" t="s">
        <v>179</v>
      </c>
      <c r="P1955" s="79">
        <v>45141.486111111109</v>
      </c>
      <c r="Q1955" s="77" t="s">
        <v>2737</v>
      </c>
      <c r="R1955" s="77">
        <v>0</v>
      </c>
      <c r="S1955" s="77">
        <v>0</v>
      </c>
      <c r="T1955" s="77">
        <v>0</v>
      </c>
      <c r="U1955" s="77">
        <v>0</v>
      </c>
      <c r="V1955" s="77">
        <v>193</v>
      </c>
      <c r="W1955" s="81" t="s">
        <v>4015</v>
      </c>
      <c r="X1955" s="83" t="str">
        <f>HYPERLINK("https://www.lmneuquen.com/policiales/quiso-comprar-una-cocina-facebook-y-cayo-una-estafa-n1045719?utm_medium=Social&amp;utm_source=Twitter#Echobox=1691061561")</f>
        <v>https://www.lmneuquen.com/policiales/quiso-comprar-una-cocina-facebook-y-cayo-una-estafa-n1045719?utm_medium=Social&amp;utm_source=Twitter#Echobox=1691061561</v>
      </c>
      <c r="Y1955" s="77" t="s">
        <v>4344</v>
      </c>
      <c r="Z1955" s="77"/>
      <c r="AA1955" s="77"/>
      <c r="AB1955" s="77"/>
      <c r="AC1955" s="81" t="s">
        <v>5805</v>
      </c>
      <c r="AD1955" s="77" t="s">
        <v>5850</v>
      </c>
      <c r="AE1955" s="83" t="str">
        <f>HYPERLINK("https://twitter.com/lmneuquen/status/1687065777676120064")</f>
        <v>https://twitter.com/lmneuquen/status/1687065777676120064</v>
      </c>
      <c r="AF1955" s="79">
        <v>45141.486111111109</v>
      </c>
      <c r="AG1955" s="85">
        <v>45141</v>
      </c>
      <c r="AH1955" s="81" t="s">
        <v>7570</v>
      </c>
      <c r="AI1955" s="77" t="b">
        <v>1</v>
      </c>
      <c r="AJ1955" s="77"/>
      <c r="AK1955" s="77"/>
      <c r="AL1955" s="77"/>
      <c r="AM1955" s="77"/>
      <c r="AN1955" s="77"/>
      <c r="AO1955" s="77"/>
      <c r="AP1955" s="77"/>
      <c r="AQ1955" s="77"/>
      <c r="AR1955" s="77"/>
      <c r="AS1955" s="77"/>
      <c r="AT1955" s="77"/>
      <c r="AU1955" s="77"/>
      <c r="AV1955" s="83" t="str">
        <f>HYPERLINK("https://pbs.twimg.com/profile_images/1511382573468905476/UVivRWRp_normal.jpg")</f>
        <v>https://pbs.twimg.com/profile_images/1511382573468905476/UVivRWRp_normal.jpg</v>
      </c>
      <c r="AW1955" s="81" t="s">
        <v>11067</v>
      </c>
      <c r="AX1955" s="81" t="s">
        <v>11067</v>
      </c>
      <c r="AY1955" s="77"/>
      <c r="AZ1955" s="81" t="s">
        <v>11359</v>
      </c>
      <c r="BA1955" s="81" t="s">
        <v>11359</v>
      </c>
      <c r="BB1955" s="81" t="s">
        <v>11359</v>
      </c>
      <c r="BC1955" s="81" t="s">
        <v>11067</v>
      </c>
      <c r="BD1955" s="77">
        <v>133714571</v>
      </c>
      <c r="BE1955" s="77"/>
      <c r="BF1955" s="77"/>
      <c r="BG1955" s="77"/>
      <c r="BH1955" s="77"/>
      <c r="BI1955" s="77"/>
    </row>
    <row r="1956" spans="1:61" x14ac:dyDescent="0.25">
      <c r="A1956" s="62" t="s">
        <v>804</v>
      </c>
      <c r="B1956" s="62" t="s">
        <v>804</v>
      </c>
      <c r="C1956" s="63"/>
      <c r="D1956" s="64"/>
      <c r="E1956" s="65"/>
      <c r="F1956" s="66"/>
      <c r="G1956" s="63"/>
      <c r="H1956" s="67"/>
      <c r="I1956" s="68"/>
      <c r="J1956" s="68"/>
      <c r="K1956" s="32"/>
      <c r="L1956" s="75">
        <v>1956</v>
      </c>
      <c r="M1956" s="75"/>
      <c r="N1956" s="70"/>
      <c r="O1956" s="77" t="s">
        <v>179</v>
      </c>
      <c r="P1956" s="79">
        <v>45181.341585648152</v>
      </c>
      <c r="Q1956" s="77" t="s">
        <v>2738</v>
      </c>
      <c r="R1956" s="77">
        <v>0</v>
      </c>
      <c r="S1956" s="77">
        <v>0</v>
      </c>
      <c r="T1956" s="77">
        <v>0</v>
      </c>
      <c r="U1956" s="77">
        <v>0</v>
      </c>
      <c r="V1956" s="77">
        <v>12</v>
      </c>
      <c r="W1956" s="81" t="s">
        <v>2964</v>
      </c>
      <c r="X1956" s="83" t="str">
        <f>HYPERLINK("https://open.substack.com/pub/peoplecentricsales/p/por-que-ser-vendedor-tiene-tan-mala?r=bg9bf&amp;utm_campaign=post&amp;utm_medium=web")</f>
        <v>https://open.substack.com/pub/peoplecentricsales/p/por-que-ser-vendedor-tiene-tan-mala?r=bg9bf&amp;utm_campaign=post&amp;utm_medium=web</v>
      </c>
      <c r="Y1956" s="77" t="s">
        <v>4345</v>
      </c>
      <c r="Z1956" s="77"/>
      <c r="AA1956" s="77"/>
      <c r="AB1956" s="77"/>
      <c r="AC1956" s="81" t="s">
        <v>5803</v>
      </c>
      <c r="AD1956" s="77" t="s">
        <v>5850</v>
      </c>
      <c r="AE1956" s="83" t="str">
        <f>HYPERLINK("https://twitter.com/dutrilla/status/1701508918038478848")</f>
        <v>https://twitter.com/dutrilla/status/1701508918038478848</v>
      </c>
      <c r="AF1956" s="79">
        <v>45181.341585648152</v>
      </c>
      <c r="AG1956" s="85">
        <v>45181</v>
      </c>
      <c r="AH1956" s="81" t="s">
        <v>7571</v>
      </c>
      <c r="AI1956" s="77" t="b">
        <v>0</v>
      </c>
      <c r="AJ1956" s="77"/>
      <c r="AK1956" s="77"/>
      <c r="AL1956" s="77"/>
      <c r="AM1956" s="77"/>
      <c r="AN1956" s="77"/>
      <c r="AO1956" s="77"/>
      <c r="AP1956" s="77"/>
      <c r="AQ1956" s="77"/>
      <c r="AR1956" s="77"/>
      <c r="AS1956" s="77"/>
      <c r="AT1956" s="77"/>
      <c r="AU1956" s="77"/>
      <c r="AV1956" s="83" t="str">
        <f>HYPERLINK("https://pbs.twimg.com/profile_images/1351795757775548417/tgo6RYr3_normal.jpg")</f>
        <v>https://pbs.twimg.com/profile_images/1351795757775548417/tgo6RYr3_normal.jpg</v>
      </c>
      <c r="AW1956" s="81" t="s">
        <v>11068</v>
      </c>
      <c r="AX1956" s="81" t="s">
        <v>11068</v>
      </c>
      <c r="AY1956" s="77"/>
      <c r="AZ1956" s="81" t="s">
        <v>11359</v>
      </c>
      <c r="BA1956" s="81" t="s">
        <v>11359</v>
      </c>
      <c r="BB1956" s="81" t="s">
        <v>11359</v>
      </c>
      <c r="BC1956" s="81" t="s">
        <v>11068</v>
      </c>
      <c r="BD1956" s="77">
        <v>198483525</v>
      </c>
      <c r="BE1956" s="77"/>
      <c r="BF1956" s="77"/>
      <c r="BG1956" s="77"/>
      <c r="BH1956" s="77"/>
      <c r="BI1956" s="77"/>
    </row>
    <row r="1957" spans="1:61" x14ac:dyDescent="0.25">
      <c r="A1957" s="62" t="s">
        <v>805</v>
      </c>
      <c r="B1957" s="62" t="s">
        <v>805</v>
      </c>
      <c r="C1957" s="63"/>
      <c r="D1957" s="64"/>
      <c r="E1957" s="65"/>
      <c r="F1957" s="66"/>
      <c r="G1957" s="63"/>
      <c r="H1957" s="67"/>
      <c r="I1957" s="68"/>
      <c r="J1957" s="68"/>
      <c r="K1957" s="32"/>
      <c r="L1957" s="75">
        <v>1957</v>
      </c>
      <c r="M1957" s="75"/>
      <c r="N1957" s="70"/>
      <c r="O1957" s="77" t="s">
        <v>179</v>
      </c>
      <c r="P1957" s="79">
        <v>45103.623819444445</v>
      </c>
      <c r="Q1957" s="77" t="s">
        <v>2739</v>
      </c>
      <c r="R1957" s="77">
        <v>0</v>
      </c>
      <c r="S1957" s="77">
        <v>1</v>
      </c>
      <c r="T1957" s="77">
        <v>0</v>
      </c>
      <c r="U1957" s="77">
        <v>0</v>
      </c>
      <c r="V1957" s="77">
        <v>4</v>
      </c>
      <c r="W1957" s="81" t="s">
        <v>4016</v>
      </c>
      <c r="X1957" s="83" t="str">
        <f>HYPERLINK("https://actionclient.com/es/ventajas-e-inconvenientes-del-chatgpt-en-la-empresa/")</f>
        <v>https://actionclient.com/es/ventajas-e-inconvenientes-del-chatgpt-en-la-empresa/</v>
      </c>
      <c r="Y1957" s="77" t="s">
        <v>4346</v>
      </c>
      <c r="Z1957" s="77"/>
      <c r="AA1957" s="77"/>
      <c r="AB1957" s="77"/>
      <c r="AC1957" s="81" t="s">
        <v>5805</v>
      </c>
      <c r="AD1957" s="77" t="s">
        <v>5850</v>
      </c>
      <c r="AE1957" s="83" t="str">
        <f>HYPERLINK("https://twitter.com/actionclient/status/1673344944075948032")</f>
        <v>https://twitter.com/actionclient/status/1673344944075948032</v>
      </c>
      <c r="AF1957" s="79">
        <v>45103.623819444445</v>
      </c>
      <c r="AG1957" s="85">
        <v>45103</v>
      </c>
      <c r="AH1957" s="81" t="s">
        <v>7572</v>
      </c>
      <c r="AI1957" s="77" t="b">
        <v>0</v>
      </c>
      <c r="AJ1957" s="77"/>
      <c r="AK1957" s="77"/>
      <c r="AL1957" s="77"/>
      <c r="AM1957" s="77"/>
      <c r="AN1957" s="77"/>
      <c r="AO1957" s="77"/>
      <c r="AP1957" s="77"/>
      <c r="AQ1957" s="77"/>
      <c r="AR1957" s="77"/>
      <c r="AS1957" s="77"/>
      <c r="AT1957" s="77"/>
      <c r="AU1957" s="77"/>
      <c r="AV1957" s="83" t="str">
        <f>HYPERLINK("https://pbs.twimg.com/profile_images/1650993291725242368/JdUXuSgt_normal.jpg")</f>
        <v>https://pbs.twimg.com/profile_images/1650993291725242368/JdUXuSgt_normal.jpg</v>
      </c>
      <c r="AW1957" s="81" t="s">
        <v>11069</v>
      </c>
      <c r="AX1957" s="81" t="s">
        <v>11069</v>
      </c>
      <c r="AY1957" s="77"/>
      <c r="AZ1957" s="81" t="s">
        <v>11359</v>
      </c>
      <c r="BA1957" s="81" t="s">
        <v>11359</v>
      </c>
      <c r="BB1957" s="81" t="s">
        <v>11359</v>
      </c>
      <c r="BC1957" s="81" t="s">
        <v>11069</v>
      </c>
      <c r="BD1957" s="81" t="s">
        <v>11679</v>
      </c>
      <c r="BE1957" s="77"/>
      <c r="BF1957" s="77"/>
      <c r="BG1957" s="77"/>
      <c r="BH1957" s="77"/>
      <c r="BI1957" s="77"/>
    </row>
    <row r="1958" spans="1:61" x14ac:dyDescent="0.25">
      <c r="A1958" s="62" t="s">
        <v>806</v>
      </c>
      <c r="B1958" s="62" t="s">
        <v>806</v>
      </c>
      <c r="C1958" s="63"/>
      <c r="D1958" s="64"/>
      <c r="E1958" s="65"/>
      <c r="F1958" s="66"/>
      <c r="G1958" s="63"/>
      <c r="H1958" s="67"/>
      <c r="I1958" s="68"/>
      <c r="J1958" s="68"/>
      <c r="K1958" s="32"/>
      <c r="L1958" s="75">
        <v>1958</v>
      </c>
      <c r="M1958" s="75"/>
      <c r="N1958" s="70"/>
      <c r="O1958" s="77" t="s">
        <v>179</v>
      </c>
      <c r="P1958" s="79">
        <v>44988.060613425929</v>
      </c>
      <c r="Q1958" s="77" t="s">
        <v>2740</v>
      </c>
      <c r="R1958" s="77">
        <v>2</v>
      </c>
      <c r="S1958" s="77">
        <v>3</v>
      </c>
      <c r="T1958" s="77">
        <v>1</v>
      </c>
      <c r="U1958" s="77">
        <v>0</v>
      </c>
      <c r="V1958" s="77">
        <v>324</v>
      </c>
      <c r="W1958" s="81" t="s">
        <v>4017</v>
      </c>
      <c r="X1958" s="77"/>
      <c r="Y1958" s="77"/>
      <c r="Z1958" s="77"/>
      <c r="AA1958" s="77"/>
      <c r="AB1958" s="77"/>
      <c r="AC1958" s="81" t="s">
        <v>5801</v>
      </c>
      <c r="AD1958" s="77" t="s">
        <v>5850</v>
      </c>
      <c r="AE1958" s="83" t="str">
        <f>HYPERLINK("https://twitter.com/divasto/status/1631466240660086788")</f>
        <v>https://twitter.com/divasto/status/1631466240660086788</v>
      </c>
      <c r="AF1958" s="79">
        <v>44988.060613425929</v>
      </c>
      <c r="AG1958" s="85">
        <v>44988</v>
      </c>
      <c r="AH1958" s="81" t="s">
        <v>7573</v>
      </c>
      <c r="AI1958" s="77"/>
      <c r="AJ1958" s="77"/>
      <c r="AK1958" s="77"/>
      <c r="AL1958" s="77"/>
      <c r="AM1958" s="77"/>
      <c r="AN1958" s="77"/>
      <c r="AO1958" s="77"/>
      <c r="AP1958" s="77"/>
      <c r="AQ1958" s="77"/>
      <c r="AR1958" s="77"/>
      <c r="AS1958" s="77"/>
      <c r="AT1958" s="77"/>
      <c r="AU1958" s="77"/>
      <c r="AV1958" s="83" t="str">
        <f>HYPERLINK("https://pbs.twimg.com/profile_images/1655586265419399172/fesDi5MQ_normal.jpg")</f>
        <v>https://pbs.twimg.com/profile_images/1655586265419399172/fesDi5MQ_normal.jpg</v>
      </c>
      <c r="AW1958" s="81" t="s">
        <v>11070</v>
      </c>
      <c r="AX1958" s="81" t="s">
        <v>11070</v>
      </c>
      <c r="AY1958" s="77"/>
      <c r="AZ1958" s="81" t="s">
        <v>11359</v>
      </c>
      <c r="BA1958" s="81" t="s">
        <v>11359</v>
      </c>
      <c r="BB1958" s="81" t="s">
        <v>11359</v>
      </c>
      <c r="BC1958" s="81" t="s">
        <v>11070</v>
      </c>
      <c r="BD1958" s="77">
        <v>60425748</v>
      </c>
      <c r="BE1958" s="77"/>
      <c r="BF1958" s="77"/>
      <c r="BG1958" s="77"/>
      <c r="BH1958" s="77"/>
      <c r="BI1958" s="77"/>
    </row>
    <row r="1959" spans="1:61" x14ac:dyDescent="0.25">
      <c r="A1959" s="62" t="s">
        <v>807</v>
      </c>
      <c r="B1959" s="62" t="s">
        <v>807</v>
      </c>
      <c r="C1959" s="63"/>
      <c r="D1959" s="64"/>
      <c r="E1959" s="65"/>
      <c r="F1959" s="66"/>
      <c r="G1959" s="63"/>
      <c r="H1959" s="67"/>
      <c r="I1959" s="68"/>
      <c r="J1959" s="68"/>
      <c r="K1959" s="32"/>
      <c r="L1959" s="75">
        <v>1959</v>
      </c>
      <c r="M1959" s="75"/>
      <c r="N1959" s="70"/>
      <c r="O1959" s="77" t="s">
        <v>179</v>
      </c>
      <c r="P1959" s="79">
        <v>45071.955138888887</v>
      </c>
      <c r="Q1959" s="77" t="s">
        <v>2741</v>
      </c>
      <c r="R1959" s="77">
        <v>0</v>
      </c>
      <c r="S1959" s="77">
        <v>0</v>
      </c>
      <c r="T1959" s="77">
        <v>0</v>
      </c>
      <c r="U1959" s="77">
        <v>0</v>
      </c>
      <c r="V1959" s="77">
        <v>38</v>
      </c>
      <c r="W1959" s="81" t="s">
        <v>4018</v>
      </c>
      <c r="X1959" s="77"/>
      <c r="Y1959" s="77"/>
      <c r="Z1959" s="77"/>
      <c r="AA1959" s="77" t="s">
        <v>5679</v>
      </c>
      <c r="AB1959" s="77" t="s">
        <v>5794</v>
      </c>
      <c r="AC1959" s="81" t="s">
        <v>5801</v>
      </c>
      <c r="AD1959" s="77" t="s">
        <v>5850</v>
      </c>
      <c r="AE1959" s="83" t="str">
        <f>HYPERLINK("https://twitter.com/yez_col/status/1661868597256376321")</f>
        <v>https://twitter.com/yez_col/status/1661868597256376321</v>
      </c>
      <c r="AF1959" s="79">
        <v>45071.955138888887</v>
      </c>
      <c r="AG1959" s="85">
        <v>45071</v>
      </c>
      <c r="AH1959" s="81" t="s">
        <v>7574</v>
      </c>
      <c r="AI1959" s="77" t="b">
        <v>0</v>
      </c>
      <c r="AJ1959" s="77" t="s">
        <v>7758</v>
      </c>
      <c r="AK1959" s="77" t="s">
        <v>7766</v>
      </c>
      <c r="AL1959" s="77" t="s">
        <v>7775</v>
      </c>
      <c r="AM1959" s="77" t="s">
        <v>7812</v>
      </c>
      <c r="AN1959" s="77" t="s">
        <v>7848</v>
      </c>
      <c r="AO1959" s="77" t="s">
        <v>7884</v>
      </c>
      <c r="AP1959" s="77" t="s">
        <v>7889</v>
      </c>
      <c r="AQ1959" s="77" t="s">
        <v>9177</v>
      </c>
      <c r="AR1959" s="77"/>
      <c r="AS1959" s="77"/>
      <c r="AT1959" s="77"/>
      <c r="AU1959" s="77"/>
      <c r="AV1959" s="83" t="str">
        <f>HYPERLINK("https://pbs.twimg.com/media/FxAkrkFXwAEYqWO.jpg")</f>
        <v>https://pbs.twimg.com/media/FxAkrkFXwAEYqWO.jpg</v>
      </c>
      <c r="AW1959" s="81" t="s">
        <v>11071</v>
      </c>
      <c r="AX1959" s="81" t="s">
        <v>11071</v>
      </c>
      <c r="AY1959" s="77"/>
      <c r="AZ1959" s="81" t="s">
        <v>11359</v>
      </c>
      <c r="BA1959" s="81" t="s">
        <v>11359</v>
      </c>
      <c r="BB1959" s="81" t="s">
        <v>11359</v>
      </c>
      <c r="BC1959" s="81" t="s">
        <v>11071</v>
      </c>
      <c r="BD1959" s="81" t="s">
        <v>11680</v>
      </c>
      <c r="BE1959" s="77"/>
      <c r="BF1959" s="77"/>
      <c r="BG1959" s="77"/>
      <c r="BH1959" s="77"/>
      <c r="BI1959" s="77"/>
    </row>
    <row r="1960" spans="1:61" x14ac:dyDescent="0.25">
      <c r="A1960" s="62" t="s">
        <v>808</v>
      </c>
      <c r="B1960" s="62" t="s">
        <v>808</v>
      </c>
      <c r="C1960" s="63"/>
      <c r="D1960" s="64"/>
      <c r="E1960" s="65"/>
      <c r="F1960" s="66"/>
      <c r="G1960" s="63"/>
      <c r="H1960" s="67"/>
      <c r="I1960" s="68"/>
      <c r="J1960" s="68"/>
      <c r="K1960" s="32"/>
      <c r="L1960" s="75">
        <v>1960</v>
      </c>
      <c r="M1960" s="75"/>
      <c r="N1960" s="70"/>
      <c r="O1960" s="77" t="s">
        <v>179</v>
      </c>
      <c r="P1960" s="79">
        <v>44951.762754629628</v>
      </c>
      <c r="Q1960" s="77" t="s">
        <v>2742</v>
      </c>
      <c r="R1960" s="77">
        <v>0</v>
      </c>
      <c r="S1960" s="77">
        <v>0</v>
      </c>
      <c r="T1960" s="77">
        <v>0</v>
      </c>
      <c r="U1960" s="77">
        <v>0</v>
      </c>
      <c r="V1960" s="77">
        <v>6</v>
      </c>
      <c r="W1960" s="81" t="s">
        <v>3787</v>
      </c>
      <c r="X1960" s="83" t="str">
        <f>HYPERLINK("https://lttr.ai/7YQj")</f>
        <v>https://lttr.ai/7YQj</v>
      </c>
      <c r="Y1960" s="77" t="s">
        <v>4288</v>
      </c>
      <c r="Z1960" s="77"/>
      <c r="AA1960" s="77"/>
      <c r="AB1960" s="77"/>
      <c r="AC1960" s="81" t="s">
        <v>5839</v>
      </c>
      <c r="AD1960" s="77" t="s">
        <v>5850</v>
      </c>
      <c r="AE1960" s="83" t="str">
        <f>HYPERLINK("https://twitter.com/danielponceg/status/1618312336250470400")</f>
        <v>https://twitter.com/danielponceg/status/1618312336250470400</v>
      </c>
      <c r="AF1960" s="79">
        <v>44951.762754629628</v>
      </c>
      <c r="AG1960" s="85">
        <v>44951</v>
      </c>
      <c r="AH1960" s="81" t="s">
        <v>7575</v>
      </c>
      <c r="AI1960" s="77" t="b">
        <v>0</v>
      </c>
      <c r="AJ1960" s="77"/>
      <c r="AK1960" s="77"/>
      <c r="AL1960" s="77"/>
      <c r="AM1960" s="77"/>
      <c r="AN1960" s="77"/>
      <c r="AO1960" s="77"/>
      <c r="AP1960" s="77"/>
      <c r="AQ1960" s="77"/>
      <c r="AR1960" s="77"/>
      <c r="AS1960" s="77"/>
      <c r="AT1960" s="77"/>
      <c r="AU1960" s="77"/>
      <c r="AV1960" s="83" t="str">
        <f>HYPERLINK("https://pbs.twimg.com/profile_images/1472968513732153348/MR18frbg_normal.jpg")</f>
        <v>https://pbs.twimg.com/profile_images/1472968513732153348/MR18frbg_normal.jpg</v>
      </c>
      <c r="AW1960" s="81" t="s">
        <v>11072</v>
      </c>
      <c r="AX1960" s="81" t="s">
        <v>11072</v>
      </c>
      <c r="AY1960" s="77"/>
      <c r="AZ1960" s="81" t="s">
        <v>11359</v>
      </c>
      <c r="BA1960" s="81" t="s">
        <v>11359</v>
      </c>
      <c r="BB1960" s="81" t="s">
        <v>11359</v>
      </c>
      <c r="BC1960" s="81" t="s">
        <v>11072</v>
      </c>
      <c r="BD1960" s="77">
        <v>246290198</v>
      </c>
      <c r="BE1960" s="77"/>
      <c r="BF1960" s="77"/>
      <c r="BG1960" s="77"/>
      <c r="BH1960" s="77"/>
      <c r="BI1960" s="77"/>
    </row>
    <row r="1961" spans="1:61" x14ac:dyDescent="0.25">
      <c r="A1961" s="62" t="s">
        <v>808</v>
      </c>
      <c r="B1961" s="62" t="s">
        <v>808</v>
      </c>
      <c r="C1961" s="63"/>
      <c r="D1961" s="64"/>
      <c r="E1961" s="65"/>
      <c r="F1961" s="66"/>
      <c r="G1961" s="63"/>
      <c r="H1961" s="67"/>
      <c r="I1961" s="68"/>
      <c r="J1961" s="68"/>
      <c r="K1961" s="32"/>
      <c r="L1961" s="75">
        <v>1961</v>
      </c>
      <c r="M1961" s="75"/>
      <c r="N1961" s="70"/>
      <c r="O1961" s="77" t="s">
        <v>179</v>
      </c>
      <c r="P1961" s="79">
        <v>44931.269016203703</v>
      </c>
      <c r="Q1961" s="77" t="s">
        <v>2743</v>
      </c>
      <c r="R1961" s="77">
        <v>0</v>
      </c>
      <c r="S1961" s="77">
        <v>0</v>
      </c>
      <c r="T1961" s="77">
        <v>0</v>
      </c>
      <c r="U1961" s="77">
        <v>0</v>
      </c>
      <c r="V1961" s="77">
        <v>18</v>
      </c>
      <c r="W1961" s="81" t="s">
        <v>3788</v>
      </c>
      <c r="X1961" s="83" t="str">
        <f>HYPERLINK("https://lttr.ai/6kZv")</f>
        <v>https://lttr.ai/6kZv</v>
      </c>
      <c r="Y1961" s="77" t="s">
        <v>4288</v>
      </c>
      <c r="Z1961" s="77"/>
      <c r="AA1961" s="77" t="s">
        <v>5680</v>
      </c>
      <c r="AB1961" s="77" t="s">
        <v>5794</v>
      </c>
      <c r="AC1961" s="81" t="s">
        <v>5839</v>
      </c>
      <c r="AD1961" s="77" t="s">
        <v>5850</v>
      </c>
      <c r="AE1961" s="83" t="str">
        <f>HYPERLINK("https://twitter.com/danielponceg/status/1610885655197880321")</f>
        <v>https://twitter.com/danielponceg/status/1610885655197880321</v>
      </c>
      <c r="AF1961" s="79">
        <v>44931.269016203703</v>
      </c>
      <c r="AG1961" s="85">
        <v>44931</v>
      </c>
      <c r="AH1961" s="81" t="s">
        <v>7576</v>
      </c>
      <c r="AI1961" s="77" t="b">
        <v>0</v>
      </c>
      <c r="AJ1961" s="77"/>
      <c r="AK1961" s="77"/>
      <c r="AL1961" s="77"/>
      <c r="AM1961" s="77"/>
      <c r="AN1961" s="77"/>
      <c r="AO1961" s="77"/>
      <c r="AP1961" s="77"/>
      <c r="AQ1961" s="77" t="s">
        <v>9178</v>
      </c>
      <c r="AR1961" s="77"/>
      <c r="AS1961" s="77"/>
      <c r="AT1961" s="77"/>
      <c r="AU1961" s="77"/>
      <c r="AV1961" s="83" t="str">
        <f>HYPERLINK("https://pbs.twimg.com/media/FlsD96vXEAAJdrg.jpg")</f>
        <v>https://pbs.twimg.com/media/FlsD96vXEAAJdrg.jpg</v>
      </c>
      <c r="AW1961" s="81" t="s">
        <v>11073</v>
      </c>
      <c r="AX1961" s="81" t="s">
        <v>11073</v>
      </c>
      <c r="AY1961" s="77"/>
      <c r="AZ1961" s="81" t="s">
        <v>11359</v>
      </c>
      <c r="BA1961" s="81" t="s">
        <v>11359</v>
      </c>
      <c r="BB1961" s="81" t="s">
        <v>11359</v>
      </c>
      <c r="BC1961" s="81" t="s">
        <v>11073</v>
      </c>
      <c r="BD1961" s="77">
        <v>246290198</v>
      </c>
      <c r="BE1961" s="77"/>
      <c r="BF1961" s="77"/>
      <c r="BG1961" s="77"/>
      <c r="BH1961" s="77"/>
      <c r="BI1961" s="77"/>
    </row>
    <row r="1962" spans="1:61" x14ac:dyDescent="0.25">
      <c r="A1962" s="62" t="s">
        <v>808</v>
      </c>
      <c r="B1962" s="62" t="s">
        <v>808</v>
      </c>
      <c r="C1962" s="63"/>
      <c r="D1962" s="64"/>
      <c r="E1962" s="65"/>
      <c r="F1962" s="66"/>
      <c r="G1962" s="63"/>
      <c r="H1962" s="67"/>
      <c r="I1962" s="68"/>
      <c r="J1962" s="68"/>
      <c r="K1962" s="32"/>
      <c r="L1962" s="75">
        <v>1962</v>
      </c>
      <c r="M1962" s="75"/>
      <c r="N1962" s="70"/>
      <c r="O1962" s="77" t="s">
        <v>179</v>
      </c>
      <c r="P1962" s="79">
        <v>44971.762870370374</v>
      </c>
      <c r="Q1962" s="77" t="s">
        <v>2744</v>
      </c>
      <c r="R1962" s="77">
        <v>0</v>
      </c>
      <c r="S1962" s="77">
        <v>0</v>
      </c>
      <c r="T1962" s="77">
        <v>0</v>
      </c>
      <c r="U1962" s="77">
        <v>0</v>
      </c>
      <c r="V1962" s="77">
        <v>24</v>
      </c>
      <c r="W1962" s="81" t="s">
        <v>3789</v>
      </c>
      <c r="X1962" s="83" t="str">
        <f>HYPERLINK("https://lttr.ai/8LoX")</f>
        <v>https://lttr.ai/8LoX</v>
      </c>
      <c r="Y1962" s="77" t="s">
        <v>4288</v>
      </c>
      <c r="Z1962" s="77"/>
      <c r="AA1962" s="77" t="s">
        <v>5681</v>
      </c>
      <c r="AB1962" s="77" t="s">
        <v>5794</v>
      </c>
      <c r="AC1962" s="81" t="s">
        <v>5839</v>
      </c>
      <c r="AD1962" s="77" t="s">
        <v>5850</v>
      </c>
      <c r="AE1962" s="83" t="str">
        <f>HYPERLINK("https://twitter.com/danielponceg/status/1625560137736806400")</f>
        <v>https://twitter.com/danielponceg/status/1625560137736806400</v>
      </c>
      <c r="AF1962" s="79">
        <v>44971.762870370374</v>
      </c>
      <c r="AG1962" s="85">
        <v>44971</v>
      </c>
      <c r="AH1962" s="81" t="s">
        <v>7577</v>
      </c>
      <c r="AI1962" s="77" t="b">
        <v>0</v>
      </c>
      <c r="AJ1962" s="77"/>
      <c r="AK1962" s="77"/>
      <c r="AL1962" s="77"/>
      <c r="AM1962" s="77"/>
      <c r="AN1962" s="77"/>
      <c r="AO1962" s="77"/>
      <c r="AP1962" s="77"/>
      <c r="AQ1962" s="77" t="s">
        <v>9179</v>
      </c>
      <c r="AR1962" s="77"/>
      <c r="AS1962" s="77"/>
      <c r="AT1962" s="77"/>
      <c r="AU1962" s="77"/>
      <c r="AV1962" s="83" t="str">
        <f>HYPERLINK("https://pbs.twimg.com/media/Fo8mVMUWYAAy9jm.jpg")</f>
        <v>https://pbs.twimg.com/media/Fo8mVMUWYAAy9jm.jpg</v>
      </c>
      <c r="AW1962" s="81" t="s">
        <v>11074</v>
      </c>
      <c r="AX1962" s="81" t="s">
        <v>11074</v>
      </c>
      <c r="AY1962" s="77"/>
      <c r="AZ1962" s="81" t="s">
        <v>11359</v>
      </c>
      <c r="BA1962" s="81" t="s">
        <v>11359</v>
      </c>
      <c r="BB1962" s="81" t="s">
        <v>11359</v>
      </c>
      <c r="BC1962" s="81" t="s">
        <v>11074</v>
      </c>
      <c r="BD1962" s="77">
        <v>246290198</v>
      </c>
      <c r="BE1962" s="77"/>
      <c r="BF1962" s="77"/>
      <c r="BG1962" s="77"/>
      <c r="BH1962" s="77"/>
      <c r="BI1962" s="77"/>
    </row>
    <row r="1963" spans="1:61" x14ac:dyDescent="0.25">
      <c r="A1963" s="62" t="s">
        <v>808</v>
      </c>
      <c r="B1963" s="62" t="s">
        <v>808</v>
      </c>
      <c r="C1963" s="63"/>
      <c r="D1963" s="64"/>
      <c r="E1963" s="65"/>
      <c r="F1963" s="66"/>
      <c r="G1963" s="63"/>
      <c r="H1963" s="67"/>
      <c r="I1963" s="68"/>
      <c r="J1963" s="68"/>
      <c r="K1963" s="32"/>
      <c r="L1963" s="75">
        <v>1963</v>
      </c>
      <c r="M1963" s="75"/>
      <c r="N1963" s="70"/>
      <c r="O1963" s="77" t="s">
        <v>179</v>
      </c>
      <c r="P1963" s="79">
        <v>44941.762638888889</v>
      </c>
      <c r="Q1963" s="77" t="s">
        <v>2745</v>
      </c>
      <c r="R1963" s="77">
        <v>0</v>
      </c>
      <c r="S1963" s="77">
        <v>0</v>
      </c>
      <c r="T1963" s="77">
        <v>0</v>
      </c>
      <c r="U1963" s="77">
        <v>0</v>
      </c>
      <c r="V1963" s="77">
        <v>44</v>
      </c>
      <c r="W1963" s="81" t="s">
        <v>3790</v>
      </c>
      <c r="X1963" s="83" t="str">
        <f>HYPERLINK("https://lttr.ai/69iB")</f>
        <v>https://lttr.ai/69iB</v>
      </c>
      <c r="Y1963" s="77" t="s">
        <v>4288</v>
      </c>
      <c r="Z1963" s="77"/>
      <c r="AA1963" s="77" t="s">
        <v>5682</v>
      </c>
      <c r="AB1963" s="77" t="s">
        <v>5794</v>
      </c>
      <c r="AC1963" s="81" t="s">
        <v>5839</v>
      </c>
      <c r="AD1963" s="77" t="s">
        <v>5850</v>
      </c>
      <c r="AE1963" s="83" t="str">
        <f>HYPERLINK("https://twitter.com/danielponceg/status/1614688417333346304")</f>
        <v>https://twitter.com/danielponceg/status/1614688417333346304</v>
      </c>
      <c r="AF1963" s="79">
        <v>44941.762638888889</v>
      </c>
      <c r="AG1963" s="85">
        <v>44941</v>
      </c>
      <c r="AH1963" s="81" t="s">
        <v>7578</v>
      </c>
      <c r="AI1963" s="77" t="b">
        <v>0</v>
      </c>
      <c r="AJ1963" s="77"/>
      <c r="AK1963" s="77"/>
      <c r="AL1963" s="77"/>
      <c r="AM1963" s="77"/>
      <c r="AN1963" s="77"/>
      <c r="AO1963" s="77"/>
      <c r="AP1963" s="77"/>
      <c r="AQ1963" s="77" t="s">
        <v>9180</v>
      </c>
      <c r="AR1963" s="77"/>
      <c r="AS1963" s="77"/>
      <c r="AT1963" s="77"/>
      <c r="AU1963" s="77"/>
      <c r="AV1963" s="83" t="str">
        <f>HYPERLINK("https://pbs.twimg.com/media/FmiGjxFWIAIh4L0.jpg")</f>
        <v>https://pbs.twimg.com/media/FmiGjxFWIAIh4L0.jpg</v>
      </c>
      <c r="AW1963" s="81" t="s">
        <v>11075</v>
      </c>
      <c r="AX1963" s="81" t="s">
        <v>11075</v>
      </c>
      <c r="AY1963" s="77"/>
      <c r="AZ1963" s="81" t="s">
        <v>11359</v>
      </c>
      <c r="BA1963" s="81" t="s">
        <v>11359</v>
      </c>
      <c r="BB1963" s="81" t="s">
        <v>11359</v>
      </c>
      <c r="BC1963" s="81" t="s">
        <v>11075</v>
      </c>
      <c r="BD1963" s="77">
        <v>246290198</v>
      </c>
      <c r="BE1963" s="77"/>
      <c r="BF1963" s="77"/>
      <c r="BG1963" s="77"/>
      <c r="BH1963" s="77"/>
      <c r="BI1963" s="77"/>
    </row>
    <row r="1964" spans="1:61" x14ac:dyDescent="0.25">
      <c r="A1964" s="62" t="s">
        <v>808</v>
      </c>
      <c r="B1964" s="62" t="s">
        <v>808</v>
      </c>
      <c r="C1964" s="63"/>
      <c r="D1964" s="64"/>
      <c r="E1964" s="65"/>
      <c r="F1964" s="66"/>
      <c r="G1964" s="63"/>
      <c r="H1964" s="67"/>
      <c r="I1964" s="68"/>
      <c r="J1964" s="68"/>
      <c r="K1964" s="32"/>
      <c r="L1964" s="75">
        <v>1964</v>
      </c>
      <c r="M1964" s="75"/>
      <c r="N1964" s="70"/>
      <c r="O1964" s="77" t="s">
        <v>179</v>
      </c>
      <c r="P1964" s="79">
        <v>44989.268912037034</v>
      </c>
      <c r="Q1964" s="77" t="s">
        <v>2746</v>
      </c>
      <c r="R1964" s="77">
        <v>0</v>
      </c>
      <c r="S1964" s="77">
        <v>1</v>
      </c>
      <c r="T1964" s="77">
        <v>0</v>
      </c>
      <c r="U1964" s="77">
        <v>0</v>
      </c>
      <c r="V1964" s="77">
        <v>16</v>
      </c>
      <c r="W1964" s="81" t="s">
        <v>3788</v>
      </c>
      <c r="X1964" s="83" t="str">
        <f>HYPERLINK("https://lttr.ai/80pu")</f>
        <v>https://lttr.ai/80pu</v>
      </c>
      <c r="Y1964" s="77" t="s">
        <v>4288</v>
      </c>
      <c r="Z1964" s="77"/>
      <c r="AA1964" s="77" t="s">
        <v>5683</v>
      </c>
      <c r="AB1964" s="77" t="s">
        <v>5794</v>
      </c>
      <c r="AC1964" s="81" t="s">
        <v>5839</v>
      </c>
      <c r="AD1964" s="77" t="s">
        <v>5850</v>
      </c>
      <c r="AE1964" s="83" t="str">
        <f>HYPERLINK("https://twitter.com/danielponceg/status/1631904114333437952")</f>
        <v>https://twitter.com/danielponceg/status/1631904114333437952</v>
      </c>
      <c r="AF1964" s="79">
        <v>44989.268912037034</v>
      </c>
      <c r="AG1964" s="85">
        <v>44989</v>
      </c>
      <c r="AH1964" s="81" t="s">
        <v>7579</v>
      </c>
      <c r="AI1964" s="77" t="b">
        <v>0</v>
      </c>
      <c r="AJ1964" s="77"/>
      <c r="AK1964" s="77"/>
      <c r="AL1964" s="77"/>
      <c r="AM1964" s="77"/>
      <c r="AN1964" s="77"/>
      <c r="AO1964" s="77"/>
      <c r="AP1964" s="77"/>
      <c r="AQ1964" s="77" t="s">
        <v>9181</v>
      </c>
      <c r="AR1964" s="77"/>
      <c r="AS1964" s="77"/>
      <c r="AT1964" s="77"/>
      <c r="AU1964" s="77"/>
      <c r="AV1964" s="83" t="str">
        <f>HYPERLINK("https://pbs.twimg.com/media/FqWwJQKXsAIiOMa.jpg")</f>
        <v>https://pbs.twimg.com/media/FqWwJQKXsAIiOMa.jpg</v>
      </c>
      <c r="AW1964" s="81" t="s">
        <v>11076</v>
      </c>
      <c r="AX1964" s="81" t="s">
        <v>11076</v>
      </c>
      <c r="AY1964" s="77"/>
      <c r="AZ1964" s="81" t="s">
        <v>11359</v>
      </c>
      <c r="BA1964" s="81" t="s">
        <v>11359</v>
      </c>
      <c r="BB1964" s="81" t="s">
        <v>11359</v>
      </c>
      <c r="BC1964" s="81" t="s">
        <v>11076</v>
      </c>
      <c r="BD1964" s="77">
        <v>246290198</v>
      </c>
      <c r="BE1964" s="77"/>
      <c r="BF1964" s="77"/>
      <c r="BG1964" s="77"/>
      <c r="BH1964" s="77"/>
      <c r="BI1964" s="77"/>
    </row>
    <row r="1965" spans="1:61" x14ac:dyDescent="0.25">
      <c r="A1965" s="62" t="s">
        <v>808</v>
      </c>
      <c r="B1965" s="62" t="s">
        <v>808</v>
      </c>
      <c r="C1965" s="63"/>
      <c r="D1965" s="64"/>
      <c r="E1965" s="65"/>
      <c r="F1965" s="66"/>
      <c r="G1965" s="63"/>
      <c r="H1965" s="67"/>
      <c r="I1965" s="68"/>
      <c r="J1965" s="68"/>
      <c r="K1965" s="32"/>
      <c r="L1965" s="75">
        <v>1965</v>
      </c>
      <c r="M1965" s="75"/>
      <c r="N1965" s="70"/>
      <c r="O1965" s="77" t="s">
        <v>179</v>
      </c>
      <c r="P1965" s="79">
        <v>44961.268888888888</v>
      </c>
      <c r="Q1965" s="77" t="s">
        <v>2747</v>
      </c>
      <c r="R1965" s="77">
        <v>1</v>
      </c>
      <c r="S1965" s="77">
        <v>0</v>
      </c>
      <c r="T1965" s="77">
        <v>0</v>
      </c>
      <c r="U1965" s="77">
        <v>0</v>
      </c>
      <c r="V1965" s="77">
        <v>30</v>
      </c>
      <c r="W1965" s="81" t="s">
        <v>3791</v>
      </c>
      <c r="X1965" s="83" t="str">
        <f>HYPERLINK("https://lttr.ai/7wvA")</f>
        <v>https://lttr.ai/7wvA</v>
      </c>
      <c r="Y1965" s="77" t="s">
        <v>4288</v>
      </c>
      <c r="Z1965" s="77"/>
      <c r="AA1965" s="77" t="s">
        <v>5684</v>
      </c>
      <c r="AB1965" s="77" t="s">
        <v>5794</v>
      </c>
      <c r="AC1965" s="81" t="s">
        <v>5839</v>
      </c>
      <c r="AD1965" s="77" t="s">
        <v>5850</v>
      </c>
      <c r="AE1965" s="83" t="str">
        <f>HYPERLINK("https://twitter.com/danielponceg/status/1621757245800284160")</f>
        <v>https://twitter.com/danielponceg/status/1621757245800284160</v>
      </c>
      <c r="AF1965" s="79">
        <v>44961.268888888888</v>
      </c>
      <c r="AG1965" s="85">
        <v>44961</v>
      </c>
      <c r="AH1965" s="81" t="s">
        <v>7580</v>
      </c>
      <c r="AI1965" s="77" t="b">
        <v>0</v>
      </c>
      <c r="AJ1965" s="77"/>
      <c r="AK1965" s="77"/>
      <c r="AL1965" s="77"/>
      <c r="AM1965" s="77"/>
      <c r="AN1965" s="77"/>
      <c r="AO1965" s="77"/>
      <c r="AP1965" s="77"/>
      <c r="AQ1965" s="77" t="s">
        <v>9182</v>
      </c>
      <c r="AR1965" s="77"/>
      <c r="AS1965" s="77"/>
      <c r="AT1965" s="77"/>
      <c r="AU1965" s="77"/>
      <c r="AV1965" s="83" t="str">
        <f>HYPERLINK("https://pbs.twimg.com/media/FoGjnx1WQAAU-V3.jpg")</f>
        <v>https://pbs.twimg.com/media/FoGjnx1WQAAU-V3.jpg</v>
      </c>
      <c r="AW1965" s="81" t="s">
        <v>11077</v>
      </c>
      <c r="AX1965" s="81" t="s">
        <v>11077</v>
      </c>
      <c r="AY1965" s="77"/>
      <c r="AZ1965" s="81" t="s">
        <v>11359</v>
      </c>
      <c r="BA1965" s="81" t="s">
        <v>11359</v>
      </c>
      <c r="BB1965" s="81" t="s">
        <v>11359</v>
      </c>
      <c r="BC1965" s="81" t="s">
        <v>11077</v>
      </c>
      <c r="BD1965" s="77">
        <v>246290198</v>
      </c>
      <c r="BE1965" s="77"/>
      <c r="BF1965" s="77"/>
      <c r="BG1965" s="77"/>
      <c r="BH1965" s="77"/>
      <c r="BI1965" s="77"/>
    </row>
    <row r="1966" spans="1:61" x14ac:dyDescent="0.25">
      <c r="A1966" s="62" t="s">
        <v>808</v>
      </c>
      <c r="B1966" s="62" t="s">
        <v>808</v>
      </c>
      <c r="C1966" s="63"/>
      <c r="D1966" s="64"/>
      <c r="E1966" s="65"/>
      <c r="F1966" s="66"/>
      <c r="G1966" s="63"/>
      <c r="H1966" s="67"/>
      <c r="I1966" s="68"/>
      <c r="J1966" s="68"/>
      <c r="K1966" s="32"/>
      <c r="L1966" s="75">
        <v>1966</v>
      </c>
      <c r="M1966" s="75"/>
      <c r="N1966" s="70"/>
      <c r="O1966" s="77" t="s">
        <v>179</v>
      </c>
      <c r="P1966" s="79">
        <v>44980.762974537036</v>
      </c>
      <c r="Q1966" s="77" t="s">
        <v>2748</v>
      </c>
      <c r="R1966" s="77">
        <v>0</v>
      </c>
      <c r="S1966" s="77">
        <v>0</v>
      </c>
      <c r="T1966" s="77">
        <v>0</v>
      </c>
      <c r="U1966" s="77">
        <v>0</v>
      </c>
      <c r="V1966" s="77">
        <v>67</v>
      </c>
      <c r="W1966" s="81" t="s">
        <v>3792</v>
      </c>
      <c r="X1966" s="83" t="str">
        <f>HYPERLINK("https://lttr.ai/8gwi")</f>
        <v>https://lttr.ai/8gwi</v>
      </c>
      <c r="Y1966" s="77" t="s">
        <v>4288</v>
      </c>
      <c r="Z1966" s="77"/>
      <c r="AA1966" s="77"/>
      <c r="AB1966" s="77"/>
      <c r="AC1966" s="81" t="s">
        <v>5839</v>
      </c>
      <c r="AD1966" s="77" t="s">
        <v>5850</v>
      </c>
      <c r="AE1966" s="83" t="str">
        <f>HYPERLINK("https://twitter.com/danielponceg/status/1628821664795439104")</f>
        <v>https://twitter.com/danielponceg/status/1628821664795439104</v>
      </c>
      <c r="AF1966" s="79">
        <v>44980.762974537036</v>
      </c>
      <c r="AG1966" s="85">
        <v>44980</v>
      </c>
      <c r="AH1966" s="81" t="s">
        <v>7581</v>
      </c>
      <c r="AI1966" s="77" t="b">
        <v>0</v>
      </c>
      <c r="AJ1966" s="77"/>
      <c r="AK1966" s="77"/>
      <c r="AL1966" s="77"/>
      <c r="AM1966" s="77"/>
      <c r="AN1966" s="77"/>
      <c r="AO1966" s="77"/>
      <c r="AP1966" s="77"/>
      <c r="AQ1966" s="77"/>
      <c r="AR1966" s="77"/>
      <c r="AS1966" s="77"/>
      <c r="AT1966" s="77"/>
      <c r="AU1966" s="77"/>
      <c r="AV1966" s="83" t="str">
        <f>HYPERLINK("https://pbs.twimg.com/profile_images/1472968513732153348/MR18frbg_normal.jpg")</f>
        <v>https://pbs.twimg.com/profile_images/1472968513732153348/MR18frbg_normal.jpg</v>
      </c>
      <c r="AW1966" s="81" t="s">
        <v>11078</v>
      </c>
      <c r="AX1966" s="81" t="s">
        <v>11078</v>
      </c>
      <c r="AY1966" s="77"/>
      <c r="AZ1966" s="81" t="s">
        <v>11359</v>
      </c>
      <c r="BA1966" s="81" t="s">
        <v>11359</v>
      </c>
      <c r="BB1966" s="81" t="s">
        <v>11359</v>
      </c>
      <c r="BC1966" s="81" t="s">
        <v>11078</v>
      </c>
      <c r="BD1966" s="77">
        <v>246290198</v>
      </c>
      <c r="BE1966" s="77"/>
      <c r="BF1966" s="77"/>
      <c r="BG1966" s="77"/>
      <c r="BH1966" s="77"/>
      <c r="BI1966" s="77"/>
    </row>
    <row r="1967" spans="1:61" x14ac:dyDescent="0.25">
      <c r="A1967" s="62" t="s">
        <v>809</v>
      </c>
      <c r="B1967" s="62" t="s">
        <v>809</v>
      </c>
      <c r="C1967" s="63"/>
      <c r="D1967" s="64"/>
      <c r="E1967" s="65"/>
      <c r="F1967" s="66"/>
      <c r="G1967" s="63"/>
      <c r="H1967" s="67"/>
      <c r="I1967" s="68"/>
      <c r="J1967" s="68"/>
      <c r="K1967" s="32"/>
      <c r="L1967" s="75">
        <v>1967</v>
      </c>
      <c r="M1967" s="75"/>
      <c r="N1967" s="70"/>
      <c r="O1967" s="77" t="s">
        <v>179</v>
      </c>
      <c r="P1967" s="79">
        <v>45027.625752314816</v>
      </c>
      <c r="Q1967" s="77" t="s">
        <v>2749</v>
      </c>
      <c r="R1967" s="77">
        <v>0</v>
      </c>
      <c r="S1967" s="77">
        <v>0</v>
      </c>
      <c r="T1967" s="77">
        <v>0</v>
      </c>
      <c r="U1967" s="77">
        <v>0</v>
      </c>
      <c r="V1967" s="77">
        <v>21</v>
      </c>
      <c r="W1967" s="81" t="s">
        <v>4019</v>
      </c>
      <c r="X1967" s="83" t="str">
        <f>HYPERLINK("http://www.riomaframix.com.br")</f>
        <v>http://www.riomaframix.com.br</v>
      </c>
      <c r="Y1967" s="77" t="s">
        <v>4223</v>
      </c>
      <c r="Z1967" s="77"/>
      <c r="AA1967" s="77" t="s">
        <v>5685</v>
      </c>
      <c r="AB1967" s="77" t="s">
        <v>5794</v>
      </c>
      <c r="AC1967" s="81" t="s">
        <v>5808</v>
      </c>
      <c r="AD1967" s="77" t="s">
        <v>5851</v>
      </c>
      <c r="AE1967" s="83" t="str">
        <f>HYPERLINK("https://twitter.com/riomaframix/status/1645804165975916545")</f>
        <v>https://twitter.com/riomaframix/status/1645804165975916545</v>
      </c>
      <c r="AF1967" s="79">
        <v>45027.625752314816</v>
      </c>
      <c r="AG1967" s="85">
        <v>45027</v>
      </c>
      <c r="AH1967" s="81" t="s">
        <v>7582</v>
      </c>
      <c r="AI1967" s="77" t="b">
        <v>0</v>
      </c>
      <c r="AJ1967" s="77"/>
      <c r="AK1967" s="77"/>
      <c r="AL1967" s="77"/>
      <c r="AM1967" s="77"/>
      <c r="AN1967" s="77"/>
      <c r="AO1967" s="77"/>
      <c r="AP1967" s="77"/>
      <c r="AQ1967" s="77" t="s">
        <v>9183</v>
      </c>
      <c r="AR1967" s="77"/>
      <c r="AS1967" s="77"/>
      <c r="AT1967" s="77"/>
      <c r="AU1967" s="77"/>
      <c r="AV1967" s="83" t="str">
        <f>HYPERLINK("https://pbs.twimg.com/media/FtcSKmracAE2ilq.jpg")</f>
        <v>https://pbs.twimg.com/media/FtcSKmracAE2ilq.jpg</v>
      </c>
      <c r="AW1967" s="81" t="s">
        <v>11079</v>
      </c>
      <c r="AX1967" s="81" t="s">
        <v>11079</v>
      </c>
      <c r="AY1967" s="77"/>
      <c r="AZ1967" s="81" t="s">
        <v>11359</v>
      </c>
      <c r="BA1967" s="81" t="s">
        <v>11359</v>
      </c>
      <c r="BB1967" s="81" t="s">
        <v>11359</v>
      </c>
      <c r="BC1967" s="81" t="s">
        <v>11079</v>
      </c>
      <c r="BD1967" s="81" t="s">
        <v>11681</v>
      </c>
      <c r="BE1967" s="77"/>
      <c r="BF1967" s="77"/>
      <c r="BG1967" s="77"/>
      <c r="BH1967" s="77"/>
      <c r="BI1967" s="77"/>
    </row>
    <row r="1968" spans="1:61" x14ac:dyDescent="0.25">
      <c r="A1968" s="62" t="s">
        <v>809</v>
      </c>
      <c r="B1968" s="62" t="s">
        <v>809</v>
      </c>
      <c r="C1968" s="63"/>
      <c r="D1968" s="64"/>
      <c r="E1968" s="65"/>
      <c r="F1968" s="66"/>
      <c r="G1968" s="63"/>
      <c r="H1968" s="67"/>
      <c r="I1968" s="68"/>
      <c r="J1968" s="68"/>
      <c r="K1968" s="32"/>
      <c r="L1968" s="75">
        <v>1968</v>
      </c>
      <c r="M1968" s="75"/>
      <c r="N1968" s="70"/>
      <c r="O1968" s="77" t="s">
        <v>179</v>
      </c>
      <c r="P1968" s="79">
        <v>45027.593668981484</v>
      </c>
      <c r="Q1968" s="77" t="s">
        <v>2750</v>
      </c>
      <c r="R1968" s="77">
        <v>0</v>
      </c>
      <c r="S1968" s="77">
        <v>0</v>
      </c>
      <c r="T1968" s="77">
        <v>0</v>
      </c>
      <c r="U1968" s="77">
        <v>0</v>
      </c>
      <c r="V1968" s="77">
        <v>12</v>
      </c>
      <c r="W1968" s="81" t="s">
        <v>4020</v>
      </c>
      <c r="X1968" s="83" t="str">
        <f>HYPERLINK("http://www.riomaframix.com.br")</f>
        <v>http://www.riomaframix.com.br</v>
      </c>
      <c r="Y1968" s="77" t="s">
        <v>4223</v>
      </c>
      <c r="Z1968" s="77"/>
      <c r="AA1968" s="77" t="s">
        <v>5686</v>
      </c>
      <c r="AB1968" s="77" t="s">
        <v>5794</v>
      </c>
      <c r="AC1968" s="81" t="s">
        <v>5808</v>
      </c>
      <c r="AD1968" s="77" t="s">
        <v>5851</v>
      </c>
      <c r="AE1968" s="83" t="str">
        <f>HYPERLINK("https://twitter.com/riomaframix/status/1645792540191522818")</f>
        <v>https://twitter.com/riomaframix/status/1645792540191522818</v>
      </c>
      <c r="AF1968" s="79">
        <v>45027.593668981484</v>
      </c>
      <c r="AG1968" s="85">
        <v>45027</v>
      </c>
      <c r="AH1968" s="81" t="s">
        <v>7583</v>
      </c>
      <c r="AI1968" s="77" t="b">
        <v>0</v>
      </c>
      <c r="AJ1968" s="77"/>
      <c r="AK1968" s="77"/>
      <c r="AL1968" s="77"/>
      <c r="AM1968" s="77"/>
      <c r="AN1968" s="77"/>
      <c r="AO1968" s="77"/>
      <c r="AP1968" s="77"/>
      <c r="AQ1968" s="77" t="s">
        <v>9184</v>
      </c>
      <c r="AR1968" s="77"/>
      <c r="AS1968" s="77"/>
      <c r="AT1968" s="77"/>
      <c r="AU1968" s="77"/>
      <c r="AV1968" s="83" t="str">
        <f>HYPERLINK("https://pbs.twimg.com/media/FtcHmA2aQAACFPS.png")</f>
        <v>https://pbs.twimg.com/media/FtcHmA2aQAACFPS.png</v>
      </c>
      <c r="AW1968" s="81" t="s">
        <v>11080</v>
      </c>
      <c r="AX1968" s="81" t="s">
        <v>11080</v>
      </c>
      <c r="AY1968" s="77"/>
      <c r="AZ1968" s="81" t="s">
        <v>11359</v>
      </c>
      <c r="BA1968" s="81" t="s">
        <v>11359</v>
      </c>
      <c r="BB1968" s="81" t="s">
        <v>11359</v>
      </c>
      <c r="BC1968" s="81" t="s">
        <v>11080</v>
      </c>
      <c r="BD1968" s="81" t="s">
        <v>11681</v>
      </c>
      <c r="BE1968" s="77"/>
      <c r="BF1968" s="77"/>
      <c r="BG1968" s="77"/>
      <c r="BH1968" s="77"/>
      <c r="BI1968" s="77"/>
    </row>
    <row r="1969" spans="1:61" x14ac:dyDescent="0.25">
      <c r="A1969" s="62" t="s">
        <v>809</v>
      </c>
      <c r="B1969" s="62" t="s">
        <v>809</v>
      </c>
      <c r="C1969" s="63"/>
      <c r="D1969" s="64"/>
      <c r="E1969" s="65"/>
      <c r="F1969" s="66"/>
      <c r="G1969" s="63"/>
      <c r="H1969" s="67"/>
      <c r="I1969" s="68"/>
      <c r="J1969" s="68"/>
      <c r="K1969" s="32"/>
      <c r="L1969" s="75">
        <v>1969</v>
      </c>
      <c r="M1969" s="75"/>
      <c r="N1969" s="70"/>
      <c r="O1969" s="77" t="s">
        <v>179</v>
      </c>
      <c r="P1969" s="79">
        <v>45034.571620370371</v>
      </c>
      <c r="Q1969" s="77" t="s">
        <v>2751</v>
      </c>
      <c r="R1969" s="77">
        <v>0</v>
      </c>
      <c r="S1969" s="77">
        <v>0</v>
      </c>
      <c r="T1969" s="77">
        <v>0</v>
      </c>
      <c r="U1969" s="77">
        <v>0</v>
      </c>
      <c r="V1969" s="77">
        <v>22</v>
      </c>
      <c r="W1969" s="81" t="s">
        <v>4021</v>
      </c>
      <c r="X1969" s="83" t="str">
        <f>HYPERLINK("http://www.riomaframix.com.br")</f>
        <v>http://www.riomaframix.com.br</v>
      </c>
      <c r="Y1969" s="77" t="s">
        <v>4223</v>
      </c>
      <c r="Z1969" s="77"/>
      <c r="AA1969" s="77" t="s">
        <v>5687</v>
      </c>
      <c r="AB1969" s="77" t="s">
        <v>5794</v>
      </c>
      <c r="AC1969" s="81" t="s">
        <v>5808</v>
      </c>
      <c r="AD1969" s="77" t="s">
        <v>5851</v>
      </c>
      <c r="AE1969" s="83" t="str">
        <f>HYPERLINK("https://twitter.com/riomaframix/status/1648321264287612928")</f>
        <v>https://twitter.com/riomaframix/status/1648321264287612928</v>
      </c>
      <c r="AF1969" s="79">
        <v>45034.571620370371</v>
      </c>
      <c r="AG1969" s="85">
        <v>45034</v>
      </c>
      <c r="AH1969" s="81" t="s">
        <v>7584</v>
      </c>
      <c r="AI1969" s="77" t="b">
        <v>0</v>
      </c>
      <c r="AJ1969" s="77"/>
      <c r="AK1969" s="77"/>
      <c r="AL1969" s="77"/>
      <c r="AM1969" s="77"/>
      <c r="AN1969" s="77"/>
      <c r="AO1969" s="77"/>
      <c r="AP1969" s="77"/>
      <c r="AQ1969" s="77" t="s">
        <v>9185</v>
      </c>
      <c r="AR1969" s="77"/>
      <c r="AS1969" s="77"/>
      <c r="AT1969" s="77"/>
      <c r="AU1969" s="77"/>
      <c r="AV1969" s="83" t="str">
        <f>HYPERLINK("https://pbs.twimg.com/media/FuADdJ-WIAMzR6x.png")</f>
        <v>https://pbs.twimg.com/media/FuADdJ-WIAMzR6x.png</v>
      </c>
      <c r="AW1969" s="81" t="s">
        <v>11081</v>
      </c>
      <c r="AX1969" s="81" t="s">
        <v>11081</v>
      </c>
      <c r="AY1969" s="77"/>
      <c r="AZ1969" s="81" t="s">
        <v>11359</v>
      </c>
      <c r="BA1969" s="81" t="s">
        <v>11359</v>
      </c>
      <c r="BB1969" s="81" t="s">
        <v>11359</v>
      </c>
      <c r="BC1969" s="81" t="s">
        <v>11081</v>
      </c>
      <c r="BD1969" s="81" t="s">
        <v>11681</v>
      </c>
      <c r="BE1969" s="77"/>
      <c r="BF1969" s="77"/>
      <c r="BG1969" s="77"/>
      <c r="BH1969" s="77"/>
      <c r="BI1969" s="77"/>
    </row>
    <row r="1970" spans="1:61" x14ac:dyDescent="0.25">
      <c r="A1970" s="62" t="s">
        <v>809</v>
      </c>
      <c r="B1970" s="62" t="s">
        <v>809</v>
      </c>
      <c r="C1970" s="63"/>
      <c r="D1970" s="64"/>
      <c r="E1970" s="65"/>
      <c r="F1970" s="66"/>
      <c r="G1970" s="63"/>
      <c r="H1970" s="67"/>
      <c r="I1970" s="68"/>
      <c r="J1970" s="68"/>
      <c r="K1970" s="32"/>
      <c r="L1970" s="75">
        <v>1970</v>
      </c>
      <c r="M1970" s="75"/>
      <c r="N1970" s="70"/>
      <c r="O1970" s="77" t="s">
        <v>179</v>
      </c>
      <c r="P1970" s="79">
        <v>45089.761342592596</v>
      </c>
      <c r="Q1970" s="77" t="s">
        <v>2752</v>
      </c>
      <c r="R1970" s="77">
        <v>0</v>
      </c>
      <c r="S1970" s="77">
        <v>0</v>
      </c>
      <c r="T1970" s="77">
        <v>0</v>
      </c>
      <c r="U1970" s="77">
        <v>0</v>
      </c>
      <c r="V1970" s="77">
        <v>18</v>
      </c>
      <c r="W1970" s="81" t="s">
        <v>4022</v>
      </c>
      <c r="X1970" s="83" t="str">
        <f>HYPERLINK("http://www.riomaframix.com.br")</f>
        <v>http://www.riomaframix.com.br</v>
      </c>
      <c r="Y1970" s="77" t="s">
        <v>4223</v>
      </c>
      <c r="Z1970" s="77"/>
      <c r="AA1970" s="77" t="s">
        <v>5688</v>
      </c>
      <c r="AB1970" s="77" t="s">
        <v>5794</v>
      </c>
      <c r="AC1970" s="81" t="s">
        <v>5808</v>
      </c>
      <c r="AD1970" s="77" t="s">
        <v>5851</v>
      </c>
      <c r="AE1970" s="83" t="str">
        <f>HYPERLINK("https://twitter.com/riomaframix/status/1668321352195899412")</f>
        <v>https://twitter.com/riomaframix/status/1668321352195899412</v>
      </c>
      <c r="AF1970" s="79">
        <v>45089.761342592596</v>
      </c>
      <c r="AG1970" s="85">
        <v>45089</v>
      </c>
      <c r="AH1970" s="81" t="s">
        <v>7585</v>
      </c>
      <c r="AI1970" s="77" t="b">
        <v>0</v>
      </c>
      <c r="AJ1970" s="77"/>
      <c r="AK1970" s="77"/>
      <c r="AL1970" s="77"/>
      <c r="AM1970" s="77"/>
      <c r="AN1970" s="77"/>
      <c r="AO1970" s="77"/>
      <c r="AP1970" s="77"/>
      <c r="AQ1970" s="77" t="s">
        <v>9186</v>
      </c>
      <c r="AR1970" s="77"/>
      <c r="AS1970" s="77"/>
      <c r="AT1970" s="77"/>
      <c r="AU1970" s="77"/>
      <c r="AV1970" s="83" t="str">
        <f>HYPERLINK("https://pbs.twimg.com/media/FycRbd_WAAQtlXf.png")</f>
        <v>https://pbs.twimg.com/media/FycRbd_WAAQtlXf.png</v>
      </c>
      <c r="AW1970" s="81" t="s">
        <v>11082</v>
      </c>
      <c r="AX1970" s="81" t="s">
        <v>11082</v>
      </c>
      <c r="AY1970" s="77"/>
      <c r="AZ1970" s="81" t="s">
        <v>11359</v>
      </c>
      <c r="BA1970" s="81" t="s">
        <v>11359</v>
      </c>
      <c r="BB1970" s="81" t="s">
        <v>11359</v>
      </c>
      <c r="BC1970" s="81" t="s">
        <v>11082</v>
      </c>
      <c r="BD1970" s="81" t="s">
        <v>11681</v>
      </c>
      <c r="BE1970" s="77"/>
      <c r="BF1970" s="77"/>
      <c r="BG1970" s="77"/>
      <c r="BH1970" s="77"/>
      <c r="BI1970" s="77"/>
    </row>
    <row r="1971" spans="1:61" x14ac:dyDescent="0.25">
      <c r="A1971" s="62" t="s">
        <v>809</v>
      </c>
      <c r="B1971" s="62" t="s">
        <v>809</v>
      </c>
      <c r="C1971" s="63"/>
      <c r="D1971" s="64"/>
      <c r="E1971" s="65"/>
      <c r="F1971" s="66"/>
      <c r="G1971" s="63"/>
      <c r="H1971" s="67"/>
      <c r="I1971" s="68"/>
      <c r="J1971" s="68"/>
      <c r="K1971" s="32"/>
      <c r="L1971" s="75">
        <v>1971</v>
      </c>
      <c r="M1971" s="75"/>
      <c r="N1971" s="70"/>
      <c r="O1971" s="77" t="s">
        <v>179</v>
      </c>
      <c r="P1971" s="79">
        <v>45098.618437500001</v>
      </c>
      <c r="Q1971" s="77" t="s">
        <v>2753</v>
      </c>
      <c r="R1971" s="77">
        <v>0</v>
      </c>
      <c r="S1971" s="77">
        <v>0</v>
      </c>
      <c r="T1971" s="77">
        <v>0</v>
      </c>
      <c r="U1971" s="77">
        <v>0</v>
      </c>
      <c r="V1971" s="77">
        <v>27</v>
      </c>
      <c r="W1971" s="81" t="s">
        <v>4023</v>
      </c>
      <c r="X1971" s="83" t="str">
        <f>HYPERLINK("http://www.riomaframix.com.br")</f>
        <v>http://www.riomaframix.com.br</v>
      </c>
      <c r="Y1971" s="77" t="s">
        <v>4223</v>
      </c>
      <c r="Z1971" s="77"/>
      <c r="AA1971" s="77" t="s">
        <v>5689</v>
      </c>
      <c r="AB1971" s="77" t="s">
        <v>5794</v>
      </c>
      <c r="AC1971" s="81" t="s">
        <v>5808</v>
      </c>
      <c r="AD1971" s="77" t="s">
        <v>5851</v>
      </c>
      <c r="AE1971" s="83" t="str">
        <f>HYPERLINK("https://twitter.com/riomaframix/status/1671531056040747009")</f>
        <v>https://twitter.com/riomaframix/status/1671531056040747009</v>
      </c>
      <c r="AF1971" s="79">
        <v>45098.618437500001</v>
      </c>
      <c r="AG1971" s="85">
        <v>45098</v>
      </c>
      <c r="AH1971" s="81" t="s">
        <v>7586</v>
      </c>
      <c r="AI1971" s="77" t="b">
        <v>0</v>
      </c>
      <c r="AJ1971" s="77"/>
      <c r="AK1971" s="77"/>
      <c r="AL1971" s="77"/>
      <c r="AM1971" s="77"/>
      <c r="AN1971" s="77"/>
      <c r="AO1971" s="77"/>
      <c r="AP1971" s="77"/>
      <c r="AQ1971" s="77" t="s">
        <v>9187</v>
      </c>
      <c r="AR1971" s="77"/>
      <c r="AS1971" s="77"/>
      <c r="AT1971" s="77"/>
      <c r="AU1971" s="77"/>
      <c r="AV1971" s="83" t="str">
        <f>HYPERLINK("https://pbs.twimg.com/media/FzJ4oyeXoAEJ8Cd.png")</f>
        <v>https://pbs.twimg.com/media/FzJ4oyeXoAEJ8Cd.png</v>
      </c>
      <c r="AW1971" s="81" t="s">
        <v>11083</v>
      </c>
      <c r="AX1971" s="81" t="s">
        <v>11083</v>
      </c>
      <c r="AY1971" s="77"/>
      <c r="AZ1971" s="81" t="s">
        <v>11359</v>
      </c>
      <c r="BA1971" s="81" t="s">
        <v>11359</v>
      </c>
      <c r="BB1971" s="81" t="s">
        <v>11359</v>
      </c>
      <c r="BC1971" s="81" t="s">
        <v>11083</v>
      </c>
      <c r="BD1971" s="81" t="s">
        <v>11681</v>
      </c>
      <c r="BE1971" s="77"/>
      <c r="BF1971" s="77"/>
      <c r="BG1971" s="77"/>
      <c r="BH1971" s="77"/>
      <c r="BI1971" s="77"/>
    </row>
    <row r="1972" spans="1:61" x14ac:dyDescent="0.25">
      <c r="A1972" s="62" t="s">
        <v>810</v>
      </c>
      <c r="B1972" s="62" t="s">
        <v>810</v>
      </c>
      <c r="C1972" s="63"/>
      <c r="D1972" s="64"/>
      <c r="E1972" s="65"/>
      <c r="F1972" s="66"/>
      <c r="G1972" s="63"/>
      <c r="H1972" s="67"/>
      <c r="I1972" s="68"/>
      <c r="J1972" s="68"/>
      <c r="K1972" s="32"/>
      <c r="L1972" s="75">
        <v>1972</v>
      </c>
      <c r="M1972" s="75"/>
      <c r="N1972" s="70"/>
      <c r="O1972" s="77" t="s">
        <v>179</v>
      </c>
      <c r="P1972" s="79">
        <v>45013.824791666666</v>
      </c>
      <c r="Q1972" s="77" t="s">
        <v>2754</v>
      </c>
      <c r="R1972" s="77">
        <v>4</v>
      </c>
      <c r="S1972" s="77">
        <v>4</v>
      </c>
      <c r="T1972" s="77">
        <v>1</v>
      </c>
      <c r="U1972" s="77">
        <v>0</v>
      </c>
      <c r="V1972" s="77">
        <v>17</v>
      </c>
      <c r="W1972" s="81" t="s">
        <v>4024</v>
      </c>
      <c r="X1972" s="83" t="str">
        <f>HYPERLINK("https://amzn.to/3lMGcnF")</f>
        <v>https://amzn.to/3lMGcnF</v>
      </c>
      <c r="Y1972" s="77" t="s">
        <v>4273</v>
      </c>
      <c r="Z1972" s="77"/>
      <c r="AA1972" s="77"/>
      <c r="AB1972" s="77"/>
      <c r="AC1972" s="81" t="s">
        <v>5801</v>
      </c>
      <c r="AD1972" s="77" t="s">
        <v>5850</v>
      </c>
      <c r="AE1972" s="83" t="str">
        <f>HYPERLINK("https://twitter.com/josue_delrio/status/1640802865106284545")</f>
        <v>https://twitter.com/josue_delrio/status/1640802865106284545</v>
      </c>
      <c r="AF1972" s="79">
        <v>45013.824791666666</v>
      </c>
      <c r="AG1972" s="85">
        <v>45013</v>
      </c>
      <c r="AH1972" s="81" t="s">
        <v>7587</v>
      </c>
      <c r="AI1972" s="77" t="b">
        <v>0</v>
      </c>
      <c r="AJ1972" s="77"/>
      <c r="AK1972" s="77"/>
      <c r="AL1972" s="77"/>
      <c r="AM1972" s="77"/>
      <c r="AN1972" s="77"/>
      <c r="AO1972" s="77"/>
      <c r="AP1972" s="77"/>
      <c r="AQ1972" s="77"/>
      <c r="AR1972" s="77"/>
      <c r="AS1972" s="77"/>
      <c r="AT1972" s="77"/>
      <c r="AU1972" s="77"/>
      <c r="AV1972" s="83" t="str">
        <f>HYPERLINK("https://pbs.twimg.com/profile_images/1221707834414362624/yK8N1qE0_normal.jpg")</f>
        <v>https://pbs.twimg.com/profile_images/1221707834414362624/yK8N1qE0_normal.jpg</v>
      </c>
      <c r="AW1972" s="81" t="s">
        <v>11084</v>
      </c>
      <c r="AX1972" s="81" t="s">
        <v>11084</v>
      </c>
      <c r="AY1972" s="77"/>
      <c r="AZ1972" s="81" t="s">
        <v>11359</v>
      </c>
      <c r="BA1972" s="81" t="s">
        <v>11359</v>
      </c>
      <c r="BB1972" s="81" t="s">
        <v>11359</v>
      </c>
      <c r="BC1972" s="81" t="s">
        <v>11084</v>
      </c>
      <c r="BD1972" s="77">
        <v>227534134</v>
      </c>
      <c r="BE1972" s="77"/>
      <c r="BF1972" s="77"/>
      <c r="BG1972" s="77"/>
      <c r="BH1972" s="77"/>
      <c r="BI1972" s="77"/>
    </row>
    <row r="1973" spans="1:61" x14ac:dyDescent="0.25">
      <c r="A1973" s="62" t="s">
        <v>811</v>
      </c>
      <c r="B1973" s="62" t="s">
        <v>811</v>
      </c>
      <c r="C1973" s="63"/>
      <c r="D1973" s="64"/>
      <c r="E1973" s="65"/>
      <c r="F1973" s="66"/>
      <c r="G1973" s="63"/>
      <c r="H1973" s="67"/>
      <c r="I1973" s="68"/>
      <c r="J1973" s="68"/>
      <c r="K1973" s="32"/>
      <c r="L1973" s="75">
        <v>1973</v>
      </c>
      <c r="M1973" s="75"/>
      <c r="N1973" s="70"/>
      <c r="O1973" s="77" t="s">
        <v>179</v>
      </c>
      <c r="P1973" s="79">
        <v>45026.512719907405</v>
      </c>
      <c r="Q1973" s="77" t="s">
        <v>2755</v>
      </c>
      <c r="R1973" s="77">
        <v>0</v>
      </c>
      <c r="S1973" s="77">
        <v>1</v>
      </c>
      <c r="T1973" s="77">
        <v>0</v>
      </c>
      <c r="U1973" s="77">
        <v>0</v>
      </c>
      <c r="V1973" s="77">
        <v>55</v>
      </c>
      <c r="W1973" s="81" t="s">
        <v>4025</v>
      </c>
      <c r="X1973" s="77"/>
      <c r="Y1973" s="77"/>
      <c r="Z1973" s="77"/>
      <c r="AA1973" s="77" t="s">
        <v>5690</v>
      </c>
      <c r="AB1973" s="77" t="s">
        <v>5794</v>
      </c>
      <c r="AC1973" s="81" t="s">
        <v>5803</v>
      </c>
      <c r="AD1973" s="77" t="s">
        <v>5851</v>
      </c>
      <c r="AE1973" s="83" t="str">
        <f>HYPERLINK("https://twitter.com/vaga_sua/status/1645400817120182273")</f>
        <v>https://twitter.com/vaga_sua/status/1645400817120182273</v>
      </c>
      <c r="AF1973" s="79">
        <v>45026.512719907405</v>
      </c>
      <c r="AG1973" s="85">
        <v>45026</v>
      </c>
      <c r="AH1973" s="81" t="s">
        <v>7588</v>
      </c>
      <c r="AI1973" s="77" t="b">
        <v>0</v>
      </c>
      <c r="AJ1973" s="77"/>
      <c r="AK1973" s="77"/>
      <c r="AL1973" s="77"/>
      <c r="AM1973" s="77"/>
      <c r="AN1973" s="77"/>
      <c r="AO1973" s="77"/>
      <c r="AP1973" s="77"/>
      <c r="AQ1973" s="77" t="s">
        <v>9188</v>
      </c>
      <c r="AR1973" s="77"/>
      <c r="AS1973" s="77"/>
      <c r="AT1973" s="77"/>
      <c r="AU1973" s="77"/>
      <c r="AV1973" s="83" t="str">
        <f>HYPERLINK("https://pbs.twimg.com/media/FtWjUaGXoAMKZqY.jpg")</f>
        <v>https://pbs.twimg.com/media/FtWjUaGXoAMKZqY.jpg</v>
      </c>
      <c r="AW1973" s="81" t="s">
        <v>11085</v>
      </c>
      <c r="AX1973" s="81" t="s">
        <v>11085</v>
      </c>
      <c r="AY1973" s="77"/>
      <c r="AZ1973" s="81" t="s">
        <v>11359</v>
      </c>
      <c r="BA1973" s="81" t="s">
        <v>11359</v>
      </c>
      <c r="BB1973" s="81" t="s">
        <v>11359</v>
      </c>
      <c r="BC1973" s="81" t="s">
        <v>11085</v>
      </c>
      <c r="BD1973" s="81" t="s">
        <v>11682</v>
      </c>
      <c r="BE1973" s="77"/>
      <c r="BF1973" s="77"/>
      <c r="BG1973" s="77"/>
      <c r="BH1973" s="77"/>
      <c r="BI1973" s="77"/>
    </row>
    <row r="1974" spans="1:61" x14ac:dyDescent="0.25">
      <c r="A1974" s="62" t="s">
        <v>811</v>
      </c>
      <c r="B1974" s="62" t="s">
        <v>811</v>
      </c>
      <c r="C1974" s="63"/>
      <c r="D1974" s="64"/>
      <c r="E1974" s="65"/>
      <c r="F1974" s="66"/>
      <c r="G1974" s="63"/>
      <c r="H1974" s="67"/>
      <c r="I1974" s="68"/>
      <c r="J1974" s="68"/>
      <c r="K1974" s="32"/>
      <c r="L1974" s="75">
        <v>1974</v>
      </c>
      <c r="M1974" s="75"/>
      <c r="N1974" s="70"/>
      <c r="O1974" s="77" t="s">
        <v>179</v>
      </c>
      <c r="P1974" s="79">
        <v>45021.631828703707</v>
      </c>
      <c r="Q1974" s="77" t="s">
        <v>2756</v>
      </c>
      <c r="R1974" s="77">
        <v>0</v>
      </c>
      <c r="S1974" s="77">
        <v>0</v>
      </c>
      <c r="T1974" s="77">
        <v>0</v>
      </c>
      <c r="U1974" s="77">
        <v>0</v>
      </c>
      <c r="V1974" s="77">
        <v>10</v>
      </c>
      <c r="W1974" s="81" t="s">
        <v>4026</v>
      </c>
      <c r="X1974" s="83" t="str">
        <f>HYPERLINK("http://www.suavaga.com.br")</f>
        <v>http://www.suavaga.com.br</v>
      </c>
      <c r="Y1974" s="77" t="s">
        <v>4223</v>
      </c>
      <c r="Z1974" s="77"/>
      <c r="AA1974" s="77" t="s">
        <v>5691</v>
      </c>
      <c r="AB1974" s="77" t="s">
        <v>5794</v>
      </c>
      <c r="AC1974" s="81" t="s">
        <v>5803</v>
      </c>
      <c r="AD1974" s="77" t="s">
        <v>5851</v>
      </c>
      <c r="AE1974" s="83" t="str">
        <f>HYPERLINK("https://twitter.com/vaga_sua/status/1643632042796564483")</f>
        <v>https://twitter.com/vaga_sua/status/1643632042796564483</v>
      </c>
      <c r="AF1974" s="79">
        <v>45021.631828703707</v>
      </c>
      <c r="AG1974" s="85">
        <v>45021</v>
      </c>
      <c r="AH1974" s="81" t="s">
        <v>7589</v>
      </c>
      <c r="AI1974" s="77" t="b">
        <v>0</v>
      </c>
      <c r="AJ1974" s="77"/>
      <c r="AK1974" s="77"/>
      <c r="AL1974" s="77"/>
      <c r="AM1974" s="77"/>
      <c r="AN1974" s="77"/>
      <c r="AO1974" s="77"/>
      <c r="AP1974" s="77"/>
      <c r="AQ1974" s="77" t="s">
        <v>9189</v>
      </c>
      <c r="AR1974" s="77"/>
      <c r="AS1974" s="77"/>
      <c r="AT1974" s="77"/>
      <c r="AU1974" s="77"/>
      <c r="AV1974" s="83" t="str">
        <f>HYPERLINK("https://pbs.twimg.com/media/Fs9aoG1WcAEpE_h.jpg")</f>
        <v>https://pbs.twimg.com/media/Fs9aoG1WcAEpE_h.jpg</v>
      </c>
      <c r="AW1974" s="81" t="s">
        <v>11086</v>
      </c>
      <c r="AX1974" s="81" t="s">
        <v>11086</v>
      </c>
      <c r="AY1974" s="77"/>
      <c r="AZ1974" s="81" t="s">
        <v>11359</v>
      </c>
      <c r="BA1974" s="81" t="s">
        <v>11359</v>
      </c>
      <c r="BB1974" s="81" t="s">
        <v>11359</v>
      </c>
      <c r="BC1974" s="81" t="s">
        <v>11086</v>
      </c>
      <c r="BD1974" s="81" t="s">
        <v>11682</v>
      </c>
      <c r="BE1974" s="77"/>
      <c r="BF1974" s="77"/>
      <c r="BG1974" s="77"/>
      <c r="BH1974" s="77"/>
      <c r="BI1974" s="77"/>
    </row>
    <row r="1975" spans="1:61" x14ac:dyDescent="0.25">
      <c r="A1975" s="62" t="s">
        <v>811</v>
      </c>
      <c r="B1975" s="62" t="s">
        <v>811</v>
      </c>
      <c r="C1975" s="63"/>
      <c r="D1975" s="64"/>
      <c r="E1975" s="65"/>
      <c r="F1975" s="66"/>
      <c r="G1975" s="63"/>
      <c r="H1975" s="67"/>
      <c r="I1975" s="68"/>
      <c r="J1975" s="68"/>
      <c r="K1975" s="32"/>
      <c r="L1975" s="75">
        <v>1975</v>
      </c>
      <c r="M1975" s="75"/>
      <c r="N1975" s="70"/>
      <c r="O1975" s="77" t="s">
        <v>179</v>
      </c>
      <c r="P1975" s="79">
        <v>44949.833726851852</v>
      </c>
      <c r="Q1975" s="77" t="s">
        <v>2757</v>
      </c>
      <c r="R1975" s="77">
        <v>0</v>
      </c>
      <c r="S1975" s="77">
        <v>0</v>
      </c>
      <c r="T1975" s="77">
        <v>0</v>
      </c>
      <c r="U1975" s="77">
        <v>0</v>
      </c>
      <c r="V1975" s="77">
        <v>9</v>
      </c>
      <c r="W1975" s="81" t="s">
        <v>4027</v>
      </c>
      <c r="X1975" s="83" t="str">
        <f>HYPERLINK("http://www.suavaga.com")</f>
        <v>http://www.suavaga.com</v>
      </c>
      <c r="Y1975" s="77" t="s">
        <v>4347</v>
      </c>
      <c r="Z1975" s="77"/>
      <c r="AA1975" s="77" t="s">
        <v>5692</v>
      </c>
      <c r="AB1975" s="77" t="s">
        <v>5794</v>
      </c>
      <c r="AC1975" s="81" t="s">
        <v>5808</v>
      </c>
      <c r="AD1975" s="77" t="s">
        <v>5851</v>
      </c>
      <c r="AE1975" s="83" t="str">
        <f>HYPERLINK("https://twitter.com/vaga_sua/status/1617613280725372938")</f>
        <v>https://twitter.com/vaga_sua/status/1617613280725372938</v>
      </c>
      <c r="AF1975" s="79">
        <v>44949.833726851852</v>
      </c>
      <c r="AG1975" s="85">
        <v>44949</v>
      </c>
      <c r="AH1975" s="81" t="s">
        <v>7562</v>
      </c>
      <c r="AI1975" s="77" t="b">
        <v>0</v>
      </c>
      <c r="AJ1975" s="77"/>
      <c r="AK1975" s="77"/>
      <c r="AL1975" s="77"/>
      <c r="AM1975" s="77"/>
      <c r="AN1975" s="77"/>
      <c r="AO1975" s="77"/>
      <c r="AP1975" s="77"/>
      <c r="AQ1975" s="77" t="s">
        <v>9190</v>
      </c>
      <c r="AR1975" s="77"/>
      <c r="AS1975" s="77"/>
      <c r="AT1975" s="77"/>
      <c r="AU1975" s="77"/>
      <c r="AV1975" s="83" t="str">
        <f>HYPERLINK("https://pbs.twimg.com/media/FnLqtMUXEBQIQx3.jpg")</f>
        <v>https://pbs.twimg.com/media/FnLqtMUXEBQIQx3.jpg</v>
      </c>
      <c r="AW1975" s="81" t="s">
        <v>11087</v>
      </c>
      <c r="AX1975" s="81" t="s">
        <v>11087</v>
      </c>
      <c r="AY1975" s="77"/>
      <c r="AZ1975" s="81" t="s">
        <v>11359</v>
      </c>
      <c r="BA1975" s="81" t="s">
        <v>11359</v>
      </c>
      <c r="BB1975" s="81" t="s">
        <v>11359</v>
      </c>
      <c r="BC1975" s="81" t="s">
        <v>11087</v>
      </c>
      <c r="BD1975" s="81" t="s">
        <v>11682</v>
      </c>
      <c r="BE1975" s="77"/>
      <c r="BF1975" s="77"/>
      <c r="BG1975" s="77"/>
      <c r="BH1975" s="77"/>
      <c r="BI1975" s="77"/>
    </row>
    <row r="1976" spans="1:61" x14ac:dyDescent="0.25">
      <c r="A1976" s="62" t="s">
        <v>811</v>
      </c>
      <c r="B1976" s="62" t="s">
        <v>811</v>
      </c>
      <c r="C1976" s="63"/>
      <c r="D1976" s="64"/>
      <c r="E1976" s="65"/>
      <c r="F1976" s="66"/>
      <c r="G1976" s="63"/>
      <c r="H1976" s="67"/>
      <c r="I1976" s="68"/>
      <c r="J1976" s="68"/>
      <c r="K1976" s="32"/>
      <c r="L1976" s="75">
        <v>1976</v>
      </c>
      <c r="M1976" s="75"/>
      <c r="N1976" s="70"/>
      <c r="O1976" s="77" t="s">
        <v>179</v>
      </c>
      <c r="P1976" s="79">
        <v>44949.771006944444</v>
      </c>
      <c r="Q1976" s="77" t="s">
        <v>2758</v>
      </c>
      <c r="R1976" s="77">
        <v>0</v>
      </c>
      <c r="S1976" s="77">
        <v>0</v>
      </c>
      <c r="T1976" s="77">
        <v>0</v>
      </c>
      <c r="U1976" s="77">
        <v>0</v>
      </c>
      <c r="V1976" s="77">
        <v>17</v>
      </c>
      <c r="W1976" s="81" t="s">
        <v>4028</v>
      </c>
      <c r="X1976" s="83" t="str">
        <f>HYPERLINK("http://www.suavaga.com")</f>
        <v>http://www.suavaga.com</v>
      </c>
      <c r="Y1976" s="77" t="s">
        <v>4347</v>
      </c>
      <c r="Z1976" s="77"/>
      <c r="AA1976" s="77" t="s">
        <v>5693</v>
      </c>
      <c r="AB1976" s="77" t="s">
        <v>5794</v>
      </c>
      <c r="AC1976" s="81" t="s">
        <v>5808</v>
      </c>
      <c r="AD1976" s="77" t="s">
        <v>5851</v>
      </c>
      <c r="AE1976" s="83" t="str">
        <f>HYPERLINK("https://twitter.com/vaga_sua/status/1617590551183753227")</f>
        <v>https://twitter.com/vaga_sua/status/1617590551183753227</v>
      </c>
      <c r="AF1976" s="79">
        <v>44949.771006944444</v>
      </c>
      <c r="AG1976" s="85">
        <v>44949</v>
      </c>
      <c r="AH1976" s="81" t="s">
        <v>7413</v>
      </c>
      <c r="AI1976" s="77" t="b">
        <v>0</v>
      </c>
      <c r="AJ1976" s="77"/>
      <c r="AK1976" s="77"/>
      <c r="AL1976" s="77"/>
      <c r="AM1976" s="77"/>
      <c r="AN1976" s="77"/>
      <c r="AO1976" s="77"/>
      <c r="AP1976" s="77"/>
      <c r="AQ1976" s="77" t="s">
        <v>9191</v>
      </c>
      <c r="AR1976" s="77"/>
      <c r="AS1976" s="77"/>
      <c r="AT1976" s="77"/>
      <c r="AU1976" s="77"/>
      <c r="AV1976" s="83" t="str">
        <f>HYPERLINK("https://pbs.twimg.com/media/FnLWCF6WAQM287F.jpg")</f>
        <v>https://pbs.twimg.com/media/FnLWCF6WAQM287F.jpg</v>
      </c>
      <c r="AW1976" s="81" t="s">
        <v>11088</v>
      </c>
      <c r="AX1976" s="81" t="s">
        <v>11088</v>
      </c>
      <c r="AY1976" s="77"/>
      <c r="AZ1976" s="81" t="s">
        <v>11359</v>
      </c>
      <c r="BA1976" s="81" t="s">
        <v>11359</v>
      </c>
      <c r="BB1976" s="81" t="s">
        <v>11359</v>
      </c>
      <c r="BC1976" s="81" t="s">
        <v>11088</v>
      </c>
      <c r="BD1976" s="81" t="s">
        <v>11682</v>
      </c>
      <c r="BE1976" s="77"/>
      <c r="BF1976" s="77"/>
      <c r="BG1976" s="77"/>
      <c r="BH1976" s="77"/>
      <c r="BI1976" s="77"/>
    </row>
    <row r="1977" spans="1:61" x14ac:dyDescent="0.25">
      <c r="A1977" s="62" t="s">
        <v>811</v>
      </c>
      <c r="B1977" s="62" t="s">
        <v>811</v>
      </c>
      <c r="C1977" s="63"/>
      <c r="D1977" s="64"/>
      <c r="E1977" s="65"/>
      <c r="F1977" s="66"/>
      <c r="G1977" s="63"/>
      <c r="H1977" s="67"/>
      <c r="I1977" s="68"/>
      <c r="J1977" s="68"/>
      <c r="K1977" s="32"/>
      <c r="L1977" s="75">
        <v>1977</v>
      </c>
      <c r="M1977" s="75"/>
      <c r="N1977" s="70"/>
      <c r="O1977" s="77" t="s">
        <v>179</v>
      </c>
      <c r="P1977" s="79">
        <v>45064.487719907411</v>
      </c>
      <c r="Q1977" s="77" t="s">
        <v>2759</v>
      </c>
      <c r="R1977" s="77">
        <v>0</v>
      </c>
      <c r="S1977" s="77">
        <v>0</v>
      </c>
      <c r="T1977" s="77">
        <v>0</v>
      </c>
      <c r="U1977" s="77">
        <v>0</v>
      </c>
      <c r="V1977" s="77">
        <v>18</v>
      </c>
      <c r="W1977" s="81" t="s">
        <v>4029</v>
      </c>
      <c r="X1977" s="83" t="str">
        <f>HYPERLINK("http://www.suavaga.com.br")</f>
        <v>http://www.suavaga.com.br</v>
      </c>
      <c r="Y1977" s="77" t="s">
        <v>4223</v>
      </c>
      <c r="Z1977" s="77"/>
      <c r="AA1977" s="77" t="s">
        <v>5694</v>
      </c>
      <c r="AB1977" s="77" t="s">
        <v>5794</v>
      </c>
      <c r="AC1977" s="81" t="s">
        <v>5803</v>
      </c>
      <c r="AD1977" s="77" t="s">
        <v>5851</v>
      </c>
      <c r="AE1977" s="83" t="str">
        <f>HYPERLINK("https://twitter.com/vaga_sua/status/1659162496735780865")</f>
        <v>https://twitter.com/vaga_sua/status/1659162496735780865</v>
      </c>
      <c r="AF1977" s="79">
        <v>45064.487719907411</v>
      </c>
      <c r="AG1977" s="85">
        <v>45064</v>
      </c>
      <c r="AH1977" s="81" t="s">
        <v>7590</v>
      </c>
      <c r="AI1977" s="77" t="b">
        <v>0</v>
      </c>
      <c r="AJ1977" s="77"/>
      <c r="AK1977" s="77"/>
      <c r="AL1977" s="77"/>
      <c r="AM1977" s="77"/>
      <c r="AN1977" s="77"/>
      <c r="AO1977" s="77"/>
      <c r="AP1977" s="77"/>
      <c r="AQ1977" s="77" t="s">
        <v>9192</v>
      </c>
      <c r="AR1977" s="77"/>
      <c r="AS1977" s="77"/>
      <c r="AT1977" s="77"/>
      <c r="AU1977" s="77"/>
      <c r="AV1977" s="83" t="str">
        <f>HYPERLINK("https://pbs.twimg.com/media/FwaHfgsWYAA8k0a.jpg")</f>
        <v>https://pbs.twimg.com/media/FwaHfgsWYAA8k0a.jpg</v>
      </c>
      <c r="AW1977" s="81" t="s">
        <v>11089</v>
      </c>
      <c r="AX1977" s="81" t="s">
        <v>11089</v>
      </c>
      <c r="AY1977" s="77"/>
      <c r="AZ1977" s="81" t="s">
        <v>11359</v>
      </c>
      <c r="BA1977" s="81" t="s">
        <v>11359</v>
      </c>
      <c r="BB1977" s="81" t="s">
        <v>11359</v>
      </c>
      <c r="BC1977" s="81" t="s">
        <v>11089</v>
      </c>
      <c r="BD1977" s="81" t="s">
        <v>11682</v>
      </c>
      <c r="BE1977" s="77"/>
      <c r="BF1977" s="77"/>
      <c r="BG1977" s="77"/>
      <c r="BH1977" s="77"/>
      <c r="BI1977" s="77"/>
    </row>
    <row r="1978" spans="1:61" x14ac:dyDescent="0.25">
      <c r="A1978" s="62" t="s">
        <v>811</v>
      </c>
      <c r="B1978" s="62" t="s">
        <v>811</v>
      </c>
      <c r="C1978" s="63"/>
      <c r="D1978" s="64"/>
      <c r="E1978" s="65"/>
      <c r="F1978" s="66"/>
      <c r="G1978" s="63"/>
      <c r="H1978" s="67"/>
      <c r="I1978" s="68"/>
      <c r="J1978" s="68"/>
      <c r="K1978" s="32"/>
      <c r="L1978" s="75">
        <v>1978</v>
      </c>
      <c r="M1978" s="75"/>
      <c r="N1978" s="70"/>
      <c r="O1978" s="77" t="s">
        <v>179</v>
      </c>
      <c r="P1978" s="79">
        <v>44957.500335648147</v>
      </c>
      <c r="Q1978" s="77" t="s">
        <v>2760</v>
      </c>
      <c r="R1978" s="77">
        <v>0</v>
      </c>
      <c r="S1978" s="77">
        <v>0</v>
      </c>
      <c r="T1978" s="77">
        <v>0</v>
      </c>
      <c r="U1978" s="77">
        <v>0</v>
      </c>
      <c r="V1978" s="77">
        <v>12</v>
      </c>
      <c r="W1978" s="81" t="s">
        <v>4030</v>
      </c>
      <c r="X1978" s="83" t="str">
        <f>HYPERLINK("http://www.suavaga.com")</f>
        <v>http://www.suavaga.com</v>
      </c>
      <c r="Y1978" s="77" t="s">
        <v>4347</v>
      </c>
      <c r="Z1978" s="77"/>
      <c r="AA1978" s="77" t="s">
        <v>5695</v>
      </c>
      <c r="AB1978" s="77" t="s">
        <v>5794</v>
      </c>
      <c r="AC1978" s="81" t="s">
        <v>5808</v>
      </c>
      <c r="AD1978" s="77" t="s">
        <v>5851</v>
      </c>
      <c r="AE1978" s="83" t="str">
        <f>HYPERLINK("https://twitter.com/vaga_sua/status/1620391567449116674")</f>
        <v>https://twitter.com/vaga_sua/status/1620391567449116674</v>
      </c>
      <c r="AF1978" s="79">
        <v>44957.500335648147</v>
      </c>
      <c r="AG1978" s="85">
        <v>44957</v>
      </c>
      <c r="AH1978" s="81" t="s">
        <v>6259</v>
      </c>
      <c r="AI1978" s="77" t="b">
        <v>0</v>
      </c>
      <c r="AJ1978" s="77"/>
      <c r="AK1978" s="77"/>
      <c r="AL1978" s="77"/>
      <c r="AM1978" s="77"/>
      <c r="AN1978" s="77"/>
      <c r="AO1978" s="77"/>
      <c r="AP1978" s="77"/>
      <c r="AQ1978" s="77" t="s">
        <v>9193</v>
      </c>
      <c r="AR1978" s="77"/>
      <c r="AS1978" s="77"/>
      <c r="AT1978" s="77"/>
      <c r="AU1978" s="77"/>
      <c r="AV1978" s="83" t="str">
        <f>HYPERLINK("https://pbs.twimg.com/media/FnzJivqXwAIYDJR.jpg")</f>
        <v>https://pbs.twimg.com/media/FnzJivqXwAIYDJR.jpg</v>
      </c>
      <c r="AW1978" s="81" t="s">
        <v>11090</v>
      </c>
      <c r="AX1978" s="81" t="s">
        <v>11090</v>
      </c>
      <c r="AY1978" s="77"/>
      <c r="AZ1978" s="81" t="s">
        <v>11359</v>
      </c>
      <c r="BA1978" s="81" t="s">
        <v>11359</v>
      </c>
      <c r="BB1978" s="81" t="s">
        <v>11359</v>
      </c>
      <c r="BC1978" s="81" t="s">
        <v>11090</v>
      </c>
      <c r="BD1978" s="81" t="s">
        <v>11682</v>
      </c>
      <c r="BE1978" s="77"/>
      <c r="BF1978" s="77"/>
      <c r="BG1978" s="77"/>
      <c r="BH1978" s="77"/>
      <c r="BI1978" s="77"/>
    </row>
    <row r="1979" spans="1:61" x14ac:dyDescent="0.25">
      <c r="A1979" s="62" t="s">
        <v>811</v>
      </c>
      <c r="B1979" s="62" t="s">
        <v>811</v>
      </c>
      <c r="C1979" s="63"/>
      <c r="D1979" s="64"/>
      <c r="E1979" s="65"/>
      <c r="F1979" s="66"/>
      <c r="G1979" s="63"/>
      <c r="H1979" s="67"/>
      <c r="I1979" s="68"/>
      <c r="J1979" s="68"/>
      <c r="K1979" s="32"/>
      <c r="L1979" s="75">
        <v>1979</v>
      </c>
      <c r="M1979" s="75"/>
      <c r="N1979" s="70"/>
      <c r="O1979" s="77" t="s">
        <v>179</v>
      </c>
      <c r="P1979" s="79">
        <v>44956.51394675926</v>
      </c>
      <c r="Q1979" s="77" t="s">
        <v>2761</v>
      </c>
      <c r="R1979" s="77">
        <v>0</v>
      </c>
      <c r="S1979" s="77">
        <v>0</v>
      </c>
      <c r="T1979" s="77">
        <v>0</v>
      </c>
      <c r="U1979" s="77">
        <v>0</v>
      </c>
      <c r="V1979" s="77">
        <v>18</v>
      </c>
      <c r="W1979" s="81" t="s">
        <v>4031</v>
      </c>
      <c r="X1979" s="83" t="str">
        <f>HYPERLINK("http://www.suavaga.com")</f>
        <v>http://www.suavaga.com</v>
      </c>
      <c r="Y1979" s="77" t="s">
        <v>4347</v>
      </c>
      <c r="Z1979" s="77"/>
      <c r="AA1979" s="77" t="s">
        <v>5696</v>
      </c>
      <c r="AB1979" s="77" t="s">
        <v>5794</v>
      </c>
      <c r="AC1979" s="81" t="s">
        <v>5808</v>
      </c>
      <c r="AD1979" s="77" t="s">
        <v>5851</v>
      </c>
      <c r="AE1979" s="83" t="str">
        <f>HYPERLINK("https://twitter.com/vaga_sua/status/1620034111543853056")</f>
        <v>https://twitter.com/vaga_sua/status/1620034111543853056</v>
      </c>
      <c r="AF1979" s="79">
        <v>44956.51394675926</v>
      </c>
      <c r="AG1979" s="85">
        <v>44956</v>
      </c>
      <c r="AH1979" s="81" t="s">
        <v>7591</v>
      </c>
      <c r="AI1979" s="77" t="b">
        <v>0</v>
      </c>
      <c r="AJ1979" s="77"/>
      <c r="AK1979" s="77"/>
      <c r="AL1979" s="77"/>
      <c r="AM1979" s="77"/>
      <c r="AN1979" s="77"/>
      <c r="AO1979" s="77"/>
      <c r="AP1979" s="77"/>
      <c r="AQ1979" s="77" t="s">
        <v>9194</v>
      </c>
      <c r="AR1979" s="77"/>
      <c r="AS1979" s="77"/>
      <c r="AT1979" s="77"/>
      <c r="AU1979" s="77"/>
      <c r="AV1979" s="83" t="str">
        <f>HYPERLINK("https://pbs.twimg.com/media/FnuEcD5WIAI-4i7.jpg")</f>
        <v>https://pbs.twimg.com/media/FnuEcD5WIAI-4i7.jpg</v>
      </c>
      <c r="AW1979" s="81" t="s">
        <v>11091</v>
      </c>
      <c r="AX1979" s="81" t="s">
        <v>11091</v>
      </c>
      <c r="AY1979" s="77"/>
      <c r="AZ1979" s="81" t="s">
        <v>11359</v>
      </c>
      <c r="BA1979" s="81" t="s">
        <v>11359</v>
      </c>
      <c r="BB1979" s="81" t="s">
        <v>11359</v>
      </c>
      <c r="BC1979" s="81" t="s">
        <v>11091</v>
      </c>
      <c r="BD1979" s="81" t="s">
        <v>11682</v>
      </c>
      <c r="BE1979" s="77"/>
      <c r="BF1979" s="77"/>
      <c r="BG1979" s="77"/>
      <c r="BH1979" s="77"/>
      <c r="BI1979" s="77"/>
    </row>
    <row r="1980" spans="1:61" x14ac:dyDescent="0.25">
      <c r="A1980" s="62" t="s">
        <v>811</v>
      </c>
      <c r="B1980" s="62" t="s">
        <v>811</v>
      </c>
      <c r="C1980" s="63"/>
      <c r="D1980" s="64"/>
      <c r="E1980" s="65"/>
      <c r="F1980" s="66"/>
      <c r="G1980" s="63"/>
      <c r="H1980" s="67"/>
      <c r="I1980" s="68"/>
      <c r="J1980" s="68"/>
      <c r="K1980" s="32"/>
      <c r="L1980" s="75">
        <v>1980</v>
      </c>
      <c r="M1980" s="75"/>
      <c r="N1980" s="70"/>
      <c r="O1980" s="77" t="s">
        <v>179</v>
      </c>
      <c r="P1980" s="79">
        <v>45061.762789351851</v>
      </c>
      <c r="Q1980" s="77" t="s">
        <v>2762</v>
      </c>
      <c r="R1980" s="77">
        <v>0</v>
      </c>
      <c r="S1980" s="77">
        <v>0</v>
      </c>
      <c r="T1980" s="77">
        <v>0</v>
      </c>
      <c r="U1980" s="77">
        <v>0</v>
      </c>
      <c r="V1980" s="77">
        <v>17</v>
      </c>
      <c r="W1980" s="81" t="s">
        <v>4032</v>
      </c>
      <c r="X1980" s="77"/>
      <c r="Y1980" s="77"/>
      <c r="Z1980" s="77"/>
      <c r="AA1980" s="77" t="s">
        <v>5697</v>
      </c>
      <c r="AB1980" s="77" t="s">
        <v>5794</v>
      </c>
      <c r="AC1980" s="81" t="s">
        <v>5803</v>
      </c>
      <c r="AD1980" s="77" t="s">
        <v>5851</v>
      </c>
      <c r="AE1980" s="83" t="str">
        <f>HYPERLINK("https://twitter.com/vaga_sua/status/1658175014636511238")</f>
        <v>https://twitter.com/vaga_sua/status/1658175014636511238</v>
      </c>
      <c r="AF1980" s="79">
        <v>45061.762789351851</v>
      </c>
      <c r="AG1980" s="85">
        <v>45061</v>
      </c>
      <c r="AH1980" s="81" t="s">
        <v>7592</v>
      </c>
      <c r="AI1980" s="77" t="b">
        <v>0</v>
      </c>
      <c r="AJ1980" s="77"/>
      <c r="AK1980" s="77"/>
      <c r="AL1980" s="77"/>
      <c r="AM1980" s="77"/>
      <c r="AN1980" s="77"/>
      <c r="AO1980" s="77"/>
      <c r="AP1980" s="77"/>
      <c r="AQ1980" s="77" t="s">
        <v>9195</v>
      </c>
      <c r="AR1980" s="77"/>
      <c r="AS1980" s="77"/>
      <c r="AT1980" s="77"/>
      <c r="AU1980" s="77"/>
      <c r="AV1980" s="83" t="str">
        <f>HYPERLINK("https://pbs.twimg.com/media/FwMFYRZX0AA2-42.jpg")</f>
        <v>https://pbs.twimg.com/media/FwMFYRZX0AA2-42.jpg</v>
      </c>
      <c r="AW1980" s="81" t="s">
        <v>11092</v>
      </c>
      <c r="AX1980" s="81" t="s">
        <v>11092</v>
      </c>
      <c r="AY1980" s="77"/>
      <c r="AZ1980" s="81" t="s">
        <v>11359</v>
      </c>
      <c r="BA1980" s="81" t="s">
        <v>11359</v>
      </c>
      <c r="BB1980" s="81" t="s">
        <v>11359</v>
      </c>
      <c r="BC1980" s="81" t="s">
        <v>11092</v>
      </c>
      <c r="BD1980" s="81" t="s">
        <v>11682</v>
      </c>
      <c r="BE1980" s="77"/>
      <c r="BF1980" s="77"/>
      <c r="BG1980" s="77"/>
      <c r="BH1980" s="77"/>
      <c r="BI1980" s="77"/>
    </row>
    <row r="1981" spans="1:61" x14ac:dyDescent="0.25">
      <c r="A1981" s="62" t="s">
        <v>811</v>
      </c>
      <c r="B1981" s="62" t="s">
        <v>811</v>
      </c>
      <c r="C1981" s="63"/>
      <c r="D1981" s="64"/>
      <c r="E1981" s="65"/>
      <c r="F1981" s="66"/>
      <c r="G1981" s="63"/>
      <c r="H1981" s="67"/>
      <c r="I1981" s="68"/>
      <c r="J1981" s="68"/>
      <c r="K1981" s="32"/>
      <c r="L1981" s="75">
        <v>1981</v>
      </c>
      <c r="M1981" s="75"/>
      <c r="N1981" s="70"/>
      <c r="O1981" s="77" t="s">
        <v>179</v>
      </c>
      <c r="P1981" s="79">
        <v>45076.459849537037</v>
      </c>
      <c r="Q1981" s="77" t="s">
        <v>2763</v>
      </c>
      <c r="R1981" s="77">
        <v>0</v>
      </c>
      <c r="S1981" s="77">
        <v>0</v>
      </c>
      <c r="T1981" s="77">
        <v>0</v>
      </c>
      <c r="U1981" s="77">
        <v>0</v>
      </c>
      <c r="V1981" s="77">
        <v>7</v>
      </c>
      <c r="W1981" s="81" t="s">
        <v>4033</v>
      </c>
      <c r="X1981" s="83" t="str">
        <f>HYPERLINK("http://www.suavaga.com.br")</f>
        <v>http://www.suavaga.com.br</v>
      </c>
      <c r="Y1981" s="77" t="s">
        <v>4223</v>
      </c>
      <c r="Z1981" s="77"/>
      <c r="AA1981" s="77" t="s">
        <v>5698</v>
      </c>
      <c r="AB1981" s="77" t="s">
        <v>5794</v>
      </c>
      <c r="AC1981" s="81" t="s">
        <v>5803</v>
      </c>
      <c r="AD1981" s="77" t="s">
        <v>5851</v>
      </c>
      <c r="AE1981" s="83" t="str">
        <f>HYPERLINK("https://twitter.com/vaga_sua/status/1663501051851419651")</f>
        <v>https://twitter.com/vaga_sua/status/1663501051851419651</v>
      </c>
      <c r="AF1981" s="79">
        <v>45076.459849537037</v>
      </c>
      <c r="AG1981" s="85">
        <v>45076</v>
      </c>
      <c r="AH1981" s="81" t="s">
        <v>7593</v>
      </c>
      <c r="AI1981" s="77" t="b">
        <v>0</v>
      </c>
      <c r="AJ1981" s="77"/>
      <c r="AK1981" s="77"/>
      <c r="AL1981" s="77"/>
      <c r="AM1981" s="77"/>
      <c r="AN1981" s="77"/>
      <c r="AO1981" s="77"/>
      <c r="AP1981" s="77"/>
      <c r="AQ1981" s="77" t="s">
        <v>9196</v>
      </c>
      <c r="AR1981" s="77"/>
      <c r="AS1981" s="77"/>
      <c r="AT1981" s="77"/>
      <c r="AU1981" s="77"/>
      <c r="AV1981" s="83" t="str">
        <f>HYPERLINK("https://pbs.twimg.com/media/FxXxYoBWIAEHeak.jpg")</f>
        <v>https://pbs.twimg.com/media/FxXxYoBWIAEHeak.jpg</v>
      </c>
      <c r="AW1981" s="81" t="s">
        <v>11093</v>
      </c>
      <c r="AX1981" s="81" t="s">
        <v>11093</v>
      </c>
      <c r="AY1981" s="77"/>
      <c r="AZ1981" s="81" t="s">
        <v>11359</v>
      </c>
      <c r="BA1981" s="81" t="s">
        <v>11359</v>
      </c>
      <c r="BB1981" s="81" t="s">
        <v>11359</v>
      </c>
      <c r="BC1981" s="81" t="s">
        <v>11093</v>
      </c>
      <c r="BD1981" s="81" t="s">
        <v>11682</v>
      </c>
      <c r="BE1981" s="77"/>
      <c r="BF1981" s="77"/>
      <c r="BG1981" s="77"/>
      <c r="BH1981" s="77"/>
      <c r="BI1981" s="77"/>
    </row>
    <row r="1982" spans="1:61" x14ac:dyDescent="0.25">
      <c r="A1982" s="62" t="s">
        <v>811</v>
      </c>
      <c r="B1982" s="62" t="s">
        <v>811</v>
      </c>
      <c r="C1982" s="63"/>
      <c r="D1982" s="64"/>
      <c r="E1982" s="65"/>
      <c r="F1982" s="66"/>
      <c r="G1982" s="63"/>
      <c r="H1982" s="67"/>
      <c r="I1982" s="68"/>
      <c r="J1982" s="68"/>
      <c r="K1982" s="32"/>
      <c r="L1982" s="75">
        <v>1982</v>
      </c>
      <c r="M1982" s="75"/>
      <c r="N1982" s="70"/>
      <c r="O1982" s="77" t="s">
        <v>179</v>
      </c>
      <c r="P1982" s="79">
        <v>44942.500393518516</v>
      </c>
      <c r="Q1982" s="77" t="s">
        <v>2764</v>
      </c>
      <c r="R1982" s="77">
        <v>0</v>
      </c>
      <c r="S1982" s="77">
        <v>0</v>
      </c>
      <c r="T1982" s="77">
        <v>0</v>
      </c>
      <c r="U1982" s="77">
        <v>0</v>
      </c>
      <c r="V1982" s="77">
        <v>16</v>
      </c>
      <c r="W1982" s="81" t="s">
        <v>4026</v>
      </c>
      <c r="X1982" s="83" t="str">
        <f>HYPERLINK("http://www.suavaga.com")</f>
        <v>http://www.suavaga.com</v>
      </c>
      <c r="Y1982" s="77" t="s">
        <v>4347</v>
      </c>
      <c r="Z1982" s="77"/>
      <c r="AA1982" s="77" t="s">
        <v>5699</v>
      </c>
      <c r="AB1982" s="77" t="s">
        <v>5794</v>
      </c>
      <c r="AC1982" s="81" t="s">
        <v>5808</v>
      </c>
      <c r="AD1982" s="77" t="s">
        <v>5851</v>
      </c>
      <c r="AE1982" s="83" t="str">
        <f>HYPERLINK("https://twitter.com/vaga_sua/status/1614955770075832320")</f>
        <v>https://twitter.com/vaga_sua/status/1614955770075832320</v>
      </c>
      <c r="AF1982" s="79">
        <v>44942.500393518516</v>
      </c>
      <c r="AG1982" s="85">
        <v>44942</v>
      </c>
      <c r="AH1982" s="81" t="s">
        <v>7594</v>
      </c>
      <c r="AI1982" s="77" t="b">
        <v>0</v>
      </c>
      <c r="AJ1982" s="77"/>
      <c r="AK1982" s="77"/>
      <c r="AL1982" s="77"/>
      <c r="AM1982" s="77"/>
      <c r="AN1982" s="77"/>
      <c r="AO1982" s="77"/>
      <c r="AP1982" s="77"/>
      <c r="AQ1982" s="77" t="s">
        <v>9197</v>
      </c>
      <c r="AR1982" s="77"/>
      <c r="AS1982" s="77"/>
      <c r="AT1982" s="77"/>
      <c r="AU1982" s="77"/>
      <c r="AV1982" s="83" t="str">
        <f>HYPERLINK("https://pbs.twimg.com/media/Fml5tmaWQAIx3sp.jpg")</f>
        <v>https://pbs.twimg.com/media/Fml5tmaWQAIx3sp.jpg</v>
      </c>
      <c r="AW1982" s="81" t="s">
        <v>11094</v>
      </c>
      <c r="AX1982" s="81" t="s">
        <v>11094</v>
      </c>
      <c r="AY1982" s="77"/>
      <c r="AZ1982" s="81" t="s">
        <v>11359</v>
      </c>
      <c r="BA1982" s="81" t="s">
        <v>11359</v>
      </c>
      <c r="BB1982" s="81" t="s">
        <v>11359</v>
      </c>
      <c r="BC1982" s="81" t="s">
        <v>11094</v>
      </c>
      <c r="BD1982" s="81" t="s">
        <v>11682</v>
      </c>
      <c r="BE1982" s="77"/>
      <c r="BF1982" s="77"/>
      <c r="BG1982" s="77"/>
      <c r="BH1982" s="77"/>
      <c r="BI1982" s="77"/>
    </row>
    <row r="1983" spans="1:61" x14ac:dyDescent="0.25">
      <c r="A1983" s="62" t="s">
        <v>811</v>
      </c>
      <c r="B1983" s="62" t="s">
        <v>811</v>
      </c>
      <c r="C1983" s="63"/>
      <c r="D1983" s="64"/>
      <c r="E1983" s="65"/>
      <c r="F1983" s="66"/>
      <c r="G1983" s="63"/>
      <c r="H1983" s="67"/>
      <c r="I1983" s="68"/>
      <c r="J1983" s="68"/>
      <c r="K1983" s="32"/>
      <c r="L1983" s="75">
        <v>1983</v>
      </c>
      <c r="M1983" s="75"/>
      <c r="N1983" s="70"/>
      <c r="O1983" s="77" t="s">
        <v>179</v>
      </c>
      <c r="P1983" s="79">
        <v>45162.518275462964</v>
      </c>
      <c r="Q1983" s="77" t="s">
        <v>2765</v>
      </c>
      <c r="R1983" s="77">
        <v>0</v>
      </c>
      <c r="S1983" s="77">
        <v>0</v>
      </c>
      <c r="T1983" s="77">
        <v>0</v>
      </c>
      <c r="U1983" s="77">
        <v>0</v>
      </c>
      <c r="V1983" s="77">
        <v>8</v>
      </c>
      <c r="W1983" s="81" t="s">
        <v>4034</v>
      </c>
      <c r="X1983" s="83" t="str">
        <f>HYPERLINK("http://www.suavaga.com.br")</f>
        <v>http://www.suavaga.com.br</v>
      </c>
      <c r="Y1983" s="77" t="s">
        <v>4223</v>
      </c>
      <c r="Z1983" s="77"/>
      <c r="AA1983" s="77" t="s">
        <v>5700</v>
      </c>
      <c r="AB1983" s="77" t="s">
        <v>5794</v>
      </c>
      <c r="AC1983" s="81" t="s">
        <v>5805</v>
      </c>
      <c r="AD1983" s="77" t="s">
        <v>5851</v>
      </c>
      <c r="AE1983" s="83" t="str">
        <f>HYPERLINK("https://twitter.com/vaga_sua/status/1694687580065808662")</f>
        <v>https://twitter.com/vaga_sua/status/1694687580065808662</v>
      </c>
      <c r="AF1983" s="79">
        <v>45162.518275462964</v>
      </c>
      <c r="AG1983" s="85">
        <v>45162</v>
      </c>
      <c r="AH1983" s="81" t="s">
        <v>7595</v>
      </c>
      <c r="AI1983" s="77" t="b">
        <v>0</v>
      </c>
      <c r="AJ1983" s="77"/>
      <c r="AK1983" s="77"/>
      <c r="AL1983" s="77"/>
      <c r="AM1983" s="77"/>
      <c r="AN1983" s="77"/>
      <c r="AO1983" s="77"/>
      <c r="AP1983" s="77"/>
      <c r="AQ1983" s="77" t="s">
        <v>9198</v>
      </c>
      <c r="AR1983" s="77"/>
      <c r="AS1983" s="77"/>
      <c r="AT1983" s="77"/>
      <c r="AU1983" s="77"/>
      <c r="AV1983" s="83" t="str">
        <f>HYPERLINK("https://pbs.twimg.com/media/F4S9XSlWkAAAQK6.jpg")</f>
        <v>https://pbs.twimg.com/media/F4S9XSlWkAAAQK6.jpg</v>
      </c>
      <c r="AW1983" s="81" t="s">
        <v>11095</v>
      </c>
      <c r="AX1983" s="81" t="s">
        <v>11095</v>
      </c>
      <c r="AY1983" s="77"/>
      <c r="AZ1983" s="81" t="s">
        <v>11359</v>
      </c>
      <c r="BA1983" s="81" t="s">
        <v>11359</v>
      </c>
      <c r="BB1983" s="81" t="s">
        <v>11359</v>
      </c>
      <c r="BC1983" s="81" t="s">
        <v>11095</v>
      </c>
      <c r="BD1983" s="81" t="s">
        <v>11682</v>
      </c>
      <c r="BE1983" s="77"/>
      <c r="BF1983" s="77"/>
      <c r="BG1983" s="77"/>
      <c r="BH1983" s="77"/>
      <c r="BI1983" s="77"/>
    </row>
    <row r="1984" spans="1:61" x14ac:dyDescent="0.25">
      <c r="A1984" s="62" t="s">
        <v>811</v>
      </c>
      <c r="B1984" s="62" t="s">
        <v>811</v>
      </c>
      <c r="C1984" s="63"/>
      <c r="D1984" s="64"/>
      <c r="E1984" s="65"/>
      <c r="F1984" s="66"/>
      <c r="G1984" s="63"/>
      <c r="H1984" s="67"/>
      <c r="I1984" s="68"/>
      <c r="J1984" s="68"/>
      <c r="K1984" s="32"/>
      <c r="L1984" s="75">
        <v>1984</v>
      </c>
      <c r="M1984" s="75"/>
      <c r="N1984" s="70"/>
      <c r="O1984" s="77" t="s">
        <v>179</v>
      </c>
      <c r="P1984" s="79">
        <v>45194.542129629626</v>
      </c>
      <c r="Q1984" s="77" t="s">
        <v>2766</v>
      </c>
      <c r="R1984" s="77">
        <v>0</v>
      </c>
      <c r="S1984" s="77">
        <v>0</v>
      </c>
      <c r="T1984" s="77">
        <v>0</v>
      </c>
      <c r="U1984" s="77">
        <v>0</v>
      </c>
      <c r="V1984" s="77">
        <v>8</v>
      </c>
      <c r="W1984" s="81" t="s">
        <v>4035</v>
      </c>
      <c r="X1984" s="77"/>
      <c r="Y1984" s="77"/>
      <c r="Z1984" s="77"/>
      <c r="AA1984" s="77" t="s">
        <v>5701</v>
      </c>
      <c r="AB1984" s="77" t="s">
        <v>5794</v>
      </c>
      <c r="AC1984" s="81" t="s">
        <v>5805</v>
      </c>
      <c r="AD1984" s="77" t="s">
        <v>5851</v>
      </c>
      <c r="AE1984" s="83" t="str">
        <f>HYPERLINK("https://twitter.com/vaga_sua/status/1706292636615594076")</f>
        <v>https://twitter.com/vaga_sua/status/1706292636615594076</v>
      </c>
      <c r="AF1984" s="79">
        <v>45194.542129629626</v>
      </c>
      <c r="AG1984" s="85">
        <v>45194</v>
      </c>
      <c r="AH1984" s="81" t="s">
        <v>7596</v>
      </c>
      <c r="AI1984" s="77" t="b">
        <v>0</v>
      </c>
      <c r="AJ1984" s="77"/>
      <c r="AK1984" s="77"/>
      <c r="AL1984" s="77"/>
      <c r="AM1984" s="77"/>
      <c r="AN1984" s="77"/>
      <c r="AO1984" s="77"/>
      <c r="AP1984" s="77"/>
      <c r="AQ1984" s="77" t="s">
        <v>9199</v>
      </c>
      <c r="AR1984" s="77"/>
      <c r="AS1984" s="77"/>
      <c r="AT1984" s="77"/>
      <c r="AU1984" s="77"/>
      <c r="AV1984" s="83" t="str">
        <f>HYPERLINK("https://pbs.twimg.com/media/F634FwGXoAA7drq.jpg")</f>
        <v>https://pbs.twimg.com/media/F634FwGXoAA7drq.jpg</v>
      </c>
      <c r="AW1984" s="81" t="s">
        <v>11096</v>
      </c>
      <c r="AX1984" s="81" t="s">
        <v>11096</v>
      </c>
      <c r="AY1984" s="77"/>
      <c r="AZ1984" s="81" t="s">
        <v>11359</v>
      </c>
      <c r="BA1984" s="81" t="s">
        <v>11359</v>
      </c>
      <c r="BB1984" s="81" t="s">
        <v>11359</v>
      </c>
      <c r="BC1984" s="81" t="s">
        <v>11096</v>
      </c>
      <c r="BD1984" s="81" t="s">
        <v>11682</v>
      </c>
      <c r="BE1984" s="77"/>
      <c r="BF1984" s="77"/>
      <c r="BG1984" s="77"/>
      <c r="BH1984" s="77"/>
      <c r="BI1984" s="77"/>
    </row>
    <row r="1985" spans="1:61" x14ac:dyDescent="0.25">
      <c r="A1985" s="62" t="s">
        <v>811</v>
      </c>
      <c r="B1985" s="62" t="s">
        <v>811</v>
      </c>
      <c r="C1985" s="63"/>
      <c r="D1985" s="64"/>
      <c r="E1985" s="65"/>
      <c r="F1985" s="66"/>
      <c r="G1985" s="63"/>
      <c r="H1985" s="67"/>
      <c r="I1985" s="68"/>
      <c r="J1985" s="68"/>
      <c r="K1985" s="32"/>
      <c r="L1985" s="75">
        <v>1985</v>
      </c>
      <c r="M1985" s="75"/>
      <c r="N1985" s="70"/>
      <c r="O1985" s="77" t="s">
        <v>179</v>
      </c>
      <c r="P1985" s="79">
        <v>45041.529768518521</v>
      </c>
      <c r="Q1985" s="77" t="s">
        <v>2767</v>
      </c>
      <c r="R1985" s="77">
        <v>0</v>
      </c>
      <c r="S1985" s="77">
        <v>0</v>
      </c>
      <c r="T1985" s="77">
        <v>0</v>
      </c>
      <c r="U1985" s="77">
        <v>0</v>
      </c>
      <c r="V1985" s="77">
        <v>57</v>
      </c>
      <c r="W1985" s="81" t="s">
        <v>4036</v>
      </c>
      <c r="X1985" s="83" t="str">
        <f>HYPERLINK("http://www.suavaga.com.br")</f>
        <v>http://www.suavaga.com.br</v>
      </c>
      <c r="Y1985" s="77" t="s">
        <v>4223</v>
      </c>
      <c r="Z1985" s="77"/>
      <c r="AA1985" s="77" t="s">
        <v>5702</v>
      </c>
      <c r="AB1985" s="77" t="s">
        <v>5794</v>
      </c>
      <c r="AC1985" s="81" t="s">
        <v>5803</v>
      </c>
      <c r="AD1985" s="77" t="s">
        <v>5851</v>
      </c>
      <c r="AE1985" s="83" t="str">
        <f>HYPERLINK("https://twitter.com/vaga_sua/status/1650842812118716417")</f>
        <v>https://twitter.com/vaga_sua/status/1650842812118716417</v>
      </c>
      <c r="AF1985" s="79">
        <v>45041.529768518521</v>
      </c>
      <c r="AG1985" s="85">
        <v>45041</v>
      </c>
      <c r="AH1985" s="81" t="s">
        <v>7597</v>
      </c>
      <c r="AI1985" s="77" t="b">
        <v>0</v>
      </c>
      <c r="AJ1985" s="77"/>
      <c r="AK1985" s="77"/>
      <c r="AL1985" s="77"/>
      <c r="AM1985" s="77"/>
      <c r="AN1985" s="77"/>
      <c r="AO1985" s="77"/>
      <c r="AP1985" s="77"/>
      <c r="AQ1985" s="77" t="s">
        <v>9200</v>
      </c>
      <c r="AR1985" s="77"/>
      <c r="AS1985" s="77"/>
      <c r="AT1985" s="77"/>
      <c r="AU1985" s="77"/>
      <c r="AV1985" s="83" t="str">
        <f>HYPERLINK("https://pbs.twimg.com/media/Fuj4yJAWcAA2DMr.jpg")</f>
        <v>https://pbs.twimg.com/media/Fuj4yJAWcAA2DMr.jpg</v>
      </c>
      <c r="AW1985" s="81" t="s">
        <v>11097</v>
      </c>
      <c r="AX1985" s="81" t="s">
        <v>11097</v>
      </c>
      <c r="AY1985" s="77"/>
      <c r="AZ1985" s="81" t="s">
        <v>11359</v>
      </c>
      <c r="BA1985" s="81" t="s">
        <v>11359</v>
      </c>
      <c r="BB1985" s="81" t="s">
        <v>11359</v>
      </c>
      <c r="BC1985" s="81" t="s">
        <v>11097</v>
      </c>
      <c r="BD1985" s="81" t="s">
        <v>11682</v>
      </c>
      <c r="BE1985" s="77"/>
      <c r="BF1985" s="77"/>
      <c r="BG1985" s="77"/>
      <c r="BH1985" s="77"/>
      <c r="BI1985" s="77"/>
    </row>
    <row r="1986" spans="1:61" x14ac:dyDescent="0.25">
      <c r="A1986" s="62" t="s">
        <v>812</v>
      </c>
      <c r="B1986" s="62" t="s">
        <v>812</v>
      </c>
      <c r="C1986" s="63"/>
      <c r="D1986" s="64"/>
      <c r="E1986" s="65"/>
      <c r="F1986" s="66"/>
      <c r="G1986" s="63"/>
      <c r="H1986" s="67"/>
      <c r="I1986" s="68"/>
      <c r="J1986" s="68"/>
      <c r="K1986" s="32"/>
      <c r="L1986" s="75">
        <v>1986</v>
      </c>
      <c r="M1986" s="75"/>
      <c r="N1986" s="70"/>
      <c r="O1986" s="77" t="s">
        <v>969</v>
      </c>
      <c r="P1986" s="79">
        <v>44956.877638888887</v>
      </c>
      <c r="Q1986" s="77" t="s">
        <v>2768</v>
      </c>
      <c r="R1986" s="77">
        <v>0</v>
      </c>
      <c r="S1986" s="77">
        <v>0</v>
      </c>
      <c r="T1986" s="77">
        <v>0</v>
      </c>
      <c r="U1986" s="77">
        <v>0</v>
      </c>
      <c r="V1986" s="77">
        <v>23</v>
      </c>
      <c r="W1986" s="81" t="s">
        <v>4037</v>
      </c>
      <c r="X1986" s="83" t="str">
        <f>HYPERLINK("https://ideiaspoderosas.substack.com/p/esta-historia-te-ajuda-vender-mais")</f>
        <v>https://ideiaspoderosas.substack.com/p/esta-historia-te-ajuda-vender-mais</v>
      </c>
      <c r="Y1986" s="77" t="s">
        <v>4345</v>
      </c>
      <c r="Z1986" s="77"/>
      <c r="AA1986" s="77"/>
      <c r="AB1986" s="77"/>
      <c r="AC1986" s="81" t="s">
        <v>5805</v>
      </c>
      <c r="AD1986" s="77" t="s">
        <v>5851</v>
      </c>
      <c r="AE1986" s="83" t="str">
        <f>HYPERLINK("https://twitter.com/radiovendas/status/1620165909838180352")</f>
        <v>https://twitter.com/radiovendas/status/1620165909838180352</v>
      </c>
      <c r="AF1986" s="79">
        <v>44956.877638888887</v>
      </c>
      <c r="AG1986" s="85">
        <v>44956</v>
      </c>
      <c r="AH1986" s="81" t="s">
        <v>7598</v>
      </c>
      <c r="AI1986" s="77" t="b">
        <v>0</v>
      </c>
      <c r="AJ1986" s="77"/>
      <c r="AK1986" s="77"/>
      <c r="AL1986" s="77"/>
      <c r="AM1986" s="77"/>
      <c r="AN1986" s="77"/>
      <c r="AO1986" s="77"/>
      <c r="AP1986" s="77"/>
      <c r="AQ1986" s="77"/>
      <c r="AR1986" s="77"/>
      <c r="AS1986" s="77"/>
      <c r="AT1986" s="77"/>
      <c r="AU1986" s="77"/>
      <c r="AV1986" s="83" t="str">
        <f>HYPERLINK("https://pbs.twimg.com/profile_images/1621540432487366657/s-1iuqzA_normal.jpg")</f>
        <v>https://pbs.twimg.com/profile_images/1621540432487366657/s-1iuqzA_normal.jpg</v>
      </c>
      <c r="AW1986" s="81" t="s">
        <v>11098</v>
      </c>
      <c r="AX1986" s="81" t="s">
        <v>11315</v>
      </c>
      <c r="AY1986" s="81" t="s">
        <v>11357</v>
      </c>
      <c r="AZ1986" s="81" t="s">
        <v>11396</v>
      </c>
      <c r="BA1986" s="81" t="s">
        <v>11359</v>
      </c>
      <c r="BB1986" s="81" t="s">
        <v>11359</v>
      </c>
      <c r="BC1986" s="81" t="s">
        <v>11396</v>
      </c>
      <c r="BD1986" s="77">
        <v>37749824</v>
      </c>
      <c r="BE1986" s="77"/>
      <c r="BF1986" s="77"/>
      <c r="BG1986" s="77"/>
      <c r="BH1986" s="77"/>
      <c r="BI1986" s="77"/>
    </row>
    <row r="1987" spans="1:61" x14ac:dyDescent="0.25">
      <c r="A1987" s="62" t="s">
        <v>812</v>
      </c>
      <c r="B1987" s="62" t="s">
        <v>812</v>
      </c>
      <c r="C1987" s="63"/>
      <c r="D1987" s="64"/>
      <c r="E1987" s="65"/>
      <c r="F1987" s="66"/>
      <c r="G1987" s="63"/>
      <c r="H1987" s="67"/>
      <c r="I1987" s="68"/>
      <c r="J1987" s="68"/>
      <c r="K1987" s="32"/>
      <c r="L1987" s="75">
        <v>1987</v>
      </c>
      <c r="M1987" s="75"/>
      <c r="N1987" s="70"/>
      <c r="O1987" s="77" t="s">
        <v>179</v>
      </c>
      <c r="P1987" s="79">
        <v>44994.466678240744</v>
      </c>
      <c r="Q1987" s="77" t="s">
        <v>2769</v>
      </c>
      <c r="R1987" s="77">
        <v>0</v>
      </c>
      <c r="S1987" s="77">
        <v>1</v>
      </c>
      <c r="T1987" s="77">
        <v>0</v>
      </c>
      <c r="U1987" s="77">
        <v>0</v>
      </c>
      <c r="V1987" s="77">
        <v>26</v>
      </c>
      <c r="W1987" s="81" t="s">
        <v>4038</v>
      </c>
      <c r="X1987" s="77"/>
      <c r="Y1987" s="77"/>
      <c r="Z1987" s="77"/>
      <c r="AA1987" s="77"/>
      <c r="AB1987" s="77"/>
      <c r="AC1987" s="81" t="s">
        <v>5801</v>
      </c>
      <c r="AD1987" s="77" t="s">
        <v>5851</v>
      </c>
      <c r="AE1987" s="83" t="str">
        <f>HYPERLINK("https://twitter.com/radiovendas/status/1633787721238945795")</f>
        <v>https://twitter.com/radiovendas/status/1633787721238945795</v>
      </c>
      <c r="AF1987" s="79">
        <v>44994.466678240744</v>
      </c>
      <c r="AG1987" s="85">
        <v>44994</v>
      </c>
      <c r="AH1987" s="81" t="s">
        <v>7599</v>
      </c>
      <c r="AI1987" s="77"/>
      <c r="AJ1987" s="77"/>
      <c r="AK1987" s="77"/>
      <c r="AL1987" s="77"/>
      <c r="AM1987" s="77"/>
      <c r="AN1987" s="77"/>
      <c r="AO1987" s="77"/>
      <c r="AP1987" s="77"/>
      <c r="AQ1987" s="77"/>
      <c r="AR1987" s="77"/>
      <c r="AS1987" s="77"/>
      <c r="AT1987" s="77"/>
      <c r="AU1987" s="77"/>
      <c r="AV1987" s="83" t="str">
        <f>HYPERLINK("https://pbs.twimg.com/profile_images/1621540432487366657/s-1iuqzA_normal.jpg")</f>
        <v>https://pbs.twimg.com/profile_images/1621540432487366657/s-1iuqzA_normal.jpg</v>
      </c>
      <c r="AW1987" s="81" t="s">
        <v>11099</v>
      </c>
      <c r="AX1987" s="81" t="s">
        <v>11099</v>
      </c>
      <c r="AY1987" s="77"/>
      <c r="AZ1987" s="81" t="s">
        <v>11359</v>
      </c>
      <c r="BA1987" s="81" t="s">
        <v>11359</v>
      </c>
      <c r="BB1987" s="81" t="s">
        <v>11359</v>
      </c>
      <c r="BC1987" s="81" t="s">
        <v>11099</v>
      </c>
      <c r="BD1987" s="77">
        <v>37749824</v>
      </c>
      <c r="BE1987" s="77"/>
      <c r="BF1987" s="77"/>
      <c r="BG1987" s="77"/>
      <c r="BH1987" s="77"/>
      <c r="BI1987" s="77"/>
    </row>
    <row r="1988" spans="1:61" x14ac:dyDescent="0.25">
      <c r="A1988" s="62" t="s">
        <v>812</v>
      </c>
      <c r="B1988" s="62" t="s">
        <v>812</v>
      </c>
      <c r="C1988" s="63"/>
      <c r="D1988" s="64"/>
      <c r="E1988" s="65"/>
      <c r="F1988" s="66"/>
      <c r="G1988" s="63"/>
      <c r="H1988" s="67"/>
      <c r="I1988" s="68"/>
      <c r="J1988" s="68"/>
      <c r="K1988" s="32"/>
      <c r="L1988" s="75">
        <v>1988</v>
      </c>
      <c r="M1988" s="75"/>
      <c r="N1988" s="70"/>
      <c r="O1988" s="77" t="s">
        <v>179</v>
      </c>
      <c r="P1988" s="79">
        <v>44992.438611111109</v>
      </c>
      <c r="Q1988" s="77" t="s">
        <v>2770</v>
      </c>
      <c r="R1988" s="77">
        <v>0</v>
      </c>
      <c r="S1988" s="77">
        <v>2</v>
      </c>
      <c r="T1988" s="77">
        <v>0</v>
      </c>
      <c r="U1988" s="77">
        <v>0</v>
      </c>
      <c r="V1988" s="77">
        <v>38</v>
      </c>
      <c r="W1988" s="81" t="s">
        <v>4039</v>
      </c>
      <c r="X1988" s="77"/>
      <c r="Y1988" s="77"/>
      <c r="Z1988" s="77"/>
      <c r="AA1988" s="77"/>
      <c r="AB1988" s="77"/>
      <c r="AC1988" s="81" t="s">
        <v>5801</v>
      </c>
      <c r="AD1988" s="77" t="s">
        <v>5851</v>
      </c>
      <c r="AE1988" s="83" t="str">
        <f>HYPERLINK("https://twitter.com/radiovendas/status/1633052772592484352")</f>
        <v>https://twitter.com/radiovendas/status/1633052772592484352</v>
      </c>
      <c r="AF1988" s="79">
        <v>44992.438611111109</v>
      </c>
      <c r="AG1988" s="85">
        <v>44992</v>
      </c>
      <c r="AH1988" s="81" t="s">
        <v>7600</v>
      </c>
      <c r="AI1988" s="77"/>
      <c r="AJ1988" s="77"/>
      <c r="AK1988" s="77"/>
      <c r="AL1988" s="77"/>
      <c r="AM1988" s="77"/>
      <c r="AN1988" s="77"/>
      <c r="AO1988" s="77"/>
      <c r="AP1988" s="77"/>
      <c r="AQ1988" s="77"/>
      <c r="AR1988" s="77"/>
      <c r="AS1988" s="77"/>
      <c r="AT1988" s="77"/>
      <c r="AU1988" s="77"/>
      <c r="AV1988" s="83" t="str">
        <f>HYPERLINK("https://pbs.twimg.com/profile_images/1621540432487366657/s-1iuqzA_normal.jpg")</f>
        <v>https://pbs.twimg.com/profile_images/1621540432487366657/s-1iuqzA_normal.jpg</v>
      </c>
      <c r="AW1988" s="81" t="s">
        <v>11100</v>
      </c>
      <c r="AX1988" s="81" t="s">
        <v>11100</v>
      </c>
      <c r="AY1988" s="77"/>
      <c r="AZ1988" s="81" t="s">
        <v>11359</v>
      </c>
      <c r="BA1988" s="81" t="s">
        <v>11359</v>
      </c>
      <c r="BB1988" s="81" t="s">
        <v>11359</v>
      </c>
      <c r="BC1988" s="81" t="s">
        <v>11100</v>
      </c>
      <c r="BD1988" s="77">
        <v>37749824</v>
      </c>
      <c r="BE1988" s="77"/>
      <c r="BF1988" s="77"/>
      <c r="BG1988" s="77"/>
      <c r="BH1988" s="77"/>
      <c r="BI1988" s="77"/>
    </row>
    <row r="1989" spans="1:61" x14ac:dyDescent="0.25">
      <c r="A1989" s="62" t="s">
        <v>812</v>
      </c>
      <c r="B1989" s="62" t="s">
        <v>812</v>
      </c>
      <c r="C1989" s="63"/>
      <c r="D1989" s="64"/>
      <c r="E1989" s="65"/>
      <c r="F1989" s="66"/>
      <c r="G1989" s="63"/>
      <c r="H1989" s="67"/>
      <c r="I1989" s="68"/>
      <c r="J1989" s="68"/>
      <c r="K1989" s="32"/>
      <c r="L1989" s="75">
        <v>1989</v>
      </c>
      <c r="M1989" s="75"/>
      <c r="N1989" s="70"/>
      <c r="O1989" s="77" t="s">
        <v>179</v>
      </c>
      <c r="P1989" s="79">
        <v>44988.548726851855</v>
      </c>
      <c r="Q1989" s="77" t="s">
        <v>2771</v>
      </c>
      <c r="R1989" s="77">
        <v>1</v>
      </c>
      <c r="S1989" s="77">
        <v>3</v>
      </c>
      <c r="T1989" s="77">
        <v>0</v>
      </c>
      <c r="U1989" s="77">
        <v>0</v>
      </c>
      <c r="V1989" s="77">
        <v>44</v>
      </c>
      <c r="W1989" s="81" t="s">
        <v>4040</v>
      </c>
      <c r="X1989" s="77"/>
      <c r="Y1989" s="77"/>
      <c r="Z1989" s="77"/>
      <c r="AA1989" s="77"/>
      <c r="AB1989" s="77"/>
      <c r="AC1989" s="81" t="s">
        <v>5801</v>
      </c>
      <c r="AD1989" s="77" t="s">
        <v>5851</v>
      </c>
      <c r="AE1989" s="83" t="str">
        <f>HYPERLINK("https://twitter.com/radiovendas/status/1631643126040330240")</f>
        <v>https://twitter.com/radiovendas/status/1631643126040330240</v>
      </c>
      <c r="AF1989" s="79">
        <v>44988.548726851855</v>
      </c>
      <c r="AG1989" s="85">
        <v>44988</v>
      </c>
      <c r="AH1989" s="81" t="s">
        <v>7601</v>
      </c>
      <c r="AI1989" s="77"/>
      <c r="AJ1989" s="77"/>
      <c r="AK1989" s="77"/>
      <c r="AL1989" s="77"/>
      <c r="AM1989" s="77"/>
      <c r="AN1989" s="77"/>
      <c r="AO1989" s="77"/>
      <c r="AP1989" s="77"/>
      <c r="AQ1989" s="77"/>
      <c r="AR1989" s="77"/>
      <c r="AS1989" s="77"/>
      <c r="AT1989" s="77"/>
      <c r="AU1989" s="77"/>
      <c r="AV1989" s="83" t="str">
        <f>HYPERLINK("https://pbs.twimg.com/profile_images/1621540432487366657/s-1iuqzA_normal.jpg")</f>
        <v>https://pbs.twimg.com/profile_images/1621540432487366657/s-1iuqzA_normal.jpg</v>
      </c>
      <c r="AW1989" s="81" t="s">
        <v>11101</v>
      </c>
      <c r="AX1989" s="81" t="s">
        <v>11101</v>
      </c>
      <c r="AY1989" s="77"/>
      <c r="AZ1989" s="81" t="s">
        <v>11359</v>
      </c>
      <c r="BA1989" s="81" t="s">
        <v>11359</v>
      </c>
      <c r="BB1989" s="81" t="s">
        <v>11359</v>
      </c>
      <c r="BC1989" s="81" t="s">
        <v>11101</v>
      </c>
      <c r="BD1989" s="77">
        <v>37749824</v>
      </c>
      <c r="BE1989" s="77"/>
      <c r="BF1989" s="77"/>
      <c r="BG1989" s="77"/>
      <c r="BH1989" s="77"/>
      <c r="BI1989" s="77"/>
    </row>
    <row r="1990" spans="1:61" x14ac:dyDescent="0.25">
      <c r="A1990" s="62" t="s">
        <v>812</v>
      </c>
      <c r="B1990" s="62" t="s">
        <v>812</v>
      </c>
      <c r="C1990" s="63"/>
      <c r="D1990" s="64"/>
      <c r="E1990" s="65"/>
      <c r="F1990" s="66"/>
      <c r="G1990" s="63"/>
      <c r="H1990" s="67"/>
      <c r="I1990" s="68"/>
      <c r="J1990" s="68"/>
      <c r="K1990" s="32"/>
      <c r="L1990" s="75">
        <v>1990</v>
      </c>
      <c r="M1990" s="75"/>
      <c r="N1990" s="70"/>
      <c r="O1990" s="77" t="s">
        <v>179</v>
      </c>
      <c r="P1990" s="79">
        <v>44984.595219907409</v>
      </c>
      <c r="Q1990" s="77" t="s">
        <v>2772</v>
      </c>
      <c r="R1990" s="77">
        <v>0</v>
      </c>
      <c r="S1990" s="77">
        <v>0</v>
      </c>
      <c r="T1990" s="77">
        <v>0</v>
      </c>
      <c r="U1990" s="77">
        <v>0</v>
      </c>
      <c r="V1990" s="77">
        <v>17</v>
      </c>
      <c r="W1990" s="81" t="s">
        <v>4041</v>
      </c>
      <c r="X1990" s="83" t="str">
        <f>HYPERLINK("https://ideiaspoderosas.substack.com/p/se-ninguem-te-encontrar-nao-vai-vender?utm_source=twitter&amp;sd=pf")</f>
        <v>https://ideiaspoderosas.substack.com/p/se-ninguem-te-encontrar-nao-vai-vender?utm_source=twitter&amp;sd=pf</v>
      </c>
      <c r="Y1990" s="77" t="s">
        <v>4345</v>
      </c>
      <c r="Z1990" s="77"/>
      <c r="AA1990" s="77"/>
      <c r="AB1990" s="77"/>
      <c r="AC1990" s="81" t="s">
        <v>5805</v>
      </c>
      <c r="AD1990" s="77" t="s">
        <v>5851</v>
      </c>
      <c r="AE1990" s="83" t="str">
        <f>HYPERLINK("https://twitter.com/radiovendas/status/1630210423877148674")</f>
        <v>https://twitter.com/radiovendas/status/1630210423877148674</v>
      </c>
      <c r="AF1990" s="79">
        <v>44984.595219907409</v>
      </c>
      <c r="AG1990" s="85">
        <v>44984</v>
      </c>
      <c r="AH1990" s="81" t="s">
        <v>7602</v>
      </c>
      <c r="AI1990" s="77" t="b">
        <v>0</v>
      </c>
      <c r="AJ1990" s="77"/>
      <c r="AK1990" s="77"/>
      <c r="AL1990" s="77"/>
      <c r="AM1990" s="77"/>
      <c r="AN1990" s="77"/>
      <c r="AO1990" s="77"/>
      <c r="AP1990" s="77"/>
      <c r="AQ1990" s="77"/>
      <c r="AR1990" s="77"/>
      <c r="AS1990" s="77"/>
      <c r="AT1990" s="77"/>
      <c r="AU1990" s="77"/>
      <c r="AV1990" s="83" t="str">
        <f>HYPERLINK("https://pbs.twimg.com/profile_images/1621540432487366657/s-1iuqzA_normal.jpg")</f>
        <v>https://pbs.twimg.com/profile_images/1621540432487366657/s-1iuqzA_normal.jpg</v>
      </c>
      <c r="AW1990" s="81" t="s">
        <v>11102</v>
      </c>
      <c r="AX1990" s="81" t="s">
        <v>11102</v>
      </c>
      <c r="AY1990" s="77"/>
      <c r="AZ1990" s="81" t="s">
        <v>11359</v>
      </c>
      <c r="BA1990" s="81" t="s">
        <v>11359</v>
      </c>
      <c r="BB1990" s="81" t="s">
        <v>11359</v>
      </c>
      <c r="BC1990" s="81" t="s">
        <v>11102</v>
      </c>
      <c r="BD1990" s="77">
        <v>37749824</v>
      </c>
      <c r="BE1990" s="77"/>
      <c r="BF1990" s="77"/>
      <c r="BG1990" s="77"/>
      <c r="BH1990" s="77"/>
      <c r="BI1990" s="77"/>
    </row>
    <row r="1991" spans="1:61" x14ac:dyDescent="0.25">
      <c r="A1991" s="62" t="s">
        <v>812</v>
      </c>
      <c r="B1991" s="62" t="s">
        <v>812</v>
      </c>
      <c r="C1991" s="63"/>
      <c r="D1991" s="64"/>
      <c r="E1991" s="65"/>
      <c r="F1991" s="66"/>
      <c r="G1991" s="63"/>
      <c r="H1991" s="67"/>
      <c r="I1991" s="68"/>
      <c r="J1991" s="68"/>
      <c r="K1991" s="32"/>
      <c r="L1991" s="75">
        <v>1991</v>
      </c>
      <c r="M1991" s="75"/>
      <c r="N1991" s="70"/>
      <c r="O1991" s="77" t="s">
        <v>179</v>
      </c>
      <c r="P1991" s="79">
        <v>44982.445844907408</v>
      </c>
      <c r="Q1991" s="77" t="s">
        <v>2773</v>
      </c>
      <c r="R1991" s="77">
        <v>0</v>
      </c>
      <c r="S1991" s="77">
        <v>1</v>
      </c>
      <c r="T1991" s="77">
        <v>0</v>
      </c>
      <c r="U1991" s="77">
        <v>0</v>
      </c>
      <c r="V1991" s="77">
        <v>24</v>
      </c>
      <c r="W1991" s="81" t="s">
        <v>4042</v>
      </c>
      <c r="X1991" s="77"/>
      <c r="Y1991" s="77"/>
      <c r="Z1991" s="77"/>
      <c r="AA1991" s="77"/>
      <c r="AB1991" s="77"/>
      <c r="AC1991" s="81" t="s">
        <v>5801</v>
      </c>
      <c r="AD1991" s="77" t="s">
        <v>5851</v>
      </c>
      <c r="AE1991" s="83" t="str">
        <f>HYPERLINK("https://twitter.com/radiovendas/status/1629431516089466880")</f>
        <v>https://twitter.com/radiovendas/status/1629431516089466880</v>
      </c>
      <c r="AF1991" s="79">
        <v>44982.445844907408</v>
      </c>
      <c r="AG1991" s="85">
        <v>44982</v>
      </c>
      <c r="AH1991" s="81" t="s">
        <v>7603</v>
      </c>
      <c r="AI1991" s="77"/>
      <c r="AJ1991" s="77"/>
      <c r="AK1991" s="77"/>
      <c r="AL1991" s="77"/>
      <c r="AM1991" s="77"/>
      <c r="AN1991" s="77"/>
      <c r="AO1991" s="77"/>
      <c r="AP1991" s="77"/>
      <c r="AQ1991" s="77"/>
      <c r="AR1991" s="77"/>
      <c r="AS1991" s="77"/>
      <c r="AT1991" s="77"/>
      <c r="AU1991" s="77"/>
      <c r="AV1991" s="83" t="str">
        <f>HYPERLINK("https://pbs.twimg.com/profile_images/1621540432487366657/s-1iuqzA_normal.jpg")</f>
        <v>https://pbs.twimg.com/profile_images/1621540432487366657/s-1iuqzA_normal.jpg</v>
      </c>
      <c r="AW1991" s="81" t="s">
        <v>11103</v>
      </c>
      <c r="AX1991" s="81" t="s">
        <v>11103</v>
      </c>
      <c r="AY1991" s="77"/>
      <c r="AZ1991" s="81" t="s">
        <v>11359</v>
      </c>
      <c r="BA1991" s="81" t="s">
        <v>11359</v>
      </c>
      <c r="BB1991" s="81" t="s">
        <v>11359</v>
      </c>
      <c r="BC1991" s="81" t="s">
        <v>11103</v>
      </c>
      <c r="BD1991" s="77">
        <v>37749824</v>
      </c>
      <c r="BE1991" s="77"/>
      <c r="BF1991" s="77"/>
      <c r="BG1991" s="77"/>
      <c r="BH1991" s="77"/>
      <c r="BI1991" s="77"/>
    </row>
    <row r="1992" spans="1:61" x14ac:dyDescent="0.25">
      <c r="A1992" s="62" t="s">
        <v>812</v>
      </c>
      <c r="B1992" s="62" t="s">
        <v>812</v>
      </c>
      <c r="C1992" s="63"/>
      <c r="D1992" s="64"/>
      <c r="E1992" s="65"/>
      <c r="F1992" s="66"/>
      <c r="G1992" s="63"/>
      <c r="H1992" s="67"/>
      <c r="I1992" s="68"/>
      <c r="J1992" s="68"/>
      <c r="K1992" s="32"/>
      <c r="L1992" s="75">
        <v>1992</v>
      </c>
      <c r="M1992" s="75"/>
      <c r="N1992" s="70"/>
      <c r="O1992" s="77" t="s">
        <v>969</v>
      </c>
      <c r="P1992" s="79">
        <v>44958.589861111112</v>
      </c>
      <c r="Q1992" s="77" t="s">
        <v>2774</v>
      </c>
      <c r="R1992" s="77">
        <v>0</v>
      </c>
      <c r="S1992" s="77">
        <v>0</v>
      </c>
      <c r="T1992" s="77">
        <v>0</v>
      </c>
      <c r="U1992" s="77">
        <v>0</v>
      </c>
      <c r="V1992" s="77">
        <v>30</v>
      </c>
      <c r="W1992" s="81" t="s">
        <v>4043</v>
      </c>
      <c r="X1992" s="83" t="str">
        <f>HYPERLINK("https://ideiaspoderosas.substack.com/p/como-reativar-clientes-inativos")</f>
        <v>https://ideiaspoderosas.substack.com/p/como-reativar-clientes-inativos</v>
      </c>
      <c r="Y1992" s="77" t="s">
        <v>4345</v>
      </c>
      <c r="Z1992" s="77"/>
      <c r="AA1992" s="77"/>
      <c r="AB1992" s="77"/>
      <c r="AC1992" s="81" t="s">
        <v>5805</v>
      </c>
      <c r="AD1992" s="77" t="s">
        <v>5851</v>
      </c>
      <c r="AE1992" s="83" t="str">
        <f>HYPERLINK("https://twitter.com/radiovendas/status/1620786396758953985")</f>
        <v>https://twitter.com/radiovendas/status/1620786396758953985</v>
      </c>
      <c r="AF1992" s="79">
        <v>44958.589861111112</v>
      </c>
      <c r="AG1992" s="85">
        <v>44958</v>
      </c>
      <c r="AH1992" s="81" t="s">
        <v>7604</v>
      </c>
      <c r="AI1992" s="77" t="b">
        <v>0</v>
      </c>
      <c r="AJ1992" s="77"/>
      <c r="AK1992" s="77"/>
      <c r="AL1992" s="77"/>
      <c r="AM1992" s="77"/>
      <c r="AN1992" s="77"/>
      <c r="AO1992" s="77"/>
      <c r="AP1992" s="77"/>
      <c r="AQ1992" s="77"/>
      <c r="AR1992" s="77"/>
      <c r="AS1992" s="77"/>
      <c r="AT1992" s="77"/>
      <c r="AU1992" s="77"/>
      <c r="AV1992" s="83" t="str">
        <f>HYPERLINK("https://pbs.twimg.com/profile_images/1621540432487366657/s-1iuqzA_normal.jpg")</f>
        <v>https://pbs.twimg.com/profile_images/1621540432487366657/s-1iuqzA_normal.jpg</v>
      </c>
      <c r="AW1992" s="81" t="s">
        <v>11104</v>
      </c>
      <c r="AX1992" s="81" t="s">
        <v>11316</v>
      </c>
      <c r="AY1992" s="81" t="s">
        <v>11357</v>
      </c>
      <c r="AZ1992" s="81" t="s">
        <v>11397</v>
      </c>
      <c r="BA1992" s="81" t="s">
        <v>11359</v>
      </c>
      <c r="BB1992" s="81" t="s">
        <v>11359</v>
      </c>
      <c r="BC1992" s="81" t="s">
        <v>11397</v>
      </c>
      <c r="BD1992" s="77">
        <v>37749824</v>
      </c>
      <c r="BE1992" s="77"/>
      <c r="BF1992" s="77"/>
      <c r="BG1992" s="77"/>
      <c r="BH1992" s="77"/>
      <c r="BI1992" s="77"/>
    </row>
    <row r="1993" spans="1:61" x14ac:dyDescent="0.25">
      <c r="A1993" s="62" t="s">
        <v>812</v>
      </c>
      <c r="B1993" s="62" t="s">
        <v>812</v>
      </c>
      <c r="C1993" s="63"/>
      <c r="D1993" s="64"/>
      <c r="E1993" s="65"/>
      <c r="F1993" s="66"/>
      <c r="G1993" s="63"/>
      <c r="H1993" s="67"/>
      <c r="I1993" s="68"/>
      <c r="J1993" s="68"/>
      <c r="K1993" s="32"/>
      <c r="L1993" s="75">
        <v>1993</v>
      </c>
      <c r="M1993" s="75"/>
      <c r="N1993" s="70"/>
      <c r="O1993" s="77" t="s">
        <v>179</v>
      </c>
      <c r="P1993" s="79">
        <v>45001.557557870372</v>
      </c>
      <c r="Q1993" s="77" t="s">
        <v>2775</v>
      </c>
      <c r="R1993" s="77">
        <v>0</v>
      </c>
      <c r="S1993" s="77">
        <v>0</v>
      </c>
      <c r="T1993" s="77">
        <v>0</v>
      </c>
      <c r="U1993" s="77">
        <v>0</v>
      </c>
      <c r="V1993" s="77">
        <v>38</v>
      </c>
      <c r="W1993" s="81" t="s">
        <v>4044</v>
      </c>
      <c r="X1993" s="77"/>
      <c r="Y1993" s="77"/>
      <c r="Z1993" s="77"/>
      <c r="AA1993" s="77"/>
      <c r="AB1993" s="77"/>
      <c r="AC1993" s="81" t="s">
        <v>5801</v>
      </c>
      <c r="AD1993" s="77" t="s">
        <v>5851</v>
      </c>
      <c r="AE1993" s="83" t="str">
        <f>HYPERLINK("https://twitter.com/radiovendas/status/1636357368333123584")</f>
        <v>https://twitter.com/radiovendas/status/1636357368333123584</v>
      </c>
      <c r="AF1993" s="79">
        <v>45001.557557870372</v>
      </c>
      <c r="AG1993" s="85">
        <v>45001</v>
      </c>
      <c r="AH1993" s="81" t="s">
        <v>7605</v>
      </c>
      <c r="AI1993" s="77"/>
      <c r="AJ1993" s="77"/>
      <c r="AK1993" s="77"/>
      <c r="AL1993" s="77"/>
      <c r="AM1993" s="77"/>
      <c r="AN1993" s="77"/>
      <c r="AO1993" s="77"/>
      <c r="AP1993" s="77"/>
      <c r="AQ1993" s="77"/>
      <c r="AR1993" s="77"/>
      <c r="AS1993" s="77"/>
      <c r="AT1993" s="77"/>
      <c r="AU1993" s="77"/>
      <c r="AV1993" s="83" t="str">
        <f>HYPERLINK("https://pbs.twimg.com/profile_images/1621540432487366657/s-1iuqzA_normal.jpg")</f>
        <v>https://pbs.twimg.com/profile_images/1621540432487366657/s-1iuqzA_normal.jpg</v>
      </c>
      <c r="AW1993" s="81" t="s">
        <v>11105</v>
      </c>
      <c r="AX1993" s="81" t="s">
        <v>11105</v>
      </c>
      <c r="AY1993" s="77"/>
      <c r="AZ1993" s="81" t="s">
        <v>11359</v>
      </c>
      <c r="BA1993" s="81" t="s">
        <v>11359</v>
      </c>
      <c r="BB1993" s="81" t="s">
        <v>11359</v>
      </c>
      <c r="BC1993" s="81" t="s">
        <v>11105</v>
      </c>
      <c r="BD1993" s="77">
        <v>37749824</v>
      </c>
      <c r="BE1993" s="77"/>
      <c r="BF1993" s="77"/>
      <c r="BG1993" s="77"/>
      <c r="BH1993" s="77"/>
      <c r="BI1993" s="77"/>
    </row>
    <row r="1994" spans="1:61" x14ac:dyDescent="0.25">
      <c r="A1994" s="62" t="s">
        <v>812</v>
      </c>
      <c r="B1994" s="62" t="s">
        <v>812</v>
      </c>
      <c r="C1994" s="63"/>
      <c r="D1994" s="64"/>
      <c r="E1994" s="65"/>
      <c r="F1994" s="66"/>
      <c r="G1994" s="63"/>
      <c r="H1994" s="67"/>
      <c r="I1994" s="68"/>
      <c r="J1994" s="68"/>
      <c r="K1994" s="32"/>
      <c r="L1994" s="75">
        <v>1994</v>
      </c>
      <c r="M1994" s="75"/>
      <c r="N1994" s="70"/>
      <c r="O1994" s="77" t="s">
        <v>179</v>
      </c>
      <c r="P1994" s="79">
        <v>44943.431597222225</v>
      </c>
      <c r="Q1994" s="77" t="s">
        <v>2776</v>
      </c>
      <c r="R1994" s="77">
        <v>0</v>
      </c>
      <c r="S1994" s="77">
        <v>1</v>
      </c>
      <c r="T1994" s="77">
        <v>0</v>
      </c>
      <c r="U1994" s="77">
        <v>0</v>
      </c>
      <c r="V1994" s="77">
        <v>47</v>
      </c>
      <c r="W1994" s="81" t="s">
        <v>4045</v>
      </c>
      <c r="X1994" s="77"/>
      <c r="Y1994" s="77"/>
      <c r="Z1994" s="77"/>
      <c r="AA1994" s="77"/>
      <c r="AB1994" s="77"/>
      <c r="AC1994" s="81" t="s">
        <v>5801</v>
      </c>
      <c r="AD1994" s="77" t="s">
        <v>5851</v>
      </c>
      <c r="AE1994" s="83" t="str">
        <f>HYPERLINK("https://twitter.com/radiovendas/status/1615293226134507523")</f>
        <v>https://twitter.com/radiovendas/status/1615293226134507523</v>
      </c>
      <c r="AF1994" s="79">
        <v>44943.431597222225</v>
      </c>
      <c r="AG1994" s="85">
        <v>44943</v>
      </c>
      <c r="AH1994" s="81" t="s">
        <v>7606</v>
      </c>
      <c r="AI1994" s="77"/>
      <c r="AJ1994" s="77"/>
      <c r="AK1994" s="77"/>
      <c r="AL1994" s="77"/>
      <c r="AM1994" s="77"/>
      <c r="AN1994" s="77"/>
      <c r="AO1994" s="77"/>
      <c r="AP1994" s="77"/>
      <c r="AQ1994" s="77"/>
      <c r="AR1994" s="77"/>
      <c r="AS1994" s="77"/>
      <c r="AT1994" s="77"/>
      <c r="AU1994" s="77"/>
      <c r="AV1994" s="83" t="str">
        <f>HYPERLINK("https://pbs.twimg.com/profile_images/1621540432487366657/s-1iuqzA_normal.jpg")</f>
        <v>https://pbs.twimg.com/profile_images/1621540432487366657/s-1iuqzA_normal.jpg</v>
      </c>
      <c r="AW1994" s="81" t="s">
        <v>11106</v>
      </c>
      <c r="AX1994" s="81" t="s">
        <v>11106</v>
      </c>
      <c r="AY1994" s="77"/>
      <c r="AZ1994" s="81" t="s">
        <v>11359</v>
      </c>
      <c r="BA1994" s="81" t="s">
        <v>11359</v>
      </c>
      <c r="BB1994" s="81" t="s">
        <v>11359</v>
      </c>
      <c r="BC1994" s="81" t="s">
        <v>11106</v>
      </c>
      <c r="BD1994" s="77">
        <v>37749824</v>
      </c>
      <c r="BE1994" s="77"/>
      <c r="BF1994" s="77"/>
      <c r="BG1994" s="77"/>
      <c r="BH1994" s="77"/>
      <c r="BI1994" s="77"/>
    </row>
    <row r="1995" spans="1:61" x14ac:dyDescent="0.25">
      <c r="A1995" s="62" t="s">
        <v>812</v>
      </c>
      <c r="B1995" s="62" t="s">
        <v>812</v>
      </c>
      <c r="C1995" s="63"/>
      <c r="D1995" s="64"/>
      <c r="E1995" s="65"/>
      <c r="F1995" s="66"/>
      <c r="G1995" s="63"/>
      <c r="H1995" s="67"/>
      <c r="I1995" s="68"/>
      <c r="J1995" s="68"/>
      <c r="K1995" s="32"/>
      <c r="L1995" s="75">
        <v>1995</v>
      </c>
      <c r="M1995" s="75"/>
      <c r="N1995" s="70"/>
      <c r="O1995" s="77" t="s">
        <v>179</v>
      </c>
      <c r="P1995" s="79">
        <v>45009.431631944448</v>
      </c>
      <c r="Q1995" s="77" t="s">
        <v>2777</v>
      </c>
      <c r="R1995" s="77">
        <v>0</v>
      </c>
      <c r="S1995" s="77">
        <v>1</v>
      </c>
      <c r="T1995" s="77">
        <v>0</v>
      </c>
      <c r="U1995" s="77">
        <v>0</v>
      </c>
      <c r="V1995" s="77">
        <v>252</v>
      </c>
      <c r="W1995" s="81" t="s">
        <v>4046</v>
      </c>
      <c r="X1995" s="77"/>
      <c r="Y1995" s="77"/>
      <c r="Z1995" s="77"/>
      <c r="AA1995" s="77"/>
      <c r="AB1995" s="77"/>
      <c r="AC1995" s="81" t="s">
        <v>5801</v>
      </c>
      <c r="AD1995" s="77" t="s">
        <v>5851</v>
      </c>
      <c r="AE1995" s="83" t="str">
        <f>HYPERLINK("https://twitter.com/radiovendas/status/1639210836387414018")</f>
        <v>https://twitter.com/radiovendas/status/1639210836387414018</v>
      </c>
      <c r="AF1995" s="79">
        <v>45009.431631944448</v>
      </c>
      <c r="AG1995" s="85">
        <v>45009</v>
      </c>
      <c r="AH1995" s="81" t="s">
        <v>6002</v>
      </c>
      <c r="AI1995" s="77"/>
      <c r="AJ1995" s="77"/>
      <c r="AK1995" s="77"/>
      <c r="AL1995" s="77"/>
      <c r="AM1995" s="77"/>
      <c r="AN1995" s="77"/>
      <c r="AO1995" s="77"/>
      <c r="AP1995" s="77"/>
      <c r="AQ1995" s="77"/>
      <c r="AR1995" s="77"/>
      <c r="AS1995" s="77"/>
      <c r="AT1995" s="77"/>
      <c r="AU1995" s="77"/>
      <c r="AV1995" s="83" t="str">
        <f>HYPERLINK("https://pbs.twimg.com/profile_images/1621540432487366657/s-1iuqzA_normal.jpg")</f>
        <v>https://pbs.twimg.com/profile_images/1621540432487366657/s-1iuqzA_normal.jpg</v>
      </c>
      <c r="AW1995" s="81" t="s">
        <v>11107</v>
      </c>
      <c r="AX1995" s="81" t="s">
        <v>11107</v>
      </c>
      <c r="AY1995" s="77"/>
      <c r="AZ1995" s="81" t="s">
        <v>11359</v>
      </c>
      <c r="BA1995" s="81" t="s">
        <v>11359</v>
      </c>
      <c r="BB1995" s="81" t="s">
        <v>11359</v>
      </c>
      <c r="BC1995" s="81" t="s">
        <v>11107</v>
      </c>
      <c r="BD1995" s="77">
        <v>37749824</v>
      </c>
      <c r="BE1995" s="77"/>
      <c r="BF1995" s="77"/>
      <c r="BG1995" s="77"/>
      <c r="BH1995" s="77"/>
      <c r="BI1995" s="77"/>
    </row>
    <row r="1996" spans="1:61" x14ac:dyDescent="0.25">
      <c r="A1996" s="62" t="s">
        <v>812</v>
      </c>
      <c r="B1996" s="62" t="s">
        <v>812</v>
      </c>
      <c r="C1996" s="63"/>
      <c r="D1996" s="64"/>
      <c r="E1996" s="65"/>
      <c r="F1996" s="66"/>
      <c r="G1996" s="63"/>
      <c r="H1996" s="67"/>
      <c r="I1996" s="68"/>
      <c r="J1996" s="68"/>
      <c r="K1996" s="32"/>
      <c r="L1996" s="75">
        <v>1996</v>
      </c>
      <c r="M1996" s="75"/>
      <c r="N1996" s="70"/>
      <c r="O1996" s="77" t="s">
        <v>179</v>
      </c>
      <c r="P1996" s="79">
        <v>45026.614675925928</v>
      </c>
      <c r="Q1996" s="77" t="s">
        <v>2778</v>
      </c>
      <c r="R1996" s="77">
        <v>0</v>
      </c>
      <c r="S1996" s="77">
        <v>0</v>
      </c>
      <c r="T1996" s="77">
        <v>0</v>
      </c>
      <c r="U1996" s="77">
        <v>0</v>
      </c>
      <c r="V1996" s="77">
        <v>27</v>
      </c>
      <c r="W1996" s="81" t="s">
        <v>4047</v>
      </c>
      <c r="X1996" s="77"/>
      <c r="Y1996" s="77"/>
      <c r="Z1996" s="77"/>
      <c r="AA1996" s="77"/>
      <c r="AB1996" s="77"/>
      <c r="AC1996" s="81" t="s">
        <v>5805</v>
      </c>
      <c r="AD1996" s="77" t="s">
        <v>5851</v>
      </c>
      <c r="AE1996" s="83" t="str">
        <f>HYPERLINK("https://twitter.com/radiovendas/status/1645437764005945346")</f>
        <v>https://twitter.com/radiovendas/status/1645437764005945346</v>
      </c>
      <c r="AF1996" s="79">
        <v>45026.614675925928</v>
      </c>
      <c r="AG1996" s="85">
        <v>45026</v>
      </c>
      <c r="AH1996" s="81" t="s">
        <v>6988</v>
      </c>
      <c r="AI1996" s="77"/>
      <c r="AJ1996" s="77"/>
      <c r="AK1996" s="77"/>
      <c r="AL1996" s="77"/>
      <c r="AM1996" s="77"/>
      <c r="AN1996" s="77"/>
      <c r="AO1996" s="77"/>
      <c r="AP1996" s="77"/>
      <c r="AQ1996" s="77"/>
      <c r="AR1996" s="77"/>
      <c r="AS1996" s="77"/>
      <c r="AT1996" s="77"/>
      <c r="AU1996" s="77"/>
      <c r="AV1996" s="83" t="str">
        <f>HYPERLINK("https://pbs.twimg.com/profile_images/1621540432487366657/s-1iuqzA_normal.jpg")</f>
        <v>https://pbs.twimg.com/profile_images/1621540432487366657/s-1iuqzA_normal.jpg</v>
      </c>
      <c r="AW1996" s="81" t="s">
        <v>11108</v>
      </c>
      <c r="AX1996" s="81" t="s">
        <v>11108</v>
      </c>
      <c r="AY1996" s="77"/>
      <c r="AZ1996" s="81" t="s">
        <v>11359</v>
      </c>
      <c r="BA1996" s="81" t="s">
        <v>11359</v>
      </c>
      <c r="BB1996" s="81" t="s">
        <v>11359</v>
      </c>
      <c r="BC1996" s="81" t="s">
        <v>11108</v>
      </c>
      <c r="BD1996" s="77">
        <v>37749824</v>
      </c>
      <c r="BE1996" s="77"/>
      <c r="BF1996" s="77"/>
      <c r="BG1996" s="77"/>
      <c r="BH1996" s="77"/>
      <c r="BI1996" s="77"/>
    </row>
    <row r="1997" spans="1:61" x14ac:dyDescent="0.25">
      <c r="A1997" s="62" t="s">
        <v>812</v>
      </c>
      <c r="B1997" s="62" t="s">
        <v>812</v>
      </c>
      <c r="C1997" s="63"/>
      <c r="D1997" s="64"/>
      <c r="E1997" s="65"/>
      <c r="F1997" s="66"/>
      <c r="G1997" s="63"/>
      <c r="H1997" s="67"/>
      <c r="I1997" s="68"/>
      <c r="J1997" s="68"/>
      <c r="K1997" s="32"/>
      <c r="L1997" s="75">
        <v>1997</v>
      </c>
      <c r="M1997" s="75"/>
      <c r="N1997" s="70"/>
      <c r="O1997" s="77" t="s">
        <v>179</v>
      </c>
      <c r="P1997" s="79">
        <v>44981.44972222222</v>
      </c>
      <c r="Q1997" s="77" t="s">
        <v>2779</v>
      </c>
      <c r="R1997" s="77">
        <v>0</v>
      </c>
      <c r="S1997" s="77">
        <v>1</v>
      </c>
      <c r="T1997" s="77">
        <v>0</v>
      </c>
      <c r="U1997" s="77">
        <v>0</v>
      </c>
      <c r="V1997" s="77">
        <v>18</v>
      </c>
      <c r="W1997" s="81" t="s">
        <v>4048</v>
      </c>
      <c r="X1997" s="77"/>
      <c r="Y1997" s="77"/>
      <c r="Z1997" s="77"/>
      <c r="AA1997" s="77"/>
      <c r="AB1997" s="77"/>
      <c r="AC1997" s="81" t="s">
        <v>5801</v>
      </c>
      <c r="AD1997" s="77" t="s">
        <v>5851</v>
      </c>
      <c r="AE1997" s="83" t="str">
        <f>HYPERLINK("https://twitter.com/radiovendas/status/1629070531814207489")</f>
        <v>https://twitter.com/radiovendas/status/1629070531814207489</v>
      </c>
      <c r="AF1997" s="79">
        <v>44981.44972222222</v>
      </c>
      <c r="AG1997" s="85">
        <v>44981</v>
      </c>
      <c r="AH1997" s="81" t="s">
        <v>7607</v>
      </c>
      <c r="AI1997" s="77"/>
      <c r="AJ1997" s="77"/>
      <c r="AK1997" s="77"/>
      <c r="AL1997" s="77"/>
      <c r="AM1997" s="77"/>
      <c r="AN1997" s="77"/>
      <c r="AO1997" s="77"/>
      <c r="AP1997" s="77"/>
      <c r="AQ1997" s="77"/>
      <c r="AR1997" s="77"/>
      <c r="AS1997" s="77"/>
      <c r="AT1997" s="77"/>
      <c r="AU1997" s="77"/>
      <c r="AV1997" s="83" t="str">
        <f>HYPERLINK("https://pbs.twimg.com/profile_images/1621540432487366657/s-1iuqzA_normal.jpg")</f>
        <v>https://pbs.twimg.com/profile_images/1621540432487366657/s-1iuqzA_normal.jpg</v>
      </c>
      <c r="AW1997" s="81" t="s">
        <v>11109</v>
      </c>
      <c r="AX1997" s="81" t="s">
        <v>11109</v>
      </c>
      <c r="AY1997" s="77"/>
      <c r="AZ1997" s="81" t="s">
        <v>11359</v>
      </c>
      <c r="BA1997" s="81" t="s">
        <v>11359</v>
      </c>
      <c r="BB1997" s="81" t="s">
        <v>11359</v>
      </c>
      <c r="BC1997" s="81" t="s">
        <v>11109</v>
      </c>
      <c r="BD1997" s="77">
        <v>37749824</v>
      </c>
      <c r="BE1997" s="77"/>
      <c r="BF1997" s="77"/>
      <c r="BG1997" s="77"/>
      <c r="BH1997" s="77"/>
      <c r="BI1997" s="77"/>
    </row>
    <row r="1998" spans="1:61" x14ac:dyDescent="0.25">
      <c r="A1998" s="62" t="s">
        <v>812</v>
      </c>
      <c r="B1998" s="62" t="s">
        <v>812</v>
      </c>
      <c r="C1998" s="63"/>
      <c r="D1998" s="64"/>
      <c r="E1998" s="65"/>
      <c r="F1998" s="66"/>
      <c r="G1998" s="63"/>
      <c r="H1998" s="67"/>
      <c r="I1998" s="68"/>
      <c r="J1998" s="68"/>
      <c r="K1998" s="32"/>
      <c r="L1998" s="75">
        <v>1998</v>
      </c>
      <c r="M1998" s="75"/>
      <c r="N1998" s="70"/>
      <c r="O1998" s="77" t="s">
        <v>179</v>
      </c>
      <c r="P1998" s="79">
        <v>44979.700370370374</v>
      </c>
      <c r="Q1998" s="77" t="s">
        <v>2780</v>
      </c>
      <c r="R1998" s="77">
        <v>0</v>
      </c>
      <c r="S1998" s="77">
        <v>0</v>
      </c>
      <c r="T1998" s="77">
        <v>0</v>
      </c>
      <c r="U1998" s="77">
        <v>0</v>
      </c>
      <c r="V1998" s="77">
        <v>28</v>
      </c>
      <c r="W1998" s="81" t="s">
        <v>4049</v>
      </c>
      <c r="X1998" s="77"/>
      <c r="Y1998" s="77"/>
      <c r="Z1998" s="77"/>
      <c r="AA1998" s="77"/>
      <c r="AB1998" s="77"/>
      <c r="AC1998" s="81" t="s">
        <v>5801</v>
      </c>
      <c r="AD1998" s="77" t="s">
        <v>5851</v>
      </c>
      <c r="AE1998" s="83" t="str">
        <f>HYPERLINK("https://twitter.com/radiovendas/status/1628436590388183043")</f>
        <v>https://twitter.com/radiovendas/status/1628436590388183043</v>
      </c>
      <c r="AF1998" s="79">
        <v>44979.700370370374</v>
      </c>
      <c r="AG1998" s="85">
        <v>44979</v>
      </c>
      <c r="AH1998" s="81" t="s">
        <v>7608</v>
      </c>
      <c r="AI1998" s="77"/>
      <c r="AJ1998" s="77"/>
      <c r="AK1998" s="77"/>
      <c r="AL1998" s="77"/>
      <c r="AM1998" s="77"/>
      <c r="AN1998" s="77"/>
      <c r="AO1998" s="77"/>
      <c r="AP1998" s="77"/>
      <c r="AQ1998" s="77"/>
      <c r="AR1998" s="77"/>
      <c r="AS1998" s="77"/>
      <c r="AT1998" s="77"/>
      <c r="AU1998" s="77"/>
      <c r="AV1998" s="83" t="str">
        <f>HYPERLINK("https://pbs.twimg.com/profile_images/1621540432487366657/s-1iuqzA_normal.jpg")</f>
        <v>https://pbs.twimg.com/profile_images/1621540432487366657/s-1iuqzA_normal.jpg</v>
      </c>
      <c r="AW1998" s="81" t="s">
        <v>11110</v>
      </c>
      <c r="AX1998" s="81" t="s">
        <v>11110</v>
      </c>
      <c r="AY1998" s="77"/>
      <c r="AZ1998" s="81" t="s">
        <v>11359</v>
      </c>
      <c r="BA1998" s="81" t="s">
        <v>11359</v>
      </c>
      <c r="BB1998" s="81" t="s">
        <v>11359</v>
      </c>
      <c r="BC1998" s="81" t="s">
        <v>11110</v>
      </c>
      <c r="BD1998" s="77">
        <v>37749824</v>
      </c>
      <c r="BE1998" s="77"/>
      <c r="BF1998" s="77"/>
      <c r="BG1998" s="77"/>
      <c r="BH1998" s="77"/>
      <c r="BI1998" s="77"/>
    </row>
    <row r="1999" spans="1:61" x14ac:dyDescent="0.25">
      <c r="A1999" s="62" t="s">
        <v>812</v>
      </c>
      <c r="B1999" s="62" t="s">
        <v>812</v>
      </c>
      <c r="C1999" s="63"/>
      <c r="D1999" s="64"/>
      <c r="E1999" s="65"/>
      <c r="F1999" s="66"/>
      <c r="G1999" s="63"/>
      <c r="H1999" s="67"/>
      <c r="I1999" s="68"/>
      <c r="J1999" s="68"/>
      <c r="K1999" s="32"/>
      <c r="L1999" s="75">
        <v>1999</v>
      </c>
      <c r="M1999" s="75"/>
      <c r="N1999" s="70"/>
      <c r="O1999" s="77" t="s">
        <v>179</v>
      </c>
      <c r="P1999" s="79">
        <v>44945.421979166669</v>
      </c>
      <c r="Q1999" s="77" t="s">
        <v>2781</v>
      </c>
      <c r="R1999" s="77">
        <v>0</v>
      </c>
      <c r="S1999" s="77">
        <v>1</v>
      </c>
      <c r="T1999" s="77">
        <v>0</v>
      </c>
      <c r="U1999" s="77">
        <v>0</v>
      </c>
      <c r="V1999" s="77">
        <v>27</v>
      </c>
      <c r="W1999" s="81" t="s">
        <v>4050</v>
      </c>
      <c r="X1999" s="77"/>
      <c r="Y1999" s="77"/>
      <c r="Z1999" s="77"/>
      <c r="AA1999" s="77"/>
      <c r="AB1999" s="77"/>
      <c r="AC1999" s="81" t="s">
        <v>5801</v>
      </c>
      <c r="AD1999" s="77" t="s">
        <v>5851</v>
      </c>
      <c r="AE1999" s="83" t="str">
        <f>HYPERLINK("https://twitter.com/radiovendas/status/1616014515115810816")</f>
        <v>https://twitter.com/radiovendas/status/1616014515115810816</v>
      </c>
      <c r="AF1999" s="79">
        <v>44945.421979166669</v>
      </c>
      <c r="AG1999" s="85">
        <v>44945</v>
      </c>
      <c r="AH1999" s="81" t="s">
        <v>7609</v>
      </c>
      <c r="AI1999" s="77"/>
      <c r="AJ1999" s="77"/>
      <c r="AK1999" s="77"/>
      <c r="AL1999" s="77"/>
      <c r="AM1999" s="77"/>
      <c r="AN1999" s="77"/>
      <c r="AO1999" s="77"/>
      <c r="AP1999" s="77"/>
      <c r="AQ1999" s="77"/>
      <c r="AR1999" s="77"/>
      <c r="AS1999" s="77"/>
      <c r="AT1999" s="77"/>
      <c r="AU1999" s="77"/>
      <c r="AV1999" s="83" t="str">
        <f>HYPERLINK("https://pbs.twimg.com/profile_images/1621540432487366657/s-1iuqzA_normal.jpg")</f>
        <v>https://pbs.twimg.com/profile_images/1621540432487366657/s-1iuqzA_normal.jpg</v>
      </c>
      <c r="AW1999" s="81" t="s">
        <v>11111</v>
      </c>
      <c r="AX1999" s="81" t="s">
        <v>11111</v>
      </c>
      <c r="AY1999" s="77"/>
      <c r="AZ1999" s="81" t="s">
        <v>11359</v>
      </c>
      <c r="BA1999" s="81" t="s">
        <v>11359</v>
      </c>
      <c r="BB1999" s="81" t="s">
        <v>11359</v>
      </c>
      <c r="BC1999" s="81" t="s">
        <v>11111</v>
      </c>
      <c r="BD1999" s="77">
        <v>37749824</v>
      </c>
      <c r="BE1999" s="77"/>
      <c r="BF1999" s="77"/>
      <c r="BG1999" s="77"/>
      <c r="BH1999" s="77"/>
      <c r="BI1999" s="77"/>
    </row>
    <row r="2000" spans="1:61" x14ac:dyDescent="0.25">
      <c r="A2000" s="62" t="s">
        <v>813</v>
      </c>
      <c r="B2000" s="62" t="s">
        <v>957</v>
      </c>
      <c r="C2000" s="63"/>
      <c r="D2000" s="64"/>
      <c r="E2000" s="65"/>
      <c r="F2000" s="66"/>
      <c r="G2000" s="63"/>
      <c r="H2000" s="67"/>
      <c r="I2000" s="68"/>
      <c r="J2000" s="68"/>
      <c r="K2000" s="32"/>
      <c r="L2000" s="75">
        <v>2000</v>
      </c>
      <c r="M2000" s="75"/>
      <c r="N2000" s="70"/>
      <c r="O2000" s="77" t="s">
        <v>967</v>
      </c>
      <c r="P2000" s="79">
        <v>45074.748668981483</v>
      </c>
      <c r="Q2000" s="77" t="s">
        <v>2782</v>
      </c>
      <c r="R2000" s="77">
        <v>2</v>
      </c>
      <c r="S2000" s="77">
        <v>1</v>
      </c>
      <c r="T2000" s="77">
        <v>0</v>
      </c>
      <c r="U2000" s="77">
        <v>0</v>
      </c>
      <c r="V2000" s="77">
        <v>333</v>
      </c>
      <c r="W2000" s="81" t="s">
        <v>4051</v>
      </c>
      <c r="X2000" s="77"/>
      <c r="Y2000" s="77"/>
      <c r="Z2000" s="77" t="s">
        <v>4385</v>
      </c>
      <c r="AA2000" s="77" t="s">
        <v>5703</v>
      </c>
      <c r="AB2000" s="77" t="s">
        <v>5795</v>
      </c>
      <c r="AC2000" s="81" t="s">
        <v>5803</v>
      </c>
      <c r="AD2000" s="77" t="s">
        <v>5850</v>
      </c>
      <c r="AE2000" s="83" t="str">
        <f>HYPERLINK("https://twitter.com/karite70243384/status/1662880940425707523")</f>
        <v>https://twitter.com/karite70243384/status/1662880940425707523</v>
      </c>
      <c r="AF2000" s="79">
        <v>45074.748668981483</v>
      </c>
      <c r="AG2000" s="85">
        <v>45074</v>
      </c>
      <c r="AH2000" s="81" t="s">
        <v>7610</v>
      </c>
      <c r="AI2000" s="77" t="b">
        <v>0</v>
      </c>
      <c r="AJ2000" s="77"/>
      <c r="AK2000" s="77"/>
      <c r="AL2000" s="77"/>
      <c r="AM2000" s="77"/>
      <c r="AN2000" s="77"/>
      <c r="AO2000" s="77"/>
      <c r="AP2000" s="77"/>
      <c r="AQ2000" s="77" t="s">
        <v>9201</v>
      </c>
      <c r="AR2000" s="77">
        <v>30021</v>
      </c>
      <c r="AS2000" s="77"/>
      <c r="AT2000" s="77"/>
      <c r="AU2000" s="77"/>
      <c r="AV2000" s="83" t="str">
        <f>HYPERLINK("https://pbs.twimg.com/ext_tw_video_thumb/1662880900382707715/pu/img/OPsqwOfqfHd9lEcV.jpg")</f>
        <v>https://pbs.twimg.com/ext_tw_video_thumb/1662880900382707715/pu/img/OPsqwOfqfHd9lEcV.jpg</v>
      </c>
      <c r="AW2000" s="81" t="s">
        <v>11112</v>
      </c>
      <c r="AX2000" s="81" t="s">
        <v>11112</v>
      </c>
      <c r="AY2000" s="77"/>
      <c r="AZ2000" s="81" t="s">
        <v>11359</v>
      </c>
      <c r="BA2000" s="81" t="s">
        <v>11359</v>
      </c>
      <c r="BB2000" s="81" t="s">
        <v>11359</v>
      </c>
      <c r="BC2000" s="81" t="s">
        <v>11112</v>
      </c>
      <c r="BD2000" s="81" t="s">
        <v>11683</v>
      </c>
      <c r="BE2000" s="77"/>
      <c r="BF2000" s="77"/>
      <c r="BG2000" s="77"/>
      <c r="BH2000" s="77"/>
      <c r="BI2000" s="77"/>
    </row>
    <row r="2001" spans="1:61" x14ac:dyDescent="0.25">
      <c r="A2001" s="62" t="s">
        <v>813</v>
      </c>
      <c r="B2001" s="62" t="s">
        <v>958</v>
      </c>
      <c r="C2001" s="63"/>
      <c r="D2001" s="64"/>
      <c r="E2001" s="65"/>
      <c r="F2001" s="66"/>
      <c r="G2001" s="63"/>
      <c r="H2001" s="67"/>
      <c r="I2001" s="68"/>
      <c r="J2001" s="68"/>
      <c r="K2001" s="32"/>
      <c r="L2001" s="75">
        <v>2001</v>
      </c>
      <c r="M2001" s="75"/>
      <c r="N2001" s="70"/>
      <c r="O2001" s="77" t="s">
        <v>967</v>
      </c>
      <c r="P2001" s="79">
        <v>45074.748668981483</v>
      </c>
      <c r="Q2001" s="77" t="s">
        <v>2782</v>
      </c>
      <c r="R2001" s="77">
        <v>2</v>
      </c>
      <c r="S2001" s="77">
        <v>1</v>
      </c>
      <c r="T2001" s="77">
        <v>0</v>
      </c>
      <c r="U2001" s="77">
        <v>0</v>
      </c>
      <c r="V2001" s="77">
        <v>333</v>
      </c>
      <c r="W2001" s="81" t="s">
        <v>4051</v>
      </c>
      <c r="X2001" s="77"/>
      <c r="Y2001" s="77"/>
      <c r="Z2001" s="77" t="s">
        <v>4385</v>
      </c>
      <c r="AA2001" s="77" t="s">
        <v>5703</v>
      </c>
      <c r="AB2001" s="77" t="s">
        <v>5795</v>
      </c>
      <c r="AC2001" s="81" t="s">
        <v>5803</v>
      </c>
      <c r="AD2001" s="77" t="s">
        <v>5850</v>
      </c>
      <c r="AE2001" s="83" t="str">
        <f>HYPERLINK("https://twitter.com/karite70243384/status/1662880940425707523")</f>
        <v>https://twitter.com/karite70243384/status/1662880940425707523</v>
      </c>
      <c r="AF2001" s="79">
        <v>45074.748668981483</v>
      </c>
      <c r="AG2001" s="85">
        <v>45074</v>
      </c>
      <c r="AH2001" s="81" t="s">
        <v>7610</v>
      </c>
      <c r="AI2001" s="77" t="b">
        <v>0</v>
      </c>
      <c r="AJ2001" s="77"/>
      <c r="AK2001" s="77"/>
      <c r="AL2001" s="77"/>
      <c r="AM2001" s="77"/>
      <c r="AN2001" s="77"/>
      <c r="AO2001" s="77"/>
      <c r="AP2001" s="77"/>
      <c r="AQ2001" s="77" t="s">
        <v>9201</v>
      </c>
      <c r="AR2001" s="77">
        <v>30021</v>
      </c>
      <c r="AS2001" s="77"/>
      <c r="AT2001" s="77"/>
      <c r="AU2001" s="77"/>
      <c r="AV2001" s="83" t="str">
        <f>HYPERLINK("https://pbs.twimg.com/ext_tw_video_thumb/1662880900382707715/pu/img/OPsqwOfqfHd9lEcV.jpg")</f>
        <v>https://pbs.twimg.com/ext_tw_video_thumb/1662880900382707715/pu/img/OPsqwOfqfHd9lEcV.jpg</v>
      </c>
      <c r="AW2001" s="81" t="s">
        <v>11112</v>
      </c>
      <c r="AX2001" s="81" t="s">
        <v>11112</v>
      </c>
      <c r="AY2001" s="77"/>
      <c r="AZ2001" s="81" t="s">
        <v>11359</v>
      </c>
      <c r="BA2001" s="81" t="s">
        <v>11359</v>
      </c>
      <c r="BB2001" s="81" t="s">
        <v>11359</v>
      </c>
      <c r="BC2001" s="81" t="s">
        <v>11112</v>
      </c>
      <c r="BD2001" s="81" t="s">
        <v>11683</v>
      </c>
      <c r="BE2001" s="77"/>
      <c r="BF2001" s="77"/>
      <c r="BG2001" s="77"/>
      <c r="BH2001" s="77"/>
      <c r="BI2001" s="77"/>
    </row>
    <row r="2002" spans="1:61" x14ac:dyDescent="0.25">
      <c r="A2002" s="62" t="s">
        <v>813</v>
      </c>
      <c r="B2002" s="62" t="s">
        <v>959</v>
      </c>
      <c r="C2002" s="63"/>
      <c r="D2002" s="64"/>
      <c r="E2002" s="65"/>
      <c r="F2002" s="66"/>
      <c r="G2002" s="63"/>
      <c r="H2002" s="67"/>
      <c r="I2002" s="68"/>
      <c r="J2002" s="68"/>
      <c r="K2002" s="32"/>
      <c r="L2002" s="75">
        <v>2002</v>
      </c>
      <c r="M2002" s="75"/>
      <c r="N2002" s="70"/>
      <c r="O2002" s="77" t="s">
        <v>967</v>
      </c>
      <c r="P2002" s="79">
        <v>45074.748668981483</v>
      </c>
      <c r="Q2002" s="77" t="s">
        <v>2782</v>
      </c>
      <c r="R2002" s="77">
        <v>2</v>
      </c>
      <c r="S2002" s="77">
        <v>1</v>
      </c>
      <c r="T2002" s="77">
        <v>0</v>
      </c>
      <c r="U2002" s="77">
        <v>0</v>
      </c>
      <c r="V2002" s="77">
        <v>333</v>
      </c>
      <c r="W2002" s="81" t="s">
        <v>4051</v>
      </c>
      <c r="X2002" s="77"/>
      <c r="Y2002" s="77"/>
      <c r="Z2002" s="77" t="s">
        <v>4385</v>
      </c>
      <c r="AA2002" s="77" t="s">
        <v>5703</v>
      </c>
      <c r="AB2002" s="77" t="s">
        <v>5795</v>
      </c>
      <c r="AC2002" s="81" t="s">
        <v>5803</v>
      </c>
      <c r="AD2002" s="77" t="s">
        <v>5850</v>
      </c>
      <c r="AE2002" s="83" t="str">
        <f>HYPERLINK("https://twitter.com/karite70243384/status/1662880940425707523")</f>
        <v>https://twitter.com/karite70243384/status/1662880940425707523</v>
      </c>
      <c r="AF2002" s="79">
        <v>45074.748668981483</v>
      </c>
      <c r="AG2002" s="85">
        <v>45074</v>
      </c>
      <c r="AH2002" s="81" t="s">
        <v>7610</v>
      </c>
      <c r="AI2002" s="77" t="b">
        <v>0</v>
      </c>
      <c r="AJ2002" s="77"/>
      <c r="AK2002" s="77"/>
      <c r="AL2002" s="77"/>
      <c r="AM2002" s="77"/>
      <c r="AN2002" s="77"/>
      <c r="AO2002" s="77"/>
      <c r="AP2002" s="77"/>
      <c r="AQ2002" s="77" t="s">
        <v>9201</v>
      </c>
      <c r="AR2002" s="77">
        <v>30021</v>
      </c>
      <c r="AS2002" s="77"/>
      <c r="AT2002" s="77"/>
      <c r="AU2002" s="77"/>
      <c r="AV2002" s="83" t="str">
        <f>HYPERLINK("https://pbs.twimg.com/ext_tw_video_thumb/1662880900382707715/pu/img/OPsqwOfqfHd9lEcV.jpg")</f>
        <v>https://pbs.twimg.com/ext_tw_video_thumb/1662880900382707715/pu/img/OPsqwOfqfHd9lEcV.jpg</v>
      </c>
      <c r="AW2002" s="81" t="s">
        <v>11112</v>
      </c>
      <c r="AX2002" s="81" t="s">
        <v>11112</v>
      </c>
      <c r="AY2002" s="77"/>
      <c r="AZ2002" s="81" t="s">
        <v>11359</v>
      </c>
      <c r="BA2002" s="81" t="s">
        <v>11359</v>
      </c>
      <c r="BB2002" s="81" t="s">
        <v>11359</v>
      </c>
      <c r="BC2002" s="81" t="s">
        <v>11112</v>
      </c>
      <c r="BD2002" s="81" t="s">
        <v>11683</v>
      </c>
      <c r="BE2002" s="77"/>
      <c r="BF2002" s="77"/>
      <c r="BG2002" s="77"/>
      <c r="BH2002" s="77"/>
      <c r="BI2002" s="77"/>
    </row>
    <row r="2003" spans="1:61" x14ac:dyDescent="0.25">
      <c r="A2003" s="62" t="s">
        <v>813</v>
      </c>
      <c r="B2003" s="62" t="s">
        <v>960</v>
      </c>
      <c r="C2003" s="63"/>
      <c r="D2003" s="64"/>
      <c r="E2003" s="65"/>
      <c r="F2003" s="66"/>
      <c r="G2003" s="63"/>
      <c r="H2003" s="67"/>
      <c r="I2003" s="68"/>
      <c r="J2003" s="68"/>
      <c r="K2003" s="32"/>
      <c r="L2003" s="75">
        <v>2003</v>
      </c>
      <c r="M2003" s="75"/>
      <c r="N2003" s="70"/>
      <c r="O2003" s="77" t="s">
        <v>967</v>
      </c>
      <c r="P2003" s="79">
        <v>45074.748668981483</v>
      </c>
      <c r="Q2003" s="77" t="s">
        <v>2782</v>
      </c>
      <c r="R2003" s="77">
        <v>2</v>
      </c>
      <c r="S2003" s="77">
        <v>1</v>
      </c>
      <c r="T2003" s="77">
        <v>0</v>
      </c>
      <c r="U2003" s="77">
        <v>0</v>
      </c>
      <c r="V2003" s="77">
        <v>333</v>
      </c>
      <c r="W2003" s="81" t="s">
        <v>4051</v>
      </c>
      <c r="X2003" s="77"/>
      <c r="Y2003" s="77"/>
      <c r="Z2003" s="77" t="s">
        <v>4385</v>
      </c>
      <c r="AA2003" s="77" t="s">
        <v>5703</v>
      </c>
      <c r="AB2003" s="77" t="s">
        <v>5795</v>
      </c>
      <c r="AC2003" s="81" t="s">
        <v>5803</v>
      </c>
      <c r="AD2003" s="77" t="s">
        <v>5850</v>
      </c>
      <c r="AE2003" s="83" t="str">
        <f>HYPERLINK("https://twitter.com/karite70243384/status/1662880940425707523")</f>
        <v>https://twitter.com/karite70243384/status/1662880940425707523</v>
      </c>
      <c r="AF2003" s="79">
        <v>45074.748668981483</v>
      </c>
      <c r="AG2003" s="85">
        <v>45074</v>
      </c>
      <c r="AH2003" s="81" t="s">
        <v>7610</v>
      </c>
      <c r="AI2003" s="77" t="b">
        <v>0</v>
      </c>
      <c r="AJ2003" s="77"/>
      <c r="AK2003" s="77"/>
      <c r="AL2003" s="77"/>
      <c r="AM2003" s="77"/>
      <c r="AN2003" s="77"/>
      <c r="AO2003" s="77"/>
      <c r="AP2003" s="77"/>
      <c r="AQ2003" s="77" t="s">
        <v>9201</v>
      </c>
      <c r="AR2003" s="77">
        <v>30021</v>
      </c>
      <c r="AS2003" s="77"/>
      <c r="AT2003" s="77"/>
      <c r="AU2003" s="77"/>
      <c r="AV2003" s="83" t="str">
        <f>HYPERLINK("https://pbs.twimg.com/ext_tw_video_thumb/1662880900382707715/pu/img/OPsqwOfqfHd9lEcV.jpg")</f>
        <v>https://pbs.twimg.com/ext_tw_video_thumb/1662880900382707715/pu/img/OPsqwOfqfHd9lEcV.jpg</v>
      </c>
      <c r="AW2003" s="81" t="s">
        <v>11112</v>
      </c>
      <c r="AX2003" s="81" t="s">
        <v>11112</v>
      </c>
      <c r="AY2003" s="77"/>
      <c r="AZ2003" s="81" t="s">
        <v>11359</v>
      </c>
      <c r="BA2003" s="81" t="s">
        <v>11359</v>
      </c>
      <c r="BB2003" s="81" t="s">
        <v>11359</v>
      </c>
      <c r="BC2003" s="81" t="s">
        <v>11112</v>
      </c>
      <c r="BD2003" s="81" t="s">
        <v>11683</v>
      </c>
      <c r="BE2003" s="77"/>
      <c r="BF2003" s="77"/>
      <c r="BG2003" s="77"/>
      <c r="BH2003" s="77"/>
      <c r="BI2003" s="77"/>
    </row>
    <row r="2004" spans="1:61" x14ac:dyDescent="0.25">
      <c r="A2004" s="62" t="s">
        <v>813</v>
      </c>
      <c r="B2004" s="62" t="s">
        <v>896</v>
      </c>
      <c r="C2004" s="63"/>
      <c r="D2004" s="64"/>
      <c r="E2004" s="65"/>
      <c r="F2004" s="66"/>
      <c r="G2004" s="63"/>
      <c r="H2004" s="67"/>
      <c r="I2004" s="68"/>
      <c r="J2004" s="68"/>
      <c r="K2004" s="32"/>
      <c r="L2004" s="75">
        <v>2004</v>
      </c>
      <c r="M2004" s="75"/>
      <c r="N2004" s="70"/>
      <c r="O2004" s="77" t="s">
        <v>967</v>
      </c>
      <c r="P2004" s="79">
        <v>45074.748668981483</v>
      </c>
      <c r="Q2004" s="77" t="s">
        <v>2782</v>
      </c>
      <c r="R2004" s="77">
        <v>2</v>
      </c>
      <c r="S2004" s="77">
        <v>1</v>
      </c>
      <c r="T2004" s="77">
        <v>0</v>
      </c>
      <c r="U2004" s="77">
        <v>0</v>
      </c>
      <c r="V2004" s="77">
        <v>333</v>
      </c>
      <c r="W2004" s="81" t="s">
        <v>4051</v>
      </c>
      <c r="X2004" s="77"/>
      <c r="Y2004" s="77"/>
      <c r="Z2004" s="77" t="s">
        <v>4385</v>
      </c>
      <c r="AA2004" s="77" t="s">
        <v>5703</v>
      </c>
      <c r="AB2004" s="77" t="s">
        <v>5795</v>
      </c>
      <c r="AC2004" s="81" t="s">
        <v>5803</v>
      </c>
      <c r="AD2004" s="77" t="s">
        <v>5850</v>
      </c>
      <c r="AE2004" s="83" t="str">
        <f>HYPERLINK("https://twitter.com/karite70243384/status/1662880940425707523")</f>
        <v>https://twitter.com/karite70243384/status/1662880940425707523</v>
      </c>
      <c r="AF2004" s="79">
        <v>45074.748668981483</v>
      </c>
      <c r="AG2004" s="85">
        <v>45074</v>
      </c>
      <c r="AH2004" s="81" t="s">
        <v>7610</v>
      </c>
      <c r="AI2004" s="77" t="b">
        <v>0</v>
      </c>
      <c r="AJ2004" s="77"/>
      <c r="AK2004" s="77"/>
      <c r="AL2004" s="77"/>
      <c r="AM2004" s="77"/>
      <c r="AN2004" s="77"/>
      <c r="AO2004" s="77"/>
      <c r="AP2004" s="77"/>
      <c r="AQ2004" s="77" t="s">
        <v>9201</v>
      </c>
      <c r="AR2004" s="77">
        <v>30021</v>
      </c>
      <c r="AS2004" s="77"/>
      <c r="AT2004" s="77"/>
      <c r="AU2004" s="77"/>
      <c r="AV2004" s="83" t="str">
        <f>HYPERLINK("https://pbs.twimg.com/ext_tw_video_thumb/1662880900382707715/pu/img/OPsqwOfqfHd9lEcV.jpg")</f>
        <v>https://pbs.twimg.com/ext_tw_video_thumb/1662880900382707715/pu/img/OPsqwOfqfHd9lEcV.jpg</v>
      </c>
      <c r="AW2004" s="81" t="s">
        <v>11112</v>
      </c>
      <c r="AX2004" s="81" t="s">
        <v>11112</v>
      </c>
      <c r="AY2004" s="77"/>
      <c r="AZ2004" s="81" t="s">
        <v>11359</v>
      </c>
      <c r="BA2004" s="81" t="s">
        <v>11359</v>
      </c>
      <c r="BB2004" s="81" t="s">
        <v>11359</v>
      </c>
      <c r="BC2004" s="81" t="s">
        <v>11112</v>
      </c>
      <c r="BD2004" s="81" t="s">
        <v>11683</v>
      </c>
      <c r="BE2004" s="77"/>
      <c r="BF2004" s="77"/>
      <c r="BG2004" s="77"/>
      <c r="BH2004" s="77"/>
      <c r="BI2004" s="77"/>
    </row>
    <row r="2005" spans="1:61" x14ac:dyDescent="0.25">
      <c r="A2005" s="62" t="s">
        <v>814</v>
      </c>
      <c r="B2005" s="62" t="s">
        <v>814</v>
      </c>
      <c r="C2005" s="63"/>
      <c r="D2005" s="64"/>
      <c r="E2005" s="65"/>
      <c r="F2005" s="66"/>
      <c r="G2005" s="63"/>
      <c r="H2005" s="67"/>
      <c r="I2005" s="68"/>
      <c r="J2005" s="68"/>
      <c r="K2005" s="32"/>
      <c r="L2005" s="75">
        <v>2005</v>
      </c>
      <c r="M2005" s="75"/>
      <c r="N2005" s="70"/>
      <c r="O2005" s="77" t="s">
        <v>179</v>
      </c>
      <c r="P2005" s="79">
        <v>45000.794224537036</v>
      </c>
      <c r="Q2005" s="77" t="s">
        <v>2783</v>
      </c>
      <c r="R2005" s="77">
        <v>0</v>
      </c>
      <c r="S2005" s="77">
        <v>0</v>
      </c>
      <c r="T2005" s="77">
        <v>0</v>
      </c>
      <c r="U2005" s="77">
        <v>0</v>
      </c>
      <c r="V2005" s="77">
        <v>13</v>
      </c>
      <c r="W2005" s="81" t="s">
        <v>4052</v>
      </c>
      <c r="X2005" s="77"/>
      <c r="Y2005" s="77"/>
      <c r="Z2005" s="77"/>
      <c r="AA2005" s="77" t="s">
        <v>5704</v>
      </c>
      <c r="AB2005" s="77" t="s">
        <v>5794</v>
      </c>
      <c r="AC2005" s="81" t="s">
        <v>5805</v>
      </c>
      <c r="AD2005" s="77" t="s">
        <v>5851</v>
      </c>
      <c r="AE2005" s="83" t="str">
        <f>HYPERLINK("https://twitter.com/keepgrowing_/status/1636080746937892864")</f>
        <v>https://twitter.com/keepgrowing_/status/1636080746937892864</v>
      </c>
      <c r="AF2005" s="79">
        <v>45000.794224537036</v>
      </c>
      <c r="AG2005" s="85">
        <v>45000</v>
      </c>
      <c r="AH2005" s="81" t="s">
        <v>7611</v>
      </c>
      <c r="AI2005" s="77" t="b">
        <v>0</v>
      </c>
      <c r="AJ2005" s="77"/>
      <c r="AK2005" s="77"/>
      <c r="AL2005" s="77"/>
      <c r="AM2005" s="77"/>
      <c r="AN2005" s="77"/>
      <c r="AO2005" s="77"/>
      <c r="AP2005" s="77"/>
      <c r="AQ2005" s="77" t="s">
        <v>9202</v>
      </c>
      <c r="AR2005" s="77"/>
      <c r="AS2005" s="77"/>
      <c r="AT2005" s="77"/>
      <c r="AU2005" s="77"/>
      <c r="AV2005" s="83" t="str">
        <f>HYPERLINK("https://pbs.twimg.com/media/FrSGnxCWcAYr92n.jpg")</f>
        <v>https://pbs.twimg.com/media/FrSGnxCWcAYr92n.jpg</v>
      </c>
      <c r="AW2005" s="81" t="s">
        <v>11113</v>
      </c>
      <c r="AX2005" s="81" t="s">
        <v>11113</v>
      </c>
      <c r="AY2005" s="77"/>
      <c r="AZ2005" s="81" t="s">
        <v>11359</v>
      </c>
      <c r="BA2005" s="81" t="s">
        <v>11359</v>
      </c>
      <c r="BB2005" s="81" t="s">
        <v>11359</v>
      </c>
      <c r="BC2005" s="81" t="s">
        <v>11113</v>
      </c>
      <c r="BD2005" s="81" t="s">
        <v>11684</v>
      </c>
      <c r="BE2005" s="77"/>
      <c r="BF2005" s="77"/>
      <c r="BG2005" s="77"/>
      <c r="BH2005" s="77"/>
      <c r="BI2005" s="77"/>
    </row>
    <row r="2006" spans="1:61" x14ac:dyDescent="0.25">
      <c r="A2006" s="62" t="s">
        <v>815</v>
      </c>
      <c r="B2006" s="62" t="s">
        <v>961</v>
      </c>
      <c r="C2006" s="63"/>
      <c r="D2006" s="64"/>
      <c r="E2006" s="65"/>
      <c r="F2006" s="66"/>
      <c r="G2006" s="63"/>
      <c r="H2006" s="67"/>
      <c r="I2006" s="68"/>
      <c r="J2006" s="68"/>
      <c r="K2006" s="32"/>
      <c r="L2006" s="75">
        <v>2006</v>
      </c>
      <c r="M2006" s="75"/>
      <c r="N2006" s="70"/>
      <c r="O2006" s="77" t="s">
        <v>967</v>
      </c>
      <c r="P2006" s="79">
        <v>45189.569606481484</v>
      </c>
      <c r="Q2006" s="77" t="s">
        <v>2784</v>
      </c>
      <c r="R2006" s="77">
        <v>0</v>
      </c>
      <c r="S2006" s="77">
        <v>1</v>
      </c>
      <c r="T2006" s="77">
        <v>0</v>
      </c>
      <c r="U2006" s="77">
        <v>0</v>
      </c>
      <c r="V2006" s="77">
        <v>11</v>
      </c>
      <c r="W2006" s="81" t="s">
        <v>4053</v>
      </c>
      <c r="X2006" s="83" t="str">
        <f>HYPERLINK("https://ow.ly/EggT50PNFNQ")</f>
        <v>https://ow.ly/EggT50PNFNQ</v>
      </c>
      <c r="Y2006" s="77" t="s">
        <v>4321</v>
      </c>
      <c r="Z2006" s="77" t="s">
        <v>961</v>
      </c>
      <c r="AA2006" s="77" t="s">
        <v>5705</v>
      </c>
      <c r="AB2006" s="77" t="s">
        <v>5794</v>
      </c>
      <c r="AC2006" s="81" t="s">
        <v>5802</v>
      </c>
      <c r="AD2006" s="77" t="s">
        <v>5850</v>
      </c>
      <c r="AE2006" s="83" t="str">
        <f>HYPERLINK("https://twitter.com/asefarma/status/1704490654405923006")</f>
        <v>https://twitter.com/asefarma/status/1704490654405923006</v>
      </c>
      <c r="AF2006" s="79">
        <v>45189.569606481484</v>
      </c>
      <c r="AG2006" s="85">
        <v>45189</v>
      </c>
      <c r="AH2006" s="81" t="s">
        <v>7612</v>
      </c>
      <c r="AI2006" s="77" t="b">
        <v>0</v>
      </c>
      <c r="AJ2006" s="77"/>
      <c r="AK2006" s="77"/>
      <c r="AL2006" s="77"/>
      <c r="AM2006" s="77"/>
      <c r="AN2006" s="77"/>
      <c r="AO2006" s="77"/>
      <c r="AP2006" s="77"/>
      <c r="AQ2006" s="77" t="s">
        <v>9203</v>
      </c>
      <c r="AR2006" s="77"/>
      <c r="AS2006" s="77"/>
      <c r="AT2006" s="77"/>
      <c r="AU2006" s="77"/>
      <c r="AV2006" s="83" t="str">
        <f>HYPERLINK("https://pbs.twimg.com/media/F6eRN8dWYAALWA2.jpg")</f>
        <v>https://pbs.twimg.com/media/F6eRN8dWYAALWA2.jpg</v>
      </c>
      <c r="AW2006" s="81" t="s">
        <v>11114</v>
      </c>
      <c r="AX2006" s="81" t="s">
        <v>11114</v>
      </c>
      <c r="AY2006" s="77"/>
      <c r="AZ2006" s="81" t="s">
        <v>11359</v>
      </c>
      <c r="BA2006" s="81" t="s">
        <v>11359</v>
      </c>
      <c r="BB2006" s="81" t="s">
        <v>11359</v>
      </c>
      <c r="BC2006" s="81" t="s">
        <v>11114</v>
      </c>
      <c r="BD2006" s="77">
        <v>133255614</v>
      </c>
      <c r="BE2006" s="77"/>
      <c r="BF2006" s="77"/>
      <c r="BG2006" s="77"/>
      <c r="BH2006" s="77"/>
      <c r="BI2006" s="77"/>
    </row>
    <row r="2007" spans="1:61" x14ac:dyDescent="0.25">
      <c r="A2007" s="62" t="s">
        <v>816</v>
      </c>
      <c r="B2007" s="62" t="s">
        <v>816</v>
      </c>
      <c r="C2007" s="63"/>
      <c r="D2007" s="64"/>
      <c r="E2007" s="65"/>
      <c r="F2007" s="66"/>
      <c r="G2007" s="63"/>
      <c r="H2007" s="67"/>
      <c r="I2007" s="68"/>
      <c r="J2007" s="68"/>
      <c r="K2007" s="32"/>
      <c r="L2007" s="75">
        <v>2007</v>
      </c>
      <c r="M2007" s="75"/>
      <c r="N2007" s="70"/>
      <c r="O2007" s="77" t="s">
        <v>179</v>
      </c>
      <c r="P2007" s="79">
        <v>44949.934884259259</v>
      </c>
      <c r="Q2007" s="77" t="s">
        <v>2785</v>
      </c>
      <c r="R2007" s="77">
        <v>0</v>
      </c>
      <c r="S2007" s="77">
        <v>0</v>
      </c>
      <c r="T2007" s="77">
        <v>0</v>
      </c>
      <c r="U2007" s="77">
        <v>0</v>
      </c>
      <c r="V2007" s="77">
        <v>32</v>
      </c>
      <c r="W2007" s="81" t="s">
        <v>4054</v>
      </c>
      <c r="X2007" s="83" t="str">
        <f>HYPERLINK("https://my.mtr.cool/mjuczoqqva")</f>
        <v>https://my.mtr.cool/mjuczoqqva</v>
      </c>
      <c r="Y2007" s="77" t="s">
        <v>4289</v>
      </c>
      <c r="Z2007" s="77"/>
      <c r="AA2007" s="77" t="s">
        <v>5706</v>
      </c>
      <c r="AB2007" s="77" t="s">
        <v>5796</v>
      </c>
      <c r="AC2007" s="81" t="s">
        <v>5812</v>
      </c>
      <c r="AD2007" s="77" t="s">
        <v>5850</v>
      </c>
      <c r="AE2007" s="83" t="str">
        <f>HYPERLINK("https://twitter.com/trabajodesdcasa/status/1617649939147886593")</f>
        <v>https://twitter.com/trabajodesdcasa/status/1617649939147886593</v>
      </c>
      <c r="AF2007" s="79">
        <v>44949.934884259259</v>
      </c>
      <c r="AG2007" s="85">
        <v>44949</v>
      </c>
      <c r="AH2007" s="81" t="s">
        <v>7613</v>
      </c>
      <c r="AI2007" s="77" t="b">
        <v>0</v>
      </c>
      <c r="AJ2007" s="77"/>
      <c r="AK2007" s="77"/>
      <c r="AL2007" s="77"/>
      <c r="AM2007" s="77"/>
      <c r="AN2007" s="77"/>
      <c r="AO2007" s="77"/>
      <c r="AP2007" s="77"/>
      <c r="AQ2007" s="77" t="s">
        <v>9204</v>
      </c>
      <c r="AR2007" s="77"/>
      <c r="AS2007" s="77"/>
      <c r="AT2007" s="77"/>
      <c r="AU2007" s="77"/>
      <c r="AV2007" s="83" t="str">
        <f>HYPERLINK("https://pbs.twimg.com/tweet_video_thumb/FnMMCzEWYAEfjkX.jpg")</f>
        <v>https://pbs.twimg.com/tweet_video_thumb/FnMMCzEWYAEfjkX.jpg</v>
      </c>
      <c r="AW2007" s="81" t="s">
        <v>11115</v>
      </c>
      <c r="AX2007" s="81" t="s">
        <v>11115</v>
      </c>
      <c r="AY2007" s="77"/>
      <c r="AZ2007" s="81" t="s">
        <v>11359</v>
      </c>
      <c r="BA2007" s="81" t="s">
        <v>11359</v>
      </c>
      <c r="BB2007" s="81" t="s">
        <v>11359</v>
      </c>
      <c r="BC2007" s="81" t="s">
        <v>11115</v>
      </c>
      <c r="BD2007" s="77">
        <v>356720462</v>
      </c>
      <c r="BE2007" s="77"/>
      <c r="BF2007" s="77"/>
      <c r="BG2007" s="77"/>
      <c r="BH2007" s="77"/>
      <c r="BI2007" s="77"/>
    </row>
    <row r="2008" spans="1:61" x14ac:dyDescent="0.25">
      <c r="A2008" s="62" t="s">
        <v>816</v>
      </c>
      <c r="B2008" s="62" t="s">
        <v>816</v>
      </c>
      <c r="C2008" s="63"/>
      <c r="D2008" s="64"/>
      <c r="E2008" s="65"/>
      <c r="F2008" s="66"/>
      <c r="G2008" s="63"/>
      <c r="H2008" s="67"/>
      <c r="I2008" s="68"/>
      <c r="J2008" s="68"/>
      <c r="K2008" s="32"/>
      <c r="L2008" s="75">
        <v>2008</v>
      </c>
      <c r="M2008" s="75"/>
      <c r="N2008" s="70"/>
      <c r="O2008" s="77" t="s">
        <v>179</v>
      </c>
      <c r="P2008" s="79">
        <v>44981.934976851851</v>
      </c>
      <c r="Q2008" s="77" t="s">
        <v>2786</v>
      </c>
      <c r="R2008" s="77">
        <v>0</v>
      </c>
      <c r="S2008" s="77">
        <v>0</v>
      </c>
      <c r="T2008" s="77">
        <v>0</v>
      </c>
      <c r="U2008" s="77">
        <v>0</v>
      </c>
      <c r="V2008" s="77">
        <v>18</v>
      </c>
      <c r="W2008" s="81" t="s">
        <v>4055</v>
      </c>
      <c r="X2008" s="83" t="str">
        <f>HYPERLINK("https://i.mtr.cool/zwslmfokan")</f>
        <v>https://i.mtr.cool/zwslmfokan</v>
      </c>
      <c r="Y2008" s="77" t="s">
        <v>4289</v>
      </c>
      <c r="Z2008" s="77"/>
      <c r="AA2008" s="77" t="s">
        <v>5707</v>
      </c>
      <c r="AB2008" s="77" t="s">
        <v>5796</v>
      </c>
      <c r="AC2008" s="81" t="s">
        <v>5812</v>
      </c>
      <c r="AD2008" s="77" t="s">
        <v>5850</v>
      </c>
      <c r="AE2008" s="83" t="str">
        <f>HYPERLINK("https://twitter.com/trabajodesdcasa/status/1629246385047445505")</f>
        <v>https://twitter.com/trabajodesdcasa/status/1629246385047445505</v>
      </c>
      <c r="AF2008" s="79">
        <v>44981.934976851851</v>
      </c>
      <c r="AG2008" s="85">
        <v>44981</v>
      </c>
      <c r="AH2008" s="81" t="s">
        <v>7614</v>
      </c>
      <c r="AI2008" s="77" t="b">
        <v>0</v>
      </c>
      <c r="AJ2008" s="77"/>
      <c r="AK2008" s="77"/>
      <c r="AL2008" s="77"/>
      <c r="AM2008" s="77"/>
      <c r="AN2008" s="77"/>
      <c r="AO2008" s="77"/>
      <c r="AP2008" s="77"/>
      <c r="AQ2008" s="77" t="s">
        <v>9205</v>
      </c>
      <c r="AR2008" s="77"/>
      <c r="AS2008" s="77"/>
      <c r="AT2008" s="77"/>
      <c r="AU2008" s="77"/>
      <c r="AV2008" s="83" t="str">
        <f>HYPERLINK("https://pbs.twimg.com/tweet_video_thumb/Fpw-83QXsAAqgbk.jpg")</f>
        <v>https://pbs.twimg.com/tweet_video_thumb/Fpw-83QXsAAqgbk.jpg</v>
      </c>
      <c r="AW2008" s="81" t="s">
        <v>11116</v>
      </c>
      <c r="AX2008" s="81" t="s">
        <v>11116</v>
      </c>
      <c r="AY2008" s="77"/>
      <c r="AZ2008" s="81" t="s">
        <v>11359</v>
      </c>
      <c r="BA2008" s="81" t="s">
        <v>11359</v>
      </c>
      <c r="BB2008" s="81" t="s">
        <v>11359</v>
      </c>
      <c r="BC2008" s="81" t="s">
        <v>11116</v>
      </c>
      <c r="BD2008" s="77">
        <v>356720462</v>
      </c>
      <c r="BE2008" s="77"/>
      <c r="BF2008" s="77"/>
      <c r="BG2008" s="77"/>
      <c r="BH2008" s="77"/>
      <c r="BI2008" s="77"/>
    </row>
    <row r="2009" spans="1:61" x14ac:dyDescent="0.25">
      <c r="A2009" s="62" t="s">
        <v>816</v>
      </c>
      <c r="B2009" s="62" t="s">
        <v>816</v>
      </c>
      <c r="C2009" s="63"/>
      <c r="D2009" s="64"/>
      <c r="E2009" s="65"/>
      <c r="F2009" s="66"/>
      <c r="G2009" s="63"/>
      <c r="H2009" s="67"/>
      <c r="I2009" s="68"/>
      <c r="J2009" s="68"/>
      <c r="K2009" s="32"/>
      <c r="L2009" s="75">
        <v>2009</v>
      </c>
      <c r="M2009" s="75"/>
      <c r="N2009" s="70"/>
      <c r="O2009" s="77" t="s">
        <v>179</v>
      </c>
      <c r="P2009" s="79">
        <v>45049.893217592595</v>
      </c>
      <c r="Q2009" s="77" t="s">
        <v>2787</v>
      </c>
      <c r="R2009" s="77">
        <v>0</v>
      </c>
      <c r="S2009" s="77">
        <v>0</v>
      </c>
      <c r="T2009" s="77">
        <v>0</v>
      </c>
      <c r="U2009" s="77">
        <v>0</v>
      </c>
      <c r="V2009" s="77">
        <v>7</v>
      </c>
      <c r="W2009" s="81" t="s">
        <v>4055</v>
      </c>
      <c r="X2009" s="83" t="str">
        <f>HYPERLINK("https://mtr.cool/gevvbwbxey")</f>
        <v>https://mtr.cool/gevvbwbxey</v>
      </c>
      <c r="Y2009" s="77" t="s">
        <v>4289</v>
      </c>
      <c r="Z2009" s="77"/>
      <c r="AA2009" s="77" t="s">
        <v>5708</v>
      </c>
      <c r="AB2009" s="77" t="s">
        <v>5796</v>
      </c>
      <c r="AC2009" s="81" t="s">
        <v>5812</v>
      </c>
      <c r="AD2009" s="77" t="s">
        <v>5850</v>
      </c>
      <c r="AE2009" s="83" t="str">
        <f>HYPERLINK("https://twitter.com/trabajodesdcasa/status/1653873626989436929")</f>
        <v>https://twitter.com/trabajodesdcasa/status/1653873626989436929</v>
      </c>
      <c r="AF2009" s="79">
        <v>45049.893217592595</v>
      </c>
      <c r="AG2009" s="85">
        <v>45049</v>
      </c>
      <c r="AH2009" s="81" t="s">
        <v>7615</v>
      </c>
      <c r="AI2009" s="77" t="b">
        <v>0</v>
      </c>
      <c r="AJ2009" s="77"/>
      <c r="AK2009" s="77"/>
      <c r="AL2009" s="77"/>
      <c r="AM2009" s="77"/>
      <c r="AN2009" s="77"/>
      <c r="AO2009" s="77"/>
      <c r="AP2009" s="77"/>
      <c r="AQ2009" s="77" t="s">
        <v>9206</v>
      </c>
      <c r="AR2009" s="77"/>
      <c r="AS2009" s="77"/>
      <c r="AT2009" s="77"/>
      <c r="AU2009" s="77"/>
      <c r="AV2009" s="83" t="str">
        <f>HYPERLINK("https://pbs.twimg.com/tweet_video_thumb/FvO9TCzXgAMTTRt.jpg")</f>
        <v>https://pbs.twimg.com/tweet_video_thumb/FvO9TCzXgAMTTRt.jpg</v>
      </c>
      <c r="AW2009" s="81" t="s">
        <v>11117</v>
      </c>
      <c r="AX2009" s="81" t="s">
        <v>11117</v>
      </c>
      <c r="AY2009" s="77"/>
      <c r="AZ2009" s="81" t="s">
        <v>11359</v>
      </c>
      <c r="BA2009" s="81" t="s">
        <v>11359</v>
      </c>
      <c r="BB2009" s="81" t="s">
        <v>11359</v>
      </c>
      <c r="BC2009" s="81" t="s">
        <v>11117</v>
      </c>
      <c r="BD2009" s="77">
        <v>356720462</v>
      </c>
      <c r="BE2009" s="77"/>
      <c r="BF2009" s="77"/>
      <c r="BG2009" s="77"/>
      <c r="BH2009" s="77"/>
      <c r="BI2009" s="77"/>
    </row>
    <row r="2010" spans="1:61" x14ac:dyDescent="0.25">
      <c r="A2010" s="62" t="s">
        <v>816</v>
      </c>
      <c r="B2010" s="62" t="s">
        <v>816</v>
      </c>
      <c r="C2010" s="63"/>
      <c r="D2010" s="64"/>
      <c r="E2010" s="65"/>
      <c r="F2010" s="66"/>
      <c r="G2010" s="63"/>
      <c r="H2010" s="67"/>
      <c r="I2010" s="68"/>
      <c r="J2010" s="68"/>
      <c r="K2010" s="32"/>
      <c r="L2010" s="75">
        <v>2010</v>
      </c>
      <c r="M2010" s="75"/>
      <c r="N2010" s="70"/>
      <c r="O2010" s="77" t="s">
        <v>179</v>
      </c>
      <c r="P2010" s="79">
        <v>45088.893217592595</v>
      </c>
      <c r="Q2010" s="77" t="s">
        <v>2788</v>
      </c>
      <c r="R2010" s="77">
        <v>0</v>
      </c>
      <c r="S2010" s="77">
        <v>1</v>
      </c>
      <c r="T2010" s="77">
        <v>0</v>
      </c>
      <c r="U2010" s="77">
        <v>0</v>
      </c>
      <c r="V2010" s="77">
        <v>21</v>
      </c>
      <c r="W2010" s="81" t="s">
        <v>4054</v>
      </c>
      <c r="X2010" s="83" t="str">
        <f>HYPERLINK("https://i.mtr.cool/hfoehucmma")</f>
        <v>https://i.mtr.cool/hfoehucmma</v>
      </c>
      <c r="Y2010" s="77" t="s">
        <v>4289</v>
      </c>
      <c r="Z2010" s="77"/>
      <c r="AA2010" s="77" t="s">
        <v>5709</v>
      </c>
      <c r="AB2010" s="77" t="s">
        <v>5796</v>
      </c>
      <c r="AC2010" s="81" t="s">
        <v>5812</v>
      </c>
      <c r="AD2010" s="77" t="s">
        <v>5850</v>
      </c>
      <c r="AE2010" s="83" t="str">
        <f>HYPERLINK("https://twitter.com/trabajodesdcasa/status/1668006753630298112")</f>
        <v>https://twitter.com/trabajodesdcasa/status/1668006753630298112</v>
      </c>
      <c r="AF2010" s="79">
        <v>45088.893217592595</v>
      </c>
      <c r="AG2010" s="85">
        <v>45088</v>
      </c>
      <c r="AH2010" s="81" t="s">
        <v>7615</v>
      </c>
      <c r="AI2010" s="77" t="b">
        <v>0</v>
      </c>
      <c r="AJ2010" s="77"/>
      <c r="AK2010" s="77"/>
      <c r="AL2010" s="77"/>
      <c r="AM2010" s="77"/>
      <c r="AN2010" s="77"/>
      <c r="AO2010" s="77"/>
      <c r="AP2010" s="77"/>
      <c r="AQ2010" s="77" t="s">
        <v>9207</v>
      </c>
      <c r="AR2010" s="77"/>
      <c r="AS2010" s="77"/>
      <c r="AT2010" s="77"/>
      <c r="AU2010" s="77"/>
      <c r="AV2010" s="83" t="str">
        <f>HYPERLINK("https://pbs.twimg.com/tweet_video_thumb/FyXzTLlXoAEZuMI.jpg")</f>
        <v>https://pbs.twimg.com/tweet_video_thumb/FyXzTLlXoAEZuMI.jpg</v>
      </c>
      <c r="AW2010" s="81" t="s">
        <v>11118</v>
      </c>
      <c r="AX2010" s="81" t="s">
        <v>11118</v>
      </c>
      <c r="AY2010" s="77"/>
      <c r="AZ2010" s="81" t="s">
        <v>11359</v>
      </c>
      <c r="BA2010" s="81" t="s">
        <v>11359</v>
      </c>
      <c r="BB2010" s="81" t="s">
        <v>11359</v>
      </c>
      <c r="BC2010" s="81" t="s">
        <v>11118</v>
      </c>
      <c r="BD2010" s="77">
        <v>356720462</v>
      </c>
      <c r="BE2010" s="77"/>
      <c r="BF2010" s="77"/>
      <c r="BG2010" s="77"/>
      <c r="BH2010" s="77"/>
      <c r="BI2010" s="77"/>
    </row>
    <row r="2011" spans="1:61" x14ac:dyDescent="0.25">
      <c r="A2011" s="62" t="s">
        <v>816</v>
      </c>
      <c r="B2011" s="62" t="s">
        <v>816</v>
      </c>
      <c r="C2011" s="63"/>
      <c r="D2011" s="64"/>
      <c r="E2011" s="65"/>
      <c r="F2011" s="66"/>
      <c r="G2011" s="63"/>
      <c r="H2011" s="67"/>
      <c r="I2011" s="68"/>
      <c r="J2011" s="68"/>
      <c r="K2011" s="32"/>
      <c r="L2011" s="75">
        <v>2011</v>
      </c>
      <c r="M2011" s="75"/>
      <c r="N2011" s="70"/>
      <c r="O2011" s="77" t="s">
        <v>179</v>
      </c>
      <c r="P2011" s="79">
        <v>45157.893229166664</v>
      </c>
      <c r="Q2011" s="77" t="s">
        <v>2789</v>
      </c>
      <c r="R2011" s="77">
        <v>0</v>
      </c>
      <c r="S2011" s="77">
        <v>0</v>
      </c>
      <c r="T2011" s="77">
        <v>0</v>
      </c>
      <c r="U2011" s="77">
        <v>0</v>
      </c>
      <c r="V2011" s="77">
        <v>18</v>
      </c>
      <c r="W2011" s="81" t="s">
        <v>4054</v>
      </c>
      <c r="X2011" s="83" t="str">
        <f>HYPERLINK("https://mtr.cool/fyhrzxalar")</f>
        <v>https://mtr.cool/fyhrzxalar</v>
      </c>
      <c r="Y2011" s="77" t="s">
        <v>4289</v>
      </c>
      <c r="Z2011" s="77"/>
      <c r="AA2011" s="77" t="s">
        <v>5710</v>
      </c>
      <c r="AB2011" s="77" t="s">
        <v>5796</v>
      </c>
      <c r="AC2011" s="81" t="s">
        <v>5812</v>
      </c>
      <c r="AD2011" s="77" t="s">
        <v>5850</v>
      </c>
      <c r="AE2011" s="83" t="str">
        <f>HYPERLINK("https://twitter.com/trabajodesdcasa/status/1693011518059663669")</f>
        <v>https://twitter.com/trabajodesdcasa/status/1693011518059663669</v>
      </c>
      <c r="AF2011" s="79">
        <v>45157.893229166664</v>
      </c>
      <c r="AG2011" s="85">
        <v>45157</v>
      </c>
      <c r="AH2011" s="81" t="s">
        <v>7616</v>
      </c>
      <c r="AI2011" s="77" t="b">
        <v>0</v>
      </c>
      <c r="AJ2011" s="77"/>
      <c r="AK2011" s="77"/>
      <c r="AL2011" s="77"/>
      <c r="AM2011" s="77"/>
      <c r="AN2011" s="77"/>
      <c r="AO2011" s="77"/>
      <c r="AP2011" s="77"/>
      <c r="AQ2011" s="77" t="s">
        <v>9208</v>
      </c>
      <c r="AR2011" s="77"/>
      <c r="AS2011" s="77"/>
      <c r="AT2011" s="77"/>
      <c r="AU2011" s="77"/>
      <c r="AV2011" s="83" t="str">
        <f>HYPERLINK("https://pbs.twimg.com/tweet_video_thumb/F37JAH1WIAEBos1.jpg")</f>
        <v>https://pbs.twimg.com/tweet_video_thumb/F37JAH1WIAEBos1.jpg</v>
      </c>
      <c r="AW2011" s="81" t="s">
        <v>11119</v>
      </c>
      <c r="AX2011" s="81" t="s">
        <v>11119</v>
      </c>
      <c r="AY2011" s="77"/>
      <c r="AZ2011" s="81" t="s">
        <v>11359</v>
      </c>
      <c r="BA2011" s="81" t="s">
        <v>11359</v>
      </c>
      <c r="BB2011" s="81" t="s">
        <v>11359</v>
      </c>
      <c r="BC2011" s="81" t="s">
        <v>11119</v>
      </c>
      <c r="BD2011" s="77">
        <v>356720462</v>
      </c>
      <c r="BE2011" s="77"/>
      <c r="BF2011" s="77"/>
      <c r="BG2011" s="77"/>
      <c r="BH2011" s="77"/>
      <c r="BI2011" s="77"/>
    </row>
    <row r="2012" spans="1:61" x14ac:dyDescent="0.25">
      <c r="A2012" s="62" t="s">
        <v>816</v>
      </c>
      <c r="B2012" s="62" t="s">
        <v>816</v>
      </c>
      <c r="C2012" s="63"/>
      <c r="D2012" s="64"/>
      <c r="E2012" s="65"/>
      <c r="F2012" s="66"/>
      <c r="G2012" s="63"/>
      <c r="H2012" s="67"/>
      <c r="I2012" s="68"/>
      <c r="J2012" s="68"/>
      <c r="K2012" s="32"/>
      <c r="L2012" s="75">
        <v>2012</v>
      </c>
      <c r="M2012" s="75"/>
      <c r="N2012" s="70"/>
      <c r="O2012" s="77" t="s">
        <v>179</v>
      </c>
      <c r="P2012" s="79">
        <v>45119.594074074077</v>
      </c>
      <c r="Q2012" s="77" t="s">
        <v>2790</v>
      </c>
      <c r="R2012" s="77">
        <v>0</v>
      </c>
      <c r="S2012" s="77">
        <v>0</v>
      </c>
      <c r="T2012" s="77">
        <v>0</v>
      </c>
      <c r="U2012" s="77">
        <v>0</v>
      </c>
      <c r="V2012" s="77">
        <v>9</v>
      </c>
      <c r="W2012" s="81" t="s">
        <v>4055</v>
      </c>
      <c r="X2012" s="83" t="str">
        <f>HYPERLINK("https://my.mtr.cool/udjowiobcx")</f>
        <v>https://my.mtr.cool/udjowiobcx</v>
      </c>
      <c r="Y2012" s="77" t="s">
        <v>4289</v>
      </c>
      <c r="Z2012" s="77"/>
      <c r="AA2012" s="77" t="s">
        <v>5711</v>
      </c>
      <c r="AB2012" s="77" t="s">
        <v>5796</v>
      </c>
      <c r="AC2012" s="81" t="s">
        <v>5812</v>
      </c>
      <c r="AD2012" s="77" t="s">
        <v>5850</v>
      </c>
      <c r="AE2012" s="83" t="str">
        <f>HYPERLINK("https://twitter.com/trabajodesdcasa/status/1679132372296511492")</f>
        <v>https://twitter.com/trabajodesdcasa/status/1679132372296511492</v>
      </c>
      <c r="AF2012" s="79">
        <v>45119.594074074077</v>
      </c>
      <c r="AG2012" s="85">
        <v>45119</v>
      </c>
      <c r="AH2012" s="81" t="s">
        <v>7617</v>
      </c>
      <c r="AI2012" s="77" t="b">
        <v>0</v>
      </c>
      <c r="AJ2012" s="77"/>
      <c r="AK2012" s="77"/>
      <c r="AL2012" s="77"/>
      <c r="AM2012" s="77"/>
      <c r="AN2012" s="77"/>
      <c r="AO2012" s="77"/>
      <c r="AP2012" s="77"/>
      <c r="AQ2012" s="77" t="s">
        <v>9209</v>
      </c>
      <c r="AR2012" s="77"/>
      <c r="AS2012" s="77"/>
      <c r="AT2012" s="77"/>
      <c r="AU2012" s="77"/>
      <c r="AV2012" s="83" t="str">
        <f>HYPERLINK("https://pbs.twimg.com/tweet_video_thumb/F015_UNX0AAykoQ.jpg")</f>
        <v>https://pbs.twimg.com/tweet_video_thumb/F015_UNX0AAykoQ.jpg</v>
      </c>
      <c r="AW2012" s="81" t="s">
        <v>11120</v>
      </c>
      <c r="AX2012" s="81" t="s">
        <v>11120</v>
      </c>
      <c r="AY2012" s="77"/>
      <c r="AZ2012" s="81" t="s">
        <v>11359</v>
      </c>
      <c r="BA2012" s="81" t="s">
        <v>11359</v>
      </c>
      <c r="BB2012" s="81" t="s">
        <v>11359</v>
      </c>
      <c r="BC2012" s="81" t="s">
        <v>11120</v>
      </c>
      <c r="BD2012" s="77">
        <v>356720462</v>
      </c>
      <c r="BE2012" s="77"/>
      <c r="BF2012" s="77"/>
      <c r="BG2012" s="77"/>
      <c r="BH2012" s="77"/>
      <c r="BI2012" s="77"/>
    </row>
    <row r="2013" spans="1:61" x14ac:dyDescent="0.25">
      <c r="A2013" s="62" t="s">
        <v>816</v>
      </c>
      <c r="B2013" s="62" t="s">
        <v>816</v>
      </c>
      <c r="C2013" s="63"/>
      <c r="D2013" s="64"/>
      <c r="E2013" s="65"/>
      <c r="F2013" s="66"/>
      <c r="G2013" s="63"/>
      <c r="H2013" s="67"/>
      <c r="I2013" s="68"/>
      <c r="J2013" s="68"/>
      <c r="K2013" s="32"/>
      <c r="L2013" s="75">
        <v>2013</v>
      </c>
      <c r="M2013" s="75"/>
      <c r="N2013" s="70"/>
      <c r="O2013" s="77" t="s">
        <v>179</v>
      </c>
      <c r="P2013" s="79">
        <v>45019.6015625</v>
      </c>
      <c r="Q2013" s="77" t="s">
        <v>2791</v>
      </c>
      <c r="R2013" s="77">
        <v>0</v>
      </c>
      <c r="S2013" s="77">
        <v>0</v>
      </c>
      <c r="T2013" s="77">
        <v>0</v>
      </c>
      <c r="U2013" s="77">
        <v>0</v>
      </c>
      <c r="V2013" s="77">
        <v>9</v>
      </c>
      <c r="W2013" s="81" t="s">
        <v>4054</v>
      </c>
      <c r="X2013" s="83" t="str">
        <f>HYPERLINK("https://mtr.cool/hgfiiggzmf")</f>
        <v>https://mtr.cool/hgfiiggzmf</v>
      </c>
      <c r="Y2013" s="77" t="s">
        <v>4289</v>
      </c>
      <c r="Z2013" s="77"/>
      <c r="AA2013" s="77" t="s">
        <v>5712</v>
      </c>
      <c r="AB2013" s="77" t="s">
        <v>5796</v>
      </c>
      <c r="AC2013" s="81" t="s">
        <v>5812</v>
      </c>
      <c r="AD2013" s="77" t="s">
        <v>5850</v>
      </c>
      <c r="AE2013" s="83" t="str">
        <f>HYPERLINK("https://twitter.com/trabajodesdcasa/status/1642896297505050626")</f>
        <v>https://twitter.com/trabajodesdcasa/status/1642896297505050626</v>
      </c>
      <c r="AF2013" s="79">
        <v>45019.6015625</v>
      </c>
      <c r="AG2013" s="85">
        <v>45019</v>
      </c>
      <c r="AH2013" s="81" t="s">
        <v>7618</v>
      </c>
      <c r="AI2013" s="77" t="b">
        <v>0</v>
      </c>
      <c r="AJ2013" s="77"/>
      <c r="AK2013" s="77"/>
      <c r="AL2013" s="77"/>
      <c r="AM2013" s="77"/>
      <c r="AN2013" s="77"/>
      <c r="AO2013" s="77"/>
      <c r="AP2013" s="77"/>
      <c r="AQ2013" s="77" t="s">
        <v>9210</v>
      </c>
      <c r="AR2013" s="77"/>
      <c r="AS2013" s="77"/>
      <c r="AT2013" s="77"/>
      <c r="AU2013" s="77"/>
      <c r="AV2013" s="83" t="str">
        <f>HYPERLINK("https://pbs.twimg.com/tweet_video_thumb/Fsy9eSJXgAAmid2.jpg")</f>
        <v>https://pbs.twimg.com/tweet_video_thumb/Fsy9eSJXgAAmid2.jpg</v>
      </c>
      <c r="AW2013" s="81" t="s">
        <v>11121</v>
      </c>
      <c r="AX2013" s="81" t="s">
        <v>11121</v>
      </c>
      <c r="AY2013" s="77"/>
      <c r="AZ2013" s="81" t="s">
        <v>11359</v>
      </c>
      <c r="BA2013" s="81" t="s">
        <v>11359</v>
      </c>
      <c r="BB2013" s="81" t="s">
        <v>11359</v>
      </c>
      <c r="BC2013" s="81" t="s">
        <v>11121</v>
      </c>
      <c r="BD2013" s="77">
        <v>356720462</v>
      </c>
      <c r="BE2013" s="77"/>
      <c r="BF2013" s="77"/>
      <c r="BG2013" s="77"/>
      <c r="BH2013" s="77"/>
      <c r="BI2013" s="77"/>
    </row>
    <row r="2014" spans="1:61" x14ac:dyDescent="0.25">
      <c r="A2014" s="62" t="s">
        <v>816</v>
      </c>
      <c r="B2014" s="62" t="s">
        <v>816</v>
      </c>
      <c r="C2014" s="63"/>
      <c r="D2014" s="64"/>
      <c r="E2014" s="65"/>
      <c r="F2014" s="66"/>
      <c r="G2014" s="63"/>
      <c r="H2014" s="67"/>
      <c r="I2014" s="68"/>
      <c r="J2014" s="68"/>
      <c r="K2014" s="32"/>
      <c r="L2014" s="75">
        <v>2014</v>
      </c>
      <c r="M2014" s="75"/>
      <c r="N2014" s="70"/>
      <c r="O2014" s="77" t="s">
        <v>179</v>
      </c>
      <c r="P2014" s="79">
        <v>45188.764861111114</v>
      </c>
      <c r="Q2014" s="77" t="s">
        <v>2792</v>
      </c>
      <c r="R2014" s="77">
        <v>0</v>
      </c>
      <c r="S2014" s="77">
        <v>0</v>
      </c>
      <c r="T2014" s="77">
        <v>0</v>
      </c>
      <c r="U2014" s="77">
        <v>0</v>
      </c>
      <c r="V2014" s="77">
        <v>8</v>
      </c>
      <c r="W2014" s="81" t="s">
        <v>4055</v>
      </c>
      <c r="X2014" s="83" t="str">
        <f>HYPERLINK("https://mtr.cool/harerzbcfx")</f>
        <v>https://mtr.cool/harerzbcfx</v>
      </c>
      <c r="Y2014" s="77" t="s">
        <v>4289</v>
      </c>
      <c r="Z2014" s="77"/>
      <c r="AA2014" s="77" t="s">
        <v>5713</v>
      </c>
      <c r="AB2014" s="77" t="s">
        <v>5796</v>
      </c>
      <c r="AC2014" s="81" t="s">
        <v>5812</v>
      </c>
      <c r="AD2014" s="77" t="s">
        <v>5850</v>
      </c>
      <c r="AE2014" s="83" t="str">
        <f>HYPERLINK("https://twitter.com/trabajodesdcasa/status/1704199024394268826")</f>
        <v>https://twitter.com/trabajodesdcasa/status/1704199024394268826</v>
      </c>
      <c r="AF2014" s="79">
        <v>45188.764861111114</v>
      </c>
      <c r="AG2014" s="85">
        <v>45188</v>
      </c>
      <c r="AH2014" s="81" t="s">
        <v>7619</v>
      </c>
      <c r="AI2014" s="77" t="b">
        <v>0</v>
      </c>
      <c r="AJ2014" s="77"/>
      <c r="AK2014" s="77"/>
      <c r="AL2014" s="77"/>
      <c r="AM2014" s="77"/>
      <c r="AN2014" s="77"/>
      <c r="AO2014" s="77"/>
      <c r="AP2014" s="77"/>
      <c r="AQ2014" s="77" t="s">
        <v>9211</v>
      </c>
      <c r="AR2014" s="77"/>
      <c r="AS2014" s="77"/>
      <c r="AT2014" s="77"/>
      <c r="AU2014" s="77"/>
      <c r="AV2014" s="83" t="str">
        <f>HYPERLINK("https://pbs.twimg.com/tweet_video_thumb/F6aH-u_WMAAcK0U.jpg")</f>
        <v>https://pbs.twimg.com/tweet_video_thumb/F6aH-u_WMAAcK0U.jpg</v>
      </c>
      <c r="AW2014" s="81" t="s">
        <v>11122</v>
      </c>
      <c r="AX2014" s="81" t="s">
        <v>11122</v>
      </c>
      <c r="AY2014" s="77"/>
      <c r="AZ2014" s="81" t="s">
        <v>11359</v>
      </c>
      <c r="BA2014" s="81" t="s">
        <v>11359</v>
      </c>
      <c r="BB2014" s="81" t="s">
        <v>11359</v>
      </c>
      <c r="BC2014" s="81" t="s">
        <v>11122</v>
      </c>
      <c r="BD2014" s="77">
        <v>356720462</v>
      </c>
      <c r="BE2014" s="77"/>
      <c r="BF2014" s="77"/>
      <c r="BG2014" s="77"/>
      <c r="BH2014" s="77"/>
      <c r="BI2014" s="77"/>
    </row>
    <row r="2015" spans="1:61" x14ac:dyDescent="0.25">
      <c r="A2015" s="62" t="s">
        <v>817</v>
      </c>
      <c r="B2015" s="62" t="s">
        <v>817</v>
      </c>
      <c r="C2015" s="63"/>
      <c r="D2015" s="64"/>
      <c r="E2015" s="65"/>
      <c r="F2015" s="66"/>
      <c r="G2015" s="63"/>
      <c r="H2015" s="67"/>
      <c r="I2015" s="68"/>
      <c r="J2015" s="68"/>
      <c r="K2015" s="32"/>
      <c r="L2015" s="75">
        <v>2015</v>
      </c>
      <c r="M2015" s="75"/>
      <c r="N2015" s="70"/>
      <c r="O2015" s="77" t="s">
        <v>179</v>
      </c>
      <c r="P2015" s="79">
        <v>44993.635185185187</v>
      </c>
      <c r="Q2015" s="77" t="s">
        <v>2793</v>
      </c>
      <c r="R2015" s="77">
        <v>0</v>
      </c>
      <c r="S2015" s="77">
        <v>0</v>
      </c>
      <c r="T2015" s="77">
        <v>0</v>
      </c>
      <c r="U2015" s="77">
        <v>0</v>
      </c>
      <c r="V2015" s="77">
        <v>12</v>
      </c>
      <c r="W2015" s="81" t="s">
        <v>4056</v>
      </c>
      <c r="X2015" s="83" t="str">
        <f>HYPERLINK("https://blog.fastcommerce.com.br/2023/03/o-que-e-smo-e-por-que-ele-e-importante.html")</f>
        <v>https://blog.fastcommerce.com.br/2023/03/o-que-e-smo-e-por-que-ele-e-importante.html</v>
      </c>
      <c r="Y2015" s="77" t="s">
        <v>4223</v>
      </c>
      <c r="Z2015" s="77"/>
      <c r="AA2015" s="77" t="s">
        <v>5714</v>
      </c>
      <c r="AB2015" s="77" t="s">
        <v>5794</v>
      </c>
      <c r="AC2015" s="81" t="s">
        <v>5805</v>
      </c>
      <c r="AD2015" s="77" t="s">
        <v>5851</v>
      </c>
      <c r="AE2015" s="83" t="str">
        <f>HYPERLINK("https://twitter.com/fastcommercebr/status/1633486395305066498")</f>
        <v>https://twitter.com/fastcommercebr/status/1633486395305066498</v>
      </c>
      <c r="AF2015" s="79">
        <v>44993.635185185187</v>
      </c>
      <c r="AG2015" s="85">
        <v>44993</v>
      </c>
      <c r="AH2015" s="81" t="s">
        <v>7620</v>
      </c>
      <c r="AI2015" s="77" t="b">
        <v>0</v>
      </c>
      <c r="AJ2015" s="77"/>
      <c r="AK2015" s="77"/>
      <c r="AL2015" s="77"/>
      <c r="AM2015" s="77"/>
      <c r="AN2015" s="77"/>
      <c r="AO2015" s="77"/>
      <c r="AP2015" s="77"/>
      <c r="AQ2015" s="77" t="s">
        <v>9212</v>
      </c>
      <c r="AR2015" s="77"/>
      <c r="AS2015" s="77"/>
      <c r="AT2015" s="77"/>
      <c r="AU2015" s="77"/>
      <c r="AV2015" s="83" t="str">
        <f>HYPERLINK("https://pbs.twimg.com/media/FqtPIvsWYAEluML.jpg")</f>
        <v>https://pbs.twimg.com/media/FqtPIvsWYAEluML.jpg</v>
      </c>
      <c r="AW2015" s="81" t="s">
        <v>11123</v>
      </c>
      <c r="AX2015" s="81" t="s">
        <v>11123</v>
      </c>
      <c r="AY2015" s="77"/>
      <c r="AZ2015" s="81" t="s">
        <v>11359</v>
      </c>
      <c r="BA2015" s="81" t="s">
        <v>11359</v>
      </c>
      <c r="BB2015" s="81" t="s">
        <v>11359</v>
      </c>
      <c r="BC2015" s="81" t="s">
        <v>11123</v>
      </c>
      <c r="BD2015" s="77">
        <v>26531518</v>
      </c>
      <c r="BE2015" s="77"/>
      <c r="BF2015" s="77"/>
      <c r="BG2015" s="77"/>
      <c r="BH2015" s="77"/>
      <c r="BI2015" s="77"/>
    </row>
    <row r="2016" spans="1:61" x14ac:dyDescent="0.25">
      <c r="A2016" s="62" t="s">
        <v>817</v>
      </c>
      <c r="B2016" s="62" t="s">
        <v>817</v>
      </c>
      <c r="C2016" s="63"/>
      <c r="D2016" s="64"/>
      <c r="E2016" s="65"/>
      <c r="F2016" s="66"/>
      <c r="G2016" s="63"/>
      <c r="H2016" s="67"/>
      <c r="I2016" s="68"/>
      <c r="J2016" s="68"/>
      <c r="K2016" s="32"/>
      <c r="L2016" s="75">
        <v>2016</v>
      </c>
      <c r="M2016" s="75"/>
      <c r="N2016" s="70"/>
      <c r="O2016" s="77" t="s">
        <v>179</v>
      </c>
      <c r="P2016" s="79">
        <v>45036.729421296295</v>
      </c>
      <c r="Q2016" s="77" t="s">
        <v>2794</v>
      </c>
      <c r="R2016" s="77">
        <v>0</v>
      </c>
      <c r="S2016" s="77">
        <v>0</v>
      </c>
      <c r="T2016" s="77">
        <v>0</v>
      </c>
      <c r="U2016" s="77">
        <v>0</v>
      </c>
      <c r="V2016" s="77">
        <v>83</v>
      </c>
      <c r="W2016" s="81" t="s">
        <v>4057</v>
      </c>
      <c r="X2016" s="83" t="str">
        <f>HYPERLINK("https://blog.fastcommerce.com.br/2023/04/4-criadores-e-geradores-de-logotipo.html")</f>
        <v>https://blog.fastcommerce.com.br/2023/04/4-criadores-e-geradores-de-logotipo.html</v>
      </c>
      <c r="Y2016" s="77" t="s">
        <v>4223</v>
      </c>
      <c r="Z2016" s="77"/>
      <c r="AA2016" s="77" t="s">
        <v>5715</v>
      </c>
      <c r="AB2016" s="77" t="s">
        <v>5794</v>
      </c>
      <c r="AC2016" s="81" t="s">
        <v>5805</v>
      </c>
      <c r="AD2016" s="77" t="s">
        <v>5851</v>
      </c>
      <c r="AE2016" s="83" t="str">
        <f>HYPERLINK("https://twitter.com/fastcommercebr/status/1649103226074021889")</f>
        <v>https://twitter.com/fastcommercebr/status/1649103226074021889</v>
      </c>
      <c r="AF2016" s="79">
        <v>45036.729421296295</v>
      </c>
      <c r="AG2016" s="85">
        <v>45036</v>
      </c>
      <c r="AH2016" s="81" t="s">
        <v>7621</v>
      </c>
      <c r="AI2016" s="77" t="b">
        <v>0</v>
      </c>
      <c r="AJ2016" s="77"/>
      <c r="AK2016" s="77"/>
      <c r="AL2016" s="77"/>
      <c r="AM2016" s="77"/>
      <c r="AN2016" s="77"/>
      <c r="AO2016" s="77"/>
      <c r="AP2016" s="77"/>
      <c r="AQ2016" s="77" t="s">
        <v>9213</v>
      </c>
      <c r="AR2016" s="77"/>
      <c r="AS2016" s="77"/>
      <c r="AT2016" s="77"/>
      <c r="AU2016" s="77"/>
      <c r="AV2016" s="83" t="str">
        <f>HYPERLINK("https://pbs.twimg.com/media/FuLJsXNXwAMF-Ge.jpg")</f>
        <v>https://pbs.twimg.com/media/FuLJsXNXwAMF-Ge.jpg</v>
      </c>
      <c r="AW2016" s="81" t="s">
        <v>11124</v>
      </c>
      <c r="AX2016" s="81" t="s">
        <v>11124</v>
      </c>
      <c r="AY2016" s="77"/>
      <c r="AZ2016" s="81" t="s">
        <v>11359</v>
      </c>
      <c r="BA2016" s="81" t="s">
        <v>11359</v>
      </c>
      <c r="BB2016" s="81" t="s">
        <v>11359</v>
      </c>
      <c r="BC2016" s="81" t="s">
        <v>11124</v>
      </c>
      <c r="BD2016" s="77">
        <v>26531518</v>
      </c>
      <c r="BE2016" s="77"/>
      <c r="BF2016" s="77"/>
      <c r="BG2016" s="77"/>
      <c r="BH2016" s="77"/>
      <c r="BI2016" s="77"/>
    </row>
    <row r="2017" spans="1:61" x14ac:dyDescent="0.25">
      <c r="A2017" s="62" t="s">
        <v>817</v>
      </c>
      <c r="B2017" s="62" t="s">
        <v>817</v>
      </c>
      <c r="C2017" s="63"/>
      <c r="D2017" s="64"/>
      <c r="E2017" s="65"/>
      <c r="F2017" s="66"/>
      <c r="G2017" s="63"/>
      <c r="H2017" s="67"/>
      <c r="I2017" s="68"/>
      <c r="J2017" s="68"/>
      <c r="K2017" s="32"/>
      <c r="L2017" s="75">
        <v>2017</v>
      </c>
      <c r="M2017" s="75"/>
      <c r="N2017" s="70"/>
      <c r="O2017" s="77" t="s">
        <v>179</v>
      </c>
      <c r="P2017" s="79">
        <v>44965.837488425925</v>
      </c>
      <c r="Q2017" s="77" t="s">
        <v>2795</v>
      </c>
      <c r="R2017" s="77">
        <v>0</v>
      </c>
      <c r="S2017" s="77">
        <v>1</v>
      </c>
      <c r="T2017" s="77">
        <v>1</v>
      </c>
      <c r="U2017" s="77">
        <v>0</v>
      </c>
      <c r="V2017" s="77">
        <v>27</v>
      </c>
      <c r="W2017" s="81" t="s">
        <v>4058</v>
      </c>
      <c r="X2017" s="83" t="str">
        <f>HYPERLINK("https://blog.fastcommerce.com.br/2023/02/edite-videos-de-graca-com-davinci.html")</f>
        <v>https://blog.fastcommerce.com.br/2023/02/edite-videos-de-graca-com-davinci.html</v>
      </c>
      <c r="Y2017" s="77" t="s">
        <v>4223</v>
      </c>
      <c r="Z2017" s="77"/>
      <c r="AA2017" s="77" t="s">
        <v>5716</v>
      </c>
      <c r="AB2017" s="77" t="s">
        <v>5794</v>
      </c>
      <c r="AC2017" s="81" t="s">
        <v>5805</v>
      </c>
      <c r="AD2017" s="77" t="s">
        <v>5851</v>
      </c>
      <c r="AE2017" s="83" t="str">
        <f>HYPERLINK("https://twitter.com/fastcommercebr/status/1623412851049381889")</f>
        <v>https://twitter.com/fastcommercebr/status/1623412851049381889</v>
      </c>
      <c r="AF2017" s="79">
        <v>44965.837488425925</v>
      </c>
      <c r="AG2017" s="85">
        <v>44965</v>
      </c>
      <c r="AH2017" s="81" t="s">
        <v>7622</v>
      </c>
      <c r="AI2017" s="77" t="b">
        <v>0</v>
      </c>
      <c r="AJ2017" s="77"/>
      <c r="AK2017" s="77"/>
      <c r="AL2017" s="77"/>
      <c r="AM2017" s="77"/>
      <c r="AN2017" s="77"/>
      <c r="AO2017" s="77"/>
      <c r="AP2017" s="77"/>
      <c r="AQ2017" s="77" t="s">
        <v>9214</v>
      </c>
      <c r="AR2017" s="77"/>
      <c r="AS2017" s="77"/>
      <c r="AT2017" s="77"/>
      <c r="AU2017" s="77"/>
      <c r="AV2017" s="83" t="str">
        <f>HYPERLINK("https://pbs.twimg.com/media/FoeFKixWAAE6RS-.jpg")</f>
        <v>https://pbs.twimg.com/media/FoeFKixWAAE6RS-.jpg</v>
      </c>
      <c r="AW2017" s="81" t="s">
        <v>11125</v>
      </c>
      <c r="AX2017" s="81" t="s">
        <v>11125</v>
      </c>
      <c r="AY2017" s="77"/>
      <c r="AZ2017" s="81" t="s">
        <v>11359</v>
      </c>
      <c r="BA2017" s="81" t="s">
        <v>11359</v>
      </c>
      <c r="BB2017" s="81" t="s">
        <v>11359</v>
      </c>
      <c r="BC2017" s="81" t="s">
        <v>11125</v>
      </c>
      <c r="BD2017" s="77">
        <v>26531518</v>
      </c>
      <c r="BE2017" s="77"/>
      <c r="BF2017" s="77"/>
      <c r="BG2017" s="77"/>
      <c r="BH2017" s="77"/>
      <c r="BI2017" s="77"/>
    </row>
    <row r="2018" spans="1:61" x14ac:dyDescent="0.25">
      <c r="A2018" s="62" t="s">
        <v>818</v>
      </c>
      <c r="B2018" s="62" t="s">
        <v>818</v>
      </c>
      <c r="C2018" s="63"/>
      <c r="D2018" s="64"/>
      <c r="E2018" s="65"/>
      <c r="F2018" s="66"/>
      <c r="G2018" s="63"/>
      <c r="H2018" s="67"/>
      <c r="I2018" s="68"/>
      <c r="J2018" s="68"/>
      <c r="K2018" s="32"/>
      <c r="L2018" s="75">
        <v>2018</v>
      </c>
      <c r="M2018" s="75"/>
      <c r="N2018" s="70"/>
      <c r="O2018" s="77" t="s">
        <v>179</v>
      </c>
      <c r="P2018" s="79">
        <v>45017.235567129632</v>
      </c>
      <c r="Q2018" s="77" t="s">
        <v>2796</v>
      </c>
      <c r="R2018" s="77">
        <v>0</v>
      </c>
      <c r="S2018" s="77">
        <v>0</v>
      </c>
      <c r="T2018" s="77">
        <v>0</v>
      </c>
      <c r="U2018" s="77">
        <v>0</v>
      </c>
      <c r="V2018" s="77">
        <v>26</v>
      </c>
      <c r="W2018" s="81" t="s">
        <v>4059</v>
      </c>
      <c r="X2018" s="77"/>
      <c r="Y2018" s="77"/>
      <c r="Z2018" s="77"/>
      <c r="AA2018" s="77" t="s">
        <v>5717</v>
      </c>
      <c r="AB2018" s="77" t="s">
        <v>5794</v>
      </c>
      <c r="AC2018" s="81" t="s">
        <v>5801</v>
      </c>
      <c r="AD2018" s="77" t="s">
        <v>5851</v>
      </c>
      <c r="AE2018" s="83" t="str">
        <f>HYPERLINK("https://twitter.com/dgstreinamentos/status/1642038887500460032")</f>
        <v>https://twitter.com/dgstreinamentos/status/1642038887500460032</v>
      </c>
      <c r="AF2018" s="79">
        <v>45017.235567129632</v>
      </c>
      <c r="AG2018" s="85">
        <v>45017</v>
      </c>
      <c r="AH2018" s="81" t="s">
        <v>7623</v>
      </c>
      <c r="AI2018" s="77" t="b">
        <v>0</v>
      </c>
      <c r="AJ2018" s="77"/>
      <c r="AK2018" s="77"/>
      <c r="AL2018" s="77"/>
      <c r="AM2018" s="77"/>
      <c r="AN2018" s="77"/>
      <c r="AO2018" s="77"/>
      <c r="AP2018" s="77"/>
      <c r="AQ2018" s="77" t="s">
        <v>9215</v>
      </c>
      <c r="AR2018" s="77"/>
      <c r="AS2018" s="77"/>
      <c r="AT2018" s="77"/>
      <c r="AU2018" s="77"/>
      <c r="AV2018" s="83" t="str">
        <f>HYPERLINK("https://pbs.twimg.com/media/FsmxqoRWwAAQE4I.jpg")</f>
        <v>https://pbs.twimg.com/media/FsmxqoRWwAAQE4I.jpg</v>
      </c>
      <c r="AW2018" s="81" t="s">
        <v>11126</v>
      </c>
      <c r="AX2018" s="81" t="s">
        <v>11126</v>
      </c>
      <c r="AY2018" s="77"/>
      <c r="AZ2018" s="81" t="s">
        <v>11359</v>
      </c>
      <c r="BA2018" s="81" t="s">
        <v>11359</v>
      </c>
      <c r="BB2018" s="81" t="s">
        <v>11359</v>
      </c>
      <c r="BC2018" s="81" t="s">
        <v>11126</v>
      </c>
      <c r="BD2018" s="81" t="s">
        <v>11685</v>
      </c>
      <c r="BE2018" s="77"/>
      <c r="BF2018" s="77"/>
      <c r="BG2018" s="77"/>
      <c r="BH2018" s="77"/>
      <c r="BI2018" s="77"/>
    </row>
    <row r="2019" spans="1:61" x14ac:dyDescent="0.25">
      <c r="A2019" s="62" t="s">
        <v>819</v>
      </c>
      <c r="B2019" s="62" t="s">
        <v>819</v>
      </c>
      <c r="C2019" s="63"/>
      <c r="D2019" s="64"/>
      <c r="E2019" s="65"/>
      <c r="F2019" s="66"/>
      <c r="G2019" s="63"/>
      <c r="H2019" s="67"/>
      <c r="I2019" s="68"/>
      <c r="J2019" s="68"/>
      <c r="K2019" s="32"/>
      <c r="L2019" s="75">
        <v>2019</v>
      </c>
      <c r="M2019" s="75"/>
      <c r="N2019" s="70"/>
      <c r="O2019" s="77" t="s">
        <v>179</v>
      </c>
      <c r="P2019" s="79">
        <v>44954.032835648148</v>
      </c>
      <c r="Q2019" s="77" t="s">
        <v>2797</v>
      </c>
      <c r="R2019" s="77">
        <v>0</v>
      </c>
      <c r="S2019" s="77">
        <v>0</v>
      </c>
      <c r="T2019" s="77">
        <v>0</v>
      </c>
      <c r="U2019" s="77">
        <v>0</v>
      </c>
      <c r="V2019" s="77">
        <v>10</v>
      </c>
      <c r="W2019" s="81" t="s">
        <v>4060</v>
      </c>
      <c r="X2019" s="77" t="s">
        <v>4210</v>
      </c>
      <c r="Y2019" s="77" t="s">
        <v>4348</v>
      </c>
      <c r="Z2019" s="77"/>
      <c r="AA2019" s="77" t="s">
        <v>5718</v>
      </c>
      <c r="AB2019" s="77" t="s">
        <v>5795</v>
      </c>
      <c r="AC2019" s="81" t="s">
        <v>5801</v>
      </c>
      <c r="AD2019" s="77" t="s">
        <v>5850</v>
      </c>
      <c r="AE2019" s="83" t="str">
        <f>HYPERLINK("https://twitter.com/jordidiceofici1/status/1619134985260392451")</f>
        <v>https://twitter.com/jordidiceofici1/status/1619134985260392451</v>
      </c>
      <c r="AF2019" s="79">
        <v>44954.032835648148</v>
      </c>
      <c r="AG2019" s="85">
        <v>44954</v>
      </c>
      <c r="AH2019" s="81" t="s">
        <v>7624</v>
      </c>
      <c r="AI2019" s="77" t="b">
        <v>0</v>
      </c>
      <c r="AJ2019" s="77" t="s">
        <v>7759</v>
      </c>
      <c r="AK2019" s="77" t="s">
        <v>7767</v>
      </c>
      <c r="AL2019" s="77" t="s">
        <v>7776</v>
      </c>
      <c r="AM2019" s="77" t="s">
        <v>7813</v>
      </c>
      <c r="AN2019" s="77" t="s">
        <v>7849</v>
      </c>
      <c r="AO2019" s="77" t="s">
        <v>7885</v>
      </c>
      <c r="AP2019" s="77" t="s">
        <v>7890</v>
      </c>
      <c r="AQ2019" s="77" t="s">
        <v>9216</v>
      </c>
      <c r="AR2019" s="77">
        <v>11233</v>
      </c>
      <c r="AS2019" s="77"/>
      <c r="AT2019" s="77"/>
      <c r="AU2019" s="77"/>
      <c r="AV2019" s="83" t="str">
        <f>HYPERLINK("https://pbs.twimg.com/ext_tw_video_thumb/1619134940959883264/pu/img/a8yCGsfCSZ9IQwyq.jpg")</f>
        <v>https://pbs.twimg.com/ext_tw_video_thumb/1619134940959883264/pu/img/a8yCGsfCSZ9IQwyq.jpg</v>
      </c>
      <c r="AW2019" s="81" t="s">
        <v>11127</v>
      </c>
      <c r="AX2019" s="81" t="s">
        <v>11127</v>
      </c>
      <c r="AY2019" s="77"/>
      <c r="AZ2019" s="81" t="s">
        <v>11359</v>
      </c>
      <c r="BA2019" s="81" t="s">
        <v>11359</v>
      </c>
      <c r="BB2019" s="81" t="s">
        <v>11359</v>
      </c>
      <c r="BC2019" s="81" t="s">
        <v>11127</v>
      </c>
      <c r="BD2019" s="81" t="s">
        <v>11686</v>
      </c>
      <c r="BE2019" s="77"/>
      <c r="BF2019" s="77"/>
      <c r="BG2019" s="77"/>
      <c r="BH2019" s="77"/>
      <c r="BI2019" s="77"/>
    </row>
    <row r="2020" spans="1:61" x14ac:dyDescent="0.25">
      <c r="A2020" s="62" t="s">
        <v>820</v>
      </c>
      <c r="B2020" s="62" t="s">
        <v>820</v>
      </c>
      <c r="C2020" s="63"/>
      <c r="D2020" s="64"/>
      <c r="E2020" s="65"/>
      <c r="F2020" s="66"/>
      <c r="G2020" s="63"/>
      <c r="H2020" s="67"/>
      <c r="I2020" s="68"/>
      <c r="J2020" s="68"/>
      <c r="K2020" s="32"/>
      <c r="L2020" s="75">
        <v>2020</v>
      </c>
      <c r="M2020" s="75"/>
      <c r="N2020" s="70"/>
      <c r="O2020" s="77" t="s">
        <v>179</v>
      </c>
      <c r="P2020" s="79">
        <v>45140.797407407408</v>
      </c>
      <c r="Q2020" s="77" t="s">
        <v>2798</v>
      </c>
      <c r="R2020" s="77">
        <v>1</v>
      </c>
      <c r="S2020" s="77">
        <v>2</v>
      </c>
      <c r="T2020" s="77">
        <v>0</v>
      </c>
      <c r="U2020" s="77">
        <v>0</v>
      </c>
      <c r="V2020" s="77">
        <v>87</v>
      </c>
      <c r="W2020" s="81" t="s">
        <v>4061</v>
      </c>
      <c r="X2020" s="83" t="str">
        <f>HYPERLINK("https://alminutonoticias.com/empleo/norauto-trabajar-mecanico-vendedor/")</f>
        <v>https://alminutonoticias.com/empleo/norauto-trabajar-mecanico-vendedor/</v>
      </c>
      <c r="Y2020" s="77" t="s">
        <v>4349</v>
      </c>
      <c r="Z2020" s="77"/>
      <c r="AA2020" s="77"/>
      <c r="AB2020" s="77"/>
      <c r="AC2020" s="81" t="s">
        <v>5801</v>
      </c>
      <c r="AD2020" s="77" t="s">
        <v>5850</v>
      </c>
      <c r="AE2020" s="83" t="str">
        <f>HYPERLINK("https://twitter.com/pilarmiral90552/status/1686816199760367616")</f>
        <v>https://twitter.com/pilarmiral90552/status/1686816199760367616</v>
      </c>
      <c r="AF2020" s="79">
        <v>45140.797407407408</v>
      </c>
      <c r="AG2020" s="85">
        <v>45140</v>
      </c>
      <c r="AH2020" s="81" t="s">
        <v>7625</v>
      </c>
      <c r="AI2020" s="77" t="b">
        <v>0</v>
      </c>
      <c r="AJ2020" s="77"/>
      <c r="AK2020" s="77"/>
      <c r="AL2020" s="77"/>
      <c r="AM2020" s="77"/>
      <c r="AN2020" s="77"/>
      <c r="AO2020" s="77"/>
      <c r="AP2020" s="77"/>
      <c r="AQ2020" s="77"/>
      <c r="AR2020" s="77"/>
      <c r="AS2020" s="77"/>
      <c r="AT2020" s="77"/>
      <c r="AU2020" s="77"/>
      <c r="AV2020" s="83" t="str">
        <f>HYPERLINK("https://pbs.twimg.com/profile_images/1658136801964326913/ALHKG8_v_normal.png")</f>
        <v>https://pbs.twimg.com/profile_images/1658136801964326913/ALHKG8_v_normal.png</v>
      </c>
      <c r="AW2020" s="81" t="s">
        <v>11128</v>
      </c>
      <c r="AX2020" s="81" t="s">
        <v>11128</v>
      </c>
      <c r="AY2020" s="77"/>
      <c r="AZ2020" s="81" t="s">
        <v>11359</v>
      </c>
      <c r="BA2020" s="81" t="s">
        <v>11359</v>
      </c>
      <c r="BB2020" s="81" t="s">
        <v>11359</v>
      </c>
      <c r="BC2020" s="81" t="s">
        <v>11128</v>
      </c>
      <c r="BD2020" s="81" t="s">
        <v>11687</v>
      </c>
      <c r="BE2020" s="77"/>
      <c r="BF2020" s="77"/>
      <c r="BG2020" s="77"/>
      <c r="BH2020" s="77"/>
      <c r="BI2020" s="77"/>
    </row>
    <row r="2021" spans="1:61" x14ac:dyDescent="0.25">
      <c r="A2021" s="62" t="s">
        <v>821</v>
      </c>
      <c r="B2021" s="62" t="s">
        <v>821</v>
      </c>
      <c r="C2021" s="63"/>
      <c r="D2021" s="64"/>
      <c r="E2021" s="65"/>
      <c r="F2021" s="66"/>
      <c r="G2021" s="63"/>
      <c r="H2021" s="67"/>
      <c r="I2021" s="68"/>
      <c r="J2021" s="68"/>
      <c r="K2021" s="32"/>
      <c r="L2021" s="75">
        <v>2021</v>
      </c>
      <c r="M2021" s="75"/>
      <c r="N2021" s="70"/>
      <c r="O2021" s="77" t="s">
        <v>179</v>
      </c>
      <c r="P2021" s="79">
        <v>45040.05265046296</v>
      </c>
      <c r="Q2021" s="77" t="s">
        <v>2799</v>
      </c>
      <c r="R2021" s="77">
        <v>0</v>
      </c>
      <c r="S2021" s="77">
        <v>0</v>
      </c>
      <c r="T2021" s="77">
        <v>0</v>
      </c>
      <c r="U2021" s="77">
        <v>0</v>
      </c>
      <c r="V2021" s="77">
        <v>4</v>
      </c>
      <c r="W2021" s="81" t="s">
        <v>4062</v>
      </c>
      <c r="X2021" s="83" t="str">
        <f>HYPERLINK("https://ananicolau.blogspot.com/2011/04/compra-e-venda-de-imovel.html")</f>
        <v>https://ananicolau.blogspot.com/2011/04/compra-e-venda-de-imovel.html</v>
      </c>
      <c r="Y2021" s="77" t="s">
        <v>4216</v>
      </c>
      <c r="Z2021" s="77"/>
      <c r="AA2021" s="77"/>
      <c r="AB2021" s="77"/>
      <c r="AC2021" s="81" t="s">
        <v>5805</v>
      </c>
      <c r="AD2021" s="77" t="s">
        <v>5851</v>
      </c>
      <c r="AE2021" s="83" t="str">
        <f>HYPERLINK("https://twitter.com/analucianicolau/status/1650307522274705408")</f>
        <v>https://twitter.com/analucianicolau/status/1650307522274705408</v>
      </c>
      <c r="AF2021" s="79">
        <v>45040.05265046296</v>
      </c>
      <c r="AG2021" s="85">
        <v>45040</v>
      </c>
      <c r="AH2021" s="81" t="s">
        <v>7626</v>
      </c>
      <c r="AI2021" s="77" t="b">
        <v>0</v>
      </c>
      <c r="AJ2021" s="77"/>
      <c r="AK2021" s="77"/>
      <c r="AL2021" s="77"/>
      <c r="AM2021" s="77"/>
      <c r="AN2021" s="77"/>
      <c r="AO2021" s="77"/>
      <c r="AP2021" s="77"/>
      <c r="AQ2021" s="77"/>
      <c r="AR2021" s="77"/>
      <c r="AS2021" s="77"/>
      <c r="AT2021" s="77"/>
      <c r="AU2021" s="77"/>
      <c r="AV2021" s="83" t="str">
        <f>HYPERLINK("https://pbs.twimg.com/profile_images/1285381496145149953/wBxQQSgw_normal.jpg")</f>
        <v>https://pbs.twimg.com/profile_images/1285381496145149953/wBxQQSgw_normal.jpg</v>
      </c>
      <c r="AW2021" s="81" t="s">
        <v>11129</v>
      </c>
      <c r="AX2021" s="81" t="s">
        <v>11129</v>
      </c>
      <c r="AY2021" s="77"/>
      <c r="AZ2021" s="81" t="s">
        <v>11359</v>
      </c>
      <c r="BA2021" s="81" t="s">
        <v>11359</v>
      </c>
      <c r="BB2021" s="81" t="s">
        <v>11359</v>
      </c>
      <c r="BC2021" s="81" t="s">
        <v>11129</v>
      </c>
      <c r="BD2021" s="77">
        <v>58476421</v>
      </c>
      <c r="BE2021" s="77"/>
      <c r="BF2021" s="77"/>
      <c r="BG2021" s="77"/>
      <c r="BH2021" s="77"/>
      <c r="BI2021" s="77"/>
    </row>
    <row r="2022" spans="1:61" x14ac:dyDescent="0.25">
      <c r="A2022" s="62" t="s">
        <v>821</v>
      </c>
      <c r="B2022" s="62" t="s">
        <v>821</v>
      </c>
      <c r="C2022" s="63"/>
      <c r="D2022" s="64"/>
      <c r="E2022" s="65"/>
      <c r="F2022" s="66"/>
      <c r="G2022" s="63"/>
      <c r="H2022" s="67"/>
      <c r="I2022" s="68"/>
      <c r="J2022" s="68"/>
      <c r="K2022" s="32"/>
      <c r="L2022" s="75">
        <v>2022</v>
      </c>
      <c r="M2022" s="75"/>
      <c r="N2022" s="70"/>
      <c r="O2022" s="77" t="s">
        <v>179</v>
      </c>
      <c r="P2022" s="79">
        <v>45047.728703703702</v>
      </c>
      <c r="Q2022" s="77" t="s">
        <v>2800</v>
      </c>
      <c r="R2022" s="77">
        <v>0</v>
      </c>
      <c r="S2022" s="77">
        <v>0</v>
      </c>
      <c r="T2022" s="77">
        <v>0</v>
      </c>
      <c r="U2022" s="77">
        <v>0</v>
      </c>
      <c r="V2022" s="77">
        <v>5</v>
      </c>
      <c r="W2022" s="81" t="s">
        <v>4063</v>
      </c>
      <c r="X2022" s="83" t="str">
        <f>HYPERLINK("https://ananicolau.blogspot.com/2011/04/compra-e-venda-de-imovel.html")</f>
        <v>https://ananicolau.blogspot.com/2011/04/compra-e-venda-de-imovel.html</v>
      </c>
      <c r="Y2022" s="77" t="s">
        <v>4216</v>
      </c>
      <c r="Z2022" s="77"/>
      <c r="AA2022" s="77"/>
      <c r="AB2022" s="77"/>
      <c r="AC2022" s="81" t="s">
        <v>5805</v>
      </c>
      <c r="AD2022" s="77" t="s">
        <v>5851</v>
      </c>
      <c r="AE2022" s="83" t="str">
        <f>HYPERLINK("https://twitter.com/analucianicolau/status/1653089233756733463")</f>
        <v>https://twitter.com/analucianicolau/status/1653089233756733463</v>
      </c>
      <c r="AF2022" s="79">
        <v>45047.728703703702</v>
      </c>
      <c r="AG2022" s="85">
        <v>45047</v>
      </c>
      <c r="AH2022" s="81" t="s">
        <v>7627</v>
      </c>
      <c r="AI2022" s="77" t="b">
        <v>0</v>
      </c>
      <c r="AJ2022" s="77"/>
      <c r="AK2022" s="77"/>
      <c r="AL2022" s="77"/>
      <c r="AM2022" s="77"/>
      <c r="AN2022" s="77"/>
      <c r="AO2022" s="77"/>
      <c r="AP2022" s="77"/>
      <c r="AQ2022" s="77"/>
      <c r="AR2022" s="77"/>
      <c r="AS2022" s="77"/>
      <c r="AT2022" s="77"/>
      <c r="AU2022" s="77"/>
      <c r="AV2022" s="83" t="str">
        <f>HYPERLINK("https://pbs.twimg.com/profile_images/1285381496145149953/wBxQQSgw_normal.jpg")</f>
        <v>https://pbs.twimg.com/profile_images/1285381496145149953/wBxQQSgw_normal.jpg</v>
      </c>
      <c r="AW2022" s="81" t="s">
        <v>11130</v>
      </c>
      <c r="AX2022" s="81" t="s">
        <v>11130</v>
      </c>
      <c r="AY2022" s="77"/>
      <c r="AZ2022" s="81" t="s">
        <v>11359</v>
      </c>
      <c r="BA2022" s="81" t="s">
        <v>11359</v>
      </c>
      <c r="BB2022" s="81" t="s">
        <v>11359</v>
      </c>
      <c r="BC2022" s="81" t="s">
        <v>11130</v>
      </c>
      <c r="BD2022" s="77">
        <v>58476421</v>
      </c>
      <c r="BE2022" s="77"/>
      <c r="BF2022" s="77"/>
      <c r="BG2022" s="77"/>
      <c r="BH2022" s="77"/>
      <c r="BI2022" s="77"/>
    </row>
    <row r="2023" spans="1:61" x14ac:dyDescent="0.25">
      <c r="A2023" s="62" t="s">
        <v>821</v>
      </c>
      <c r="B2023" s="62" t="s">
        <v>821</v>
      </c>
      <c r="C2023" s="63"/>
      <c r="D2023" s="64"/>
      <c r="E2023" s="65"/>
      <c r="F2023" s="66"/>
      <c r="G2023" s="63"/>
      <c r="H2023" s="67"/>
      <c r="I2023" s="68"/>
      <c r="J2023" s="68"/>
      <c r="K2023" s="32"/>
      <c r="L2023" s="75">
        <v>2023</v>
      </c>
      <c r="M2023" s="75"/>
      <c r="N2023" s="70"/>
      <c r="O2023" s="77" t="s">
        <v>179</v>
      </c>
      <c r="P2023" s="79">
        <v>44930.396180555559</v>
      </c>
      <c r="Q2023" s="77" t="s">
        <v>2801</v>
      </c>
      <c r="R2023" s="77">
        <v>0</v>
      </c>
      <c r="S2023" s="77">
        <v>0</v>
      </c>
      <c r="T2023" s="77">
        <v>0</v>
      </c>
      <c r="U2023" s="77">
        <v>0</v>
      </c>
      <c r="V2023" s="77">
        <v>9</v>
      </c>
      <c r="W2023" s="81" t="s">
        <v>4064</v>
      </c>
      <c r="X2023" s="83" t="str">
        <f>HYPERLINK("https://ananicolau.blogspot.com/2009/05/condominio-debitos-deixados-pelo.html")</f>
        <v>https://ananicolau.blogspot.com/2009/05/condominio-debitos-deixados-pelo.html</v>
      </c>
      <c r="Y2023" s="77" t="s">
        <v>4216</v>
      </c>
      <c r="Z2023" s="77"/>
      <c r="AA2023" s="77"/>
      <c r="AB2023" s="77"/>
      <c r="AC2023" s="81" t="s">
        <v>5805</v>
      </c>
      <c r="AD2023" s="77" t="s">
        <v>5851</v>
      </c>
      <c r="AE2023" s="83" t="str">
        <f>HYPERLINK("https://twitter.com/analucianicolau/status/1610569350343188481")</f>
        <v>https://twitter.com/analucianicolau/status/1610569350343188481</v>
      </c>
      <c r="AF2023" s="79">
        <v>44930.396180555559</v>
      </c>
      <c r="AG2023" s="85">
        <v>44930</v>
      </c>
      <c r="AH2023" s="81" t="s">
        <v>7628</v>
      </c>
      <c r="AI2023" s="77" t="b">
        <v>0</v>
      </c>
      <c r="AJ2023" s="77"/>
      <c r="AK2023" s="77"/>
      <c r="AL2023" s="77"/>
      <c r="AM2023" s="77"/>
      <c r="AN2023" s="77"/>
      <c r="AO2023" s="77"/>
      <c r="AP2023" s="77"/>
      <c r="AQ2023" s="77"/>
      <c r="AR2023" s="77"/>
      <c r="AS2023" s="77"/>
      <c r="AT2023" s="77"/>
      <c r="AU2023" s="77"/>
      <c r="AV2023" s="83" t="str">
        <f>HYPERLINK("https://pbs.twimg.com/profile_images/1285381496145149953/wBxQQSgw_normal.jpg")</f>
        <v>https://pbs.twimg.com/profile_images/1285381496145149953/wBxQQSgw_normal.jpg</v>
      </c>
      <c r="AW2023" s="81" t="s">
        <v>11131</v>
      </c>
      <c r="AX2023" s="81" t="s">
        <v>11131</v>
      </c>
      <c r="AY2023" s="77"/>
      <c r="AZ2023" s="81" t="s">
        <v>11359</v>
      </c>
      <c r="BA2023" s="81" t="s">
        <v>11359</v>
      </c>
      <c r="BB2023" s="81" t="s">
        <v>11359</v>
      </c>
      <c r="BC2023" s="81" t="s">
        <v>11131</v>
      </c>
      <c r="BD2023" s="77">
        <v>58476421</v>
      </c>
      <c r="BE2023" s="77"/>
      <c r="BF2023" s="77"/>
      <c r="BG2023" s="77"/>
      <c r="BH2023" s="77"/>
      <c r="BI2023" s="77"/>
    </row>
    <row r="2024" spans="1:61" x14ac:dyDescent="0.25">
      <c r="A2024" s="62" t="s">
        <v>821</v>
      </c>
      <c r="B2024" s="62" t="s">
        <v>821</v>
      </c>
      <c r="C2024" s="63"/>
      <c r="D2024" s="64"/>
      <c r="E2024" s="65"/>
      <c r="F2024" s="66"/>
      <c r="G2024" s="63"/>
      <c r="H2024" s="67"/>
      <c r="I2024" s="68"/>
      <c r="J2024" s="68"/>
      <c r="K2024" s="32"/>
      <c r="L2024" s="75">
        <v>2024</v>
      </c>
      <c r="M2024" s="75"/>
      <c r="N2024" s="70"/>
      <c r="O2024" s="77" t="s">
        <v>179</v>
      </c>
      <c r="P2024" s="79">
        <v>44927.531597222223</v>
      </c>
      <c r="Q2024" s="77" t="s">
        <v>2802</v>
      </c>
      <c r="R2024" s="77">
        <v>0</v>
      </c>
      <c r="S2024" s="77">
        <v>0</v>
      </c>
      <c r="T2024" s="77">
        <v>0</v>
      </c>
      <c r="U2024" s="77">
        <v>0</v>
      </c>
      <c r="V2024" s="77">
        <v>9</v>
      </c>
      <c r="W2024" s="81" t="s">
        <v>4065</v>
      </c>
      <c r="X2024" s="83" t="str">
        <f>HYPERLINK("https://ananicolau.blogspot.com/2018/09/condominio-edilicio-responsabilidade-do.html")</f>
        <v>https://ananicolau.blogspot.com/2018/09/condominio-edilicio-responsabilidade-do.html</v>
      </c>
      <c r="Y2024" s="77" t="s">
        <v>4216</v>
      </c>
      <c r="Z2024" s="77"/>
      <c r="AA2024" s="77"/>
      <c r="AB2024" s="77"/>
      <c r="AC2024" s="81" t="s">
        <v>5805</v>
      </c>
      <c r="AD2024" s="77" t="s">
        <v>5851</v>
      </c>
      <c r="AE2024" s="83" t="str">
        <f>HYPERLINK("https://twitter.com/analucianicolau/status/1609531258152931333")</f>
        <v>https://twitter.com/analucianicolau/status/1609531258152931333</v>
      </c>
      <c r="AF2024" s="79">
        <v>44927.531597222223</v>
      </c>
      <c r="AG2024" s="85">
        <v>44927</v>
      </c>
      <c r="AH2024" s="81" t="s">
        <v>7629</v>
      </c>
      <c r="AI2024" s="77" t="b">
        <v>0</v>
      </c>
      <c r="AJ2024" s="77"/>
      <c r="AK2024" s="77"/>
      <c r="AL2024" s="77"/>
      <c r="AM2024" s="77"/>
      <c r="AN2024" s="77"/>
      <c r="AO2024" s="77"/>
      <c r="AP2024" s="77"/>
      <c r="AQ2024" s="77"/>
      <c r="AR2024" s="77"/>
      <c r="AS2024" s="77"/>
      <c r="AT2024" s="77"/>
      <c r="AU2024" s="77"/>
      <c r="AV2024" s="83" t="str">
        <f>HYPERLINK("https://pbs.twimg.com/profile_images/1285381496145149953/wBxQQSgw_normal.jpg")</f>
        <v>https://pbs.twimg.com/profile_images/1285381496145149953/wBxQQSgw_normal.jpg</v>
      </c>
      <c r="AW2024" s="81" t="s">
        <v>11132</v>
      </c>
      <c r="AX2024" s="81" t="s">
        <v>11132</v>
      </c>
      <c r="AY2024" s="77"/>
      <c r="AZ2024" s="81" t="s">
        <v>11359</v>
      </c>
      <c r="BA2024" s="81" t="s">
        <v>11359</v>
      </c>
      <c r="BB2024" s="81" t="s">
        <v>11359</v>
      </c>
      <c r="BC2024" s="81" t="s">
        <v>11132</v>
      </c>
      <c r="BD2024" s="77">
        <v>58476421</v>
      </c>
      <c r="BE2024" s="77"/>
      <c r="BF2024" s="77"/>
      <c r="BG2024" s="77"/>
      <c r="BH2024" s="77"/>
      <c r="BI2024" s="77"/>
    </row>
    <row r="2025" spans="1:61" x14ac:dyDescent="0.25">
      <c r="A2025" s="62" t="s">
        <v>821</v>
      </c>
      <c r="B2025" s="62" t="s">
        <v>821</v>
      </c>
      <c r="C2025" s="63"/>
      <c r="D2025" s="64"/>
      <c r="E2025" s="65"/>
      <c r="F2025" s="66"/>
      <c r="G2025" s="63"/>
      <c r="H2025" s="67"/>
      <c r="I2025" s="68"/>
      <c r="J2025" s="68"/>
      <c r="K2025" s="32"/>
      <c r="L2025" s="75">
        <v>2025</v>
      </c>
      <c r="M2025" s="75"/>
      <c r="N2025" s="70"/>
      <c r="O2025" s="77" t="s">
        <v>179</v>
      </c>
      <c r="P2025" s="79">
        <v>45116.345277777778</v>
      </c>
      <c r="Q2025" s="77" t="s">
        <v>2803</v>
      </c>
      <c r="R2025" s="77">
        <v>0</v>
      </c>
      <c r="S2025" s="77">
        <v>0</v>
      </c>
      <c r="T2025" s="77">
        <v>0</v>
      </c>
      <c r="U2025" s="77">
        <v>0</v>
      </c>
      <c r="V2025" s="77">
        <v>3</v>
      </c>
      <c r="W2025" s="81" t="s">
        <v>4066</v>
      </c>
      <c r="X2025" s="83" t="str">
        <f>HYPERLINK("https://www.ananicolau.adv.br/2023/04/o-filho-pode-comprar-o-imovel-do-pai.html")</f>
        <v>https://www.ananicolau.adv.br/2023/04/o-filho-pode-comprar-o-imovel-do-pai.html</v>
      </c>
      <c r="Y2025" s="77" t="s">
        <v>4350</v>
      </c>
      <c r="Z2025" s="77"/>
      <c r="AA2025" s="77"/>
      <c r="AB2025" s="77"/>
      <c r="AC2025" s="81" t="s">
        <v>5805</v>
      </c>
      <c r="AD2025" s="77" t="s">
        <v>5851</v>
      </c>
      <c r="AE2025" s="83" t="str">
        <f>HYPERLINK("https://twitter.com/analucianicolau/status/1677955044065378304")</f>
        <v>https://twitter.com/analucianicolau/status/1677955044065378304</v>
      </c>
      <c r="AF2025" s="79">
        <v>45116.345277777778</v>
      </c>
      <c r="AG2025" s="85">
        <v>45116</v>
      </c>
      <c r="AH2025" s="81" t="s">
        <v>7630</v>
      </c>
      <c r="AI2025" s="77" t="b">
        <v>0</v>
      </c>
      <c r="AJ2025" s="77"/>
      <c r="AK2025" s="77"/>
      <c r="AL2025" s="77"/>
      <c r="AM2025" s="77"/>
      <c r="AN2025" s="77"/>
      <c r="AO2025" s="77"/>
      <c r="AP2025" s="77"/>
      <c r="AQ2025" s="77"/>
      <c r="AR2025" s="77"/>
      <c r="AS2025" s="77"/>
      <c r="AT2025" s="77"/>
      <c r="AU2025" s="77"/>
      <c r="AV2025" s="83" t="str">
        <f>HYPERLINK("https://pbs.twimg.com/profile_images/1285381496145149953/wBxQQSgw_normal.jpg")</f>
        <v>https://pbs.twimg.com/profile_images/1285381496145149953/wBxQQSgw_normal.jpg</v>
      </c>
      <c r="AW2025" s="81" t="s">
        <v>11133</v>
      </c>
      <c r="AX2025" s="81" t="s">
        <v>11133</v>
      </c>
      <c r="AY2025" s="77"/>
      <c r="AZ2025" s="81" t="s">
        <v>11359</v>
      </c>
      <c r="BA2025" s="81" t="s">
        <v>11359</v>
      </c>
      <c r="BB2025" s="81" t="s">
        <v>11359</v>
      </c>
      <c r="BC2025" s="81" t="s">
        <v>11133</v>
      </c>
      <c r="BD2025" s="77">
        <v>58476421</v>
      </c>
      <c r="BE2025" s="77"/>
      <c r="BF2025" s="77"/>
      <c r="BG2025" s="77"/>
      <c r="BH2025" s="77"/>
      <c r="BI2025" s="77"/>
    </row>
    <row r="2026" spans="1:61" x14ac:dyDescent="0.25">
      <c r="A2026" s="62" t="s">
        <v>821</v>
      </c>
      <c r="B2026" s="62" t="s">
        <v>821</v>
      </c>
      <c r="C2026" s="63"/>
      <c r="D2026" s="64"/>
      <c r="E2026" s="65"/>
      <c r="F2026" s="66"/>
      <c r="G2026" s="63"/>
      <c r="H2026" s="67"/>
      <c r="I2026" s="68"/>
      <c r="J2026" s="68"/>
      <c r="K2026" s="32"/>
      <c r="L2026" s="75">
        <v>2026</v>
      </c>
      <c r="M2026" s="75"/>
      <c r="N2026" s="70"/>
      <c r="O2026" s="77" t="s">
        <v>179</v>
      </c>
      <c r="P2026" s="79">
        <v>45057.751215277778</v>
      </c>
      <c r="Q2026" s="77" t="s">
        <v>2804</v>
      </c>
      <c r="R2026" s="77">
        <v>0</v>
      </c>
      <c r="S2026" s="77">
        <v>0</v>
      </c>
      <c r="T2026" s="77">
        <v>0</v>
      </c>
      <c r="U2026" s="77">
        <v>0</v>
      </c>
      <c r="V2026" s="77">
        <v>7</v>
      </c>
      <c r="W2026" s="81" t="s">
        <v>4067</v>
      </c>
      <c r="X2026" s="83" t="str">
        <f>HYPERLINK("https://ananicolau.blogspot.com/2011/04/compra-e-venda-de-imovel.html")</f>
        <v>https://ananicolau.blogspot.com/2011/04/compra-e-venda-de-imovel.html</v>
      </c>
      <c r="Y2026" s="77" t="s">
        <v>4216</v>
      </c>
      <c r="Z2026" s="77"/>
      <c r="AA2026" s="77"/>
      <c r="AB2026" s="77"/>
      <c r="AC2026" s="81" t="s">
        <v>5805</v>
      </c>
      <c r="AD2026" s="77" t="s">
        <v>5851</v>
      </c>
      <c r="AE2026" s="83" t="str">
        <f>HYPERLINK("https://twitter.com/analucianicolau/status/1656721267448324097")</f>
        <v>https://twitter.com/analucianicolau/status/1656721267448324097</v>
      </c>
      <c r="AF2026" s="79">
        <v>45057.751215277778</v>
      </c>
      <c r="AG2026" s="85">
        <v>45057</v>
      </c>
      <c r="AH2026" s="81" t="s">
        <v>7631</v>
      </c>
      <c r="AI2026" s="77" t="b">
        <v>0</v>
      </c>
      <c r="AJ2026" s="77"/>
      <c r="AK2026" s="77"/>
      <c r="AL2026" s="77"/>
      <c r="AM2026" s="77"/>
      <c r="AN2026" s="77"/>
      <c r="AO2026" s="77"/>
      <c r="AP2026" s="77"/>
      <c r="AQ2026" s="77"/>
      <c r="AR2026" s="77"/>
      <c r="AS2026" s="77"/>
      <c r="AT2026" s="77"/>
      <c r="AU2026" s="77"/>
      <c r="AV2026" s="83" t="str">
        <f>HYPERLINK("https://pbs.twimg.com/profile_images/1285381496145149953/wBxQQSgw_normal.jpg")</f>
        <v>https://pbs.twimg.com/profile_images/1285381496145149953/wBxQQSgw_normal.jpg</v>
      </c>
      <c r="AW2026" s="81" t="s">
        <v>11134</v>
      </c>
      <c r="AX2026" s="81" t="s">
        <v>11134</v>
      </c>
      <c r="AY2026" s="77"/>
      <c r="AZ2026" s="81" t="s">
        <v>11359</v>
      </c>
      <c r="BA2026" s="81" t="s">
        <v>11359</v>
      </c>
      <c r="BB2026" s="81" t="s">
        <v>11359</v>
      </c>
      <c r="BC2026" s="81" t="s">
        <v>11134</v>
      </c>
      <c r="BD2026" s="77">
        <v>58476421</v>
      </c>
      <c r="BE2026" s="77"/>
      <c r="BF2026" s="77"/>
      <c r="BG2026" s="77"/>
      <c r="BH2026" s="77"/>
      <c r="BI2026" s="77"/>
    </row>
    <row r="2027" spans="1:61" x14ac:dyDescent="0.25">
      <c r="A2027" s="62" t="s">
        <v>821</v>
      </c>
      <c r="B2027" s="62" t="s">
        <v>821</v>
      </c>
      <c r="C2027" s="63"/>
      <c r="D2027" s="64"/>
      <c r="E2027" s="65"/>
      <c r="F2027" s="66"/>
      <c r="G2027" s="63"/>
      <c r="H2027" s="67"/>
      <c r="I2027" s="68"/>
      <c r="J2027" s="68"/>
      <c r="K2027" s="32"/>
      <c r="L2027" s="75">
        <v>2027</v>
      </c>
      <c r="M2027" s="75"/>
      <c r="N2027" s="70"/>
      <c r="O2027" s="77" t="s">
        <v>179</v>
      </c>
      <c r="P2027" s="79">
        <v>45150.946932870371</v>
      </c>
      <c r="Q2027" s="77" t="s">
        <v>2805</v>
      </c>
      <c r="R2027" s="77">
        <v>0</v>
      </c>
      <c r="S2027" s="77">
        <v>0</v>
      </c>
      <c r="T2027" s="77">
        <v>0</v>
      </c>
      <c r="U2027" s="77">
        <v>0</v>
      </c>
      <c r="V2027" s="77">
        <v>3</v>
      </c>
      <c r="W2027" s="81" t="s">
        <v>4068</v>
      </c>
      <c r="X2027" s="83" t="str">
        <f>HYPERLINK("https://www.ananicolau.adv.br/2018/09/condominio-edilicio-responsabilidade-do.html")</f>
        <v>https://www.ananicolau.adv.br/2018/09/condominio-edilicio-responsabilidade-do.html</v>
      </c>
      <c r="Y2027" s="77" t="s">
        <v>4350</v>
      </c>
      <c r="Z2027" s="77"/>
      <c r="AA2027" s="77"/>
      <c r="AB2027" s="77"/>
      <c r="AC2027" s="81" t="s">
        <v>5805</v>
      </c>
      <c r="AD2027" s="77" t="s">
        <v>5851</v>
      </c>
      <c r="AE2027" s="83" t="str">
        <f>HYPERLINK("https://twitter.com/analucianicolau/status/1690494263807692802")</f>
        <v>https://twitter.com/analucianicolau/status/1690494263807692802</v>
      </c>
      <c r="AF2027" s="79">
        <v>45150.946932870371</v>
      </c>
      <c r="AG2027" s="85">
        <v>45150</v>
      </c>
      <c r="AH2027" s="81" t="s">
        <v>7632</v>
      </c>
      <c r="AI2027" s="77" t="b">
        <v>0</v>
      </c>
      <c r="AJ2027" s="77"/>
      <c r="AK2027" s="77"/>
      <c r="AL2027" s="77"/>
      <c r="AM2027" s="77"/>
      <c r="AN2027" s="77"/>
      <c r="AO2027" s="77"/>
      <c r="AP2027" s="77"/>
      <c r="AQ2027" s="77"/>
      <c r="AR2027" s="77"/>
      <c r="AS2027" s="77"/>
      <c r="AT2027" s="77"/>
      <c r="AU2027" s="77"/>
      <c r="AV2027" s="83" t="str">
        <f>HYPERLINK("https://pbs.twimg.com/profile_images/1285381496145149953/wBxQQSgw_normal.jpg")</f>
        <v>https://pbs.twimg.com/profile_images/1285381496145149953/wBxQQSgw_normal.jpg</v>
      </c>
      <c r="AW2027" s="81" t="s">
        <v>11135</v>
      </c>
      <c r="AX2027" s="81" t="s">
        <v>11135</v>
      </c>
      <c r="AY2027" s="77"/>
      <c r="AZ2027" s="81" t="s">
        <v>11359</v>
      </c>
      <c r="BA2027" s="81" t="s">
        <v>11359</v>
      </c>
      <c r="BB2027" s="81" t="s">
        <v>11359</v>
      </c>
      <c r="BC2027" s="81" t="s">
        <v>11135</v>
      </c>
      <c r="BD2027" s="77">
        <v>58476421</v>
      </c>
      <c r="BE2027" s="77"/>
      <c r="BF2027" s="77"/>
      <c r="BG2027" s="77"/>
      <c r="BH2027" s="77"/>
      <c r="BI2027" s="77"/>
    </row>
    <row r="2028" spans="1:61" x14ac:dyDescent="0.25">
      <c r="A2028" s="62" t="s">
        <v>821</v>
      </c>
      <c r="B2028" s="62" t="s">
        <v>821</v>
      </c>
      <c r="C2028" s="63"/>
      <c r="D2028" s="64"/>
      <c r="E2028" s="65"/>
      <c r="F2028" s="66"/>
      <c r="G2028" s="63"/>
      <c r="H2028" s="67"/>
      <c r="I2028" s="68"/>
      <c r="J2028" s="68"/>
      <c r="K2028" s="32"/>
      <c r="L2028" s="75">
        <v>2028</v>
      </c>
      <c r="M2028" s="75"/>
      <c r="N2028" s="70"/>
      <c r="O2028" s="77" t="s">
        <v>179</v>
      </c>
      <c r="P2028" s="79">
        <v>45055.413194444445</v>
      </c>
      <c r="Q2028" s="77" t="s">
        <v>2806</v>
      </c>
      <c r="R2028" s="77">
        <v>0</v>
      </c>
      <c r="S2028" s="77">
        <v>0</v>
      </c>
      <c r="T2028" s="77">
        <v>0</v>
      </c>
      <c r="U2028" s="77">
        <v>0</v>
      </c>
      <c r="V2028" s="77">
        <v>3</v>
      </c>
      <c r="W2028" s="81" t="s">
        <v>4069</v>
      </c>
      <c r="X2028" s="83" t="str">
        <f>HYPERLINK("https://ananicolau.blogspot.com/2011/04/compra-e-venda-de-imovel.html")</f>
        <v>https://ananicolau.blogspot.com/2011/04/compra-e-venda-de-imovel.html</v>
      </c>
      <c r="Y2028" s="77" t="s">
        <v>4216</v>
      </c>
      <c r="Z2028" s="77"/>
      <c r="AA2028" s="77"/>
      <c r="AB2028" s="77"/>
      <c r="AC2028" s="81" t="s">
        <v>5805</v>
      </c>
      <c r="AD2028" s="77" t="s">
        <v>5851</v>
      </c>
      <c r="AE2028" s="83" t="str">
        <f>HYPERLINK("https://twitter.com/analucianicolau/status/1655873997052018688")</f>
        <v>https://twitter.com/analucianicolau/status/1655873997052018688</v>
      </c>
      <c r="AF2028" s="79">
        <v>45055.413194444445</v>
      </c>
      <c r="AG2028" s="85">
        <v>45055</v>
      </c>
      <c r="AH2028" s="81" t="s">
        <v>7633</v>
      </c>
      <c r="AI2028" s="77" t="b">
        <v>0</v>
      </c>
      <c r="AJ2028" s="77"/>
      <c r="AK2028" s="77"/>
      <c r="AL2028" s="77"/>
      <c r="AM2028" s="77"/>
      <c r="AN2028" s="77"/>
      <c r="AO2028" s="77"/>
      <c r="AP2028" s="77"/>
      <c r="AQ2028" s="77"/>
      <c r="AR2028" s="77"/>
      <c r="AS2028" s="77"/>
      <c r="AT2028" s="77"/>
      <c r="AU2028" s="77"/>
      <c r="AV2028" s="83" t="str">
        <f>HYPERLINK("https://pbs.twimg.com/profile_images/1285381496145149953/wBxQQSgw_normal.jpg")</f>
        <v>https://pbs.twimg.com/profile_images/1285381496145149953/wBxQQSgw_normal.jpg</v>
      </c>
      <c r="AW2028" s="81" t="s">
        <v>11136</v>
      </c>
      <c r="AX2028" s="81" t="s">
        <v>11136</v>
      </c>
      <c r="AY2028" s="77"/>
      <c r="AZ2028" s="81" t="s">
        <v>11359</v>
      </c>
      <c r="BA2028" s="81" t="s">
        <v>11359</v>
      </c>
      <c r="BB2028" s="81" t="s">
        <v>11359</v>
      </c>
      <c r="BC2028" s="81" t="s">
        <v>11136</v>
      </c>
      <c r="BD2028" s="77">
        <v>58476421</v>
      </c>
      <c r="BE2028" s="77"/>
      <c r="BF2028" s="77"/>
      <c r="BG2028" s="77"/>
      <c r="BH2028" s="77"/>
      <c r="BI2028" s="77"/>
    </row>
    <row r="2029" spans="1:61" x14ac:dyDescent="0.25">
      <c r="A2029" s="62" t="s">
        <v>821</v>
      </c>
      <c r="B2029" s="62" t="s">
        <v>821</v>
      </c>
      <c r="C2029" s="63"/>
      <c r="D2029" s="64"/>
      <c r="E2029" s="65"/>
      <c r="F2029" s="66"/>
      <c r="G2029" s="63"/>
      <c r="H2029" s="67"/>
      <c r="I2029" s="68"/>
      <c r="J2029" s="68"/>
      <c r="K2029" s="32"/>
      <c r="L2029" s="75">
        <v>2029</v>
      </c>
      <c r="M2029" s="75"/>
      <c r="N2029" s="70"/>
      <c r="O2029" s="77" t="s">
        <v>179</v>
      </c>
      <c r="P2029" s="79">
        <v>45158.912476851852</v>
      </c>
      <c r="Q2029" s="77" t="s">
        <v>2807</v>
      </c>
      <c r="R2029" s="77">
        <v>0</v>
      </c>
      <c r="S2029" s="77">
        <v>0</v>
      </c>
      <c r="T2029" s="77">
        <v>0</v>
      </c>
      <c r="U2029" s="77">
        <v>0</v>
      </c>
      <c r="V2029" s="77">
        <v>2</v>
      </c>
      <c r="W2029" s="81" t="s">
        <v>4070</v>
      </c>
      <c r="X2029" s="83" t="str">
        <f>HYPERLINK("https://www.ananicolau.adv.br/2018/09/condominio-edilicio-responsabilidade-do.html")</f>
        <v>https://www.ananicolau.adv.br/2018/09/condominio-edilicio-responsabilidade-do.html</v>
      </c>
      <c r="Y2029" s="77" t="s">
        <v>4350</v>
      </c>
      <c r="Z2029" s="77"/>
      <c r="AA2029" s="77"/>
      <c r="AB2029" s="77"/>
      <c r="AC2029" s="81" t="s">
        <v>5805</v>
      </c>
      <c r="AD2029" s="77" t="s">
        <v>5851</v>
      </c>
      <c r="AE2029" s="83" t="str">
        <f>HYPERLINK("https://twitter.com/analucianicolau/status/1693380883917472245")</f>
        <v>https://twitter.com/analucianicolau/status/1693380883917472245</v>
      </c>
      <c r="AF2029" s="79">
        <v>45158.912476851852</v>
      </c>
      <c r="AG2029" s="85">
        <v>45158</v>
      </c>
      <c r="AH2029" s="81" t="s">
        <v>7634</v>
      </c>
      <c r="AI2029" s="77" t="b">
        <v>0</v>
      </c>
      <c r="AJ2029" s="77"/>
      <c r="AK2029" s="77"/>
      <c r="AL2029" s="77"/>
      <c r="AM2029" s="77"/>
      <c r="AN2029" s="77"/>
      <c r="AO2029" s="77"/>
      <c r="AP2029" s="77"/>
      <c r="AQ2029" s="77"/>
      <c r="AR2029" s="77"/>
      <c r="AS2029" s="77"/>
      <c r="AT2029" s="77"/>
      <c r="AU2029" s="77"/>
      <c r="AV2029" s="83" t="str">
        <f>HYPERLINK("https://pbs.twimg.com/profile_images/1285381496145149953/wBxQQSgw_normal.jpg")</f>
        <v>https://pbs.twimg.com/profile_images/1285381496145149953/wBxQQSgw_normal.jpg</v>
      </c>
      <c r="AW2029" s="81" t="s">
        <v>11137</v>
      </c>
      <c r="AX2029" s="81" t="s">
        <v>11137</v>
      </c>
      <c r="AY2029" s="77"/>
      <c r="AZ2029" s="81" t="s">
        <v>11359</v>
      </c>
      <c r="BA2029" s="81" t="s">
        <v>11359</v>
      </c>
      <c r="BB2029" s="81" t="s">
        <v>11359</v>
      </c>
      <c r="BC2029" s="81" t="s">
        <v>11137</v>
      </c>
      <c r="BD2029" s="77">
        <v>58476421</v>
      </c>
      <c r="BE2029" s="77"/>
      <c r="BF2029" s="77"/>
      <c r="BG2029" s="77"/>
      <c r="BH2029" s="77"/>
      <c r="BI2029" s="77"/>
    </row>
    <row r="2030" spans="1:61" x14ac:dyDescent="0.25">
      <c r="A2030" s="62" t="s">
        <v>822</v>
      </c>
      <c r="B2030" s="62" t="s">
        <v>822</v>
      </c>
      <c r="C2030" s="63"/>
      <c r="D2030" s="64"/>
      <c r="E2030" s="65"/>
      <c r="F2030" s="66"/>
      <c r="G2030" s="63"/>
      <c r="H2030" s="67"/>
      <c r="I2030" s="68"/>
      <c r="J2030" s="68"/>
      <c r="K2030" s="32"/>
      <c r="L2030" s="75">
        <v>2030</v>
      </c>
      <c r="M2030" s="75"/>
      <c r="N2030" s="70"/>
      <c r="O2030" s="77" t="s">
        <v>179</v>
      </c>
      <c r="P2030" s="79">
        <v>44932.792604166665</v>
      </c>
      <c r="Q2030" s="77" t="s">
        <v>2808</v>
      </c>
      <c r="R2030" s="77">
        <v>0</v>
      </c>
      <c r="S2030" s="77">
        <v>0</v>
      </c>
      <c r="T2030" s="77">
        <v>0</v>
      </c>
      <c r="U2030" s="77">
        <v>0</v>
      </c>
      <c r="V2030" s="77">
        <v>68</v>
      </c>
      <c r="W2030" s="81" t="s">
        <v>4071</v>
      </c>
      <c r="X2030" s="77"/>
      <c r="Y2030" s="77"/>
      <c r="Z2030" s="77"/>
      <c r="AA2030" s="77" t="s">
        <v>5719</v>
      </c>
      <c r="AB2030" s="77" t="s">
        <v>5794</v>
      </c>
      <c r="AC2030" s="81" t="s">
        <v>5805</v>
      </c>
      <c r="AD2030" s="77" t="s">
        <v>5850</v>
      </c>
      <c r="AE2030" s="83" t="str">
        <f>HYPERLINK("https://twitter.com/emoes73/status/1611437783121526787")</f>
        <v>https://twitter.com/emoes73/status/1611437783121526787</v>
      </c>
      <c r="AF2030" s="79">
        <v>44932.792604166665</v>
      </c>
      <c r="AG2030" s="85">
        <v>44932</v>
      </c>
      <c r="AH2030" s="81" t="s">
        <v>7635</v>
      </c>
      <c r="AI2030" s="77" t="b">
        <v>0</v>
      </c>
      <c r="AJ2030" s="77"/>
      <c r="AK2030" s="77"/>
      <c r="AL2030" s="77"/>
      <c r="AM2030" s="77"/>
      <c r="AN2030" s="77"/>
      <c r="AO2030" s="77"/>
      <c r="AP2030" s="77"/>
      <c r="AQ2030" s="77" t="s">
        <v>9217</v>
      </c>
      <c r="AR2030" s="77"/>
      <c r="AS2030" s="77"/>
      <c r="AT2030" s="77"/>
      <c r="AU2030" s="77"/>
      <c r="AV2030" s="83" t="str">
        <f>HYPERLINK("https://pbs.twimg.com/media/Flz6AZrXEAgWzZt.jpg")</f>
        <v>https://pbs.twimg.com/media/Flz6AZrXEAgWzZt.jpg</v>
      </c>
      <c r="AW2030" s="81" t="s">
        <v>11138</v>
      </c>
      <c r="AX2030" s="81" t="s">
        <v>11138</v>
      </c>
      <c r="AY2030" s="77"/>
      <c r="AZ2030" s="81" t="s">
        <v>11359</v>
      </c>
      <c r="BA2030" s="81" t="s">
        <v>11359</v>
      </c>
      <c r="BB2030" s="81" t="s">
        <v>11359</v>
      </c>
      <c r="BC2030" s="81" t="s">
        <v>11138</v>
      </c>
      <c r="BD2030" s="77">
        <v>251630417</v>
      </c>
      <c r="BE2030" s="77"/>
      <c r="BF2030" s="77"/>
      <c r="BG2030" s="77"/>
      <c r="BH2030" s="77"/>
      <c r="BI2030" s="77"/>
    </row>
    <row r="2031" spans="1:61" x14ac:dyDescent="0.25">
      <c r="A2031" s="62" t="s">
        <v>823</v>
      </c>
      <c r="B2031" s="62" t="s">
        <v>823</v>
      </c>
      <c r="C2031" s="63"/>
      <c r="D2031" s="64"/>
      <c r="E2031" s="65"/>
      <c r="F2031" s="66"/>
      <c r="G2031" s="63"/>
      <c r="H2031" s="67"/>
      <c r="I2031" s="68"/>
      <c r="J2031" s="68"/>
      <c r="K2031" s="32"/>
      <c r="L2031" s="75">
        <v>2031</v>
      </c>
      <c r="M2031" s="75"/>
      <c r="N2031" s="70"/>
      <c r="O2031" s="77" t="s">
        <v>179</v>
      </c>
      <c r="P2031" s="79">
        <v>45078.760254629633</v>
      </c>
      <c r="Q2031" s="77" t="s">
        <v>2809</v>
      </c>
      <c r="R2031" s="77">
        <v>0</v>
      </c>
      <c r="S2031" s="77">
        <v>0</v>
      </c>
      <c r="T2031" s="77">
        <v>0</v>
      </c>
      <c r="U2031" s="77">
        <v>0</v>
      </c>
      <c r="V2031" s="77">
        <v>8</v>
      </c>
      <c r="W2031" s="81" t="s">
        <v>4072</v>
      </c>
      <c r="X2031" s="77"/>
      <c r="Y2031" s="77"/>
      <c r="Z2031" s="77"/>
      <c r="AA2031" s="77"/>
      <c r="AB2031" s="77"/>
      <c r="AC2031" s="81" t="s">
        <v>5801</v>
      </c>
      <c r="AD2031" s="77" t="s">
        <v>5850</v>
      </c>
      <c r="AE2031" s="83" t="str">
        <f>HYPERLINK("https://twitter.com/hulajop/status/1664334687840378881")</f>
        <v>https://twitter.com/hulajop/status/1664334687840378881</v>
      </c>
      <c r="AF2031" s="79">
        <v>45078.760254629633</v>
      </c>
      <c r="AG2031" s="85">
        <v>45078</v>
      </c>
      <c r="AH2031" s="81" t="s">
        <v>7636</v>
      </c>
      <c r="AI2031" s="77"/>
      <c r="AJ2031" s="77"/>
      <c r="AK2031" s="77"/>
      <c r="AL2031" s="77"/>
      <c r="AM2031" s="77"/>
      <c r="AN2031" s="77"/>
      <c r="AO2031" s="77"/>
      <c r="AP2031" s="77"/>
      <c r="AQ2031" s="77"/>
      <c r="AR2031" s="77"/>
      <c r="AS2031" s="77"/>
      <c r="AT2031" s="77"/>
      <c r="AU2031" s="77"/>
      <c r="AV2031" s="83" t="str">
        <f>HYPERLINK("https://pbs.twimg.com/profile_images/1494016253605908483/zgqS1D1T_normal.jpg")</f>
        <v>https://pbs.twimg.com/profile_images/1494016253605908483/zgqS1D1T_normal.jpg</v>
      </c>
      <c r="AW2031" s="81" t="s">
        <v>11139</v>
      </c>
      <c r="AX2031" s="81" t="s">
        <v>11139</v>
      </c>
      <c r="AY2031" s="77"/>
      <c r="AZ2031" s="81" t="s">
        <v>11359</v>
      </c>
      <c r="BA2031" s="81" t="s">
        <v>11359</v>
      </c>
      <c r="BB2031" s="81" t="s">
        <v>11359</v>
      </c>
      <c r="BC2031" s="81" t="s">
        <v>11139</v>
      </c>
      <c r="BD2031" s="77">
        <v>363165131</v>
      </c>
      <c r="BE2031" s="77"/>
      <c r="BF2031" s="77"/>
      <c r="BG2031" s="77"/>
      <c r="BH2031" s="77"/>
      <c r="BI2031" s="77"/>
    </row>
    <row r="2032" spans="1:61" x14ac:dyDescent="0.25">
      <c r="A2032" s="62" t="s">
        <v>824</v>
      </c>
      <c r="B2032" s="62" t="s">
        <v>824</v>
      </c>
      <c r="C2032" s="63"/>
      <c r="D2032" s="64"/>
      <c r="E2032" s="65"/>
      <c r="F2032" s="66"/>
      <c r="G2032" s="63"/>
      <c r="H2032" s="67"/>
      <c r="I2032" s="68"/>
      <c r="J2032" s="68"/>
      <c r="K2032" s="32"/>
      <c r="L2032" s="75">
        <v>2032</v>
      </c>
      <c r="M2032" s="75"/>
      <c r="N2032" s="70"/>
      <c r="O2032" s="77" t="s">
        <v>179</v>
      </c>
      <c r="P2032" s="79">
        <v>44974.920775462961</v>
      </c>
      <c r="Q2032" s="77" t="s">
        <v>2810</v>
      </c>
      <c r="R2032" s="77">
        <v>0</v>
      </c>
      <c r="S2032" s="77">
        <v>1</v>
      </c>
      <c r="T2032" s="77">
        <v>0</v>
      </c>
      <c r="U2032" s="77">
        <v>0</v>
      </c>
      <c r="V2032" s="77">
        <v>70</v>
      </c>
      <c r="W2032" s="81" t="s">
        <v>4073</v>
      </c>
      <c r="X2032" s="77"/>
      <c r="Y2032" s="77"/>
      <c r="Z2032" s="77"/>
      <c r="AA2032" s="77" t="s">
        <v>5720</v>
      </c>
      <c r="AB2032" s="77" t="s">
        <v>5795</v>
      </c>
      <c r="AC2032" s="81" t="s">
        <v>5801</v>
      </c>
      <c r="AD2032" s="77" t="s">
        <v>5850</v>
      </c>
      <c r="AE2032" s="83" t="str">
        <f>HYPERLINK("https://twitter.com/claudel_vlogs/status/1626704522637606912")</f>
        <v>https://twitter.com/claudel_vlogs/status/1626704522637606912</v>
      </c>
      <c r="AF2032" s="79">
        <v>44974.920775462961</v>
      </c>
      <c r="AG2032" s="85">
        <v>44974</v>
      </c>
      <c r="AH2032" s="81" t="s">
        <v>7637</v>
      </c>
      <c r="AI2032" s="77" t="b">
        <v>0</v>
      </c>
      <c r="AJ2032" s="77" t="s">
        <v>7760</v>
      </c>
      <c r="AK2032" s="77" t="s">
        <v>7770</v>
      </c>
      <c r="AL2032" s="77" t="s">
        <v>7779</v>
      </c>
      <c r="AM2032" s="77" t="s">
        <v>7814</v>
      </c>
      <c r="AN2032" s="77" t="s">
        <v>7850</v>
      </c>
      <c r="AO2032" s="77" t="s">
        <v>7886</v>
      </c>
      <c r="AP2032" s="77" t="s">
        <v>7890</v>
      </c>
      <c r="AQ2032" s="77" t="s">
        <v>9218</v>
      </c>
      <c r="AR2032" s="77">
        <v>44988</v>
      </c>
      <c r="AS2032" s="77"/>
      <c r="AT2032" s="77"/>
      <c r="AU2032" s="77"/>
      <c r="AV2032" s="83" t="str">
        <f>HYPERLINK("https://pbs.twimg.com/ext_tw_video_thumb/1626704451523297282/pu/img/nUKFvofvJmJOvY-s.jpg")</f>
        <v>https://pbs.twimg.com/ext_tw_video_thumb/1626704451523297282/pu/img/nUKFvofvJmJOvY-s.jpg</v>
      </c>
      <c r="AW2032" s="81" t="s">
        <v>11140</v>
      </c>
      <c r="AX2032" s="81" t="s">
        <v>11140</v>
      </c>
      <c r="AY2032" s="77"/>
      <c r="AZ2032" s="81" t="s">
        <v>11359</v>
      </c>
      <c r="BA2032" s="81" t="s">
        <v>11359</v>
      </c>
      <c r="BB2032" s="81" t="s">
        <v>11359</v>
      </c>
      <c r="BC2032" s="81" t="s">
        <v>11140</v>
      </c>
      <c r="BD2032" s="77">
        <v>1108342304</v>
      </c>
      <c r="BE2032" s="77"/>
      <c r="BF2032" s="77"/>
      <c r="BG2032" s="77"/>
      <c r="BH2032" s="77"/>
      <c r="BI2032" s="77"/>
    </row>
    <row r="2033" spans="1:61" x14ac:dyDescent="0.25">
      <c r="A2033" s="62" t="s">
        <v>825</v>
      </c>
      <c r="B2033" s="62" t="s">
        <v>825</v>
      </c>
      <c r="C2033" s="63"/>
      <c r="D2033" s="64"/>
      <c r="E2033" s="65"/>
      <c r="F2033" s="66"/>
      <c r="G2033" s="63"/>
      <c r="H2033" s="67"/>
      <c r="I2033" s="68"/>
      <c r="J2033" s="68"/>
      <c r="K2033" s="32"/>
      <c r="L2033" s="75">
        <v>2033</v>
      </c>
      <c r="M2033" s="75"/>
      <c r="N2033" s="70"/>
      <c r="O2033" s="77" t="s">
        <v>179</v>
      </c>
      <c r="P2033" s="79">
        <v>44977.770219907405</v>
      </c>
      <c r="Q2033" s="77" t="s">
        <v>2811</v>
      </c>
      <c r="R2033" s="77">
        <v>0</v>
      </c>
      <c r="S2033" s="77">
        <v>0</v>
      </c>
      <c r="T2033" s="77">
        <v>0</v>
      </c>
      <c r="U2033" s="77">
        <v>0</v>
      </c>
      <c r="V2033" s="77">
        <v>4</v>
      </c>
      <c r="W2033" s="81" t="s">
        <v>4074</v>
      </c>
      <c r="X2033" s="77"/>
      <c r="Y2033" s="77"/>
      <c r="Z2033" s="77"/>
      <c r="AA2033" s="77" t="s">
        <v>5721</v>
      </c>
      <c r="AB2033" s="77" t="s">
        <v>5795</v>
      </c>
      <c r="AC2033" s="81" t="s">
        <v>5805</v>
      </c>
      <c r="AD2033" s="77" t="s">
        <v>5850</v>
      </c>
      <c r="AE2033" s="83" t="str">
        <f>HYPERLINK("https://twitter.com/vendedortodo/status/1627737128175079432")</f>
        <v>https://twitter.com/vendedortodo/status/1627737128175079432</v>
      </c>
      <c r="AF2033" s="79">
        <v>44977.770219907405</v>
      </c>
      <c r="AG2033" s="85">
        <v>44977</v>
      </c>
      <c r="AH2033" s="81" t="s">
        <v>7638</v>
      </c>
      <c r="AI2033" s="77" t="b">
        <v>0</v>
      </c>
      <c r="AJ2033" s="77"/>
      <c r="AK2033" s="77"/>
      <c r="AL2033" s="77"/>
      <c r="AM2033" s="77"/>
      <c r="AN2033" s="77"/>
      <c r="AO2033" s="77"/>
      <c r="AP2033" s="77"/>
      <c r="AQ2033" s="77" t="s">
        <v>9219</v>
      </c>
      <c r="AR2033" s="77">
        <v>9845</v>
      </c>
      <c r="AS2033" s="77"/>
      <c r="AT2033" s="77"/>
      <c r="AU2033" s="77"/>
      <c r="AV2033" s="83" t="str">
        <f>HYPERLINK("https://pbs.twimg.com/ext_tw_video_thumb/1627736871722749954/pu/img/a7uz2s_k175F1jQj.jpg")</f>
        <v>https://pbs.twimg.com/ext_tw_video_thumb/1627736871722749954/pu/img/a7uz2s_k175F1jQj.jpg</v>
      </c>
      <c r="AW2033" s="81" t="s">
        <v>11141</v>
      </c>
      <c r="AX2033" s="81" t="s">
        <v>11141</v>
      </c>
      <c r="AY2033" s="77"/>
      <c r="AZ2033" s="81" t="s">
        <v>11359</v>
      </c>
      <c r="BA2033" s="81" t="s">
        <v>11359</v>
      </c>
      <c r="BB2033" s="81" t="s">
        <v>11359</v>
      </c>
      <c r="BC2033" s="81" t="s">
        <v>11141</v>
      </c>
      <c r="BD2033" s="81" t="s">
        <v>11688</v>
      </c>
      <c r="BE2033" s="77"/>
      <c r="BF2033" s="77"/>
      <c r="BG2033" s="77"/>
      <c r="BH2033" s="77"/>
      <c r="BI2033" s="77"/>
    </row>
    <row r="2034" spans="1:61" x14ac:dyDescent="0.25">
      <c r="A2034" s="62" t="s">
        <v>826</v>
      </c>
      <c r="B2034" s="62" t="s">
        <v>826</v>
      </c>
      <c r="C2034" s="63"/>
      <c r="D2034" s="64"/>
      <c r="E2034" s="65"/>
      <c r="F2034" s="66"/>
      <c r="G2034" s="63"/>
      <c r="H2034" s="67"/>
      <c r="I2034" s="68"/>
      <c r="J2034" s="68"/>
      <c r="K2034" s="32"/>
      <c r="L2034" s="75">
        <v>2034</v>
      </c>
      <c r="M2034" s="75"/>
      <c r="N2034" s="70"/>
      <c r="O2034" s="77" t="s">
        <v>179</v>
      </c>
      <c r="P2034" s="79">
        <v>45009.791377314818</v>
      </c>
      <c r="Q2034" s="77" t="s">
        <v>2812</v>
      </c>
      <c r="R2034" s="77">
        <v>1</v>
      </c>
      <c r="S2034" s="77">
        <v>1</v>
      </c>
      <c r="T2034" s="77">
        <v>0</v>
      </c>
      <c r="U2034" s="77">
        <v>0</v>
      </c>
      <c r="V2034" s="77">
        <v>101</v>
      </c>
      <c r="W2034" s="81" t="s">
        <v>4075</v>
      </c>
      <c r="X2034" s="77"/>
      <c r="Y2034" s="77"/>
      <c r="Z2034" s="77"/>
      <c r="AA2034" s="77" t="s">
        <v>5722</v>
      </c>
      <c r="AB2034" s="77" t="s">
        <v>5794</v>
      </c>
      <c r="AC2034" s="81" t="s">
        <v>5801</v>
      </c>
      <c r="AD2034" s="77" t="s">
        <v>5850</v>
      </c>
      <c r="AE2034" s="83" t="str">
        <f>HYPERLINK("https://twitter.com/diarioelvistazo/status/1639341207040974866")</f>
        <v>https://twitter.com/diarioelvistazo/status/1639341207040974866</v>
      </c>
      <c r="AF2034" s="79">
        <v>45009.791377314818</v>
      </c>
      <c r="AG2034" s="85">
        <v>45009</v>
      </c>
      <c r="AH2034" s="81" t="s">
        <v>7639</v>
      </c>
      <c r="AI2034" s="77" t="b">
        <v>0</v>
      </c>
      <c r="AJ2034" s="77"/>
      <c r="AK2034" s="77"/>
      <c r="AL2034" s="77"/>
      <c r="AM2034" s="77"/>
      <c r="AN2034" s="77"/>
      <c r="AO2034" s="77"/>
      <c r="AP2034" s="77"/>
      <c r="AQ2034" s="77" t="s">
        <v>9220</v>
      </c>
      <c r="AR2034" s="77"/>
      <c r="AS2034" s="77"/>
      <c r="AT2034" s="77"/>
      <c r="AU2034" s="77"/>
      <c r="AV2034" s="83" t="str">
        <f>HYPERLINK("https://pbs.twimg.com/media/FsAcIvoWcAESvWK.jpg")</f>
        <v>https://pbs.twimg.com/media/FsAcIvoWcAESvWK.jpg</v>
      </c>
      <c r="AW2034" s="81" t="s">
        <v>11142</v>
      </c>
      <c r="AX2034" s="81" t="s">
        <v>11142</v>
      </c>
      <c r="AY2034" s="77"/>
      <c r="AZ2034" s="81" t="s">
        <v>11359</v>
      </c>
      <c r="BA2034" s="81" t="s">
        <v>11359</v>
      </c>
      <c r="BB2034" s="81" t="s">
        <v>11359</v>
      </c>
      <c r="BC2034" s="81" t="s">
        <v>11142</v>
      </c>
      <c r="BD2034" s="77">
        <v>2193309186</v>
      </c>
      <c r="BE2034" s="77"/>
      <c r="BF2034" s="77"/>
      <c r="BG2034" s="77"/>
      <c r="BH2034" s="77"/>
      <c r="BI2034" s="77"/>
    </row>
    <row r="2035" spans="1:61" x14ac:dyDescent="0.25">
      <c r="A2035" s="62" t="s">
        <v>827</v>
      </c>
      <c r="B2035" s="62" t="s">
        <v>827</v>
      </c>
      <c r="C2035" s="63"/>
      <c r="D2035" s="64"/>
      <c r="E2035" s="65"/>
      <c r="F2035" s="66"/>
      <c r="G2035" s="63"/>
      <c r="H2035" s="67"/>
      <c r="I2035" s="68"/>
      <c r="J2035" s="68"/>
      <c r="K2035" s="32"/>
      <c r="L2035" s="75">
        <v>2035</v>
      </c>
      <c r="M2035" s="75"/>
      <c r="N2035" s="70"/>
      <c r="O2035" s="77" t="s">
        <v>179</v>
      </c>
      <c r="P2035" s="79">
        <v>45035.510625000003</v>
      </c>
      <c r="Q2035" s="77" t="s">
        <v>2813</v>
      </c>
      <c r="R2035" s="77">
        <v>0</v>
      </c>
      <c r="S2035" s="77">
        <v>0</v>
      </c>
      <c r="T2035" s="77">
        <v>0</v>
      </c>
      <c r="U2035" s="77">
        <v>0</v>
      </c>
      <c r="V2035" s="77">
        <v>20</v>
      </c>
      <c r="W2035" s="81" t="s">
        <v>4076</v>
      </c>
      <c r="X2035" s="83" t="str">
        <f>HYPERLINK("http://ow.ly/EAIy50NMKBS")</f>
        <v>http://ow.ly/EAIy50NMKBS</v>
      </c>
      <c r="Y2035" s="77" t="s">
        <v>4321</v>
      </c>
      <c r="Z2035" s="77"/>
      <c r="AA2035" s="77" t="s">
        <v>5723</v>
      </c>
      <c r="AB2035" s="77" t="s">
        <v>5794</v>
      </c>
      <c r="AC2035" s="81" t="s">
        <v>5802</v>
      </c>
      <c r="AD2035" s="77" t="s">
        <v>5850</v>
      </c>
      <c r="AE2035" s="83" t="str">
        <f>HYPERLINK("https://twitter.com/madavicompany/status/1648661547550425090")</f>
        <v>https://twitter.com/madavicompany/status/1648661547550425090</v>
      </c>
      <c r="AF2035" s="79">
        <v>45035.510625000003</v>
      </c>
      <c r="AG2035" s="85">
        <v>45035</v>
      </c>
      <c r="AH2035" s="81" t="s">
        <v>7640</v>
      </c>
      <c r="AI2035" s="77" t="b">
        <v>0</v>
      </c>
      <c r="AJ2035" s="77"/>
      <c r="AK2035" s="77"/>
      <c r="AL2035" s="77"/>
      <c r="AM2035" s="77"/>
      <c r="AN2035" s="77"/>
      <c r="AO2035" s="77"/>
      <c r="AP2035" s="77"/>
      <c r="AQ2035" s="77" t="s">
        <v>9221</v>
      </c>
      <c r="AR2035" s="77"/>
      <c r="AS2035" s="77"/>
      <c r="AT2035" s="77"/>
      <c r="AU2035" s="77"/>
      <c r="AV2035" s="83" t="str">
        <f>HYPERLINK("https://pbs.twimg.com/media/FuE48QMXwAMOo2t.jpg")</f>
        <v>https://pbs.twimg.com/media/FuE48QMXwAMOo2t.jpg</v>
      </c>
      <c r="AW2035" s="81" t="s">
        <v>11143</v>
      </c>
      <c r="AX2035" s="81" t="s">
        <v>11143</v>
      </c>
      <c r="AY2035" s="77"/>
      <c r="AZ2035" s="81" t="s">
        <v>11359</v>
      </c>
      <c r="BA2035" s="81" t="s">
        <v>11359</v>
      </c>
      <c r="BB2035" s="81" t="s">
        <v>11359</v>
      </c>
      <c r="BC2035" s="81" t="s">
        <v>11143</v>
      </c>
      <c r="BD2035" s="77">
        <v>2906245017</v>
      </c>
      <c r="BE2035" s="77"/>
      <c r="BF2035" s="77"/>
      <c r="BG2035" s="77"/>
      <c r="BH2035" s="77"/>
      <c r="BI2035" s="77"/>
    </row>
    <row r="2036" spans="1:61" x14ac:dyDescent="0.25">
      <c r="A2036" s="62" t="s">
        <v>828</v>
      </c>
      <c r="B2036" s="62" t="s">
        <v>842</v>
      </c>
      <c r="C2036" s="63"/>
      <c r="D2036" s="64"/>
      <c r="E2036" s="65"/>
      <c r="F2036" s="66"/>
      <c r="G2036" s="63"/>
      <c r="H2036" s="67"/>
      <c r="I2036" s="68"/>
      <c r="J2036" s="68"/>
      <c r="K2036" s="32"/>
      <c r="L2036" s="75">
        <v>2036</v>
      </c>
      <c r="M2036" s="75"/>
      <c r="N2036" s="70"/>
      <c r="O2036" s="77" t="s">
        <v>968</v>
      </c>
      <c r="P2036" s="79">
        <v>45195.739479166667</v>
      </c>
      <c r="Q2036" s="77" t="s">
        <v>1256</v>
      </c>
      <c r="R2036" s="77">
        <v>6</v>
      </c>
      <c r="S2036" s="77">
        <v>0</v>
      </c>
      <c r="T2036" s="77">
        <v>0</v>
      </c>
      <c r="U2036" s="77">
        <v>0</v>
      </c>
      <c r="V2036" s="77"/>
      <c r="W2036" s="81" t="s">
        <v>3131</v>
      </c>
      <c r="X2036" s="77"/>
      <c r="Y2036" s="77"/>
      <c r="Z2036" s="77" t="s">
        <v>842</v>
      </c>
      <c r="AA2036" s="77" t="s">
        <v>4557</v>
      </c>
      <c r="AB2036" s="77" t="s">
        <v>5794</v>
      </c>
      <c r="AC2036" s="81" t="s">
        <v>5801</v>
      </c>
      <c r="AD2036" s="77" t="s">
        <v>5850</v>
      </c>
      <c r="AE2036" s="83" t="str">
        <f>HYPERLINK("https://twitter.com/innovadorasv/status/1706726542846591277")</f>
        <v>https://twitter.com/innovadorasv/status/1706726542846591277</v>
      </c>
      <c r="AF2036" s="79">
        <v>45195.739479166667</v>
      </c>
      <c r="AG2036" s="85">
        <v>45195</v>
      </c>
      <c r="AH2036" s="81" t="s">
        <v>7641</v>
      </c>
      <c r="AI2036" s="77" t="b">
        <v>0</v>
      </c>
      <c r="AJ2036" s="77"/>
      <c r="AK2036" s="77"/>
      <c r="AL2036" s="77"/>
      <c r="AM2036" s="77"/>
      <c r="AN2036" s="77"/>
      <c r="AO2036" s="77"/>
      <c r="AP2036" s="77"/>
      <c r="AQ2036" s="77" t="s">
        <v>8060</v>
      </c>
      <c r="AR2036" s="77"/>
      <c r="AS2036" s="77"/>
      <c r="AT2036" s="77"/>
      <c r="AU2036" s="77"/>
      <c r="AV2036" s="83" t="str">
        <f>HYPERLINK("https://pbs.twimg.com/media/F6zNlOyWcAA7NH5.jpg")</f>
        <v>https://pbs.twimg.com/media/F6zNlOyWcAA7NH5.jpg</v>
      </c>
      <c r="AW2036" s="81" t="s">
        <v>11144</v>
      </c>
      <c r="AX2036" s="81" t="s">
        <v>11144</v>
      </c>
      <c r="AY2036" s="77"/>
      <c r="AZ2036" s="81" t="s">
        <v>11359</v>
      </c>
      <c r="BA2036" s="81" t="s">
        <v>11359</v>
      </c>
      <c r="BB2036" s="81" t="s">
        <v>11160</v>
      </c>
      <c r="BC2036" s="81" t="s">
        <v>11160</v>
      </c>
      <c r="BD2036" s="81" t="s">
        <v>11689</v>
      </c>
      <c r="BE2036" s="77"/>
      <c r="BF2036" s="77"/>
      <c r="BG2036" s="77"/>
      <c r="BH2036" s="77"/>
      <c r="BI2036" s="77"/>
    </row>
    <row r="2037" spans="1:61" x14ac:dyDescent="0.25">
      <c r="A2037" s="62" t="s">
        <v>829</v>
      </c>
      <c r="B2037" s="62" t="s">
        <v>829</v>
      </c>
      <c r="C2037" s="63"/>
      <c r="D2037" s="64"/>
      <c r="E2037" s="65"/>
      <c r="F2037" s="66"/>
      <c r="G2037" s="63"/>
      <c r="H2037" s="67"/>
      <c r="I2037" s="68"/>
      <c r="J2037" s="68"/>
      <c r="K2037" s="32"/>
      <c r="L2037" s="75">
        <v>2037</v>
      </c>
      <c r="M2037" s="75"/>
      <c r="N2037" s="70"/>
      <c r="O2037" s="77" t="s">
        <v>179</v>
      </c>
      <c r="P2037" s="79">
        <v>45138.454108796293</v>
      </c>
      <c r="Q2037" s="77" t="s">
        <v>2814</v>
      </c>
      <c r="R2037" s="77">
        <v>0</v>
      </c>
      <c r="S2037" s="77">
        <v>0</v>
      </c>
      <c r="T2037" s="77">
        <v>0</v>
      </c>
      <c r="U2037" s="77">
        <v>0</v>
      </c>
      <c r="V2037" s="77">
        <v>130</v>
      </c>
      <c r="W2037" s="81" t="s">
        <v>4077</v>
      </c>
      <c r="X2037" s="77"/>
      <c r="Y2037" s="77"/>
      <c r="Z2037" s="77"/>
      <c r="AA2037" s="77" t="s">
        <v>5724</v>
      </c>
      <c r="AB2037" s="77" t="s">
        <v>5794</v>
      </c>
      <c r="AC2037" s="81" t="s">
        <v>5801</v>
      </c>
      <c r="AD2037" s="77" t="s">
        <v>5853</v>
      </c>
      <c r="AE2037" s="83" t="str">
        <f>HYPERLINK("https://twitter.com/rubyy_studios/status/1685967016128122880")</f>
        <v>https://twitter.com/rubyy_studios/status/1685967016128122880</v>
      </c>
      <c r="AF2037" s="79">
        <v>45138.454108796293</v>
      </c>
      <c r="AG2037" s="85">
        <v>45138</v>
      </c>
      <c r="AH2037" s="81" t="s">
        <v>7642</v>
      </c>
      <c r="AI2037" s="77" t="b">
        <v>0</v>
      </c>
      <c r="AJ2037" s="77"/>
      <c r="AK2037" s="77"/>
      <c r="AL2037" s="77"/>
      <c r="AM2037" s="77"/>
      <c r="AN2037" s="77"/>
      <c r="AO2037" s="77"/>
      <c r="AP2037" s="77"/>
      <c r="AQ2037" s="77" t="s">
        <v>9222</v>
      </c>
      <c r="AR2037" s="77"/>
      <c r="AS2037" s="77"/>
      <c r="AT2037" s="77"/>
      <c r="AU2037" s="77"/>
      <c r="AV2037" s="83" t="str">
        <f>HYPERLINK("https://pbs.twimg.com/media/F2XCD8XXkAAJQyA.jpg")</f>
        <v>https://pbs.twimg.com/media/F2XCD8XXkAAJQyA.jpg</v>
      </c>
      <c r="AW2037" s="81" t="s">
        <v>11145</v>
      </c>
      <c r="AX2037" s="81" t="s">
        <v>11145</v>
      </c>
      <c r="AY2037" s="77"/>
      <c r="AZ2037" s="81" t="s">
        <v>11359</v>
      </c>
      <c r="BA2037" s="81" t="s">
        <v>11359</v>
      </c>
      <c r="BB2037" s="81" t="s">
        <v>11359</v>
      </c>
      <c r="BC2037" s="81" t="s">
        <v>11145</v>
      </c>
      <c r="BD2037" s="81" t="s">
        <v>11690</v>
      </c>
      <c r="BE2037" s="77"/>
      <c r="BF2037" s="77"/>
      <c r="BG2037" s="77"/>
      <c r="BH2037" s="77"/>
      <c r="BI2037" s="77"/>
    </row>
    <row r="2038" spans="1:61" x14ac:dyDescent="0.25">
      <c r="A2038" s="62" t="s">
        <v>830</v>
      </c>
      <c r="B2038" s="62" t="s">
        <v>830</v>
      </c>
      <c r="C2038" s="63"/>
      <c r="D2038" s="64"/>
      <c r="E2038" s="65"/>
      <c r="F2038" s="66"/>
      <c r="G2038" s="63"/>
      <c r="H2038" s="67"/>
      <c r="I2038" s="68"/>
      <c r="J2038" s="68"/>
      <c r="K2038" s="32"/>
      <c r="L2038" s="75">
        <v>2038</v>
      </c>
      <c r="M2038" s="75"/>
      <c r="N2038" s="70"/>
      <c r="O2038" s="77" t="s">
        <v>179</v>
      </c>
      <c r="P2038" s="79">
        <v>44952.051932870374</v>
      </c>
      <c r="Q2038" s="77" t="s">
        <v>2815</v>
      </c>
      <c r="R2038" s="77">
        <v>0</v>
      </c>
      <c r="S2038" s="77">
        <v>1</v>
      </c>
      <c r="T2038" s="77">
        <v>0</v>
      </c>
      <c r="U2038" s="77">
        <v>0</v>
      </c>
      <c r="V2038" s="77">
        <v>145</v>
      </c>
      <c r="W2038" s="81" t="s">
        <v>4078</v>
      </c>
      <c r="X2038" s="83" t="str">
        <f>HYPERLINK("https://www.periodicoenfoque.com.mx/viral/primero-lo-que-deja-mujer-no-deja-de-vender-tamales-a-pesar-de-que-auto-se-incendia-frente-a-su-puesto-video")</f>
        <v>https://www.periodicoenfoque.com.mx/viral/primero-lo-que-deja-mujer-no-deja-de-vender-tamales-a-pesar-de-que-auto-se-incendia-frente-a-su-puesto-video</v>
      </c>
      <c r="Y2038" s="77" t="s">
        <v>4222</v>
      </c>
      <c r="Z2038" s="77"/>
      <c r="AA2038" s="77"/>
      <c r="AB2038" s="77"/>
      <c r="AC2038" s="81" t="s">
        <v>5847</v>
      </c>
      <c r="AD2038" s="77" t="s">
        <v>5850</v>
      </c>
      <c r="AE2038" s="83" t="str">
        <f>HYPERLINK("https://twitter.com/p_enfoque/status/1618417130474463235")</f>
        <v>https://twitter.com/p_enfoque/status/1618417130474463235</v>
      </c>
      <c r="AF2038" s="79">
        <v>44952.051932870374</v>
      </c>
      <c r="AG2038" s="85">
        <v>44952</v>
      </c>
      <c r="AH2038" s="81" t="s">
        <v>7643</v>
      </c>
      <c r="AI2038" s="77" t="b">
        <v>0</v>
      </c>
      <c r="AJ2038" s="77"/>
      <c r="AK2038" s="77"/>
      <c r="AL2038" s="77"/>
      <c r="AM2038" s="77"/>
      <c r="AN2038" s="77"/>
      <c r="AO2038" s="77"/>
      <c r="AP2038" s="77"/>
      <c r="AQ2038" s="77"/>
      <c r="AR2038" s="77"/>
      <c r="AS2038" s="77"/>
      <c r="AT2038" s="77"/>
      <c r="AU2038" s="77"/>
      <c r="AV2038" s="83" t="str">
        <f>HYPERLINK("https://pbs.twimg.com/profile_images/1381993271229054981/a9vfG-zM_normal.jpg")</f>
        <v>https://pbs.twimg.com/profile_images/1381993271229054981/a9vfG-zM_normal.jpg</v>
      </c>
      <c r="AW2038" s="81" t="s">
        <v>11146</v>
      </c>
      <c r="AX2038" s="81" t="s">
        <v>11146</v>
      </c>
      <c r="AY2038" s="77"/>
      <c r="AZ2038" s="81" t="s">
        <v>11359</v>
      </c>
      <c r="BA2038" s="81" t="s">
        <v>11359</v>
      </c>
      <c r="BB2038" s="81" t="s">
        <v>11359</v>
      </c>
      <c r="BC2038" s="81" t="s">
        <v>11146</v>
      </c>
      <c r="BD2038" s="77">
        <v>99141179</v>
      </c>
      <c r="BE2038" s="77"/>
      <c r="BF2038" s="77"/>
      <c r="BG2038" s="77"/>
      <c r="BH2038" s="77"/>
      <c r="BI2038" s="77"/>
    </row>
    <row r="2039" spans="1:61" x14ac:dyDescent="0.25">
      <c r="A2039" s="62" t="s">
        <v>830</v>
      </c>
      <c r="B2039" s="62" t="s">
        <v>830</v>
      </c>
      <c r="C2039" s="63"/>
      <c r="D2039" s="64"/>
      <c r="E2039" s="65"/>
      <c r="F2039" s="66"/>
      <c r="G2039" s="63"/>
      <c r="H2039" s="67"/>
      <c r="I2039" s="68"/>
      <c r="J2039" s="68"/>
      <c r="K2039" s="32"/>
      <c r="L2039" s="75">
        <v>2039</v>
      </c>
      <c r="M2039" s="75"/>
      <c r="N2039" s="70"/>
      <c r="O2039" s="77" t="s">
        <v>179</v>
      </c>
      <c r="P2039" s="79">
        <v>45098.99355324074</v>
      </c>
      <c r="Q2039" s="77" t="s">
        <v>2816</v>
      </c>
      <c r="R2039" s="77">
        <v>0</v>
      </c>
      <c r="S2039" s="77">
        <v>0</v>
      </c>
      <c r="T2039" s="77">
        <v>0</v>
      </c>
      <c r="U2039" s="77">
        <v>0</v>
      </c>
      <c r="V2039" s="77">
        <v>44</v>
      </c>
      <c r="W2039" s="81" t="s">
        <v>4079</v>
      </c>
      <c r="X2039" s="83" t="str">
        <f>HYPERLINK("https://www.periodicoenfoque.com.mx/municipios/fallece-vendedor-de-camotes-en-atlixco")</f>
        <v>https://www.periodicoenfoque.com.mx/municipios/fallece-vendedor-de-camotes-en-atlixco</v>
      </c>
      <c r="Y2039" s="77" t="s">
        <v>4222</v>
      </c>
      <c r="Z2039" s="77"/>
      <c r="AA2039" s="77"/>
      <c r="AB2039" s="77"/>
      <c r="AC2039" s="81" t="s">
        <v>5848</v>
      </c>
      <c r="AD2039" s="77" t="s">
        <v>5850</v>
      </c>
      <c r="AE2039" s="83" t="str">
        <f>HYPERLINK("https://twitter.com/p_enfoque/status/1671666990950260736")</f>
        <v>https://twitter.com/p_enfoque/status/1671666990950260736</v>
      </c>
      <c r="AF2039" s="79">
        <v>45098.99355324074</v>
      </c>
      <c r="AG2039" s="85">
        <v>45098</v>
      </c>
      <c r="AH2039" s="81" t="s">
        <v>7644</v>
      </c>
      <c r="AI2039" s="77" t="b">
        <v>0</v>
      </c>
      <c r="AJ2039" s="77"/>
      <c r="AK2039" s="77"/>
      <c r="AL2039" s="77"/>
      <c r="AM2039" s="77"/>
      <c r="AN2039" s="77"/>
      <c r="AO2039" s="77"/>
      <c r="AP2039" s="77"/>
      <c r="AQ2039" s="77"/>
      <c r="AR2039" s="77"/>
      <c r="AS2039" s="77"/>
      <c r="AT2039" s="77"/>
      <c r="AU2039" s="77"/>
      <c r="AV2039" s="83" t="str">
        <f>HYPERLINK("https://pbs.twimg.com/profile_images/1381993271229054981/a9vfG-zM_normal.jpg")</f>
        <v>https://pbs.twimg.com/profile_images/1381993271229054981/a9vfG-zM_normal.jpg</v>
      </c>
      <c r="AW2039" s="81" t="s">
        <v>11147</v>
      </c>
      <c r="AX2039" s="81" t="s">
        <v>11147</v>
      </c>
      <c r="AY2039" s="77"/>
      <c r="AZ2039" s="81" t="s">
        <v>11359</v>
      </c>
      <c r="BA2039" s="81" t="s">
        <v>11359</v>
      </c>
      <c r="BB2039" s="81" t="s">
        <v>11359</v>
      </c>
      <c r="BC2039" s="81" t="s">
        <v>11147</v>
      </c>
      <c r="BD2039" s="77">
        <v>99141179</v>
      </c>
      <c r="BE2039" s="77"/>
      <c r="BF2039" s="77"/>
      <c r="BG2039" s="77"/>
      <c r="BH2039" s="77"/>
      <c r="BI2039" s="77"/>
    </row>
    <row r="2040" spans="1:61" x14ac:dyDescent="0.25">
      <c r="A2040" s="62" t="s">
        <v>831</v>
      </c>
      <c r="B2040" s="62" t="s">
        <v>831</v>
      </c>
      <c r="C2040" s="63"/>
      <c r="D2040" s="64"/>
      <c r="E2040" s="65"/>
      <c r="F2040" s="66"/>
      <c r="G2040" s="63"/>
      <c r="H2040" s="67"/>
      <c r="I2040" s="68"/>
      <c r="J2040" s="68"/>
      <c r="K2040" s="32"/>
      <c r="L2040" s="75">
        <v>2040</v>
      </c>
      <c r="M2040" s="75"/>
      <c r="N2040" s="70"/>
      <c r="O2040" s="77" t="s">
        <v>179</v>
      </c>
      <c r="P2040" s="79">
        <v>45090.288888888892</v>
      </c>
      <c r="Q2040" s="77" t="s">
        <v>2817</v>
      </c>
      <c r="R2040" s="77">
        <v>0</v>
      </c>
      <c r="S2040" s="77">
        <v>0</v>
      </c>
      <c r="T2040" s="77">
        <v>0</v>
      </c>
      <c r="U2040" s="77">
        <v>0</v>
      </c>
      <c r="V2040" s="77">
        <v>14</v>
      </c>
      <c r="W2040" s="81" t="s">
        <v>4080</v>
      </c>
      <c r="X2040" s="83" t="str">
        <f>HYPERLINK("https://www.liberalyarjona.com/actualidad?buco=noticia-del-dia/cuanto-tiempo-tiene-el-agente-para-reclamar")</f>
        <v>https://www.liberalyarjona.com/actualidad?buco=noticia-del-dia/cuanto-tiempo-tiene-el-agente-para-reclamar</v>
      </c>
      <c r="Y2040" s="77" t="s">
        <v>4351</v>
      </c>
      <c r="Z2040" s="77"/>
      <c r="AA2040" s="77"/>
      <c r="AB2040" s="77"/>
      <c r="AC2040" s="81" t="s">
        <v>5815</v>
      </c>
      <c r="AD2040" s="77" t="s">
        <v>5850</v>
      </c>
      <c r="AE2040" s="83" t="str">
        <f>HYPERLINK("https://twitter.com/liberalyarjona/status/1668512525451935745")</f>
        <v>https://twitter.com/liberalyarjona/status/1668512525451935745</v>
      </c>
      <c r="AF2040" s="79">
        <v>45090.288888888892</v>
      </c>
      <c r="AG2040" s="85">
        <v>45090</v>
      </c>
      <c r="AH2040" s="81" t="s">
        <v>7645</v>
      </c>
      <c r="AI2040" s="77" t="b">
        <v>0</v>
      </c>
      <c r="AJ2040" s="77"/>
      <c r="AK2040" s="77"/>
      <c r="AL2040" s="77"/>
      <c r="AM2040" s="77"/>
      <c r="AN2040" s="77"/>
      <c r="AO2040" s="77"/>
      <c r="AP2040" s="77"/>
      <c r="AQ2040" s="77"/>
      <c r="AR2040" s="77"/>
      <c r="AS2040" s="77"/>
      <c r="AT2040" s="77"/>
      <c r="AU2040" s="77"/>
      <c r="AV2040" s="83" t="str">
        <f>HYPERLINK("https://pbs.twimg.com/profile_images/1245053940863045642/vYMYczSw_normal.jpg")</f>
        <v>https://pbs.twimg.com/profile_images/1245053940863045642/vYMYczSw_normal.jpg</v>
      </c>
      <c r="AW2040" s="81" t="s">
        <v>11148</v>
      </c>
      <c r="AX2040" s="81" t="s">
        <v>11148</v>
      </c>
      <c r="AY2040" s="77"/>
      <c r="AZ2040" s="81" t="s">
        <v>11359</v>
      </c>
      <c r="BA2040" s="81" t="s">
        <v>11359</v>
      </c>
      <c r="BB2040" s="81" t="s">
        <v>11359</v>
      </c>
      <c r="BC2040" s="81" t="s">
        <v>11148</v>
      </c>
      <c r="BD2040" s="77">
        <v>535399848</v>
      </c>
      <c r="BE2040" s="77"/>
      <c r="BF2040" s="77"/>
      <c r="BG2040" s="77"/>
      <c r="BH2040" s="77"/>
      <c r="BI2040" s="77"/>
    </row>
    <row r="2041" spans="1:61" x14ac:dyDescent="0.25">
      <c r="A2041" s="62" t="s">
        <v>832</v>
      </c>
      <c r="B2041" s="62" t="s">
        <v>832</v>
      </c>
      <c r="C2041" s="63"/>
      <c r="D2041" s="64"/>
      <c r="E2041" s="65"/>
      <c r="F2041" s="66"/>
      <c r="G2041" s="63"/>
      <c r="H2041" s="67"/>
      <c r="I2041" s="68"/>
      <c r="J2041" s="68"/>
      <c r="K2041" s="32"/>
      <c r="L2041" s="75">
        <v>2041</v>
      </c>
      <c r="M2041" s="75"/>
      <c r="N2041" s="70"/>
      <c r="O2041" s="77" t="s">
        <v>179</v>
      </c>
      <c r="P2041" s="79">
        <v>44958.652268518519</v>
      </c>
      <c r="Q2041" s="77" t="s">
        <v>2818</v>
      </c>
      <c r="R2041" s="77">
        <v>0</v>
      </c>
      <c r="S2041" s="77">
        <v>0</v>
      </c>
      <c r="T2041" s="77">
        <v>0</v>
      </c>
      <c r="U2041" s="77">
        <v>0</v>
      </c>
      <c r="V2041" s="77">
        <v>32</v>
      </c>
      <c r="W2041" s="81" t="s">
        <v>4081</v>
      </c>
      <c r="X2041" s="77"/>
      <c r="Y2041" s="77"/>
      <c r="Z2041" s="77"/>
      <c r="AA2041" s="77"/>
      <c r="AB2041" s="77"/>
      <c r="AC2041" s="81" t="s">
        <v>5801</v>
      </c>
      <c r="AD2041" s="77" t="s">
        <v>5851</v>
      </c>
      <c r="AE2041" s="83" t="str">
        <f>HYPERLINK("https://twitter.com/filiperosan/status/1620809011603066883")</f>
        <v>https://twitter.com/filiperosan/status/1620809011603066883</v>
      </c>
      <c r="AF2041" s="79">
        <v>44958.652268518519</v>
      </c>
      <c r="AG2041" s="85">
        <v>44958</v>
      </c>
      <c r="AH2041" s="81" t="s">
        <v>7646</v>
      </c>
      <c r="AI2041" s="77"/>
      <c r="AJ2041" s="77"/>
      <c r="AK2041" s="77"/>
      <c r="AL2041" s="77"/>
      <c r="AM2041" s="77"/>
      <c r="AN2041" s="77"/>
      <c r="AO2041" s="77"/>
      <c r="AP2041" s="77"/>
      <c r="AQ2041" s="77"/>
      <c r="AR2041" s="77"/>
      <c r="AS2041" s="77"/>
      <c r="AT2041" s="77"/>
      <c r="AU2041" s="77"/>
      <c r="AV2041" s="83" t="str">
        <f>HYPERLINK("https://pbs.twimg.com/profile_images/1620459868359430147/5_S47SQ9_normal.jpg")</f>
        <v>https://pbs.twimg.com/profile_images/1620459868359430147/5_S47SQ9_normal.jpg</v>
      </c>
      <c r="AW2041" s="81" t="s">
        <v>11149</v>
      </c>
      <c r="AX2041" s="81" t="s">
        <v>11149</v>
      </c>
      <c r="AY2041" s="77"/>
      <c r="AZ2041" s="81" t="s">
        <v>11359</v>
      </c>
      <c r="BA2041" s="81" t="s">
        <v>11359</v>
      </c>
      <c r="BB2041" s="81" t="s">
        <v>11359</v>
      </c>
      <c r="BC2041" s="81" t="s">
        <v>11149</v>
      </c>
      <c r="BD2041" s="81" t="s">
        <v>11691</v>
      </c>
      <c r="BE2041" s="77"/>
      <c r="BF2041" s="77"/>
      <c r="BG2041" s="77"/>
      <c r="BH2041" s="77"/>
      <c r="BI2041" s="77"/>
    </row>
    <row r="2042" spans="1:61" x14ac:dyDescent="0.25">
      <c r="A2042" s="62" t="s">
        <v>833</v>
      </c>
      <c r="B2042" s="62" t="s">
        <v>833</v>
      </c>
      <c r="C2042" s="63"/>
      <c r="D2042" s="64"/>
      <c r="E2042" s="65"/>
      <c r="F2042" s="66"/>
      <c r="G2042" s="63"/>
      <c r="H2042" s="67"/>
      <c r="I2042" s="68"/>
      <c r="J2042" s="68"/>
      <c r="K2042" s="32"/>
      <c r="L2042" s="75">
        <v>2042</v>
      </c>
      <c r="M2042" s="75"/>
      <c r="N2042" s="70"/>
      <c r="O2042" s="77" t="s">
        <v>179</v>
      </c>
      <c r="P2042" s="79">
        <v>45055.785428240742</v>
      </c>
      <c r="Q2042" s="77" t="s">
        <v>2819</v>
      </c>
      <c r="R2042" s="77">
        <v>0</v>
      </c>
      <c r="S2042" s="77">
        <v>0</v>
      </c>
      <c r="T2042" s="77">
        <v>0</v>
      </c>
      <c r="U2042" s="77">
        <v>0</v>
      </c>
      <c r="V2042" s="77">
        <v>25</v>
      </c>
      <c r="W2042" s="81" t="s">
        <v>4082</v>
      </c>
      <c r="X2042" s="77"/>
      <c r="Y2042" s="77"/>
      <c r="Z2042" s="77"/>
      <c r="AA2042" s="77"/>
      <c r="AB2042" s="77"/>
      <c r="AC2042" s="81" t="s">
        <v>5805</v>
      </c>
      <c r="AD2042" s="77" t="s">
        <v>5851</v>
      </c>
      <c r="AE2042" s="83" t="str">
        <f>HYPERLINK("https://twitter.com/romulo_of/status/1656008889312108549")</f>
        <v>https://twitter.com/romulo_of/status/1656008889312108549</v>
      </c>
      <c r="AF2042" s="79">
        <v>45055.785428240742</v>
      </c>
      <c r="AG2042" s="85">
        <v>45055</v>
      </c>
      <c r="AH2042" s="81" t="s">
        <v>7647</v>
      </c>
      <c r="AI2042" s="77"/>
      <c r="AJ2042" s="77"/>
      <c r="AK2042" s="77"/>
      <c r="AL2042" s="77"/>
      <c r="AM2042" s="77"/>
      <c r="AN2042" s="77"/>
      <c r="AO2042" s="77"/>
      <c r="AP2042" s="77"/>
      <c r="AQ2042" s="77"/>
      <c r="AR2042" s="77"/>
      <c r="AS2042" s="77"/>
      <c r="AT2042" s="77"/>
      <c r="AU2042" s="77"/>
      <c r="AV2042" s="83" t="str">
        <f>HYPERLINK("https://pbs.twimg.com/profile_images/1663898171263655937/BbC2en03_normal.jpg")</f>
        <v>https://pbs.twimg.com/profile_images/1663898171263655937/BbC2en03_normal.jpg</v>
      </c>
      <c r="AW2042" s="81" t="s">
        <v>11150</v>
      </c>
      <c r="AX2042" s="81" t="s">
        <v>11150</v>
      </c>
      <c r="AY2042" s="77"/>
      <c r="AZ2042" s="81" t="s">
        <v>11359</v>
      </c>
      <c r="BA2042" s="81" t="s">
        <v>11359</v>
      </c>
      <c r="BB2042" s="81" t="s">
        <v>11359</v>
      </c>
      <c r="BC2042" s="81" t="s">
        <v>11150</v>
      </c>
      <c r="BD2042" s="77">
        <v>56862417</v>
      </c>
      <c r="BE2042" s="77"/>
      <c r="BF2042" s="77"/>
      <c r="BG2042" s="77"/>
      <c r="BH2042" s="77"/>
      <c r="BI2042" s="77"/>
    </row>
    <row r="2043" spans="1:61" x14ac:dyDescent="0.25">
      <c r="A2043" s="62" t="s">
        <v>834</v>
      </c>
      <c r="B2043" s="62" t="s">
        <v>834</v>
      </c>
      <c r="C2043" s="63"/>
      <c r="D2043" s="64"/>
      <c r="E2043" s="65"/>
      <c r="F2043" s="66"/>
      <c r="G2043" s="63"/>
      <c r="H2043" s="67"/>
      <c r="I2043" s="68"/>
      <c r="J2043" s="68"/>
      <c r="K2043" s="32"/>
      <c r="L2043" s="75">
        <v>2043</v>
      </c>
      <c r="M2043" s="75"/>
      <c r="N2043" s="70"/>
      <c r="O2043" s="77" t="s">
        <v>179</v>
      </c>
      <c r="P2043" s="79">
        <v>44989.783449074072</v>
      </c>
      <c r="Q2043" s="77" t="s">
        <v>2820</v>
      </c>
      <c r="R2043" s="77">
        <v>1</v>
      </c>
      <c r="S2043" s="77">
        <v>2</v>
      </c>
      <c r="T2043" s="77">
        <v>0</v>
      </c>
      <c r="U2043" s="77">
        <v>0</v>
      </c>
      <c r="V2043" s="77">
        <v>114</v>
      </c>
      <c r="W2043" s="81" t="s">
        <v>4083</v>
      </c>
      <c r="X2043" s="77"/>
      <c r="Y2043" s="77"/>
      <c r="Z2043" s="77"/>
      <c r="AA2043" s="77"/>
      <c r="AB2043" s="77"/>
      <c r="AC2043" s="81" t="s">
        <v>5803</v>
      </c>
      <c r="AD2043" s="77" t="s">
        <v>5850</v>
      </c>
      <c r="AE2043" s="83" t="str">
        <f>HYPERLINK("https://twitter.com/legal_cap/status/1632090572918870018")</f>
        <v>https://twitter.com/legal_cap/status/1632090572918870018</v>
      </c>
      <c r="AF2043" s="79">
        <v>44989.783449074072</v>
      </c>
      <c r="AG2043" s="85">
        <v>44989</v>
      </c>
      <c r="AH2043" s="81" t="s">
        <v>7648</v>
      </c>
      <c r="AI2043" s="77"/>
      <c r="AJ2043" s="77"/>
      <c r="AK2043" s="77"/>
      <c r="AL2043" s="77"/>
      <c r="AM2043" s="77"/>
      <c r="AN2043" s="77"/>
      <c r="AO2043" s="77"/>
      <c r="AP2043" s="77"/>
      <c r="AQ2043" s="77"/>
      <c r="AR2043" s="77"/>
      <c r="AS2043" s="77"/>
      <c r="AT2043" s="77"/>
      <c r="AU2043" s="77"/>
      <c r="AV2043" s="83" t="str">
        <f>HYPERLINK("https://pbs.twimg.com/profile_images/1629948570060161025/i7xX9C7A_normal.jpg")</f>
        <v>https://pbs.twimg.com/profile_images/1629948570060161025/i7xX9C7A_normal.jpg</v>
      </c>
      <c r="AW2043" s="81" t="s">
        <v>11151</v>
      </c>
      <c r="AX2043" s="81" t="s">
        <v>11151</v>
      </c>
      <c r="AY2043" s="77"/>
      <c r="AZ2043" s="81" t="s">
        <v>11359</v>
      </c>
      <c r="BA2043" s="81" t="s">
        <v>11359</v>
      </c>
      <c r="BB2043" s="81" t="s">
        <v>11359</v>
      </c>
      <c r="BC2043" s="81" t="s">
        <v>11151</v>
      </c>
      <c r="BD2043" s="81" t="s">
        <v>11692</v>
      </c>
      <c r="BE2043" s="77"/>
      <c r="BF2043" s="77"/>
      <c r="BG2043" s="77"/>
      <c r="BH2043" s="77"/>
      <c r="BI2043" s="77"/>
    </row>
    <row r="2044" spans="1:61" x14ac:dyDescent="0.25">
      <c r="A2044" s="62" t="s">
        <v>835</v>
      </c>
      <c r="B2044" s="62" t="s">
        <v>835</v>
      </c>
      <c r="C2044" s="63"/>
      <c r="D2044" s="64"/>
      <c r="E2044" s="65"/>
      <c r="F2044" s="66"/>
      <c r="G2044" s="63"/>
      <c r="H2044" s="67"/>
      <c r="I2044" s="68"/>
      <c r="J2044" s="68"/>
      <c r="K2044" s="32"/>
      <c r="L2044" s="75">
        <v>2044</v>
      </c>
      <c r="M2044" s="75"/>
      <c r="N2044" s="70"/>
      <c r="O2044" s="77" t="s">
        <v>179</v>
      </c>
      <c r="P2044" s="79">
        <v>45045.687824074077</v>
      </c>
      <c r="Q2044" s="77" t="s">
        <v>2821</v>
      </c>
      <c r="R2044" s="77">
        <v>0</v>
      </c>
      <c r="S2044" s="77">
        <v>0</v>
      </c>
      <c r="T2044" s="77">
        <v>0</v>
      </c>
      <c r="U2044" s="77">
        <v>0</v>
      </c>
      <c r="V2044" s="77">
        <v>56</v>
      </c>
      <c r="W2044" s="81" t="s">
        <v>4084</v>
      </c>
      <c r="X2044" s="77"/>
      <c r="Y2044" s="77"/>
      <c r="Z2044" s="77"/>
      <c r="AA2044" s="77" t="s">
        <v>5725</v>
      </c>
      <c r="AB2044" s="77" t="s">
        <v>5795</v>
      </c>
      <c r="AC2044" s="81" t="s">
        <v>5812</v>
      </c>
      <c r="AD2044" s="77" t="s">
        <v>5850</v>
      </c>
      <c r="AE2044" s="83" t="str">
        <f>HYPERLINK("https://twitter.com/unidho/status/1652349640870711299")</f>
        <v>https://twitter.com/unidho/status/1652349640870711299</v>
      </c>
      <c r="AF2044" s="79">
        <v>45045.687824074077</v>
      </c>
      <c r="AG2044" s="85">
        <v>45045</v>
      </c>
      <c r="AH2044" s="81" t="s">
        <v>7649</v>
      </c>
      <c r="AI2044" s="77" t="b">
        <v>0</v>
      </c>
      <c r="AJ2044" s="77"/>
      <c r="AK2044" s="77"/>
      <c r="AL2044" s="77"/>
      <c r="AM2044" s="77"/>
      <c r="AN2044" s="77"/>
      <c r="AO2044" s="77"/>
      <c r="AP2044" s="77"/>
      <c r="AQ2044" s="77" t="s">
        <v>9223</v>
      </c>
      <c r="AR2044" s="77">
        <v>15000</v>
      </c>
      <c r="AS2044" s="77"/>
      <c r="AT2044" s="77"/>
      <c r="AU2044" s="77"/>
      <c r="AV2044" s="83" t="str">
        <f>HYPERLINK("https://pbs.twimg.com/ext_tw_video_thumb/1652349607299391492/pu/img/GcLOqMMXpPnXxGaU.jpg")</f>
        <v>https://pbs.twimg.com/ext_tw_video_thumb/1652349607299391492/pu/img/GcLOqMMXpPnXxGaU.jpg</v>
      </c>
      <c r="AW2044" s="81" t="s">
        <v>11152</v>
      </c>
      <c r="AX2044" s="81" t="s">
        <v>11152</v>
      </c>
      <c r="AY2044" s="77"/>
      <c r="AZ2044" s="81" t="s">
        <v>11359</v>
      </c>
      <c r="BA2044" s="81" t="s">
        <v>11359</v>
      </c>
      <c r="BB2044" s="81" t="s">
        <v>11359</v>
      </c>
      <c r="BC2044" s="81" t="s">
        <v>11152</v>
      </c>
      <c r="BD2044" s="81" t="s">
        <v>11693</v>
      </c>
      <c r="BE2044" s="77"/>
      <c r="BF2044" s="77"/>
      <c r="BG2044" s="77"/>
      <c r="BH2044" s="77"/>
      <c r="BI2044" s="77"/>
    </row>
    <row r="2045" spans="1:61" x14ac:dyDescent="0.25">
      <c r="A2045" s="62" t="s">
        <v>836</v>
      </c>
      <c r="B2045" s="62" t="s">
        <v>836</v>
      </c>
      <c r="C2045" s="63"/>
      <c r="D2045" s="64"/>
      <c r="E2045" s="65"/>
      <c r="F2045" s="66"/>
      <c r="G2045" s="63"/>
      <c r="H2045" s="67"/>
      <c r="I2045" s="68"/>
      <c r="J2045" s="68"/>
      <c r="K2045" s="32"/>
      <c r="L2045" s="75">
        <v>2045</v>
      </c>
      <c r="M2045" s="75"/>
      <c r="N2045" s="70"/>
      <c r="O2045" s="77" t="s">
        <v>179</v>
      </c>
      <c r="P2045" s="79">
        <v>44995.790324074071</v>
      </c>
      <c r="Q2045" s="77" t="s">
        <v>2822</v>
      </c>
      <c r="R2045" s="77">
        <v>0</v>
      </c>
      <c r="S2045" s="77">
        <v>0</v>
      </c>
      <c r="T2045" s="77">
        <v>1</v>
      </c>
      <c r="U2045" s="77">
        <v>0</v>
      </c>
      <c r="V2045" s="77">
        <v>54</v>
      </c>
      <c r="W2045" s="81" t="s">
        <v>4085</v>
      </c>
      <c r="X2045" s="83" t="str">
        <f>HYPERLINK("https://ton.com.br/checkout/#/cart?productId=TONBROTHER_S920&amp;referrer=2A4481BD-DAB8-4C42-AA8C-26298E4467D9&amp;userTag=tonbrother&amp;utm_medium=invite_share&amp;utm_source=revendendor")</f>
        <v>https://ton.com.br/checkout/#/cart?productId=TONBROTHER_S920&amp;referrer=2A4481BD-DAB8-4C42-AA8C-26298E4467D9&amp;userTag=tonbrother&amp;utm_medium=invite_share&amp;utm_source=revendendor</v>
      </c>
      <c r="Y2045" s="77" t="s">
        <v>4223</v>
      </c>
      <c r="Z2045" s="77"/>
      <c r="AA2045" s="77" t="s">
        <v>5726</v>
      </c>
      <c r="AB2045" s="77" t="s">
        <v>5794</v>
      </c>
      <c r="AC2045" s="81" t="s">
        <v>5801</v>
      </c>
      <c r="AD2045" s="77" t="s">
        <v>5851</v>
      </c>
      <c r="AE2045" s="83" t="str">
        <f>HYPERLINK("https://twitter.com/jonatanbrl/status/1634267394305605632")</f>
        <v>https://twitter.com/jonatanbrl/status/1634267394305605632</v>
      </c>
      <c r="AF2045" s="79">
        <v>44995.790324074071</v>
      </c>
      <c r="AG2045" s="85">
        <v>44995</v>
      </c>
      <c r="AH2045" s="81" t="s">
        <v>7650</v>
      </c>
      <c r="AI2045" s="77" t="b">
        <v>0</v>
      </c>
      <c r="AJ2045" s="77"/>
      <c r="AK2045" s="77"/>
      <c r="AL2045" s="77"/>
      <c r="AM2045" s="77"/>
      <c r="AN2045" s="77"/>
      <c r="AO2045" s="77"/>
      <c r="AP2045" s="77"/>
      <c r="AQ2045" s="77" t="s">
        <v>9224</v>
      </c>
      <c r="AR2045" s="77"/>
      <c r="AS2045" s="77"/>
      <c r="AT2045" s="77"/>
      <c r="AU2045" s="77"/>
      <c r="AV2045" s="83" t="str">
        <f>HYPERLINK("https://pbs.twimg.com/media/Fq4ViKZX0AYpe90.jpg")</f>
        <v>https://pbs.twimg.com/media/Fq4ViKZX0AYpe90.jpg</v>
      </c>
      <c r="AW2045" s="81" t="s">
        <v>11153</v>
      </c>
      <c r="AX2045" s="81" t="s">
        <v>11153</v>
      </c>
      <c r="AY2045" s="77"/>
      <c r="AZ2045" s="81" t="s">
        <v>11359</v>
      </c>
      <c r="BA2045" s="81" t="s">
        <v>11359</v>
      </c>
      <c r="BB2045" s="81" t="s">
        <v>11359</v>
      </c>
      <c r="BC2045" s="81" t="s">
        <v>11153</v>
      </c>
      <c r="BD2045" s="81" t="s">
        <v>11694</v>
      </c>
      <c r="BE2045" s="77"/>
      <c r="BF2045" s="77"/>
      <c r="BG2045" s="77"/>
      <c r="BH2045" s="77"/>
      <c r="BI2045" s="77"/>
    </row>
    <row r="2046" spans="1:61" x14ac:dyDescent="0.25">
      <c r="A2046" s="62" t="s">
        <v>837</v>
      </c>
      <c r="B2046" s="62" t="s">
        <v>837</v>
      </c>
      <c r="C2046" s="63"/>
      <c r="D2046" s="64"/>
      <c r="E2046" s="65"/>
      <c r="F2046" s="66"/>
      <c r="G2046" s="63"/>
      <c r="H2046" s="67"/>
      <c r="I2046" s="68"/>
      <c r="J2046" s="68"/>
      <c r="K2046" s="32"/>
      <c r="L2046" s="75">
        <v>2046</v>
      </c>
      <c r="M2046" s="75"/>
      <c r="N2046" s="70"/>
      <c r="O2046" s="77" t="s">
        <v>179</v>
      </c>
      <c r="P2046" s="79">
        <v>45096.524826388886</v>
      </c>
      <c r="Q2046" s="77" t="s">
        <v>2823</v>
      </c>
      <c r="R2046" s="77">
        <v>0</v>
      </c>
      <c r="S2046" s="77">
        <v>1</v>
      </c>
      <c r="T2046" s="77">
        <v>0</v>
      </c>
      <c r="U2046" s="77">
        <v>0</v>
      </c>
      <c r="V2046" s="77">
        <v>21</v>
      </c>
      <c r="W2046" s="81" t="s">
        <v>4086</v>
      </c>
      <c r="X2046" s="77"/>
      <c r="Y2046" s="77"/>
      <c r="Z2046" s="77"/>
      <c r="AA2046" s="77"/>
      <c r="AB2046" s="77"/>
      <c r="AC2046" s="81" t="s">
        <v>5801</v>
      </c>
      <c r="AD2046" s="77" t="s">
        <v>5850</v>
      </c>
      <c r="AE2046" s="83" t="str">
        <f>HYPERLINK("https://twitter.com/lmchirino/status/1670772355461701634")</f>
        <v>https://twitter.com/lmchirino/status/1670772355461701634</v>
      </c>
      <c r="AF2046" s="79">
        <v>45096.524826388886</v>
      </c>
      <c r="AG2046" s="85">
        <v>45096</v>
      </c>
      <c r="AH2046" s="81" t="s">
        <v>7651</v>
      </c>
      <c r="AI2046" s="77"/>
      <c r="AJ2046" s="77"/>
      <c r="AK2046" s="77"/>
      <c r="AL2046" s="77"/>
      <c r="AM2046" s="77"/>
      <c r="AN2046" s="77"/>
      <c r="AO2046" s="77"/>
      <c r="AP2046" s="77"/>
      <c r="AQ2046" s="77"/>
      <c r="AR2046" s="77"/>
      <c r="AS2046" s="77"/>
      <c r="AT2046" s="77"/>
      <c r="AU2046" s="77"/>
      <c r="AV2046" s="83" t="str">
        <f>HYPERLINK("https://pbs.twimg.com/profile_images/1353450236220469254/XgDLL863_normal.jpg")</f>
        <v>https://pbs.twimg.com/profile_images/1353450236220469254/XgDLL863_normal.jpg</v>
      </c>
      <c r="AW2046" s="81" t="s">
        <v>11154</v>
      </c>
      <c r="AX2046" s="81" t="s">
        <v>11154</v>
      </c>
      <c r="AY2046" s="77"/>
      <c r="AZ2046" s="81" t="s">
        <v>11359</v>
      </c>
      <c r="BA2046" s="81" t="s">
        <v>11359</v>
      </c>
      <c r="BB2046" s="81" t="s">
        <v>11359</v>
      </c>
      <c r="BC2046" s="81" t="s">
        <v>11154</v>
      </c>
      <c r="BD2046" s="77">
        <v>221456779</v>
      </c>
      <c r="BE2046" s="77"/>
      <c r="BF2046" s="77"/>
      <c r="BG2046" s="77"/>
      <c r="BH2046" s="77"/>
      <c r="BI2046" s="77"/>
    </row>
    <row r="2047" spans="1:61" x14ac:dyDescent="0.25">
      <c r="A2047" s="62" t="s">
        <v>838</v>
      </c>
      <c r="B2047" s="62" t="s">
        <v>838</v>
      </c>
      <c r="C2047" s="63"/>
      <c r="D2047" s="64"/>
      <c r="E2047" s="65"/>
      <c r="F2047" s="66"/>
      <c r="G2047" s="63"/>
      <c r="H2047" s="67"/>
      <c r="I2047" s="68"/>
      <c r="J2047" s="68"/>
      <c r="K2047" s="32"/>
      <c r="L2047" s="75">
        <v>2047</v>
      </c>
      <c r="M2047" s="75"/>
      <c r="N2047" s="70"/>
      <c r="O2047" s="77" t="s">
        <v>179</v>
      </c>
      <c r="P2047" s="79">
        <v>45131.979467592595</v>
      </c>
      <c r="Q2047" s="77" t="s">
        <v>2824</v>
      </c>
      <c r="R2047" s="77">
        <v>0</v>
      </c>
      <c r="S2047" s="77">
        <v>0</v>
      </c>
      <c r="T2047" s="77">
        <v>0</v>
      </c>
      <c r="U2047" s="77">
        <v>0</v>
      </c>
      <c r="V2047" s="77">
        <v>27</v>
      </c>
      <c r="W2047" s="81" t="s">
        <v>4087</v>
      </c>
      <c r="X2047" s="83" t="str">
        <f>HYPERLINK("https://www.occ.com.mx/empleo/oferta/17082364")</f>
        <v>https://www.occ.com.mx/empleo/oferta/17082364</v>
      </c>
      <c r="Y2047" s="77" t="s">
        <v>4222</v>
      </c>
      <c r="Z2047" s="77"/>
      <c r="AA2047" s="77"/>
      <c r="AB2047" s="77"/>
      <c r="AC2047" s="81" t="s">
        <v>5805</v>
      </c>
      <c r="AD2047" s="77" t="s">
        <v>5850</v>
      </c>
      <c r="AE2047" s="83" t="str">
        <f>HYPERLINK("https://twitter.com/hunteehr/status/1683620685258670080")</f>
        <v>https://twitter.com/hunteehr/status/1683620685258670080</v>
      </c>
      <c r="AF2047" s="79">
        <v>45131.979467592595</v>
      </c>
      <c r="AG2047" s="85">
        <v>45131</v>
      </c>
      <c r="AH2047" s="81" t="s">
        <v>7652</v>
      </c>
      <c r="AI2047" s="77" t="b">
        <v>0</v>
      </c>
      <c r="AJ2047" s="77"/>
      <c r="AK2047" s="77"/>
      <c r="AL2047" s="77"/>
      <c r="AM2047" s="77"/>
      <c r="AN2047" s="77"/>
      <c r="AO2047" s="77"/>
      <c r="AP2047" s="77"/>
      <c r="AQ2047" s="77"/>
      <c r="AR2047" s="77"/>
      <c r="AS2047" s="77"/>
      <c r="AT2047" s="77"/>
      <c r="AU2047" s="77"/>
      <c r="AV2047" s="83" t="str">
        <f>HYPERLINK("https://pbs.twimg.com/profile_images/1655394244247388160/hrR25Aqi_normal.jpg")</f>
        <v>https://pbs.twimg.com/profile_images/1655394244247388160/hrR25Aqi_normal.jpg</v>
      </c>
      <c r="AW2047" s="81" t="s">
        <v>11155</v>
      </c>
      <c r="AX2047" s="81" t="s">
        <v>11155</v>
      </c>
      <c r="AY2047" s="77"/>
      <c r="AZ2047" s="81" t="s">
        <v>11359</v>
      </c>
      <c r="BA2047" s="81" t="s">
        <v>11359</v>
      </c>
      <c r="BB2047" s="81" t="s">
        <v>11359</v>
      </c>
      <c r="BC2047" s="81" t="s">
        <v>11155</v>
      </c>
      <c r="BD2047" s="81" t="s">
        <v>11695</v>
      </c>
      <c r="BE2047" s="77"/>
      <c r="BF2047" s="77"/>
      <c r="BG2047" s="77"/>
      <c r="BH2047" s="77"/>
      <c r="BI2047" s="77"/>
    </row>
    <row r="2048" spans="1:61" x14ac:dyDescent="0.25">
      <c r="A2048" s="62" t="s">
        <v>839</v>
      </c>
      <c r="B2048" s="62" t="s">
        <v>839</v>
      </c>
      <c r="C2048" s="63"/>
      <c r="D2048" s="64"/>
      <c r="E2048" s="65"/>
      <c r="F2048" s="66"/>
      <c r="G2048" s="63"/>
      <c r="H2048" s="67"/>
      <c r="I2048" s="68"/>
      <c r="J2048" s="68"/>
      <c r="K2048" s="32"/>
      <c r="L2048" s="75">
        <v>2048</v>
      </c>
      <c r="M2048" s="75"/>
      <c r="N2048" s="70"/>
      <c r="O2048" s="77" t="s">
        <v>179</v>
      </c>
      <c r="P2048" s="79">
        <v>45090.75576388889</v>
      </c>
      <c r="Q2048" s="77" t="s">
        <v>2825</v>
      </c>
      <c r="R2048" s="77">
        <v>0</v>
      </c>
      <c r="S2048" s="77">
        <v>0</v>
      </c>
      <c r="T2048" s="77">
        <v>0</v>
      </c>
      <c r="U2048" s="77">
        <v>0</v>
      </c>
      <c r="V2048" s="77">
        <v>24</v>
      </c>
      <c r="W2048" s="81" t="s">
        <v>4009</v>
      </c>
      <c r="X2048" s="83" t="str">
        <f>HYPERLINK("https://farodigital.mx/vendedor-ofrece-lavadora-en-marketplace-la-prueba-y-no-la-compra/")</f>
        <v>https://farodigital.mx/vendedor-ofrece-lavadora-en-marketplace-la-prueba-y-no-la-compra/</v>
      </c>
      <c r="Y2048" s="77" t="s">
        <v>4342</v>
      </c>
      <c r="Z2048" s="77"/>
      <c r="AA2048" s="77"/>
      <c r="AB2048" s="77"/>
      <c r="AC2048" s="81" t="s">
        <v>5801</v>
      </c>
      <c r="AD2048" s="77" t="s">
        <v>5850</v>
      </c>
      <c r="AE2048" s="83" t="str">
        <f>HYPERLINK("https://twitter.com/chucho_lemus1/status/1668681714816696322")</f>
        <v>https://twitter.com/chucho_lemus1/status/1668681714816696322</v>
      </c>
      <c r="AF2048" s="79">
        <v>45090.75576388889</v>
      </c>
      <c r="AG2048" s="85">
        <v>45090</v>
      </c>
      <c r="AH2048" s="81" t="s">
        <v>7653</v>
      </c>
      <c r="AI2048" s="77" t="b">
        <v>0</v>
      </c>
      <c r="AJ2048" s="77"/>
      <c r="AK2048" s="77"/>
      <c r="AL2048" s="77"/>
      <c r="AM2048" s="77"/>
      <c r="AN2048" s="77"/>
      <c r="AO2048" s="77"/>
      <c r="AP2048" s="77"/>
      <c r="AQ2048" s="77"/>
      <c r="AR2048" s="77"/>
      <c r="AS2048" s="77"/>
      <c r="AT2048" s="77"/>
      <c r="AU2048" s="77"/>
      <c r="AV2048" s="83" t="str">
        <f>HYPERLINK("https://pbs.twimg.com/profile_images/1695954197680664576/MoB9bohk_normal.jpg")</f>
        <v>https://pbs.twimg.com/profile_images/1695954197680664576/MoB9bohk_normal.jpg</v>
      </c>
      <c r="AW2048" s="81" t="s">
        <v>11156</v>
      </c>
      <c r="AX2048" s="81" t="s">
        <v>11156</v>
      </c>
      <c r="AY2048" s="77"/>
      <c r="AZ2048" s="81" t="s">
        <v>11359</v>
      </c>
      <c r="BA2048" s="81" t="s">
        <v>11359</v>
      </c>
      <c r="BB2048" s="81" t="s">
        <v>11359</v>
      </c>
      <c r="BC2048" s="81" t="s">
        <v>11156</v>
      </c>
      <c r="BD2048" s="77">
        <v>193558055</v>
      </c>
      <c r="BE2048" s="77"/>
      <c r="BF2048" s="77"/>
      <c r="BG2048" s="77"/>
      <c r="BH2048" s="77"/>
      <c r="BI2048" s="77"/>
    </row>
    <row r="2049" spans="1:61" x14ac:dyDescent="0.25">
      <c r="A2049" s="62" t="s">
        <v>839</v>
      </c>
      <c r="B2049" s="62" t="s">
        <v>839</v>
      </c>
      <c r="C2049" s="63"/>
      <c r="D2049" s="64"/>
      <c r="E2049" s="65"/>
      <c r="F2049" s="66"/>
      <c r="G2049" s="63"/>
      <c r="H2049" s="67"/>
      <c r="I2049" s="68"/>
      <c r="J2049" s="68"/>
      <c r="K2049" s="32"/>
      <c r="L2049" s="75">
        <v>2049</v>
      </c>
      <c r="M2049" s="75"/>
      <c r="N2049" s="70"/>
      <c r="O2049" s="77" t="s">
        <v>179</v>
      </c>
      <c r="P2049" s="79">
        <v>45117.755023148151</v>
      </c>
      <c r="Q2049" s="77" t="s">
        <v>2826</v>
      </c>
      <c r="R2049" s="77">
        <v>0</v>
      </c>
      <c r="S2049" s="77">
        <v>0</v>
      </c>
      <c r="T2049" s="77">
        <v>0</v>
      </c>
      <c r="U2049" s="77">
        <v>0</v>
      </c>
      <c r="V2049" s="77">
        <v>23</v>
      </c>
      <c r="W2049" s="81" t="s">
        <v>4010</v>
      </c>
      <c r="X2049" s="83" t="str">
        <f>HYPERLINK("https://farodigital.mx/vendedor-de-carnitas-despacha-con-tenis-de-mas-de-14-mil-pesos/")</f>
        <v>https://farodigital.mx/vendedor-de-carnitas-despacha-con-tenis-de-mas-de-14-mil-pesos/</v>
      </c>
      <c r="Y2049" s="77" t="s">
        <v>4342</v>
      </c>
      <c r="Z2049" s="77"/>
      <c r="AA2049" s="77"/>
      <c r="AB2049" s="77"/>
      <c r="AC2049" s="81" t="s">
        <v>5801</v>
      </c>
      <c r="AD2049" s="77" t="s">
        <v>5850</v>
      </c>
      <c r="AE2049" s="83" t="str">
        <f>HYPERLINK("https://twitter.com/chucho_lemus1/status/1678465920375635974")</f>
        <v>https://twitter.com/chucho_lemus1/status/1678465920375635974</v>
      </c>
      <c r="AF2049" s="79">
        <v>45117.755023148151</v>
      </c>
      <c r="AG2049" s="85">
        <v>45117</v>
      </c>
      <c r="AH2049" s="81" t="s">
        <v>7654</v>
      </c>
      <c r="AI2049" s="77" t="b">
        <v>0</v>
      </c>
      <c r="AJ2049" s="77"/>
      <c r="AK2049" s="77"/>
      <c r="AL2049" s="77"/>
      <c r="AM2049" s="77"/>
      <c r="AN2049" s="77"/>
      <c r="AO2049" s="77"/>
      <c r="AP2049" s="77"/>
      <c r="AQ2049" s="77"/>
      <c r="AR2049" s="77"/>
      <c r="AS2049" s="77"/>
      <c r="AT2049" s="77"/>
      <c r="AU2049" s="77"/>
      <c r="AV2049" s="83" t="str">
        <f>HYPERLINK("https://pbs.twimg.com/profile_images/1695954197680664576/MoB9bohk_normal.jpg")</f>
        <v>https://pbs.twimg.com/profile_images/1695954197680664576/MoB9bohk_normal.jpg</v>
      </c>
      <c r="AW2049" s="81" t="s">
        <v>11157</v>
      </c>
      <c r="AX2049" s="81" t="s">
        <v>11157</v>
      </c>
      <c r="AY2049" s="77"/>
      <c r="AZ2049" s="81" t="s">
        <v>11359</v>
      </c>
      <c r="BA2049" s="81" t="s">
        <v>11359</v>
      </c>
      <c r="BB2049" s="81" t="s">
        <v>11359</v>
      </c>
      <c r="BC2049" s="81" t="s">
        <v>11157</v>
      </c>
      <c r="BD2049" s="77">
        <v>193558055</v>
      </c>
      <c r="BE2049" s="77"/>
      <c r="BF2049" s="77"/>
      <c r="BG2049" s="77"/>
      <c r="BH2049" s="77"/>
      <c r="BI2049" s="77"/>
    </row>
    <row r="2050" spans="1:61" x14ac:dyDescent="0.25">
      <c r="A2050" s="62" t="s">
        <v>840</v>
      </c>
      <c r="B2050" s="62" t="s">
        <v>840</v>
      </c>
      <c r="C2050" s="63"/>
      <c r="D2050" s="64"/>
      <c r="E2050" s="65"/>
      <c r="F2050" s="66"/>
      <c r="G2050" s="63"/>
      <c r="H2050" s="67"/>
      <c r="I2050" s="68"/>
      <c r="J2050" s="68"/>
      <c r="K2050" s="32"/>
      <c r="L2050" s="75">
        <v>2050</v>
      </c>
      <c r="M2050" s="75"/>
      <c r="N2050" s="70"/>
      <c r="O2050" s="77" t="s">
        <v>179</v>
      </c>
      <c r="P2050" s="79">
        <v>45118.798506944448</v>
      </c>
      <c r="Q2050" s="77" t="s">
        <v>2827</v>
      </c>
      <c r="R2050" s="77">
        <v>0</v>
      </c>
      <c r="S2050" s="77">
        <v>0</v>
      </c>
      <c r="T2050" s="77">
        <v>0</v>
      </c>
      <c r="U2050" s="77">
        <v>0</v>
      </c>
      <c r="V2050" s="77">
        <v>7</v>
      </c>
      <c r="W2050" s="81" t="s">
        <v>4088</v>
      </c>
      <c r="X2050" s="77"/>
      <c r="Y2050" s="77"/>
      <c r="Z2050" s="77"/>
      <c r="AA2050" s="77" t="s">
        <v>5727</v>
      </c>
      <c r="AB2050" s="77" t="s">
        <v>5794</v>
      </c>
      <c r="AC2050" s="81" t="s">
        <v>5801</v>
      </c>
      <c r="AD2050" s="77" t="s">
        <v>5853</v>
      </c>
      <c r="AE2050" s="83" t="str">
        <f>HYPERLINK("https://twitter.com/valpere54616519/status/1678844067814277120")</f>
        <v>https://twitter.com/valpere54616519/status/1678844067814277120</v>
      </c>
      <c r="AF2050" s="79">
        <v>45118.798506944448</v>
      </c>
      <c r="AG2050" s="85">
        <v>45118</v>
      </c>
      <c r="AH2050" s="81" t="s">
        <v>6439</v>
      </c>
      <c r="AI2050" s="77" t="b">
        <v>0</v>
      </c>
      <c r="AJ2050" s="77"/>
      <c r="AK2050" s="77"/>
      <c r="AL2050" s="77"/>
      <c r="AM2050" s="77"/>
      <c r="AN2050" s="77"/>
      <c r="AO2050" s="77"/>
      <c r="AP2050" s="77"/>
      <c r="AQ2050" s="77" t="s">
        <v>9225</v>
      </c>
      <c r="AR2050" s="77"/>
      <c r="AS2050" s="77"/>
      <c r="AT2050" s="77"/>
      <c r="AU2050" s="77"/>
      <c r="AV2050" s="83" t="str">
        <f>HYPERLINK("https://pbs.twimg.com/media/F0xzyEyXoAAgreY.jpg")</f>
        <v>https://pbs.twimg.com/media/F0xzyEyXoAAgreY.jpg</v>
      </c>
      <c r="AW2050" s="81" t="s">
        <v>11158</v>
      </c>
      <c r="AX2050" s="81" t="s">
        <v>11158</v>
      </c>
      <c r="AY2050" s="77"/>
      <c r="AZ2050" s="81" t="s">
        <v>11359</v>
      </c>
      <c r="BA2050" s="81" t="s">
        <v>11359</v>
      </c>
      <c r="BB2050" s="81" t="s">
        <v>11359</v>
      </c>
      <c r="BC2050" s="81" t="s">
        <v>11158</v>
      </c>
      <c r="BD2050" s="81" t="s">
        <v>11696</v>
      </c>
      <c r="BE2050" s="77"/>
      <c r="BF2050" s="77"/>
      <c r="BG2050" s="77"/>
      <c r="BH2050" s="77"/>
      <c r="BI2050" s="77"/>
    </row>
    <row r="2051" spans="1:61" x14ac:dyDescent="0.25">
      <c r="A2051" s="62" t="s">
        <v>841</v>
      </c>
      <c r="B2051" s="62" t="s">
        <v>841</v>
      </c>
      <c r="C2051" s="63"/>
      <c r="D2051" s="64"/>
      <c r="E2051" s="65"/>
      <c r="F2051" s="66"/>
      <c r="G2051" s="63"/>
      <c r="H2051" s="67"/>
      <c r="I2051" s="68"/>
      <c r="J2051" s="68"/>
      <c r="K2051" s="32"/>
      <c r="L2051" s="75">
        <v>2051</v>
      </c>
      <c r="M2051" s="75"/>
      <c r="N2051" s="70"/>
      <c r="O2051" s="77" t="s">
        <v>179</v>
      </c>
      <c r="P2051" s="79">
        <v>44931.78162037037</v>
      </c>
      <c r="Q2051" s="77" t="s">
        <v>2828</v>
      </c>
      <c r="R2051" s="77">
        <v>0</v>
      </c>
      <c r="S2051" s="77">
        <v>0</v>
      </c>
      <c r="T2051" s="77">
        <v>0</v>
      </c>
      <c r="U2051" s="77">
        <v>0</v>
      </c>
      <c r="V2051" s="77">
        <v>7</v>
      </c>
      <c r="W2051" s="81" t="s">
        <v>4089</v>
      </c>
      <c r="X2051" s="77"/>
      <c r="Y2051" s="77"/>
      <c r="Z2051" s="77"/>
      <c r="AA2051" s="77"/>
      <c r="AB2051" s="77"/>
      <c r="AC2051" s="81" t="s">
        <v>5810</v>
      </c>
      <c r="AD2051" s="77" t="s">
        <v>5851</v>
      </c>
      <c r="AE2051" s="83" t="str">
        <f>HYPERLINK("https://twitter.com/javi_v7/status/1611071414848868352")</f>
        <v>https://twitter.com/javi_v7/status/1611071414848868352</v>
      </c>
      <c r="AF2051" s="79">
        <v>44931.78162037037</v>
      </c>
      <c r="AG2051" s="85">
        <v>44931</v>
      </c>
      <c r="AH2051" s="81" t="s">
        <v>7655</v>
      </c>
      <c r="AI2051" s="77"/>
      <c r="AJ2051" s="77"/>
      <c r="AK2051" s="77"/>
      <c r="AL2051" s="77"/>
      <c r="AM2051" s="77"/>
      <c r="AN2051" s="77"/>
      <c r="AO2051" s="77"/>
      <c r="AP2051" s="77"/>
      <c r="AQ2051" s="77"/>
      <c r="AR2051" s="77"/>
      <c r="AS2051" s="77"/>
      <c r="AT2051" s="77"/>
      <c r="AU2051" s="77"/>
      <c r="AV2051" s="83" t="str">
        <f>HYPERLINK("https://pbs.twimg.com/profile_images/1661465866498715651/gWzGuwuU_normal.jpg")</f>
        <v>https://pbs.twimg.com/profile_images/1661465866498715651/gWzGuwuU_normal.jpg</v>
      </c>
      <c r="AW2051" s="81" t="s">
        <v>11159</v>
      </c>
      <c r="AX2051" s="81" t="s">
        <v>11159</v>
      </c>
      <c r="AY2051" s="77"/>
      <c r="AZ2051" s="81" t="s">
        <v>11359</v>
      </c>
      <c r="BA2051" s="81" t="s">
        <v>11359</v>
      </c>
      <c r="BB2051" s="81" t="s">
        <v>11359</v>
      </c>
      <c r="BC2051" s="81" t="s">
        <v>11159</v>
      </c>
      <c r="BD2051" s="81" t="s">
        <v>11697</v>
      </c>
      <c r="BE2051" s="77"/>
      <c r="BF2051" s="77"/>
      <c r="BG2051" s="77"/>
      <c r="BH2051" s="77"/>
      <c r="BI2051" s="77"/>
    </row>
    <row r="2052" spans="1:61" x14ac:dyDescent="0.25">
      <c r="A2052" s="62" t="s">
        <v>842</v>
      </c>
      <c r="B2052" s="62" t="s">
        <v>842</v>
      </c>
      <c r="C2052" s="63"/>
      <c r="D2052" s="64"/>
      <c r="E2052" s="65"/>
      <c r="F2052" s="66"/>
      <c r="G2052" s="63"/>
      <c r="H2052" s="67"/>
      <c r="I2052" s="68"/>
      <c r="J2052" s="68"/>
      <c r="K2052" s="32"/>
      <c r="L2052" s="75">
        <v>2052</v>
      </c>
      <c r="M2052" s="75"/>
      <c r="N2052" s="70"/>
      <c r="O2052" s="77" t="s">
        <v>179</v>
      </c>
      <c r="P2052" s="79">
        <v>45195.546527777777</v>
      </c>
      <c r="Q2052" s="77" t="s">
        <v>2829</v>
      </c>
      <c r="R2052" s="77">
        <v>6</v>
      </c>
      <c r="S2052" s="77">
        <v>7</v>
      </c>
      <c r="T2052" s="77">
        <v>0</v>
      </c>
      <c r="U2052" s="77">
        <v>0</v>
      </c>
      <c r="V2052" s="77">
        <v>31</v>
      </c>
      <c r="W2052" s="81" t="s">
        <v>3131</v>
      </c>
      <c r="X2052" s="77"/>
      <c r="Y2052" s="77"/>
      <c r="Z2052" s="77"/>
      <c r="AA2052" s="77" t="s">
        <v>4557</v>
      </c>
      <c r="AB2052" s="77" t="s">
        <v>5794</v>
      </c>
      <c r="AC2052" s="81" t="s">
        <v>5805</v>
      </c>
      <c r="AD2052" s="77" t="s">
        <v>5850</v>
      </c>
      <c r="AE2052" s="83" t="str">
        <f>HYPERLINK("https://twitter.com/portavisa/status/1706656616849023032")</f>
        <v>https://twitter.com/portavisa/status/1706656616849023032</v>
      </c>
      <c r="AF2052" s="79">
        <v>45195.546527777777</v>
      </c>
      <c r="AG2052" s="85">
        <v>45195</v>
      </c>
      <c r="AH2052" s="81" t="s">
        <v>7656</v>
      </c>
      <c r="AI2052" s="77" t="b">
        <v>0</v>
      </c>
      <c r="AJ2052" s="77"/>
      <c r="AK2052" s="77"/>
      <c r="AL2052" s="77"/>
      <c r="AM2052" s="77"/>
      <c r="AN2052" s="77"/>
      <c r="AO2052" s="77"/>
      <c r="AP2052" s="77"/>
      <c r="AQ2052" s="77" t="s">
        <v>8060</v>
      </c>
      <c r="AR2052" s="77"/>
      <c r="AS2052" s="77"/>
      <c r="AT2052" s="77"/>
      <c r="AU2052" s="77"/>
      <c r="AV2052" s="83" t="str">
        <f>HYPERLINK("https://pbs.twimg.com/media/F6zNlOyWcAA7NH5.jpg")</f>
        <v>https://pbs.twimg.com/media/F6zNlOyWcAA7NH5.jpg</v>
      </c>
      <c r="AW2052" s="81" t="s">
        <v>11160</v>
      </c>
      <c r="AX2052" s="81" t="s">
        <v>11160</v>
      </c>
      <c r="AY2052" s="77"/>
      <c r="AZ2052" s="81" t="s">
        <v>11359</v>
      </c>
      <c r="BA2052" s="81" t="s">
        <v>11359</v>
      </c>
      <c r="BB2052" s="81" t="s">
        <v>11359</v>
      </c>
      <c r="BC2052" s="81" t="s">
        <v>11160</v>
      </c>
      <c r="BD2052" s="77">
        <v>4756262358</v>
      </c>
      <c r="BE2052" s="77"/>
      <c r="BF2052" s="77"/>
      <c r="BG2052" s="77"/>
      <c r="BH2052" s="77"/>
      <c r="BI2052" s="77"/>
    </row>
    <row r="2053" spans="1:61" x14ac:dyDescent="0.25">
      <c r="A2053" s="62" t="s">
        <v>842</v>
      </c>
      <c r="B2053" s="62" t="s">
        <v>842</v>
      </c>
      <c r="C2053" s="63"/>
      <c r="D2053" s="64"/>
      <c r="E2053" s="65"/>
      <c r="F2053" s="66"/>
      <c r="G2053" s="63"/>
      <c r="H2053" s="67"/>
      <c r="I2053" s="68"/>
      <c r="J2053" s="68"/>
      <c r="K2053" s="32"/>
      <c r="L2053" s="75">
        <v>2053</v>
      </c>
      <c r="M2053" s="75"/>
      <c r="N2053" s="70"/>
      <c r="O2053" s="77" t="s">
        <v>179</v>
      </c>
      <c r="P2053" s="79">
        <v>45183.560416666667</v>
      </c>
      <c r="Q2053" s="77" t="s">
        <v>2830</v>
      </c>
      <c r="R2053" s="77">
        <v>8</v>
      </c>
      <c r="S2053" s="77">
        <v>10</v>
      </c>
      <c r="T2053" s="77">
        <v>0</v>
      </c>
      <c r="U2053" s="77">
        <v>0</v>
      </c>
      <c r="V2053" s="77">
        <v>62</v>
      </c>
      <c r="W2053" s="81" t="s">
        <v>4090</v>
      </c>
      <c r="X2053" s="77"/>
      <c r="Y2053" s="77"/>
      <c r="Z2053" s="77"/>
      <c r="AA2053" s="77" t="s">
        <v>5728</v>
      </c>
      <c r="AB2053" s="77" t="s">
        <v>5794</v>
      </c>
      <c r="AC2053" s="81" t="s">
        <v>5805</v>
      </c>
      <c r="AD2053" s="77" t="s">
        <v>5850</v>
      </c>
      <c r="AE2053" s="83" t="str">
        <f>HYPERLINK("https://twitter.com/portavisa/status/1702312995580190799")</f>
        <v>https://twitter.com/portavisa/status/1702312995580190799</v>
      </c>
      <c r="AF2053" s="79">
        <v>45183.560416666667</v>
      </c>
      <c r="AG2053" s="85">
        <v>45183</v>
      </c>
      <c r="AH2053" s="81" t="s">
        <v>7657</v>
      </c>
      <c r="AI2053" s="77" t="b">
        <v>0</v>
      </c>
      <c r="AJ2053" s="77"/>
      <c r="AK2053" s="77"/>
      <c r="AL2053" s="77"/>
      <c r="AM2053" s="77"/>
      <c r="AN2053" s="77"/>
      <c r="AO2053" s="77"/>
      <c r="AP2053" s="77"/>
      <c r="AQ2053" s="77" t="s">
        <v>9226</v>
      </c>
      <c r="AR2053" s="77"/>
      <c r="AS2053" s="77"/>
      <c r="AT2053" s="77"/>
      <c r="AU2053" s="77"/>
      <c r="AV2053" s="83" t="str">
        <f>HYPERLINK("https://pbs.twimg.com/media/F5rPCkBWwAA3p-1.jpg")</f>
        <v>https://pbs.twimg.com/media/F5rPCkBWwAA3p-1.jpg</v>
      </c>
      <c r="AW2053" s="81" t="s">
        <v>11161</v>
      </c>
      <c r="AX2053" s="81" t="s">
        <v>11161</v>
      </c>
      <c r="AY2053" s="77"/>
      <c r="AZ2053" s="81" t="s">
        <v>11359</v>
      </c>
      <c r="BA2053" s="81" t="s">
        <v>11359</v>
      </c>
      <c r="BB2053" s="81" t="s">
        <v>11359</v>
      </c>
      <c r="BC2053" s="81" t="s">
        <v>11161</v>
      </c>
      <c r="BD2053" s="77">
        <v>4756262358</v>
      </c>
      <c r="BE2053" s="77"/>
      <c r="BF2053" s="77"/>
      <c r="BG2053" s="77"/>
      <c r="BH2053" s="77"/>
      <c r="BI2053" s="77"/>
    </row>
    <row r="2054" spans="1:61" x14ac:dyDescent="0.25">
      <c r="A2054" s="62" t="s">
        <v>842</v>
      </c>
      <c r="B2054" s="62" t="s">
        <v>842</v>
      </c>
      <c r="C2054" s="63"/>
      <c r="D2054" s="64"/>
      <c r="E2054" s="65"/>
      <c r="F2054" s="66"/>
      <c r="G2054" s="63"/>
      <c r="H2054" s="67"/>
      <c r="I2054" s="68"/>
      <c r="J2054" s="68"/>
      <c r="K2054" s="32"/>
      <c r="L2054" s="75">
        <v>2054</v>
      </c>
      <c r="M2054" s="75"/>
      <c r="N2054" s="70"/>
      <c r="O2054" s="77" t="s">
        <v>179</v>
      </c>
      <c r="P2054" s="79">
        <v>45090.546527777777</v>
      </c>
      <c r="Q2054" s="77" t="s">
        <v>2831</v>
      </c>
      <c r="R2054" s="77">
        <v>9</v>
      </c>
      <c r="S2054" s="77">
        <v>9</v>
      </c>
      <c r="T2054" s="77">
        <v>0</v>
      </c>
      <c r="U2054" s="77">
        <v>0</v>
      </c>
      <c r="V2054" s="77">
        <v>70</v>
      </c>
      <c r="W2054" s="81" t="s">
        <v>3131</v>
      </c>
      <c r="X2054" s="77"/>
      <c r="Y2054" s="77"/>
      <c r="Z2054" s="77"/>
      <c r="AA2054" s="77" t="s">
        <v>5729</v>
      </c>
      <c r="AB2054" s="77" t="s">
        <v>5794</v>
      </c>
      <c r="AC2054" s="81" t="s">
        <v>5805</v>
      </c>
      <c r="AD2054" s="77" t="s">
        <v>5850</v>
      </c>
      <c r="AE2054" s="83" t="str">
        <f>HYPERLINK("https://twitter.com/portavisa/status/1668605891120177155")</f>
        <v>https://twitter.com/portavisa/status/1668605891120177155</v>
      </c>
      <c r="AF2054" s="79">
        <v>45090.546527777777</v>
      </c>
      <c r="AG2054" s="85">
        <v>45090</v>
      </c>
      <c r="AH2054" s="81" t="s">
        <v>7656</v>
      </c>
      <c r="AI2054" s="77" t="b">
        <v>0</v>
      </c>
      <c r="AJ2054" s="77"/>
      <c r="AK2054" s="77"/>
      <c r="AL2054" s="77"/>
      <c r="AM2054" s="77"/>
      <c r="AN2054" s="77"/>
      <c r="AO2054" s="77"/>
      <c r="AP2054" s="77"/>
      <c r="AQ2054" s="77" t="s">
        <v>9227</v>
      </c>
      <c r="AR2054" s="77"/>
      <c r="AS2054" s="77"/>
      <c r="AT2054" s="77"/>
      <c r="AU2054" s="77"/>
      <c r="AV2054" s="83" t="str">
        <f>HYPERLINK("https://pbs.twimg.com/media/FyX6D9nXwAEx-Kz.jpg")</f>
        <v>https://pbs.twimg.com/media/FyX6D9nXwAEx-Kz.jpg</v>
      </c>
      <c r="AW2054" s="81" t="s">
        <v>11162</v>
      </c>
      <c r="AX2054" s="81" t="s">
        <v>11162</v>
      </c>
      <c r="AY2054" s="77"/>
      <c r="AZ2054" s="81" t="s">
        <v>11359</v>
      </c>
      <c r="BA2054" s="81" t="s">
        <v>11359</v>
      </c>
      <c r="BB2054" s="81" t="s">
        <v>11359</v>
      </c>
      <c r="BC2054" s="81" t="s">
        <v>11162</v>
      </c>
      <c r="BD2054" s="77">
        <v>4756262358</v>
      </c>
      <c r="BE2054" s="77"/>
      <c r="BF2054" s="77"/>
      <c r="BG2054" s="77"/>
      <c r="BH2054" s="77"/>
      <c r="BI2054" s="77"/>
    </row>
    <row r="2055" spans="1:61" x14ac:dyDescent="0.25">
      <c r="A2055" s="62" t="s">
        <v>843</v>
      </c>
      <c r="B2055" s="62" t="s">
        <v>842</v>
      </c>
      <c r="C2055" s="63"/>
      <c r="D2055" s="64"/>
      <c r="E2055" s="65"/>
      <c r="F2055" s="66"/>
      <c r="G2055" s="63"/>
      <c r="H2055" s="67"/>
      <c r="I2055" s="68"/>
      <c r="J2055" s="68"/>
      <c r="K2055" s="32"/>
      <c r="L2055" s="75">
        <v>2055</v>
      </c>
      <c r="M2055" s="75"/>
      <c r="N2055" s="70"/>
      <c r="O2055" s="77" t="s">
        <v>968</v>
      </c>
      <c r="P2055" s="79">
        <v>45195.551226851851</v>
      </c>
      <c r="Q2055" s="77" t="s">
        <v>1256</v>
      </c>
      <c r="R2055" s="77">
        <v>6</v>
      </c>
      <c r="S2055" s="77">
        <v>0</v>
      </c>
      <c r="T2055" s="77">
        <v>0</v>
      </c>
      <c r="U2055" s="77">
        <v>0</v>
      </c>
      <c r="V2055" s="77"/>
      <c r="W2055" s="81" t="s">
        <v>3131</v>
      </c>
      <c r="X2055" s="77"/>
      <c r="Y2055" s="77"/>
      <c r="Z2055" s="77" t="s">
        <v>842</v>
      </c>
      <c r="AA2055" s="77" t="s">
        <v>4557</v>
      </c>
      <c r="AB2055" s="77" t="s">
        <v>5794</v>
      </c>
      <c r="AC2055" s="81" t="s">
        <v>5801</v>
      </c>
      <c r="AD2055" s="77" t="s">
        <v>5850</v>
      </c>
      <c r="AE2055" s="83" t="str">
        <f>HYPERLINK("https://twitter.com/daniela78903757/status/1706658320189153649")</f>
        <v>https://twitter.com/daniela78903757/status/1706658320189153649</v>
      </c>
      <c r="AF2055" s="79">
        <v>45195.551226851851</v>
      </c>
      <c r="AG2055" s="85">
        <v>45195</v>
      </c>
      <c r="AH2055" s="81" t="s">
        <v>7658</v>
      </c>
      <c r="AI2055" s="77" t="b">
        <v>0</v>
      </c>
      <c r="AJ2055" s="77"/>
      <c r="AK2055" s="77"/>
      <c r="AL2055" s="77"/>
      <c r="AM2055" s="77"/>
      <c r="AN2055" s="77"/>
      <c r="AO2055" s="77"/>
      <c r="AP2055" s="77"/>
      <c r="AQ2055" s="77" t="s">
        <v>8060</v>
      </c>
      <c r="AR2055" s="77"/>
      <c r="AS2055" s="77"/>
      <c r="AT2055" s="77"/>
      <c r="AU2055" s="77"/>
      <c r="AV2055" s="83" t="str">
        <f>HYPERLINK("https://pbs.twimg.com/media/F6zNlOyWcAA7NH5.jpg")</f>
        <v>https://pbs.twimg.com/media/F6zNlOyWcAA7NH5.jpg</v>
      </c>
      <c r="AW2055" s="81" t="s">
        <v>11163</v>
      </c>
      <c r="AX2055" s="81" t="s">
        <v>11163</v>
      </c>
      <c r="AY2055" s="77"/>
      <c r="AZ2055" s="81" t="s">
        <v>11359</v>
      </c>
      <c r="BA2055" s="81" t="s">
        <v>11359</v>
      </c>
      <c r="BB2055" s="81" t="s">
        <v>11160</v>
      </c>
      <c r="BC2055" s="81" t="s">
        <v>11160</v>
      </c>
      <c r="BD2055" s="81" t="s">
        <v>11698</v>
      </c>
      <c r="BE2055" s="77"/>
      <c r="BF2055" s="77"/>
      <c r="BG2055" s="77"/>
      <c r="BH2055" s="77"/>
      <c r="BI2055" s="77"/>
    </row>
    <row r="2056" spans="1:61" x14ac:dyDescent="0.25">
      <c r="A2056" s="62" t="s">
        <v>844</v>
      </c>
      <c r="B2056" s="62" t="s">
        <v>842</v>
      </c>
      <c r="C2056" s="63"/>
      <c r="D2056" s="64"/>
      <c r="E2056" s="65"/>
      <c r="F2056" s="66"/>
      <c r="G2056" s="63"/>
      <c r="H2056" s="67"/>
      <c r="I2056" s="68"/>
      <c r="J2056" s="68"/>
      <c r="K2056" s="32"/>
      <c r="L2056" s="75">
        <v>2056</v>
      </c>
      <c r="M2056" s="75"/>
      <c r="N2056" s="70"/>
      <c r="O2056" s="77" t="s">
        <v>968</v>
      </c>
      <c r="P2056" s="79">
        <v>45193.802025462966</v>
      </c>
      <c r="Q2056" s="77" t="s">
        <v>2832</v>
      </c>
      <c r="R2056" s="77">
        <v>8</v>
      </c>
      <c r="S2056" s="77">
        <v>0</v>
      </c>
      <c r="T2056" s="77">
        <v>0</v>
      </c>
      <c r="U2056" s="77">
        <v>0</v>
      </c>
      <c r="V2056" s="77"/>
      <c r="W2056" s="81" t="s">
        <v>4090</v>
      </c>
      <c r="X2056" s="77"/>
      <c r="Y2056" s="77"/>
      <c r="Z2056" s="77" t="s">
        <v>842</v>
      </c>
      <c r="AA2056" s="77" t="s">
        <v>5728</v>
      </c>
      <c r="AB2056" s="77" t="s">
        <v>5794</v>
      </c>
      <c r="AC2056" s="81" t="s">
        <v>5803</v>
      </c>
      <c r="AD2056" s="77" t="s">
        <v>5850</v>
      </c>
      <c r="AE2056" s="83" t="str">
        <f>HYPERLINK("https://twitter.com/olimpiaavila1/status/1706024430571323866")</f>
        <v>https://twitter.com/olimpiaavila1/status/1706024430571323866</v>
      </c>
      <c r="AF2056" s="79">
        <v>45193.802025462966</v>
      </c>
      <c r="AG2056" s="85">
        <v>45193</v>
      </c>
      <c r="AH2056" s="81" t="s">
        <v>7659</v>
      </c>
      <c r="AI2056" s="77" t="b">
        <v>0</v>
      </c>
      <c r="AJ2056" s="77"/>
      <c r="AK2056" s="77"/>
      <c r="AL2056" s="77"/>
      <c r="AM2056" s="77"/>
      <c r="AN2056" s="77"/>
      <c r="AO2056" s="77"/>
      <c r="AP2056" s="77"/>
      <c r="AQ2056" s="77" t="s">
        <v>9226</v>
      </c>
      <c r="AR2056" s="77"/>
      <c r="AS2056" s="77"/>
      <c r="AT2056" s="77"/>
      <c r="AU2056" s="77"/>
      <c r="AV2056" s="83" t="str">
        <f>HYPERLINK("https://pbs.twimg.com/media/F5rPCkBWwAA3p-1.jpg")</f>
        <v>https://pbs.twimg.com/media/F5rPCkBWwAA3p-1.jpg</v>
      </c>
      <c r="AW2056" s="81" t="s">
        <v>11164</v>
      </c>
      <c r="AX2056" s="81" t="s">
        <v>11164</v>
      </c>
      <c r="AY2056" s="77"/>
      <c r="AZ2056" s="81" t="s">
        <v>11359</v>
      </c>
      <c r="BA2056" s="81" t="s">
        <v>11359</v>
      </c>
      <c r="BB2056" s="81" t="s">
        <v>11161</v>
      </c>
      <c r="BC2056" s="81" t="s">
        <v>11161</v>
      </c>
      <c r="BD2056" s="81" t="s">
        <v>11699</v>
      </c>
      <c r="BE2056" s="77"/>
      <c r="BF2056" s="77"/>
      <c r="BG2056" s="77"/>
      <c r="BH2056" s="77"/>
      <c r="BI2056" s="77"/>
    </row>
    <row r="2057" spans="1:61" x14ac:dyDescent="0.25">
      <c r="A2057" s="62" t="s">
        <v>843</v>
      </c>
      <c r="B2057" s="62" t="s">
        <v>843</v>
      </c>
      <c r="C2057" s="63"/>
      <c r="D2057" s="64"/>
      <c r="E2057" s="65"/>
      <c r="F2057" s="66"/>
      <c r="G2057" s="63"/>
      <c r="H2057" s="67"/>
      <c r="I2057" s="68"/>
      <c r="J2057" s="68"/>
      <c r="K2057" s="32"/>
      <c r="L2057" s="75">
        <v>2057</v>
      </c>
      <c r="M2057" s="75"/>
      <c r="N2057" s="70"/>
      <c r="O2057" s="77" t="s">
        <v>179</v>
      </c>
      <c r="P2057" s="79">
        <v>45075.567361111112</v>
      </c>
      <c r="Q2057" s="77" t="s">
        <v>2833</v>
      </c>
      <c r="R2057" s="77">
        <v>9</v>
      </c>
      <c r="S2057" s="77">
        <v>10</v>
      </c>
      <c r="T2057" s="77">
        <v>0</v>
      </c>
      <c r="U2057" s="77">
        <v>0</v>
      </c>
      <c r="V2057" s="77">
        <v>67</v>
      </c>
      <c r="W2057" s="81" t="s">
        <v>4091</v>
      </c>
      <c r="X2057" s="77"/>
      <c r="Y2057" s="77"/>
      <c r="Z2057" s="77"/>
      <c r="AA2057" s="77" t="s">
        <v>5730</v>
      </c>
      <c r="AB2057" s="77" t="s">
        <v>5794</v>
      </c>
      <c r="AC2057" s="81" t="s">
        <v>5805</v>
      </c>
      <c r="AD2057" s="77" t="s">
        <v>5850</v>
      </c>
      <c r="AE2057" s="83" t="str">
        <f>HYPERLINK("https://twitter.com/daniela78903757/status/1663177622757740550")</f>
        <v>https://twitter.com/daniela78903757/status/1663177622757740550</v>
      </c>
      <c r="AF2057" s="79">
        <v>45075.567361111112</v>
      </c>
      <c r="AG2057" s="85">
        <v>45075</v>
      </c>
      <c r="AH2057" s="81" t="s">
        <v>7660</v>
      </c>
      <c r="AI2057" s="77" t="b">
        <v>0</v>
      </c>
      <c r="AJ2057" s="77"/>
      <c r="AK2057" s="77"/>
      <c r="AL2057" s="77"/>
      <c r="AM2057" s="77"/>
      <c r="AN2057" s="77"/>
      <c r="AO2057" s="77"/>
      <c r="AP2057" s="77"/>
      <c r="AQ2057" s="77" t="s">
        <v>9228</v>
      </c>
      <c r="AR2057" s="77"/>
      <c r="AS2057" s="77"/>
      <c r="AT2057" s="77"/>
      <c r="AU2057" s="77"/>
      <c r="AV2057" s="83" t="str">
        <f>HYPERLINK("https://pbs.twimg.com/media/FxP2uJPWYAEYDra.jpg")</f>
        <v>https://pbs.twimg.com/media/FxP2uJPWYAEYDra.jpg</v>
      </c>
      <c r="AW2057" s="81" t="s">
        <v>11165</v>
      </c>
      <c r="AX2057" s="81" t="s">
        <v>11165</v>
      </c>
      <c r="AY2057" s="77"/>
      <c r="AZ2057" s="81" t="s">
        <v>11359</v>
      </c>
      <c r="BA2057" s="81" t="s">
        <v>11359</v>
      </c>
      <c r="BB2057" s="81" t="s">
        <v>11359</v>
      </c>
      <c r="BC2057" s="81" t="s">
        <v>11165</v>
      </c>
      <c r="BD2057" s="81" t="s">
        <v>11698</v>
      </c>
      <c r="BE2057" s="77"/>
      <c r="BF2057" s="77"/>
      <c r="BG2057" s="77"/>
      <c r="BH2057" s="77"/>
      <c r="BI2057" s="77"/>
    </row>
    <row r="2058" spans="1:61" x14ac:dyDescent="0.25">
      <c r="A2058" s="62" t="s">
        <v>843</v>
      </c>
      <c r="B2058" s="62" t="s">
        <v>843</v>
      </c>
      <c r="C2058" s="63"/>
      <c r="D2058" s="64"/>
      <c r="E2058" s="65"/>
      <c r="F2058" s="66"/>
      <c r="G2058" s="63"/>
      <c r="H2058" s="67"/>
      <c r="I2058" s="68"/>
      <c r="J2058" s="68"/>
      <c r="K2058" s="32"/>
      <c r="L2058" s="75">
        <v>2058</v>
      </c>
      <c r="M2058" s="75"/>
      <c r="N2058" s="70"/>
      <c r="O2058" s="77" t="s">
        <v>179</v>
      </c>
      <c r="P2058" s="79">
        <v>45069.567361111112</v>
      </c>
      <c r="Q2058" s="77" t="s">
        <v>2834</v>
      </c>
      <c r="R2058" s="77">
        <v>9</v>
      </c>
      <c r="S2058" s="77">
        <v>7</v>
      </c>
      <c r="T2058" s="77">
        <v>0</v>
      </c>
      <c r="U2058" s="77">
        <v>0</v>
      </c>
      <c r="V2058" s="77">
        <v>112</v>
      </c>
      <c r="W2058" s="81" t="s">
        <v>4092</v>
      </c>
      <c r="X2058" s="77"/>
      <c r="Y2058" s="77"/>
      <c r="Z2058" s="77"/>
      <c r="AA2058" s="77"/>
      <c r="AB2058" s="77"/>
      <c r="AC2058" s="81" t="s">
        <v>5805</v>
      </c>
      <c r="AD2058" s="77" t="s">
        <v>5850</v>
      </c>
      <c r="AE2058" s="83" t="str">
        <f>HYPERLINK("https://twitter.com/daniela78903757/status/1661003295341543424")</f>
        <v>https://twitter.com/daniela78903757/status/1661003295341543424</v>
      </c>
      <c r="AF2058" s="79">
        <v>45069.567361111112</v>
      </c>
      <c r="AG2058" s="85">
        <v>45069</v>
      </c>
      <c r="AH2058" s="81" t="s">
        <v>7660</v>
      </c>
      <c r="AI2058" s="77"/>
      <c r="AJ2058" s="77"/>
      <c r="AK2058" s="77"/>
      <c r="AL2058" s="77"/>
      <c r="AM2058" s="77"/>
      <c r="AN2058" s="77"/>
      <c r="AO2058" s="77"/>
      <c r="AP2058" s="77"/>
      <c r="AQ2058" s="77"/>
      <c r="AR2058" s="77"/>
      <c r="AS2058" s="77"/>
      <c r="AT2058" s="77"/>
      <c r="AU2058" s="77"/>
      <c r="AV2058" s="83" t="str">
        <f>HYPERLINK("https://pbs.twimg.com/profile_images/1610410274158174211/Uf7MFkTb_normal.jpg")</f>
        <v>https://pbs.twimg.com/profile_images/1610410274158174211/Uf7MFkTb_normal.jpg</v>
      </c>
      <c r="AW2058" s="81" t="s">
        <v>11166</v>
      </c>
      <c r="AX2058" s="81" t="s">
        <v>11166</v>
      </c>
      <c r="AY2058" s="77"/>
      <c r="AZ2058" s="81" t="s">
        <v>11359</v>
      </c>
      <c r="BA2058" s="81" t="s">
        <v>11359</v>
      </c>
      <c r="BB2058" s="81" t="s">
        <v>11359</v>
      </c>
      <c r="BC2058" s="81" t="s">
        <v>11166</v>
      </c>
      <c r="BD2058" s="81" t="s">
        <v>11698</v>
      </c>
      <c r="BE2058" s="77"/>
      <c r="BF2058" s="77"/>
      <c r="BG2058" s="77"/>
      <c r="BH2058" s="77"/>
      <c r="BI2058" s="77"/>
    </row>
    <row r="2059" spans="1:61" x14ac:dyDescent="0.25">
      <c r="A2059" s="62" t="s">
        <v>843</v>
      </c>
      <c r="B2059" s="62" t="s">
        <v>843</v>
      </c>
      <c r="C2059" s="63"/>
      <c r="D2059" s="64"/>
      <c r="E2059" s="65"/>
      <c r="F2059" s="66"/>
      <c r="G2059" s="63"/>
      <c r="H2059" s="67"/>
      <c r="I2059" s="68"/>
      <c r="J2059" s="68"/>
      <c r="K2059" s="32"/>
      <c r="L2059" s="75">
        <v>2059</v>
      </c>
      <c r="M2059" s="75"/>
      <c r="N2059" s="70"/>
      <c r="O2059" s="77" t="s">
        <v>179</v>
      </c>
      <c r="P2059" s="79">
        <v>45131.567361111112</v>
      </c>
      <c r="Q2059" s="77" t="s">
        <v>2835</v>
      </c>
      <c r="R2059" s="77">
        <v>8</v>
      </c>
      <c r="S2059" s="77">
        <v>8</v>
      </c>
      <c r="T2059" s="77">
        <v>0</v>
      </c>
      <c r="U2059" s="77">
        <v>0</v>
      </c>
      <c r="V2059" s="77">
        <v>76</v>
      </c>
      <c r="W2059" s="81" t="s">
        <v>4093</v>
      </c>
      <c r="X2059" s="77"/>
      <c r="Y2059" s="77"/>
      <c r="Z2059" s="77"/>
      <c r="AA2059" s="77" t="s">
        <v>5731</v>
      </c>
      <c r="AB2059" s="77" t="s">
        <v>5794</v>
      </c>
      <c r="AC2059" s="81" t="s">
        <v>5805</v>
      </c>
      <c r="AD2059" s="77" t="s">
        <v>5850</v>
      </c>
      <c r="AE2059" s="83" t="str">
        <f>HYPERLINK("https://twitter.com/daniela78903757/status/1683471342929346561")</f>
        <v>https://twitter.com/daniela78903757/status/1683471342929346561</v>
      </c>
      <c r="AF2059" s="79">
        <v>45131.567361111112</v>
      </c>
      <c r="AG2059" s="85">
        <v>45131</v>
      </c>
      <c r="AH2059" s="81" t="s">
        <v>7660</v>
      </c>
      <c r="AI2059" s="77" t="b">
        <v>0</v>
      </c>
      <c r="AJ2059" s="77"/>
      <c r="AK2059" s="77"/>
      <c r="AL2059" s="77"/>
      <c r="AM2059" s="77"/>
      <c r="AN2059" s="77"/>
      <c r="AO2059" s="77"/>
      <c r="AP2059" s="77"/>
      <c r="AQ2059" s="77" t="s">
        <v>9229</v>
      </c>
      <c r="AR2059" s="77"/>
      <c r="AS2059" s="77"/>
      <c r="AT2059" s="77"/>
      <c r="AU2059" s="77"/>
      <c r="AV2059" s="83" t="str">
        <f>HYPERLINK("https://pbs.twimg.com/media/F1udoHGXoAE4fZJ.jpg")</f>
        <v>https://pbs.twimg.com/media/F1udoHGXoAE4fZJ.jpg</v>
      </c>
      <c r="AW2059" s="81" t="s">
        <v>11167</v>
      </c>
      <c r="AX2059" s="81" t="s">
        <v>11167</v>
      </c>
      <c r="AY2059" s="77"/>
      <c r="AZ2059" s="81" t="s">
        <v>11359</v>
      </c>
      <c r="BA2059" s="81" t="s">
        <v>11359</v>
      </c>
      <c r="BB2059" s="81" t="s">
        <v>11359</v>
      </c>
      <c r="BC2059" s="81" t="s">
        <v>11167</v>
      </c>
      <c r="BD2059" s="81" t="s">
        <v>11698</v>
      </c>
      <c r="BE2059" s="77"/>
      <c r="BF2059" s="77"/>
      <c r="BG2059" s="77"/>
      <c r="BH2059" s="77"/>
      <c r="BI2059" s="77"/>
    </row>
    <row r="2060" spans="1:61" x14ac:dyDescent="0.25">
      <c r="A2060" s="62" t="s">
        <v>843</v>
      </c>
      <c r="B2060" s="62" t="s">
        <v>843</v>
      </c>
      <c r="C2060" s="63"/>
      <c r="D2060" s="64"/>
      <c r="E2060" s="65"/>
      <c r="F2060" s="66"/>
      <c r="G2060" s="63"/>
      <c r="H2060" s="67"/>
      <c r="I2060" s="68"/>
      <c r="J2060" s="68"/>
      <c r="K2060" s="32"/>
      <c r="L2060" s="75">
        <v>2060</v>
      </c>
      <c r="M2060" s="75"/>
      <c r="N2060" s="70"/>
      <c r="O2060" s="77" t="s">
        <v>179</v>
      </c>
      <c r="P2060" s="79">
        <v>44960.645833333336</v>
      </c>
      <c r="Q2060" s="77" t="s">
        <v>2836</v>
      </c>
      <c r="R2060" s="77">
        <v>7</v>
      </c>
      <c r="S2060" s="77">
        <v>11</v>
      </c>
      <c r="T2060" s="77">
        <v>0</v>
      </c>
      <c r="U2060" s="77">
        <v>0</v>
      </c>
      <c r="V2060" s="77">
        <v>104</v>
      </c>
      <c r="W2060" s="81" t="s">
        <v>4094</v>
      </c>
      <c r="X2060" s="77"/>
      <c r="Y2060" s="77"/>
      <c r="Z2060" s="77"/>
      <c r="AA2060" s="77" t="s">
        <v>5732</v>
      </c>
      <c r="AB2060" s="77" t="s">
        <v>5794</v>
      </c>
      <c r="AC2060" s="81" t="s">
        <v>5805</v>
      </c>
      <c r="AD2060" s="77" t="s">
        <v>5850</v>
      </c>
      <c r="AE2060" s="83" t="str">
        <f>HYPERLINK("https://twitter.com/daniela78903757/status/1621531457494880257")</f>
        <v>https://twitter.com/daniela78903757/status/1621531457494880257</v>
      </c>
      <c r="AF2060" s="79">
        <v>44960.645833333336</v>
      </c>
      <c r="AG2060" s="85">
        <v>44960</v>
      </c>
      <c r="AH2060" s="81" t="s">
        <v>7661</v>
      </c>
      <c r="AI2060" s="77" t="b">
        <v>0</v>
      </c>
      <c r="AJ2060" s="77"/>
      <c r="AK2060" s="77"/>
      <c r="AL2060" s="77"/>
      <c r="AM2060" s="77"/>
      <c r="AN2060" s="77"/>
      <c r="AO2060" s="77"/>
      <c r="AP2060" s="77"/>
      <c r="AQ2060" s="77" t="s">
        <v>9230</v>
      </c>
      <c r="AR2060" s="77"/>
      <c r="AS2060" s="77"/>
      <c r="AT2060" s="77"/>
      <c r="AU2060" s="77"/>
      <c r="AV2060" s="83" t="str">
        <f>HYPERLINK("https://pbs.twimg.com/media/FnrXEGcWYAEcijV.jpg")</f>
        <v>https://pbs.twimg.com/media/FnrXEGcWYAEcijV.jpg</v>
      </c>
      <c r="AW2060" s="81" t="s">
        <v>11168</v>
      </c>
      <c r="AX2060" s="81" t="s">
        <v>11168</v>
      </c>
      <c r="AY2060" s="77"/>
      <c r="AZ2060" s="81" t="s">
        <v>11359</v>
      </c>
      <c r="BA2060" s="81" t="s">
        <v>11359</v>
      </c>
      <c r="BB2060" s="81" t="s">
        <v>11359</v>
      </c>
      <c r="BC2060" s="81" t="s">
        <v>11168</v>
      </c>
      <c r="BD2060" s="81" t="s">
        <v>11698</v>
      </c>
      <c r="BE2060" s="77"/>
      <c r="BF2060" s="77"/>
      <c r="BG2060" s="77"/>
      <c r="BH2060" s="77"/>
      <c r="BI2060" s="77"/>
    </row>
    <row r="2061" spans="1:61" x14ac:dyDescent="0.25">
      <c r="A2061" s="62" t="s">
        <v>843</v>
      </c>
      <c r="B2061" s="62" t="s">
        <v>843</v>
      </c>
      <c r="C2061" s="63"/>
      <c r="D2061" s="64"/>
      <c r="E2061" s="65"/>
      <c r="F2061" s="66"/>
      <c r="G2061" s="63"/>
      <c r="H2061" s="67"/>
      <c r="I2061" s="68"/>
      <c r="J2061" s="68"/>
      <c r="K2061" s="32"/>
      <c r="L2061" s="75">
        <v>2061</v>
      </c>
      <c r="M2061" s="75"/>
      <c r="N2061" s="70"/>
      <c r="O2061" s="77" t="s">
        <v>179</v>
      </c>
      <c r="P2061" s="79">
        <v>45155.5625</v>
      </c>
      <c r="Q2061" s="77" t="s">
        <v>2837</v>
      </c>
      <c r="R2061" s="77">
        <v>8</v>
      </c>
      <c r="S2061" s="77">
        <v>11</v>
      </c>
      <c r="T2061" s="77">
        <v>0</v>
      </c>
      <c r="U2061" s="77">
        <v>0</v>
      </c>
      <c r="V2061" s="77">
        <v>79</v>
      </c>
      <c r="W2061" s="81" t="s">
        <v>4095</v>
      </c>
      <c r="X2061" s="77"/>
      <c r="Y2061" s="77"/>
      <c r="Z2061" s="77"/>
      <c r="AA2061" s="77" t="s">
        <v>5733</v>
      </c>
      <c r="AB2061" s="77" t="s">
        <v>5794</v>
      </c>
      <c r="AC2061" s="81" t="s">
        <v>5805</v>
      </c>
      <c r="AD2061" s="77" t="s">
        <v>5850</v>
      </c>
      <c r="AE2061" s="83" t="str">
        <f>HYPERLINK("https://twitter.com/daniela78903757/status/1692166890314232024")</f>
        <v>https://twitter.com/daniela78903757/status/1692166890314232024</v>
      </c>
      <c r="AF2061" s="79">
        <v>45155.5625</v>
      </c>
      <c r="AG2061" s="85">
        <v>45155</v>
      </c>
      <c r="AH2061" s="81" t="s">
        <v>7662</v>
      </c>
      <c r="AI2061" s="77" t="b">
        <v>0</v>
      </c>
      <c r="AJ2061" s="77"/>
      <c r="AK2061" s="77"/>
      <c r="AL2061" s="77"/>
      <c r="AM2061" s="77"/>
      <c r="AN2061" s="77"/>
      <c r="AO2061" s="77"/>
      <c r="AP2061" s="77"/>
      <c r="AQ2061" s="77" t="s">
        <v>9231</v>
      </c>
      <c r="AR2061" s="77"/>
      <c r="AS2061" s="77"/>
      <c r="AT2061" s="77"/>
      <c r="AU2061" s="77"/>
      <c r="AV2061" s="83" t="str">
        <f>HYPERLINK("https://pbs.twimg.com/media/F3bJZO8W8AEkRoM.jpg")</f>
        <v>https://pbs.twimg.com/media/F3bJZO8W8AEkRoM.jpg</v>
      </c>
      <c r="AW2061" s="81" t="s">
        <v>11169</v>
      </c>
      <c r="AX2061" s="81" t="s">
        <v>11169</v>
      </c>
      <c r="AY2061" s="77"/>
      <c r="AZ2061" s="81" t="s">
        <v>11359</v>
      </c>
      <c r="BA2061" s="81" t="s">
        <v>11359</v>
      </c>
      <c r="BB2061" s="81" t="s">
        <v>11359</v>
      </c>
      <c r="BC2061" s="81" t="s">
        <v>11169</v>
      </c>
      <c r="BD2061" s="81" t="s">
        <v>11698</v>
      </c>
      <c r="BE2061" s="77"/>
      <c r="BF2061" s="77"/>
      <c r="BG2061" s="77"/>
      <c r="BH2061" s="77"/>
      <c r="BI2061" s="77"/>
    </row>
    <row r="2062" spans="1:61" x14ac:dyDescent="0.25">
      <c r="A2062" s="62" t="s">
        <v>843</v>
      </c>
      <c r="B2062" s="62" t="s">
        <v>843</v>
      </c>
      <c r="C2062" s="63"/>
      <c r="D2062" s="64"/>
      <c r="E2062" s="65"/>
      <c r="F2062" s="66"/>
      <c r="G2062" s="63"/>
      <c r="H2062" s="67"/>
      <c r="I2062" s="68"/>
      <c r="J2062" s="68"/>
      <c r="K2062" s="32"/>
      <c r="L2062" s="75">
        <v>2062</v>
      </c>
      <c r="M2062" s="75"/>
      <c r="N2062" s="70"/>
      <c r="O2062" s="77" t="s">
        <v>179</v>
      </c>
      <c r="P2062" s="79">
        <v>45152.5625</v>
      </c>
      <c r="Q2062" s="77" t="s">
        <v>2838</v>
      </c>
      <c r="R2062" s="77">
        <v>8</v>
      </c>
      <c r="S2062" s="77">
        <v>9</v>
      </c>
      <c r="T2062" s="77">
        <v>0</v>
      </c>
      <c r="U2062" s="77">
        <v>0</v>
      </c>
      <c r="V2062" s="77">
        <v>79</v>
      </c>
      <c r="W2062" s="81" t="s">
        <v>4096</v>
      </c>
      <c r="X2062" s="77"/>
      <c r="Y2062" s="77"/>
      <c r="Z2062" s="77"/>
      <c r="AA2062" s="77" t="s">
        <v>5734</v>
      </c>
      <c r="AB2062" s="77" t="s">
        <v>5794</v>
      </c>
      <c r="AC2062" s="81" t="s">
        <v>5805</v>
      </c>
      <c r="AD2062" s="77" t="s">
        <v>5850</v>
      </c>
      <c r="AE2062" s="83" t="str">
        <f>HYPERLINK("https://twitter.com/daniela78903757/status/1691079727237505024")</f>
        <v>https://twitter.com/daniela78903757/status/1691079727237505024</v>
      </c>
      <c r="AF2062" s="79">
        <v>45152.5625</v>
      </c>
      <c r="AG2062" s="85">
        <v>45152</v>
      </c>
      <c r="AH2062" s="81" t="s">
        <v>7662</v>
      </c>
      <c r="AI2062" s="77" t="b">
        <v>0</v>
      </c>
      <c r="AJ2062" s="77"/>
      <c r="AK2062" s="77"/>
      <c r="AL2062" s="77"/>
      <c r="AM2062" s="77"/>
      <c r="AN2062" s="77"/>
      <c r="AO2062" s="77"/>
      <c r="AP2062" s="77"/>
      <c r="AQ2062" s="77" t="s">
        <v>9232</v>
      </c>
      <c r="AR2062" s="77"/>
      <c r="AS2062" s="77"/>
      <c r="AT2062" s="77"/>
      <c r="AU2062" s="77"/>
      <c r="AV2062" s="83" t="str">
        <f>HYPERLINK("https://pbs.twimg.com/media/F3bHIiRXcAAzG7_.jpg")</f>
        <v>https://pbs.twimg.com/media/F3bHIiRXcAAzG7_.jpg</v>
      </c>
      <c r="AW2062" s="81" t="s">
        <v>11170</v>
      </c>
      <c r="AX2062" s="81" t="s">
        <v>11170</v>
      </c>
      <c r="AY2062" s="77"/>
      <c r="AZ2062" s="81" t="s">
        <v>11359</v>
      </c>
      <c r="BA2062" s="81" t="s">
        <v>11359</v>
      </c>
      <c r="BB2062" s="81" t="s">
        <v>11359</v>
      </c>
      <c r="BC2062" s="81" t="s">
        <v>11170</v>
      </c>
      <c r="BD2062" s="81" t="s">
        <v>11698</v>
      </c>
      <c r="BE2062" s="77"/>
      <c r="BF2062" s="77"/>
      <c r="BG2062" s="77"/>
      <c r="BH2062" s="77"/>
      <c r="BI2062" s="77"/>
    </row>
    <row r="2063" spans="1:61" x14ac:dyDescent="0.25">
      <c r="A2063" s="62" t="s">
        <v>843</v>
      </c>
      <c r="B2063" s="62" t="s">
        <v>843</v>
      </c>
      <c r="C2063" s="63"/>
      <c r="D2063" s="64"/>
      <c r="E2063" s="65"/>
      <c r="F2063" s="66"/>
      <c r="G2063" s="63"/>
      <c r="H2063" s="67"/>
      <c r="I2063" s="68"/>
      <c r="J2063" s="68"/>
      <c r="K2063" s="32"/>
      <c r="L2063" s="75">
        <v>2063</v>
      </c>
      <c r="M2063" s="75"/>
      <c r="N2063" s="70"/>
      <c r="O2063" s="77" t="s">
        <v>179</v>
      </c>
      <c r="P2063" s="79">
        <v>45160.560416666667</v>
      </c>
      <c r="Q2063" s="77" t="s">
        <v>2839</v>
      </c>
      <c r="R2063" s="77">
        <v>8</v>
      </c>
      <c r="S2063" s="77">
        <v>8</v>
      </c>
      <c r="T2063" s="77">
        <v>0</v>
      </c>
      <c r="U2063" s="77">
        <v>0</v>
      </c>
      <c r="V2063" s="77">
        <v>67</v>
      </c>
      <c r="W2063" s="81" t="s">
        <v>4097</v>
      </c>
      <c r="X2063" s="77"/>
      <c r="Y2063" s="77"/>
      <c r="Z2063" s="77"/>
      <c r="AA2063" s="77" t="s">
        <v>5735</v>
      </c>
      <c r="AB2063" s="77" t="s">
        <v>5794</v>
      </c>
      <c r="AC2063" s="81" t="s">
        <v>5805</v>
      </c>
      <c r="AD2063" s="77" t="s">
        <v>5850</v>
      </c>
      <c r="AE2063" s="83" t="str">
        <f>HYPERLINK("https://twitter.com/daniela78903757/status/1693978074399023220")</f>
        <v>https://twitter.com/daniela78903757/status/1693978074399023220</v>
      </c>
      <c r="AF2063" s="79">
        <v>45160.560416666667</v>
      </c>
      <c r="AG2063" s="85">
        <v>45160</v>
      </c>
      <c r="AH2063" s="81" t="s">
        <v>7657</v>
      </c>
      <c r="AI2063" s="77" t="b">
        <v>0</v>
      </c>
      <c r="AJ2063" s="77"/>
      <c r="AK2063" s="77"/>
      <c r="AL2063" s="77"/>
      <c r="AM2063" s="77"/>
      <c r="AN2063" s="77"/>
      <c r="AO2063" s="77"/>
      <c r="AP2063" s="77"/>
      <c r="AQ2063" s="77" t="s">
        <v>9233</v>
      </c>
      <c r="AR2063" s="77"/>
      <c r="AS2063" s="77"/>
      <c r="AT2063" s="77"/>
      <c r="AU2063" s="77"/>
      <c r="AV2063" s="83" t="str">
        <f>HYPERLINK("https://pbs.twimg.com/media/F4A04QpXwAA3Xxp.jpg")</f>
        <v>https://pbs.twimg.com/media/F4A04QpXwAA3Xxp.jpg</v>
      </c>
      <c r="AW2063" s="81" t="s">
        <v>11171</v>
      </c>
      <c r="AX2063" s="81" t="s">
        <v>11171</v>
      </c>
      <c r="AY2063" s="77"/>
      <c r="AZ2063" s="81" t="s">
        <v>11359</v>
      </c>
      <c r="BA2063" s="81" t="s">
        <v>11359</v>
      </c>
      <c r="BB2063" s="81" t="s">
        <v>11359</v>
      </c>
      <c r="BC2063" s="81" t="s">
        <v>11171</v>
      </c>
      <c r="BD2063" s="81" t="s">
        <v>11698</v>
      </c>
      <c r="BE2063" s="77"/>
      <c r="BF2063" s="77"/>
      <c r="BG2063" s="77"/>
      <c r="BH2063" s="77"/>
      <c r="BI2063" s="77"/>
    </row>
    <row r="2064" spans="1:61" x14ac:dyDescent="0.25">
      <c r="A2064" s="62" t="s">
        <v>843</v>
      </c>
      <c r="B2064" s="62" t="s">
        <v>843</v>
      </c>
      <c r="C2064" s="63"/>
      <c r="D2064" s="64"/>
      <c r="E2064" s="65"/>
      <c r="F2064" s="66"/>
      <c r="G2064" s="63"/>
      <c r="H2064" s="67"/>
      <c r="I2064" s="68"/>
      <c r="J2064" s="68"/>
      <c r="K2064" s="32"/>
      <c r="L2064" s="75">
        <v>2064</v>
      </c>
      <c r="M2064" s="75"/>
      <c r="N2064" s="70"/>
      <c r="O2064" s="77" t="s">
        <v>179</v>
      </c>
      <c r="P2064" s="79">
        <v>45173.560416666667</v>
      </c>
      <c r="Q2064" s="77" t="s">
        <v>2840</v>
      </c>
      <c r="R2064" s="77">
        <v>8</v>
      </c>
      <c r="S2064" s="77">
        <v>8</v>
      </c>
      <c r="T2064" s="77">
        <v>0</v>
      </c>
      <c r="U2064" s="77">
        <v>0</v>
      </c>
      <c r="V2064" s="77">
        <v>115</v>
      </c>
      <c r="W2064" s="81" t="s">
        <v>4098</v>
      </c>
      <c r="X2064" s="77"/>
      <c r="Y2064" s="77"/>
      <c r="Z2064" s="77"/>
      <c r="AA2064" s="77" t="s">
        <v>5736</v>
      </c>
      <c r="AB2064" s="77" t="s">
        <v>5794</v>
      </c>
      <c r="AC2064" s="81" t="s">
        <v>5805</v>
      </c>
      <c r="AD2064" s="77" t="s">
        <v>5850</v>
      </c>
      <c r="AE2064" s="83" t="str">
        <f>HYPERLINK("https://twitter.com/daniela78903757/status/1698689116848771152")</f>
        <v>https://twitter.com/daniela78903757/status/1698689116848771152</v>
      </c>
      <c r="AF2064" s="79">
        <v>45173.560416666667</v>
      </c>
      <c r="AG2064" s="85">
        <v>45173</v>
      </c>
      <c r="AH2064" s="81" t="s">
        <v>7657</v>
      </c>
      <c r="AI2064" s="77" t="b">
        <v>0</v>
      </c>
      <c r="AJ2064" s="77"/>
      <c r="AK2064" s="77"/>
      <c r="AL2064" s="77"/>
      <c r="AM2064" s="77"/>
      <c r="AN2064" s="77"/>
      <c r="AO2064" s="77"/>
      <c r="AP2064" s="77"/>
      <c r="AQ2064" s="77" t="s">
        <v>9234</v>
      </c>
      <c r="AR2064" s="77"/>
      <c r="AS2064" s="77"/>
      <c r="AT2064" s="77"/>
      <c r="AU2064" s="77"/>
      <c r="AV2064" s="83" t="str">
        <f>HYPERLINK("https://pbs.twimg.com/media/F5IJCB4WYAAAyRU.jpg")</f>
        <v>https://pbs.twimg.com/media/F5IJCB4WYAAAyRU.jpg</v>
      </c>
      <c r="AW2064" s="81" t="s">
        <v>11172</v>
      </c>
      <c r="AX2064" s="81" t="s">
        <v>11172</v>
      </c>
      <c r="AY2064" s="77"/>
      <c r="AZ2064" s="81" t="s">
        <v>11359</v>
      </c>
      <c r="BA2064" s="81" t="s">
        <v>11359</v>
      </c>
      <c r="BB2064" s="81" t="s">
        <v>11359</v>
      </c>
      <c r="BC2064" s="81" t="s">
        <v>11172</v>
      </c>
      <c r="BD2064" s="81" t="s">
        <v>11698</v>
      </c>
      <c r="BE2064" s="77"/>
      <c r="BF2064" s="77"/>
      <c r="BG2064" s="77"/>
      <c r="BH2064" s="77"/>
      <c r="BI2064" s="77"/>
    </row>
    <row r="2065" spans="1:61" x14ac:dyDescent="0.25">
      <c r="A2065" s="62" t="s">
        <v>843</v>
      </c>
      <c r="B2065" s="62" t="s">
        <v>843</v>
      </c>
      <c r="C2065" s="63"/>
      <c r="D2065" s="64"/>
      <c r="E2065" s="65"/>
      <c r="F2065" s="66"/>
      <c r="G2065" s="63"/>
      <c r="H2065" s="67"/>
      <c r="I2065" s="68"/>
      <c r="J2065" s="68"/>
      <c r="K2065" s="32"/>
      <c r="L2065" s="75">
        <v>2065</v>
      </c>
      <c r="M2065" s="75"/>
      <c r="N2065" s="70"/>
      <c r="O2065" s="77" t="s">
        <v>179</v>
      </c>
      <c r="P2065" s="79">
        <v>45166.560416666667</v>
      </c>
      <c r="Q2065" s="77" t="s">
        <v>2841</v>
      </c>
      <c r="R2065" s="77">
        <v>5</v>
      </c>
      <c r="S2065" s="77">
        <v>7</v>
      </c>
      <c r="T2065" s="77">
        <v>0</v>
      </c>
      <c r="U2065" s="77">
        <v>0</v>
      </c>
      <c r="V2065" s="77">
        <v>87</v>
      </c>
      <c r="W2065" s="81" t="s">
        <v>4096</v>
      </c>
      <c r="X2065" s="77"/>
      <c r="Y2065" s="77"/>
      <c r="Z2065" s="77"/>
      <c r="AA2065" s="77" t="s">
        <v>5737</v>
      </c>
      <c r="AB2065" s="77" t="s">
        <v>5794</v>
      </c>
      <c r="AC2065" s="81" t="s">
        <v>5805</v>
      </c>
      <c r="AD2065" s="77" t="s">
        <v>5850</v>
      </c>
      <c r="AE2065" s="83" t="str">
        <f>HYPERLINK("https://twitter.com/daniela78903757/status/1696152401760411821")</f>
        <v>https://twitter.com/daniela78903757/status/1696152401760411821</v>
      </c>
      <c r="AF2065" s="79">
        <v>45166.560416666667</v>
      </c>
      <c r="AG2065" s="85">
        <v>45166</v>
      </c>
      <c r="AH2065" s="81" t="s">
        <v>7657</v>
      </c>
      <c r="AI2065" s="77" t="b">
        <v>0</v>
      </c>
      <c r="AJ2065" s="77"/>
      <c r="AK2065" s="77"/>
      <c r="AL2065" s="77"/>
      <c r="AM2065" s="77"/>
      <c r="AN2065" s="77"/>
      <c r="AO2065" s="77"/>
      <c r="AP2065" s="77"/>
      <c r="AQ2065" s="77" t="s">
        <v>9235</v>
      </c>
      <c r="AR2065" s="77"/>
      <c r="AS2065" s="77"/>
      <c r="AT2065" s="77"/>
      <c r="AU2065" s="77"/>
      <c r="AV2065" s="83" t="str">
        <f>HYPERLINK("https://pbs.twimg.com/media/F4jazx8XQAAze-k.jpg")</f>
        <v>https://pbs.twimg.com/media/F4jazx8XQAAze-k.jpg</v>
      </c>
      <c r="AW2065" s="81" t="s">
        <v>11173</v>
      </c>
      <c r="AX2065" s="81" t="s">
        <v>11173</v>
      </c>
      <c r="AY2065" s="77"/>
      <c r="AZ2065" s="81" t="s">
        <v>11359</v>
      </c>
      <c r="BA2065" s="81" t="s">
        <v>11359</v>
      </c>
      <c r="BB2065" s="81" t="s">
        <v>11359</v>
      </c>
      <c r="BC2065" s="81" t="s">
        <v>11173</v>
      </c>
      <c r="BD2065" s="81" t="s">
        <v>11698</v>
      </c>
      <c r="BE2065" s="77"/>
      <c r="BF2065" s="77"/>
      <c r="BG2065" s="77"/>
      <c r="BH2065" s="77"/>
      <c r="BI2065" s="77"/>
    </row>
    <row r="2066" spans="1:61" x14ac:dyDescent="0.25">
      <c r="A2066" s="62" t="s">
        <v>843</v>
      </c>
      <c r="B2066" s="62" t="s">
        <v>843</v>
      </c>
      <c r="C2066" s="63"/>
      <c r="D2066" s="64"/>
      <c r="E2066" s="65"/>
      <c r="F2066" s="66"/>
      <c r="G2066" s="63"/>
      <c r="H2066" s="67"/>
      <c r="I2066" s="68"/>
      <c r="J2066" s="68"/>
      <c r="K2066" s="32"/>
      <c r="L2066" s="75">
        <v>2066</v>
      </c>
      <c r="M2066" s="75"/>
      <c r="N2066" s="70"/>
      <c r="O2066" s="77" t="s">
        <v>179</v>
      </c>
      <c r="P2066" s="79">
        <v>45174.560416666667</v>
      </c>
      <c r="Q2066" s="77" t="s">
        <v>2842</v>
      </c>
      <c r="R2066" s="77">
        <v>9</v>
      </c>
      <c r="S2066" s="77">
        <v>10</v>
      </c>
      <c r="T2066" s="77">
        <v>0</v>
      </c>
      <c r="U2066" s="77">
        <v>0</v>
      </c>
      <c r="V2066" s="77">
        <v>113</v>
      </c>
      <c r="W2066" s="81" t="s">
        <v>4099</v>
      </c>
      <c r="X2066" s="77"/>
      <c r="Y2066" s="77"/>
      <c r="Z2066" s="77"/>
      <c r="AA2066" s="77" t="s">
        <v>5738</v>
      </c>
      <c r="AB2066" s="77" t="s">
        <v>5794</v>
      </c>
      <c r="AC2066" s="81" t="s">
        <v>5805</v>
      </c>
      <c r="AD2066" s="77" t="s">
        <v>5850</v>
      </c>
      <c r="AE2066" s="83" t="str">
        <f>HYPERLINK("https://twitter.com/daniela78903757/status/1699051504798138849")</f>
        <v>https://twitter.com/daniela78903757/status/1699051504798138849</v>
      </c>
      <c r="AF2066" s="79">
        <v>45174.560416666667</v>
      </c>
      <c r="AG2066" s="85">
        <v>45174</v>
      </c>
      <c r="AH2066" s="81" t="s">
        <v>7657</v>
      </c>
      <c r="AI2066" s="77" t="b">
        <v>0</v>
      </c>
      <c r="AJ2066" s="77"/>
      <c r="AK2066" s="77"/>
      <c r="AL2066" s="77"/>
      <c r="AM2066" s="77"/>
      <c r="AN2066" s="77"/>
      <c r="AO2066" s="77"/>
      <c r="AP2066" s="77"/>
      <c r="AQ2066" s="77" t="s">
        <v>9236</v>
      </c>
      <c r="AR2066" s="77"/>
      <c r="AS2066" s="77"/>
      <c r="AT2066" s="77"/>
      <c r="AU2066" s="77"/>
      <c r="AV2066" s="83" t="str">
        <f>HYPERLINK("https://pbs.twimg.com/media/F5IJV_KWMAA0gm6.jpg")</f>
        <v>https://pbs.twimg.com/media/F5IJV_KWMAA0gm6.jpg</v>
      </c>
      <c r="AW2066" s="81" t="s">
        <v>11174</v>
      </c>
      <c r="AX2066" s="81" t="s">
        <v>11174</v>
      </c>
      <c r="AY2066" s="77"/>
      <c r="AZ2066" s="81" t="s">
        <v>11359</v>
      </c>
      <c r="BA2066" s="81" t="s">
        <v>11359</v>
      </c>
      <c r="BB2066" s="81" t="s">
        <v>11359</v>
      </c>
      <c r="BC2066" s="81" t="s">
        <v>11174</v>
      </c>
      <c r="BD2066" s="81" t="s">
        <v>11698</v>
      </c>
      <c r="BE2066" s="77"/>
      <c r="BF2066" s="77"/>
      <c r="BG2066" s="77"/>
      <c r="BH2066" s="77"/>
      <c r="BI2066" s="77"/>
    </row>
    <row r="2067" spans="1:61" x14ac:dyDescent="0.25">
      <c r="A2067" s="62" t="s">
        <v>843</v>
      </c>
      <c r="B2067" s="62" t="s">
        <v>843</v>
      </c>
      <c r="C2067" s="63"/>
      <c r="D2067" s="64"/>
      <c r="E2067" s="65"/>
      <c r="F2067" s="66"/>
      <c r="G2067" s="63"/>
      <c r="H2067" s="67"/>
      <c r="I2067" s="68"/>
      <c r="J2067" s="68"/>
      <c r="K2067" s="32"/>
      <c r="L2067" s="75">
        <v>2067</v>
      </c>
      <c r="M2067" s="75"/>
      <c r="N2067" s="70"/>
      <c r="O2067" s="77" t="s">
        <v>179</v>
      </c>
      <c r="P2067" s="79">
        <v>45180.560416666667</v>
      </c>
      <c r="Q2067" s="77" t="s">
        <v>2843</v>
      </c>
      <c r="R2067" s="77">
        <v>9</v>
      </c>
      <c r="S2067" s="77">
        <v>9</v>
      </c>
      <c r="T2067" s="77">
        <v>0</v>
      </c>
      <c r="U2067" s="77">
        <v>0</v>
      </c>
      <c r="V2067" s="77">
        <v>77</v>
      </c>
      <c r="W2067" s="81" t="s">
        <v>4100</v>
      </c>
      <c r="X2067" s="77"/>
      <c r="Y2067" s="77"/>
      <c r="Z2067" s="77"/>
      <c r="AA2067" s="77" t="s">
        <v>5739</v>
      </c>
      <c r="AB2067" s="77" t="s">
        <v>5794</v>
      </c>
      <c r="AC2067" s="81" t="s">
        <v>5805</v>
      </c>
      <c r="AD2067" s="77" t="s">
        <v>5850</v>
      </c>
      <c r="AE2067" s="83" t="str">
        <f>HYPERLINK("https://twitter.com/daniela78903757/status/1701225832096637297")</f>
        <v>https://twitter.com/daniela78903757/status/1701225832096637297</v>
      </c>
      <c r="AF2067" s="79">
        <v>45180.560416666667</v>
      </c>
      <c r="AG2067" s="85">
        <v>45180</v>
      </c>
      <c r="AH2067" s="81" t="s">
        <v>7657</v>
      </c>
      <c r="AI2067" s="77" t="b">
        <v>0</v>
      </c>
      <c r="AJ2067" s="77"/>
      <c r="AK2067" s="77"/>
      <c r="AL2067" s="77"/>
      <c r="AM2067" s="77"/>
      <c r="AN2067" s="77"/>
      <c r="AO2067" s="77"/>
      <c r="AP2067" s="77"/>
      <c r="AQ2067" s="77" t="s">
        <v>9237</v>
      </c>
      <c r="AR2067" s="77"/>
      <c r="AS2067" s="77"/>
      <c r="AT2067" s="77"/>
      <c r="AU2067" s="77"/>
      <c r="AV2067" s="83" t="str">
        <f>HYPERLINK("https://pbs.twimg.com/media/F5rRWaIXQAE9Grh.jpg")</f>
        <v>https://pbs.twimg.com/media/F5rRWaIXQAE9Grh.jpg</v>
      </c>
      <c r="AW2067" s="81" t="s">
        <v>11175</v>
      </c>
      <c r="AX2067" s="81" t="s">
        <v>11175</v>
      </c>
      <c r="AY2067" s="77"/>
      <c r="AZ2067" s="81" t="s">
        <v>11359</v>
      </c>
      <c r="BA2067" s="81" t="s">
        <v>11359</v>
      </c>
      <c r="BB2067" s="81" t="s">
        <v>11359</v>
      </c>
      <c r="BC2067" s="81" t="s">
        <v>11175</v>
      </c>
      <c r="BD2067" s="81" t="s">
        <v>11698</v>
      </c>
      <c r="BE2067" s="77"/>
      <c r="BF2067" s="77"/>
      <c r="BG2067" s="77"/>
      <c r="BH2067" s="77"/>
      <c r="BI2067" s="77"/>
    </row>
    <row r="2068" spans="1:61" x14ac:dyDescent="0.25">
      <c r="A2068" s="62" t="s">
        <v>843</v>
      </c>
      <c r="B2068" s="62" t="s">
        <v>843</v>
      </c>
      <c r="C2068" s="63"/>
      <c r="D2068" s="64"/>
      <c r="E2068" s="65"/>
      <c r="F2068" s="66"/>
      <c r="G2068" s="63"/>
      <c r="H2068" s="67"/>
      <c r="I2068" s="68"/>
      <c r="J2068" s="68"/>
      <c r="K2068" s="32"/>
      <c r="L2068" s="75">
        <v>2068</v>
      </c>
      <c r="M2068" s="75"/>
      <c r="N2068" s="70"/>
      <c r="O2068" s="77" t="s">
        <v>179</v>
      </c>
      <c r="P2068" s="79">
        <v>45181.560416666667</v>
      </c>
      <c r="Q2068" s="77" t="s">
        <v>2844</v>
      </c>
      <c r="R2068" s="77">
        <v>9</v>
      </c>
      <c r="S2068" s="77">
        <v>9</v>
      </c>
      <c r="T2068" s="77">
        <v>0</v>
      </c>
      <c r="U2068" s="77">
        <v>0</v>
      </c>
      <c r="V2068" s="77">
        <v>76</v>
      </c>
      <c r="W2068" s="81" t="s">
        <v>4101</v>
      </c>
      <c r="X2068" s="77"/>
      <c r="Y2068" s="77"/>
      <c r="Z2068" s="77"/>
      <c r="AA2068" s="77" t="s">
        <v>5740</v>
      </c>
      <c r="AB2068" s="77" t="s">
        <v>5794</v>
      </c>
      <c r="AC2068" s="81" t="s">
        <v>5805</v>
      </c>
      <c r="AD2068" s="77" t="s">
        <v>5850</v>
      </c>
      <c r="AE2068" s="83" t="str">
        <f>HYPERLINK("https://twitter.com/daniela78903757/status/1701588219782185464")</f>
        <v>https://twitter.com/daniela78903757/status/1701588219782185464</v>
      </c>
      <c r="AF2068" s="79">
        <v>45181.560416666667</v>
      </c>
      <c r="AG2068" s="85">
        <v>45181</v>
      </c>
      <c r="AH2068" s="81" t="s">
        <v>7657</v>
      </c>
      <c r="AI2068" s="77" t="b">
        <v>0</v>
      </c>
      <c r="AJ2068" s="77"/>
      <c r="AK2068" s="77"/>
      <c r="AL2068" s="77"/>
      <c r="AM2068" s="77"/>
      <c r="AN2068" s="77"/>
      <c r="AO2068" s="77"/>
      <c r="AP2068" s="77"/>
      <c r="AQ2068" s="77" t="s">
        <v>9238</v>
      </c>
      <c r="AR2068" s="77"/>
      <c r="AS2068" s="77"/>
      <c r="AT2068" s="77"/>
      <c r="AU2068" s="77"/>
      <c r="AV2068" s="83" t="str">
        <f>HYPERLINK("https://pbs.twimg.com/media/F5rRtHpWgAABqVI.jpg")</f>
        <v>https://pbs.twimg.com/media/F5rRtHpWgAABqVI.jpg</v>
      </c>
      <c r="AW2068" s="81" t="s">
        <v>11176</v>
      </c>
      <c r="AX2068" s="81" t="s">
        <v>11176</v>
      </c>
      <c r="AY2068" s="77"/>
      <c r="AZ2068" s="81" t="s">
        <v>11359</v>
      </c>
      <c r="BA2068" s="81" t="s">
        <v>11359</v>
      </c>
      <c r="BB2068" s="81" t="s">
        <v>11359</v>
      </c>
      <c r="BC2068" s="81" t="s">
        <v>11176</v>
      </c>
      <c r="BD2068" s="81" t="s">
        <v>11698</v>
      </c>
      <c r="BE2068" s="77"/>
      <c r="BF2068" s="77"/>
      <c r="BG2068" s="77"/>
      <c r="BH2068" s="77"/>
      <c r="BI2068" s="77"/>
    </row>
    <row r="2069" spans="1:61" x14ac:dyDescent="0.25">
      <c r="A2069" s="62" t="s">
        <v>843</v>
      </c>
      <c r="B2069" s="62" t="s">
        <v>843</v>
      </c>
      <c r="C2069" s="63"/>
      <c r="D2069" s="64"/>
      <c r="E2069" s="65"/>
      <c r="F2069" s="66"/>
      <c r="G2069" s="63"/>
      <c r="H2069" s="67"/>
      <c r="I2069" s="68"/>
      <c r="J2069" s="68"/>
      <c r="K2069" s="32"/>
      <c r="L2069" s="75">
        <v>2069</v>
      </c>
      <c r="M2069" s="75"/>
      <c r="N2069" s="70"/>
      <c r="O2069" s="77" t="s">
        <v>179</v>
      </c>
      <c r="P2069" s="79">
        <v>45182.560416666667</v>
      </c>
      <c r="Q2069" s="77" t="s">
        <v>2845</v>
      </c>
      <c r="R2069" s="77">
        <v>7</v>
      </c>
      <c r="S2069" s="77">
        <v>7</v>
      </c>
      <c r="T2069" s="77">
        <v>0</v>
      </c>
      <c r="U2069" s="77">
        <v>0</v>
      </c>
      <c r="V2069" s="77">
        <v>61</v>
      </c>
      <c r="W2069" s="81" t="s">
        <v>4102</v>
      </c>
      <c r="X2069" s="77"/>
      <c r="Y2069" s="77"/>
      <c r="Z2069" s="77"/>
      <c r="AA2069" s="77" t="s">
        <v>5741</v>
      </c>
      <c r="AB2069" s="77" t="s">
        <v>5794</v>
      </c>
      <c r="AC2069" s="81" t="s">
        <v>5805</v>
      </c>
      <c r="AD2069" s="77" t="s">
        <v>5850</v>
      </c>
      <c r="AE2069" s="83" t="str">
        <f>HYPERLINK("https://twitter.com/daniela78903757/status/1701950607597166980")</f>
        <v>https://twitter.com/daniela78903757/status/1701950607597166980</v>
      </c>
      <c r="AF2069" s="79">
        <v>45182.560416666667</v>
      </c>
      <c r="AG2069" s="85">
        <v>45182</v>
      </c>
      <c r="AH2069" s="81" t="s">
        <v>7657</v>
      </c>
      <c r="AI2069" s="77" t="b">
        <v>0</v>
      </c>
      <c r="AJ2069" s="77"/>
      <c r="AK2069" s="77"/>
      <c r="AL2069" s="77"/>
      <c r="AM2069" s="77"/>
      <c r="AN2069" s="77"/>
      <c r="AO2069" s="77"/>
      <c r="AP2069" s="77"/>
      <c r="AQ2069" s="77" t="s">
        <v>9239</v>
      </c>
      <c r="AR2069" s="77"/>
      <c r="AS2069" s="77"/>
      <c r="AT2069" s="77"/>
      <c r="AU2069" s="77"/>
      <c r="AV2069" s="83" t="str">
        <f>HYPERLINK("https://pbs.twimg.com/media/F5rSKK5WwAAlva0.jpg")</f>
        <v>https://pbs.twimg.com/media/F5rSKK5WwAAlva0.jpg</v>
      </c>
      <c r="AW2069" s="81" t="s">
        <v>11177</v>
      </c>
      <c r="AX2069" s="81" t="s">
        <v>11177</v>
      </c>
      <c r="AY2069" s="77"/>
      <c r="AZ2069" s="81" t="s">
        <v>11359</v>
      </c>
      <c r="BA2069" s="81" t="s">
        <v>11359</v>
      </c>
      <c r="BB2069" s="81" t="s">
        <v>11359</v>
      </c>
      <c r="BC2069" s="81" t="s">
        <v>11177</v>
      </c>
      <c r="BD2069" s="81" t="s">
        <v>11698</v>
      </c>
      <c r="BE2069" s="77"/>
      <c r="BF2069" s="77"/>
      <c r="BG2069" s="77"/>
      <c r="BH2069" s="77"/>
      <c r="BI2069" s="77"/>
    </row>
    <row r="2070" spans="1:61" x14ac:dyDescent="0.25">
      <c r="A2070" s="62" t="s">
        <v>843</v>
      </c>
      <c r="B2070" s="62" t="s">
        <v>843</v>
      </c>
      <c r="C2070" s="63"/>
      <c r="D2070" s="64"/>
      <c r="E2070" s="65"/>
      <c r="F2070" s="66"/>
      <c r="G2070" s="63"/>
      <c r="H2070" s="67"/>
      <c r="I2070" s="68"/>
      <c r="J2070" s="68"/>
      <c r="K2070" s="32"/>
      <c r="L2070" s="75">
        <v>2070</v>
      </c>
      <c r="M2070" s="75"/>
      <c r="N2070" s="70"/>
      <c r="O2070" s="77" t="s">
        <v>179</v>
      </c>
      <c r="P2070" s="79">
        <v>45183.560416666667</v>
      </c>
      <c r="Q2070" s="77" t="s">
        <v>2846</v>
      </c>
      <c r="R2070" s="77">
        <v>9</v>
      </c>
      <c r="S2070" s="77">
        <v>9</v>
      </c>
      <c r="T2070" s="77">
        <v>0</v>
      </c>
      <c r="U2070" s="77">
        <v>0</v>
      </c>
      <c r="V2070" s="77">
        <v>68</v>
      </c>
      <c r="W2070" s="81" t="s">
        <v>4103</v>
      </c>
      <c r="X2070" s="77"/>
      <c r="Y2070" s="77"/>
      <c r="Z2070" s="77"/>
      <c r="AA2070" s="77" t="s">
        <v>5742</v>
      </c>
      <c r="AB2070" s="77" t="s">
        <v>5794</v>
      </c>
      <c r="AC2070" s="81" t="s">
        <v>5805</v>
      </c>
      <c r="AD2070" s="77" t="s">
        <v>5850</v>
      </c>
      <c r="AE2070" s="83" t="str">
        <f>HYPERLINK("https://twitter.com/daniela78903757/status/1702312995425067015")</f>
        <v>https://twitter.com/daniela78903757/status/1702312995425067015</v>
      </c>
      <c r="AF2070" s="79">
        <v>45183.560416666667</v>
      </c>
      <c r="AG2070" s="85">
        <v>45183</v>
      </c>
      <c r="AH2070" s="81" t="s">
        <v>7657</v>
      </c>
      <c r="AI2070" s="77" t="b">
        <v>0</v>
      </c>
      <c r="AJ2070" s="77"/>
      <c r="AK2070" s="77"/>
      <c r="AL2070" s="77"/>
      <c r="AM2070" s="77"/>
      <c r="AN2070" s="77"/>
      <c r="AO2070" s="77"/>
      <c r="AP2070" s="77"/>
      <c r="AQ2070" s="77" t="s">
        <v>9240</v>
      </c>
      <c r="AR2070" s="77"/>
      <c r="AS2070" s="77"/>
      <c r="AT2070" s="77"/>
      <c r="AU2070" s="77"/>
      <c r="AV2070" s="83" t="str">
        <f>HYPERLINK("https://pbs.twimg.com/media/F5rSYpLXUAAx2j2.jpg")</f>
        <v>https://pbs.twimg.com/media/F5rSYpLXUAAx2j2.jpg</v>
      </c>
      <c r="AW2070" s="81" t="s">
        <v>11178</v>
      </c>
      <c r="AX2070" s="81" t="s">
        <v>11178</v>
      </c>
      <c r="AY2070" s="77"/>
      <c r="AZ2070" s="81" t="s">
        <v>11359</v>
      </c>
      <c r="BA2070" s="81" t="s">
        <v>11359</v>
      </c>
      <c r="BB2070" s="81" t="s">
        <v>11359</v>
      </c>
      <c r="BC2070" s="81" t="s">
        <v>11178</v>
      </c>
      <c r="BD2070" s="81" t="s">
        <v>11698</v>
      </c>
      <c r="BE2070" s="77"/>
      <c r="BF2070" s="77"/>
      <c r="BG2070" s="77"/>
      <c r="BH2070" s="77"/>
      <c r="BI2070" s="77"/>
    </row>
    <row r="2071" spans="1:61" x14ac:dyDescent="0.25">
      <c r="A2071" s="62" t="s">
        <v>844</v>
      </c>
      <c r="B2071" s="62" t="s">
        <v>843</v>
      </c>
      <c r="C2071" s="63"/>
      <c r="D2071" s="64"/>
      <c r="E2071" s="65"/>
      <c r="F2071" s="66"/>
      <c r="G2071" s="63"/>
      <c r="H2071" s="67"/>
      <c r="I2071" s="68"/>
      <c r="J2071" s="68"/>
      <c r="K2071" s="32"/>
      <c r="L2071" s="75">
        <v>2071</v>
      </c>
      <c r="M2071" s="75"/>
      <c r="N2071" s="70"/>
      <c r="O2071" s="77" t="s">
        <v>968</v>
      </c>
      <c r="P2071" s="79">
        <v>45193.80265046296</v>
      </c>
      <c r="Q2071" s="77" t="s">
        <v>2847</v>
      </c>
      <c r="R2071" s="77">
        <v>9</v>
      </c>
      <c r="S2071" s="77">
        <v>0</v>
      </c>
      <c r="T2071" s="77">
        <v>0</v>
      </c>
      <c r="U2071" s="77">
        <v>0</v>
      </c>
      <c r="V2071" s="77"/>
      <c r="W2071" s="81" t="s">
        <v>4099</v>
      </c>
      <c r="X2071" s="77"/>
      <c r="Y2071" s="77"/>
      <c r="Z2071" s="77" t="s">
        <v>843</v>
      </c>
      <c r="AA2071" s="77"/>
      <c r="AB2071" s="77"/>
      <c r="AC2071" s="81" t="s">
        <v>5803</v>
      </c>
      <c r="AD2071" s="77" t="s">
        <v>5850</v>
      </c>
      <c r="AE2071" s="83" t="str">
        <f>HYPERLINK("https://twitter.com/olimpiaavila1/status/1706024657952834045")</f>
        <v>https://twitter.com/olimpiaavila1/status/1706024657952834045</v>
      </c>
      <c r="AF2071" s="79">
        <v>45193.80265046296</v>
      </c>
      <c r="AG2071" s="85">
        <v>45193</v>
      </c>
      <c r="AH2071" s="81" t="s">
        <v>7663</v>
      </c>
      <c r="AI2071" s="77"/>
      <c r="AJ2071" s="77"/>
      <c r="AK2071" s="77"/>
      <c r="AL2071" s="77"/>
      <c r="AM2071" s="77"/>
      <c r="AN2071" s="77"/>
      <c r="AO2071" s="77"/>
      <c r="AP2071" s="77"/>
      <c r="AQ2071" s="77"/>
      <c r="AR2071" s="77"/>
      <c r="AS2071" s="77"/>
      <c r="AT2071" s="77"/>
      <c r="AU2071" s="77"/>
      <c r="AV2071" s="83" t="str">
        <f>HYPERLINK("https://abs.twimg.com/sticky/default_profile_images/default_profile_normal.png")</f>
        <v>https://abs.twimg.com/sticky/default_profile_images/default_profile_normal.png</v>
      </c>
      <c r="AW2071" s="81" t="s">
        <v>11179</v>
      </c>
      <c r="AX2071" s="81" t="s">
        <v>11179</v>
      </c>
      <c r="AY2071" s="77"/>
      <c r="AZ2071" s="81" t="s">
        <v>11359</v>
      </c>
      <c r="BA2071" s="81" t="s">
        <v>11359</v>
      </c>
      <c r="BB2071" s="81" t="s">
        <v>11174</v>
      </c>
      <c r="BC2071" s="81" t="s">
        <v>11174</v>
      </c>
      <c r="BD2071" s="81" t="s">
        <v>11699</v>
      </c>
      <c r="BE2071" s="77"/>
      <c r="BF2071" s="77"/>
      <c r="BG2071" s="77"/>
      <c r="BH2071" s="77"/>
      <c r="BI2071" s="77"/>
    </row>
    <row r="2072" spans="1:61" x14ac:dyDescent="0.25">
      <c r="A2072" s="62" t="s">
        <v>844</v>
      </c>
      <c r="B2072" s="62" t="s">
        <v>843</v>
      </c>
      <c r="C2072" s="63"/>
      <c r="D2072" s="64"/>
      <c r="E2072" s="65"/>
      <c r="F2072" s="66"/>
      <c r="G2072" s="63"/>
      <c r="H2072" s="67"/>
      <c r="I2072" s="68"/>
      <c r="J2072" s="68"/>
      <c r="K2072" s="32"/>
      <c r="L2072" s="75">
        <v>2072</v>
      </c>
      <c r="M2072" s="75"/>
      <c r="N2072" s="70"/>
      <c r="O2072" s="77" t="s">
        <v>968</v>
      </c>
      <c r="P2072" s="79">
        <v>45193.802291666667</v>
      </c>
      <c r="Q2072" s="77" t="s">
        <v>2848</v>
      </c>
      <c r="R2072" s="77">
        <v>9</v>
      </c>
      <c r="S2072" s="77">
        <v>0</v>
      </c>
      <c r="T2072" s="77">
        <v>0</v>
      </c>
      <c r="U2072" s="77">
        <v>0</v>
      </c>
      <c r="V2072" s="77"/>
      <c r="W2072" s="81" t="s">
        <v>4100</v>
      </c>
      <c r="X2072" s="77"/>
      <c r="Y2072" s="77"/>
      <c r="Z2072" s="77" t="s">
        <v>843</v>
      </c>
      <c r="AA2072" s="77" t="s">
        <v>5739</v>
      </c>
      <c r="AB2072" s="77" t="s">
        <v>5794</v>
      </c>
      <c r="AC2072" s="81" t="s">
        <v>5803</v>
      </c>
      <c r="AD2072" s="77" t="s">
        <v>5850</v>
      </c>
      <c r="AE2072" s="83" t="str">
        <f>HYPERLINK("https://twitter.com/olimpiaavila1/status/1706024526243410412")</f>
        <v>https://twitter.com/olimpiaavila1/status/1706024526243410412</v>
      </c>
      <c r="AF2072" s="79">
        <v>45193.802291666667</v>
      </c>
      <c r="AG2072" s="85">
        <v>45193</v>
      </c>
      <c r="AH2072" s="81" t="s">
        <v>7664</v>
      </c>
      <c r="AI2072" s="77" t="b">
        <v>0</v>
      </c>
      <c r="AJ2072" s="77"/>
      <c r="AK2072" s="77"/>
      <c r="AL2072" s="77"/>
      <c r="AM2072" s="77"/>
      <c r="AN2072" s="77"/>
      <c r="AO2072" s="77"/>
      <c r="AP2072" s="77"/>
      <c r="AQ2072" s="77" t="s">
        <v>9237</v>
      </c>
      <c r="AR2072" s="77"/>
      <c r="AS2072" s="77"/>
      <c r="AT2072" s="77"/>
      <c r="AU2072" s="77"/>
      <c r="AV2072" s="83" t="str">
        <f>HYPERLINK("https://pbs.twimg.com/media/F5rRWaIXQAE9Grh.jpg")</f>
        <v>https://pbs.twimg.com/media/F5rRWaIXQAE9Grh.jpg</v>
      </c>
      <c r="AW2072" s="81" t="s">
        <v>11180</v>
      </c>
      <c r="AX2072" s="81" t="s">
        <v>11180</v>
      </c>
      <c r="AY2072" s="77"/>
      <c r="AZ2072" s="81" t="s">
        <v>11359</v>
      </c>
      <c r="BA2072" s="81" t="s">
        <v>11359</v>
      </c>
      <c r="BB2072" s="81" t="s">
        <v>11175</v>
      </c>
      <c r="BC2072" s="81" t="s">
        <v>11175</v>
      </c>
      <c r="BD2072" s="81" t="s">
        <v>11699</v>
      </c>
      <c r="BE2072" s="77"/>
      <c r="BF2072" s="77"/>
      <c r="BG2072" s="77"/>
      <c r="BH2072" s="77"/>
      <c r="BI2072" s="77"/>
    </row>
    <row r="2073" spans="1:61" x14ac:dyDescent="0.25">
      <c r="A2073" s="62" t="s">
        <v>844</v>
      </c>
      <c r="B2073" s="62" t="s">
        <v>843</v>
      </c>
      <c r="C2073" s="63"/>
      <c r="D2073" s="64"/>
      <c r="E2073" s="65"/>
      <c r="F2073" s="66"/>
      <c r="G2073" s="63"/>
      <c r="H2073" s="67"/>
      <c r="I2073" s="68"/>
      <c r="J2073" s="68"/>
      <c r="K2073" s="32"/>
      <c r="L2073" s="75">
        <v>2073</v>
      </c>
      <c r="M2073" s="75"/>
      <c r="N2073" s="70"/>
      <c r="O2073" s="77" t="s">
        <v>968</v>
      </c>
      <c r="P2073" s="79">
        <v>45193.802187499998</v>
      </c>
      <c r="Q2073" s="77" t="s">
        <v>2849</v>
      </c>
      <c r="R2073" s="77">
        <v>9</v>
      </c>
      <c r="S2073" s="77">
        <v>0</v>
      </c>
      <c r="T2073" s="77">
        <v>0</v>
      </c>
      <c r="U2073" s="77">
        <v>0</v>
      </c>
      <c r="V2073" s="77"/>
      <c r="W2073" s="81" t="s">
        <v>4101</v>
      </c>
      <c r="X2073" s="77"/>
      <c r="Y2073" s="77"/>
      <c r="Z2073" s="77" t="s">
        <v>843</v>
      </c>
      <c r="AA2073" s="77" t="s">
        <v>5740</v>
      </c>
      <c r="AB2073" s="77" t="s">
        <v>5794</v>
      </c>
      <c r="AC2073" s="81" t="s">
        <v>5803</v>
      </c>
      <c r="AD2073" s="77" t="s">
        <v>5850</v>
      </c>
      <c r="AE2073" s="83" t="str">
        <f>HYPERLINK("https://twitter.com/olimpiaavila1/status/1706024491472535919")</f>
        <v>https://twitter.com/olimpiaavila1/status/1706024491472535919</v>
      </c>
      <c r="AF2073" s="79">
        <v>45193.802187499998</v>
      </c>
      <c r="AG2073" s="85">
        <v>45193</v>
      </c>
      <c r="AH2073" s="81" t="s">
        <v>7665</v>
      </c>
      <c r="AI2073" s="77" t="b">
        <v>0</v>
      </c>
      <c r="AJ2073" s="77"/>
      <c r="AK2073" s="77"/>
      <c r="AL2073" s="77"/>
      <c r="AM2073" s="77"/>
      <c r="AN2073" s="77"/>
      <c r="AO2073" s="77"/>
      <c r="AP2073" s="77"/>
      <c r="AQ2073" s="77" t="s">
        <v>9238</v>
      </c>
      <c r="AR2073" s="77"/>
      <c r="AS2073" s="77"/>
      <c r="AT2073" s="77"/>
      <c r="AU2073" s="77"/>
      <c r="AV2073" s="83" t="str">
        <f>HYPERLINK("https://pbs.twimg.com/media/F5rRtHpWgAABqVI.jpg")</f>
        <v>https://pbs.twimg.com/media/F5rRtHpWgAABqVI.jpg</v>
      </c>
      <c r="AW2073" s="81" t="s">
        <v>11181</v>
      </c>
      <c r="AX2073" s="81" t="s">
        <v>11181</v>
      </c>
      <c r="AY2073" s="77"/>
      <c r="AZ2073" s="81" t="s">
        <v>11359</v>
      </c>
      <c r="BA2073" s="81" t="s">
        <v>11359</v>
      </c>
      <c r="BB2073" s="81" t="s">
        <v>11176</v>
      </c>
      <c r="BC2073" s="81" t="s">
        <v>11176</v>
      </c>
      <c r="BD2073" s="81" t="s">
        <v>11699</v>
      </c>
      <c r="BE2073" s="77"/>
      <c r="BF2073" s="77"/>
      <c r="BG2073" s="77"/>
      <c r="BH2073" s="77"/>
      <c r="BI2073" s="77"/>
    </row>
    <row r="2074" spans="1:61" x14ac:dyDescent="0.25">
      <c r="A2074" s="62" t="s">
        <v>844</v>
      </c>
      <c r="B2074" s="62" t="s">
        <v>843</v>
      </c>
      <c r="C2074" s="63"/>
      <c r="D2074" s="64"/>
      <c r="E2074" s="65"/>
      <c r="F2074" s="66"/>
      <c r="G2074" s="63"/>
      <c r="H2074" s="67"/>
      <c r="I2074" s="68"/>
      <c r="J2074" s="68"/>
      <c r="K2074" s="32"/>
      <c r="L2074" s="75">
        <v>2074</v>
      </c>
      <c r="M2074" s="75"/>
      <c r="N2074" s="70"/>
      <c r="O2074" s="77" t="s">
        <v>968</v>
      </c>
      <c r="P2074" s="79">
        <v>45193.802071759259</v>
      </c>
      <c r="Q2074" s="77" t="s">
        <v>2850</v>
      </c>
      <c r="R2074" s="77">
        <v>7</v>
      </c>
      <c r="S2074" s="77">
        <v>0</v>
      </c>
      <c r="T2074" s="77">
        <v>0</v>
      </c>
      <c r="U2074" s="77">
        <v>0</v>
      </c>
      <c r="V2074" s="77"/>
      <c r="W2074" s="81" t="s">
        <v>4102</v>
      </c>
      <c r="X2074" s="77"/>
      <c r="Y2074" s="77"/>
      <c r="Z2074" s="77" t="s">
        <v>843</v>
      </c>
      <c r="AA2074" s="77" t="s">
        <v>5741</v>
      </c>
      <c r="AB2074" s="77" t="s">
        <v>5794</v>
      </c>
      <c r="AC2074" s="81" t="s">
        <v>5803</v>
      </c>
      <c r="AD2074" s="77" t="s">
        <v>5850</v>
      </c>
      <c r="AE2074" s="83" t="str">
        <f>HYPERLINK("https://twitter.com/olimpiaavila1/status/1706024446153134294")</f>
        <v>https://twitter.com/olimpiaavila1/status/1706024446153134294</v>
      </c>
      <c r="AF2074" s="79">
        <v>45193.802071759259</v>
      </c>
      <c r="AG2074" s="85">
        <v>45193</v>
      </c>
      <c r="AH2074" s="81" t="s">
        <v>7666</v>
      </c>
      <c r="AI2074" s="77" t="b">
        <v>0</v>
      </c>
      <c r="AJ2074" s="77"/>
      <c r="AK2074" s="77"/>
      <c r="AL2074" s="77"/>
      <c r="AM2074" s="77"/>
      <c r="AN2074" s="77"/>
      <c r="AO2074" s="77"/>
      <c r="AP2074" s="77"/>
      <c r="AQ2074" s="77" t="s">
        <v>9239</v>
      </c>
      <c r="AR2074" s="77"/>
      <c r="AS2074" s="77"/>
      <c r="AT2074" s="77"/>
      <c r="AU2074" s="77"/>
      <c r="AV2074" s="83" t="str">
        <f>HYPERLINK("https://pbs.twimg.com/media/F5rSKK5WwAAlva0.jpg")</f>
        <v>https://pbs.twimg.com/media/F5rSKK5WwAAlva0.jpg</v>
      </c>
      <c r="AW2074" s="81" t="s">
        <v>11182</v>
      </c>
      <c r="AX2074" s="81" t="s">
        <v>11182</v>
      </c>
      <c r="AY2074" s="77"/>
      <c r="AZ2074" s="81" t="s">
        <v>11359</v>
      </c>
      <c r="BA2074" s="81" t="s">
        <v>11359</v>
      </c>
      <c r="BB2074" s="81" t="s">
        <v>11177</v>
      </c>
      <c r="BC2074" s="81" t="s">
        <v>11177</v>
      </c>
      <c r="BD2074" s="81" t="s">
        <v>11699</v>
      </c>
      <c r="BE2074" s="77"/>
      <c r="BF2074" s="77"/>
      <c r="BG2074" s="77"/>
      <c r="BH2074" s="77"/>
      <c r="BI2074" s="77"/>
    </row>
    <row r="2075" spans="1:61" x14ac:dyDescent="0.25">
      <c r="A2075" s="62" t="s">
        <v>844</v>
      </c>
      <c r="B2075" s="62" t="s">
        <v>843</v>
      </c>
      <c r="C2075" s="63"/>
      <c r="D2075" s="64"/>
      <c r="E2075" s="65"/>
      <c r="F2075" s="66"/>
      <c r="G2075" s="63"/>
      <c r="H2075" s="67"/>
      <c r="I2075" s="68"/>
      <c r="J2075" s="68"/>
      <c r="K2075" s="32"/>
      <c r="L2075" s="75">
        <v>2075</v>
      </c>
      <c r="M2075" s="75"/>
      <c r="N2075" s="70"/>
      <c r="O2075" s="77" t="s">
        <v>968</v>
      </c>
      <c r="P2075" s="79">
        <v>45193.801979166667</v>
      </c>
      <c r="Q2075" s="77" t="s">
        <v>2851</v>
      </c>
      <c r="R2075" s="77">
        <v>9</v>
      </c>
      <c r="S2075" s="77">
        <v>0</v>
      </c>
      <c r="T2075" s="77">
        <v>0</v>
      </c>
      <c r="U2075" s="77">
        <v>0</v>
      </c>
      <c r="V2075" s="77"/>
      <c r="W2075" s="81" t="s">
        <v>4103</v>
      </c>
      <c r="X2075" s="77"/>
      <c r="Y2075" s="77"/>
      <c r="Z2075" s="77" t="s">
        <v>843</v>
      </c>
      <c r="AA2075" s="77"/>
      <c r="AB2075" s="77"/>
      <c r="AC2075" s="81" t="s">
        <v>5803</v>
      </c>
      <c r="AD2075" s="77" t="s">
        <v>5850</v>
      </c>
      <c r="AE2075" s="83" t="str">
        <f>HYPERLINK("https://twitter.com/olimpiaavila1/status/1706024413282328818")</f>
        <v>https://twitter.com/olimpiaavila1/status/1706024413282328818</v>
      </c>
      <c r="AF2075" s="79">
        <v>45193.801979166667</v>
      </c>
      <c r="AG2075" s="85">
        <v>45193</v>
      </c>
      <c r="AH2075" s="81" t="s">
        <v>7667</v>
      </c>
      <c r="AI2075" s="77"/>
      <c r="AJ2075" s="77"/>
      <c r="AK2075" s="77"/>
      <c r="AL2075" s="77"/>
      <c r="AM2075" s="77"/>
      <c r="AN2075" s="77"/>
      <c r="AO2075" s="77"/>
      <c r="AP2075" s="77"/>
      <c r="AQ2075" s="77"/>
      <c r="AR2075" s="77"/>
      <c r="AS2075" s="77"/>
      <c r="AT2075" s="77"/>
      <c r="AU2075" s="77"/>
      <c r="AV2075" s="83" t="str">
        <f>HYPERLINK("https://abs.twimg.com/sticky/default_profile_images/default_profile_normal.png")</f>
        <v>https://abs.twimg.com/sticky/default_profile_images/default_profile_normal.png</v>
      </c>
      <c r="AW2075" s="81" t="s">
        <v>11183</v>
      </c>
      <c r="AX2075" s="81" t="s">
        <v>11183</v>
      </c>
      <c r="AY2075" s="77"/>
      <c r="AZ2075" s="81" t="s">
        <v>11359</v>
      </c>
      <c r="BA2075" s="81" t="s">
        <v>11359</v>
      </c>
      <c r="BB2075" s="81" t="s">
        <v>11178</v>
      </c>
      <c r="BC2075" s="81" t="s">
        <v>11178</v>
      </c>
      <c r="BD2075" s="81" t="s">
        <v>11699</v>
      </c>
      <c r="BE2075" s="77"/>
      <c r="BF2075" s="77"/>
      <c r="BG2075" s="77"/>
      <c r="BH2075" s="77"/>
      <c r="BI2075" s="77"/>
    </row>
    <row r="2076" spans="1:61" x14ac:dyDescent="0.25">
      <c r="A2076" s="62" t="s">
        <v>845</v>
      </c>
      <c r="B2076" s="62" t="s">
        <v>845</v>
      </c>
      <c r="C2076" s="63"/>
      <c r="D2076" s="64"/>
      <c r="E2076" s="65"/>
      <c r="F2076" s="66"/>
      <c r="G2076" s="63"/>
      <c r="H2076" s="67"/>
      <c r="I2076" s="68"/>
      <c r="J2076" s="68"/>
      <c r="K2076" s="32"/>
      <c r="L2076" s="75">
        <v>2076</v>
      </c>
      <c r="M2076" s="75"/>
      <c r="N2076" s="70"/>
      <c r="O2076" s="77" t="s">
        <v>179</v>
      </c>
      <c r="P2076" s="79">
        <v>44953.660254629627</v>
      </c>
      <c r="Q2076" s="77" t="s">
        <v>2852</v>
      </c>
      <c r="R2076" s="77">
        <v>0</v>
      </c>
      <c r="S2076" s="77">
        <v>0</v>
      </c>
      <c r="T2076" s="77">
        <v>0</v>
      </c>
      <c r="U2076" s="77">
        <v>0</v>
      </c>
      <c r="V2076" s="77">
        <v>4</v>
      </c>
      <c r="W2076" s="81" t="s">
        <v>4104</v>
      </c>
      <c r="X2076" s="83" t="str">
        <f>HYPERLINK("https://lnkd.in/dG8qpnrE")</f>
        <v>https://lnkd.in/dG8qpnrE</v>
      </c>
      <c r="Y2076" s="77" t="s">
        <v>4221</v>
      </c>
      <c r="Z2076" s="77"/>
      <c r="AA2076" s="77"/>
      <c r="AB2076" s="77"/>
      <c r="AC2076" s="81" t="s">
        <v>5810</v>
      </c>
      <c r="AD2076" s="77" t="s">
        <v>5850</v>
      </c>
      <c r="AE2076" s="83" t="str">
        <f>HYPERLINK("https://twitter.com/iberonat/status/1618999967380652032")</f>
        <v>https://twitter.com/iberonat/status/1618999967380652032</v>
      </c>
      <c r="AF2076" s="79">
        <v>44953.660254629627</v>
      </c>
      <c r="AG2076" s="85">
        <v>44953</v>
      </c>
      <c r="AH2076" s="81" t="s">
        <v>7668</v>
      </c>
      <c r="AI2076" s="77" t="b">
        <v>0</v>
      </c>
      <c r="AJ2076" s="77"/>
      <c r="AK2076" s="77"/>
      <c r="AL2076" s="77"/>
      <c r="AM2076" s="77"/>
      <c r="AN2076" s="77"/>
      <c r="AO2076" s="77"/>
      <c r="AP2076" s="77"/>
      <c r="AQ2076" s="77"/>
      <c r="AR2076" s="77"/>
      <c r="AS2076" s="77"/>
      <c r="AT2076" s="77"/>
      <c r="AU2076" s="77"/>
      <c r="AV2076" s="83" t="str">
        <f>HYPERLINK("https://pbs.twimg.com/profile_images/990642100462063616/3j9XOdjK_normal.jpg")</f>
        <v>https://pbs.twimg.com/profile_images/990642100462063616/3j9XOdjK_normal.jpg</v>
      </c>
      <c r="AW2076" s="81" t="s">
        <v>11184</v>
      </c>
      <c r="AX2076" s="81" t="s">
        <v>11184</v>
      </c>
      <c r="AY2076" s="77"/>
      <c r="AZ2076" s="81" t="s">
        <v>11359</v>
      </c>
      <c r="BA2076" s="81" t="s">
        <v>11359</v>
      </c>
      <c r="BB2076" s="81" t="s">
        <v>11359</v>
      </c>
      <c r="BC2076" s="81" t="s">
        <v>11184</v>
      </c>
      <c r="BD2076" s="77">
        <v>242418860</v>
      </c>
      <c r="BE2076" s="77"/>
      <c r="BF2076" s="77"/>
      <c r="BG2076" s="77"/>
      <c r="BH2076" s="77"/>
      <c r="BI2076" s="77"/>
    </row>
    <row r="2077" spans="1:61" x14ac:dyDescent="0.25">
      <c r="A2077" s="62" t="s">
        <v>845</v>
      </c>
      <c r="B2077" s="62" t="s">
        <v>845</v>
      </c>
      <c r="C2077" s="63"/>
      <c r="D2077" s="64"/>
      <c r="E2077" s="65"/>
      <c r="F2077" s="66"/>
      <c r="G2077" s="63"/>
      <c r="H2077" s="67"/>
      <c r="I2077" s="68"/>
      <c r="J2077" s="68"/>
      <c r="K2077" s="32"/>
      <c r="L2077" s="75">
        <v>2077</v>
      </c>
      <c r="M2077" s="75"/>
      <c r="N2077" s="70"/>
      <c r="O2077" s="77" t="s">
        <v>179</v>
      </c>
      <c r="P2077" s="79">
        <v>44974.715474537035</v>
      </c>
      <c r="Q2077" s="77" t="s">
        <v>2853</v>
      </c>
      <c r="R2077" s="77">
        <v>0</v>
      </c>
      <c r="S2077" s="77">
        <v>0</v>
      </c>
      <c r="T2077" s="77">
        <v>0</v>
      </c>
      <c r="U2077" s="77">
        <v>0</v>
      </c>
      <c r="V2077" s="77"/>
      <c r="W2077" s="81" t="s">
        <v>4105</v>
      </c>
      <c r="X2077" s="83" t="str">
        <f>HYPERLINK("https://lnkd.in/dnQtKjyV")</f>
        <v>https://lnkd.in/dnQtKjyV</v>
      </c>
      <c r="Y2077" s="77" t="s">
        <v>4221</v>
      </c>
      <c r="Z2077" s="77"/>
      <c r="AA2077" s="77"/>
      <c r="AB2077" s="77"/>
      <c r="AC2077" s="81" t="s">
        <v>5810</v>
      </c>
      <c r="AD2077" s="77" t="s">
        <v>5850</v>
      </c>
      <c r="AE2077" s="83" t="str">
        <f>HYPERLINK("https://twitter.com/iberonat/status/1626630123586740226")</f>
        <v>https://twitter.com/iberonat/status/1626630123586740226</v>
      </c>
      <c r="AF2077" s="79">
        <v>44974.715474537035</v>
      </c>
      <c r="AG2077" s="85">
        <v>44974</v>
      </c>
      <c r="AH2077" s="81" t="s">
        <v>7669</v>
      </c>
      <c r="AI2077" s="77" t="b">
        <v>0</v>
      </c>
      <c r="AJ2077" s="77"/>
      <c r="AK2077" s="77"/>
      <c r="AL2077" s="77"/>
      <c r="AM2077" s="77"/>
      <c r="AN2077" s="77"/>
      <c r="AO2077" s="77"/>
      <c r="AP2077" s="77"/>
      <c r="AQ2077" s="77"/>
      <c r="AR2077" s="77"/>
      <c r="AS2077" s="77"/>
      <c r="AT2077" s="77"/>
      <c r="AU2077" s="77"/>
      <c r="AV2077" s="83" t="str">
        <f>HYPERLINK("https://pbs.twimg.com/profile_images/990642100462063616/3j9XOdjK_normal.jpg")</f>
        <v>https://pbs.twimg.com/profile_images/990642100462063616/3j9XOdjK_normal.jpg</v>
      </c>
      <c r="AW2077" s="81" t="s">
        <v>11185</v>
      </c>
      <c r="AX2077" s="81" t="s">
        <v>11185</v>
      </c>
      <c r="AY2077" s="77"/>
      <c r="AZ2077" s="81" t="s">
        <v>11359</v>
      </c>
      <c r="BA2077" s="81" t="s">
        <v>11359</v>
      </c>
      <c r="BB2077" s="81" t="s">
        <v>11359</v>
      </c>
      <c r="BC2077" s="81" t="s">
        <v>11185</v>
      </c>
      <c r="BD2077" s="77">
        <v>242418860</v>
      </c>
      <c r="BE2077" s="77"/>
      <c r="BF2077" s="77"/>
      <c r="BG2077" s="77"/>
      <c r="BH2077" s="77"/>
      <c r="BI2077" s="77"/>
    </row>
    <row r="2078" spans="1:61" x14ac:dyDescent="0.25">
      <c r="A2078" s="62" t="s">
        <v>846</v>
      </c>
      <c r="B2078" s="62" t="s">
        <v>846</v>
      </c>
      <c r="C2078" s="63"/>
      <c r="D2078" s="64"/>
      <c r="E2078" s="65"/>
      <c r="F2078" s="66"/>
      <c r="G2078" s="63"/>
      <c r="H2078" s="67"/>
      <c r="I2078" s="68"/>
      <c r="J2078" s="68"/>
      <c r="K2078" s="32"/>
      <c r="L2078" s="75">
        <v>2078</v>
      </c>
      <c r="M2078" s="75"/>
      <c r="N2078" s="70"/>
      <c r="O2078" s="77" t="s">
        <v>179</v>
      </c>
      <c r="P2078" s="79">
        <v>45016.625023148146</v>
      </c>
      <c r="Q2078" s="77" t="s">
        <v>2854</v>
      </c>
      <c r="R2078" s="77">
        <v>0</v>
      </c>
      <c r="S2078" s="77">
        <v>0</v>
      </c>
      <c r="T2078" s="77">
        <v>0</v>
      </c>
      <c r="U2078" s="77">
        <v>0</v>
      </c>
      <c r="V2078" s="77">
        <v>17</v>
      </c>
      <c r="W2078" s="81" t="s">
        <v>4106</v>
      </c>
      <c r="X2078" s="83" t="str">
        <f>HYPERLINK("https://www.businessinsider.es/truco-vendedor-espanol-mejor-valorado-amazon-1221980")</f>
        <v>https://www.businessinsider.es/truco-vendedor-espanol-mejor-valorado-amazon-1221980</v>
      </c>
      <c r="Y2078" s="77" t="s">
        <v>4352</v>
      </c>
      <c r="Z2078" s="77"/>
      <c r="AA2078" s="77" t="s">
        <v>5743</v>
      </c>
      <c r="AB2078" s="77" t="s">
        <v>5794</v>
      </c>
      <c r="AC2078" s="81" t="s">
        <v>5849</v>
      </c>
      <c r="AD2078" s="77" t="s">
        <v>5850</v>
      </c>
      <c r="AE2078" s="83" t="str">
        <f>HYPERLINK("https://twitter.com/internetagencia/status/1641817634126561280")</f>
        <v>https://twitter.com/internetagencia/status/1641817634126561280</v>
      </c>
      <c r="AF2078" s="79">
        <v>45016.625023148146</v>
      </c>
      <c r="AG2078" s="85">
        <v>45016</v>
      </c>
      <c r="AH2078" s="81" t="s">
        <v>7670</v>
      </c>
      <c r="AI2078" s="77" t="b">
        <v>0</v>
      </c>
      <c r="AJ2078" s="77"/>
      <c r="AK2078" s="77"/>
      <c r="AL2078" s="77"/>
      <c r="AM2078" s="77"/>
      <c r="AN2078" s="77"/>
      <c r="AO2078" s="77"/>
      <c r="AP2078" s="77"/>
      <c r="AQ2078" s="77" t="s">
        <v>9241</v>
      </c>
      <c r="AR2078" s="77"/>
      <c r="AS2078" s="77"/>
      <c r="AT2078" s="77"/>
      <c r="AU2078" s="77"/>
      <c r="AV2078" s="83" t="str">
        <f>HYPERLINK("https://pbs.twimg.com/media/Fsjob3AXwAA4Lyu.jpg")</f>
        <v>https://pbs.twimg.com/media/Fsjob3AXwAA4Lyu.jpg</v>
      </c>
      <c r="AW2078" s="81" t="s">
        <v>11186</v>
      </c>
      <c r="AX2078" s="81" t="s">
        <v>11186</v>
      </c>
      <c r="AY2078" s="77"/>
      <c r="AZ2078" s="81" t="s">
        <v>11359</v>
      </c>
      <c r="BA2078" s="81" t="s">
        <v>11359</v>
      </c>
      <c r="BB2078" s="81" t="s">
        <v>11359</v>
      </c>
      <c r="BC2078" s="81" t="s">
        <v>11186</v>
      </c>
      <c r="BD2078" s="77">
        <v>1097322061</v>
      </c>
      <c r="BE2078" s="77"/>
      <c r="BF2078" s="77"/>
      <c r="BG2078" s="77"/>
      <c r="BH2078" s="77"/>
      <c r="BI2078" s="77"/>
    </row>
    <row r="2079" spans="1:61" x14ac:dyDescent="0.25">
      <c r="A2079" s="62" t="s">
        <v>847</v>
      </c>
      <c r="B2079" s="62" t="s">
        <v>847</v>
      </c>
      <c r="C2079" s="63"/>
      <c r="D2079" s="64"/>
      <c r="E2079" s="65"/>
      <c r="F2079" s="66"/>
      <c r="G2079" s="63"/>
      <c r="H2079" s="67"/>
      <c r="I2079" s="68"/>
      <c r="J2079" s="68"/>
      <c r="K2079" s="32"/>
      <c r="L2079" s="75">
        <v>2079</v>
      </c>
      <c r="M2079" s="75"/>
      <c r="N2079" s="70"/>
      <c r="O2079" s="77" t="s">
        <v>179</v>
      </c>
      <c r="P2079" s="79">
        <v>45112.926168981481</v>
      </c>
      <c r="Q2079" s="77" t="s">
        <v>2855</v>
      </c>
      <c r="R2079" s="77">
        <v>0</v>
      </c>
      <c r="S2079" s="77">
        <v>0</v>
      </c>
      <c r="T2079" s="77">
        <v>0</v>
      </c>
      <c r="U2079" s="77">
        <v>0</v>
      </c>
      <c r="V2079" s="77">
        <v>24</v>
      </c>
      <c r="W2079" s="81" t="s">
        <v>4107</v>
      </c>
      <c r="X2079" s="77"/>
      <c r="Y2079" s="77"/>
      <c r="Z2079" s="77"/>
      <c r="AA2079" s="77" t="s">
        <v>5744</v>
      </c>
      <c r="AB2079" s="77" t="s">
        <v>5794</v>
      </c>
      <c r="AC2079" s="81" t="s">
        <v>5805</v>
      </c>
      <c r="AD2079" s="77" t="s">
        <v>5850</v>
      </c>
      <c r="AE2079" s="83" t="str">
        <f>HYPERLINK("https://twitter.com/lcrnmx/status/1676716004003463169")</f>
        <v>https://twitter.com/lcrnmx/status/1676716004003463169</v>
      </c>
      <c r="AF2079" s="79">
        <v>45112.926168981481</v>
      </c>
      <c r="AG2079" s="85">
        <v>45112</v>
      </c>
      <c r="AH2079" s="81" t="s">
        <v>7671</v>
      </c>
      <c r="AI2079" s="77" t="b">
        <v>0</v>
      </c>
      <c r="AJ2079" s="77"/>
      <c r="AK2079" s="77"/>
      <c r="AL2079" s="77"/>
      <c r="AM2079" s="77"/>
      <c r="AN2079" s="77"/>
      <c r="AO2079" s="77"/>
      <c r="AP2079" s="77"/>
      <c r="AQ2079" s="77" t="s">
        <v>9242</v>
      </c>
      <c r="AR2079" s="77"/>
      <c r="AS2079" s="77"/>
      <c r="AT2079" s="77"/>
      <c r="AU2079" s="77"/>
      <c r="AV2079" s="83" t="str">
        <f>HYPERLINK("https://pbs.twimg.com/media/F0TkThdXoAE2p8V.jpg")</f>
        <v>https://pbs.twimg.com/media/F0TkThdXoAE2p8V.jpg</v>
      </c>
      <c r="AW2079" s="81" t="s">
        <v>11187</v>
      </c>
      <c r="AX2079" s="81" t="s">
        <v>11187</v>
      </c>
      <c r="AY2079" s="77"/>
      <c r="AZ2079" s="81" t="s">
        <v>11359</v>
      </c>
      <c r="BA2079" s="81" t="s">
        <v>11359</v>
      </c>
      <c r="BB2079" s="81" t="s">
        <v>11359</v>
      </c>
      <c r="BC2079" s="81" t="s">
        <v>11187</v>
      </c>
      <c r="BD2079" s="77">
        <v>537725688</v>
      </c>
      <c r="BE2079" s="77"/>
      <c r="BF2079" s="77"/>
      <c r="BG2079" s="77"/>
      <c r="BH2079" s="77"/>
      <c r="BI2079" s="77"/>
    </row>
    <row r="2080" spans="1:61" x14ac:dyDescent="0.25">
      <c r="A2080" s="62" t="s">
        <v>847</v>
      </c>
      <c r="B2080" s="62" t="s">
        <v>847</v>
      </c>
      <c r="C2080" s="63"/>
      <c r="D2080" s="64"/>
      <c r="E2080" s="65"/>
      <c r="F2080" s="66"/>
      <c r="G2080" s="63"/>
      <c r="H2080" s="67"/>
      <c r="I2080" s="68"/>
      <c r="J2080" s="68"/>
      <c r="K2080" s="32"/>
      <c r="L2080" s="75">
        <v>2080</v>
      </c>
      <c r="M2080" s="75"/>
      <c r="N2080" s="70"/>
      <c r="O2080" s="77" t="s">
        <v>179</v>
      </c>
      <c r="P2080" s="79">
        <v>45072.744502314818</v>
      </c>
      <c r="Q2080" s="77" t="s">
        <v>2856</v>
      </c>
      <c r="R2080" s="77">
        <v>0</v>
      </c>
      <c r="S2080" s="77">
        <v>0</v>
      </c>
      <c r="T2080" s="77">
        <v>0</v>
      </c>
      <c r="U2080" s="77">
        <v>0</v>
      </c>
      <c r="V2080" s="77">
        <v>21</v>
      </c>
      <c r="W2080" s="81" t="s">
        <v>4108</v>
      </c>
      <c r="X2080" s="77"/>
      <c r="Y2080" s="77"/>
      <c r="Z2080" s="77"/>
      <c r="AA2080" s="77" t="s">
        <v>5745</v>
      </c>
      <c r="AB2080" s="77" t="s">
        <v>5794</v>
      </c>
      <c r="AC2080" s="81" t="s">
        <v>5805</v>
      </c>
      <c r="AD2080" s="77" t="s">
        <v>5850</v>
      </c>
      <c r="AE2080" s="83" t="str">
        <f>HYPERLINK("https://twitter.com/lcrnmx/status/1662154653403054080")</f>
        <v>https://twitter.com/lcrnmx/status/1662154653403054080</v>
      </c>
      <c r="AF2080" s="79">
        <v>45072.744502314818</v>
      </c>
      <c r="AG2080" s="85">
        <v>45072</v>
      </c>
      <c r="AH2080" s="81" t="s">
        <v>7672</v>
      </c>
      <c r="AI2080" s="77" t="b">
        <v>0</v>
      </c>
      <c r="AJ2080" s="77"/>
      <c r="AK2080" s="77"/>
      <c r="AL2080" s="77"/>
      <c r="AM2080" s="77"/>
      <c r="AN2080" s="77"/>
      <c r="AO2080" s="77"/>
      <c r="AP2080" s="77"/>
      <c r="AQ2080" s="77" t="s">
        <v>9243</v>
      </c>
      <c r="AR2080" s="77"/>
      <c r="AS2080" s="77"/>
      <c r="AT2080" s="77"/>
      <c r="AU2080" s="77"/>
      <c r="AV2080" s="83" t="str">
        <f>HYPERLINK("https://pbs.twimg.com/media/FxEoxUzaMAALzyG.jpg")</f>
        <v>https://pbs.twimg.com/media/FxEoxUzaMAALzyG.jpg</v>
      </c>
      <c r="AW2080" s="81" t="s">
        <v>11188</v>
      </c>
      <c r="AX2080" s="81" t="s">
        <v>11188</v>
      </c>
      <c r="AY2080" s="77"/>
      <c r="AZ2080" s="81" t="s">
        <v>11359</v>
      </c>
      <c r="BA2080" s="81" t="s">
        <v>11359</v>
      </c>
      <c r="BB2080" s="81" t="s">
        <v>11359</v>
      </c>
      <c r="BC2080" s="81" t="s">
        <v>11188</v>
      </c>
      <c r="BD2080" s="77">
        <v>537725688</v>
      </c>
      <c r="BE2080" s="77"/>
      <c r="BF2080" s="77"/>
      <c r="BG2080" s="77"/>
      <c r="BH2080" s="77"/>
      <c r="BI2080" s="77"/>
    </row>
    <row r="2081" spans="1:61" x14ac:dyDescent="0.25">
      <c r="A2081" s="62" t="s">
        <v>848</v>
      </c>
      <c r="B2081" s="62" t="s">
        <v>848</v>
      </c>
      <c r="C2081" s="63"/>
      <c r="D2081" s="64"/>
      <c r="E2081" s="65"/>
      <c r="F2081" s="66"/>
      <c r="G2081" s="63"/>
      <c r="H2081" s="67"/>
      <c r="I2081" s="68"/>
      <c r="J2081" s="68"/>
      <c r="K2081" s="32"/>
      <c r="L2081" s="75">
        <v>2081</v>
      </c>
      <c r="M2081" s="75"/>
      <c r="N2081" s="70"/>
      <c r="O2081" s="77" t="s">
        <v>179</v>
      </c>
      <c r="P2081" s="79">
        <v>44932.776805555557</v>
      </c>
      <c r="Q2081" s="77" t="s">
        <v>2857</v>
      </c>
      <c r="R2081" s="77">
        <v>0</v>
      </c>
      <c r="S2081" s="77">
        <v>0</v>
      </c>
      <c r="T2081" s="77">
        <v>0</v>
      </c>
      <c r="U2081" s="77">
        <v>0</v>
      </c>
      <c r="V2081" s="77">
        <v>31</v>
      </c>
      <c r="W2081" s="81" t="s">
        <v>4109</v>
      </c>
      <c r="X2081" s="83" t="str">
        <f>HYPERLINK("https://lnkd.in/dgVdRDkj")</f>
        <v>https://lnkd.in/dgVdRDkj</v>
      </c>
      <c r="Y2081" s="77" t="s">
        <v>4221</v>
      </c>
      <c r="Z2081" s="77"/>
      <c r="AA2081" s="77"/>
      <c r="AB2081" s="77"/>
      <c r="AC2081" s="81" t="s">
        <v>5810</v>
      </c>
      <c r="AD2081" s="77" t="s">
        <v>5851</v>
      </c>
      <c r="AE2081" s="83" t="str">
        <f>HYPERLINK("https://twitter.com/cadubraganca/status/1611432057732796421")</f>
        <v>https://twitter.com/cadubraganca/status/1611432057732796421</v>
      </c>
      <c r="AF2081" s="79">
        <v>44932.776805555557</v>
      </c>
      <c r="AG2081" s="85">
        <v>44932</v>
      </c>
      <c r="AH2081" s="81" t="s">
        <v>7673</v>
      </c>
      <c r="AI2081" s="77" t="b">
        <v>1</v>
      </c>
      <c r="AJ2081" s="77"/>
      <c r="AK2081" s="77"/>
      <c r="AL2081" s="77"/>
      <c r="AM2081" s="77"/>
      <c r="AN2081" s="77"/>
      <c r="AO2081" s="77"/>
      <c r="AP2081" s="77"/>
      <c r="AQ2081" s="77"/>
      <c r="AR2081" s="77"/>
      <c r="AS2081" s="77"/>
      <c r="AT2081" s="77"/>
      <c r="AU2081" s="77"/>
      <c r="AV2081" s="83" t="str">
        <f>HYPERLINK("https://pbs.twimg.com/profile_images/378800000703350859/7676f301a27e4b530aea0a2e7233823f_normal.jpeg")</f>
        <v>https://pbs.twimg.com/profile_images/378800000703350859/7676f301a27e4b530aea0a2e7233823f_normal.jpeg</v>
      </c>
      <c r="AW2081" s="81" t="s">
        <v>11189</v>
      </c>
      <c r="AX2081" s="81" t="s">
        <v>11189</v>
      </c>
      <c r="AY2081" s="77"/>
      <c r="AZ2081" s="81" t="s">
        <v>11359</v>
      </c>
      <c r="BA2081" s="81" t="s">
        <v>11359</v>
      </c>
      <c r="BB2081" s="81" t="s">
        <v>11359</v>
      </c>
      <c r="BC2081" s="81" t="s">
        <v>11189</v>
      </c>
      <c r="BD2081" s="77">
        <v>63286137</v>
      </c>
      <c r="BE2081" s="77"/>
      <c r="BF2081" s="77"/>
      <c r="BG2081" s="77"/>
      <c r="BH2081" s="77"/>
      <c r="BI2081" s="77"/>
    </row>
    <row r="2082" spans="1:61" x14ac:dyDescent="0.25">
      <c r="A2082" s="62" t="s">
        <v>849</v>
      </c>
      <c r="B2082" s="62" t="s">
        <v>849</v>
      </c>
      <c r="C2082" s="63"/>
      <c r="D2082" s="64"/>
      <c r="E2082" s="65"/>
      <c r="F2082" s="66"/>
      <c r="G2082" s="63"/>
      <c r="H2082" s="67"/>
      <c r="I2082" s="68"/>
      <c r="J2082" s="68"/>
      <c r="K2082" s="32"/>
      <c r="L2082" s="75">
        <v>2082</v>
      </c>
      <c r="M2082" s="75"/>
      <c r="N2082" s="70"/>
      <c r="O2082" s="77" t="s">
        <v>179</v>
      </c>
      <c r="P2082" s="79">
        <v>44970.194432870368</v>
      </c>
      <c r="Q2082" s="77" t="s">
        <v>2858</v>
      </c>
      <c r="R2082" s="77">
        <v>0</v>
      </c>
      <c r="S2082" s="77">
        <v>2</v>
      </c>
      <c r="T2082" s="77">
        <v>0</v>
      </c>
      <c r="U2082" s="77">
        <v>0</v>
      </c>
      <c r="V2082" s="77">
        <v>98</v>
      </c>
      <c r="W2082" s="81" t="s">
        <v>4110</v>
      </c>
      <c r="X2082" s="77"/>
      <c r="Y2082" s="77"/>
      <c r="Z2082" s="77"/>
      <c r="AA2082" s="77"/>
      <c r="AB2082" s="77"/>
      <c r="AC2082" s="81" t="s">
        <v>5803</v>
      </c>
      <c r="AD2082" s="77" t="s">
        <v>5850</v>
      </c>
      <c r="AE2082" s="83" t="str">
        <f>HYPERLINK("https://twitter.com/chemapapupro/status/1624991754159095809")</f>
        <v>https://twitter.com/chemapapupro/status/1624991754159095809</v>
      </c>
      <c r="AF2082" s="79">
        <v>44970.194432870368</v>
      </c>
      <c r="AG2082" s="85">
        <v>44970</v>
      </c>
      <c r="AH2082" s="81" t="s">
        <v>7674</v>
      </c>
      <c r="AI2082" s="77"/>
      <c r="AJ2082" s="77"/>
      <c r="AK2082" s="77"/>
      <c r="AL2082" s="77"/>
      <c r="AM2082" s="77"/>
      <c r="AN2082" s="77"/>
      <c r="AO2082" s="77"/>
      <c r="AP2082" s="77"/>
      <c r="AQ2082" s="77"/>
      <c r="AR2082" s="77"/>
      <c r="AS2082" s="77"/>
      <c r="AT2082" s="77"/>
      <c r="AU2082" s="77"/>
      <c r="AV2082" s="83" t="str">
        <f>HYPERLINK("https://pbs.twimg.com/profile_images/1704668568489541632/ItT_HsiB_normal.jpg")</f>
        <v>https://pbs.twimg.com/profile_images/1704668568489541632/ItT_HsiB_normal.jpg</v>
      </c>
      <c r="AW2082" s="81" t="s">
        <v>11190</v>
      </c>
      <c r="AX2082" s="81" t="s">
        <v>11190</v>
      </c>
      <c r="AY2082" s="77"/>
      <c r="AZ2082" s="81" t="s">
        <v>11359</v>
      </c>
      <c r="BA2082" s="81" t="s">
        <v>11359</v>
      </c>
      <c r="BB2082" s="81" t="s">
        <v>11359</v>
      </c>
      <c r="BC2082" s="81" t="s">
        <v>11190</v>
      </c>
      <c r="BD2082" s="81" t="s">
        <v>11700</v>
      </c>
      <c r="BE2082" s="77"/>
      <c r="BF2082" s="77"/>
      <c r="BG2082" s="77"/>
      <c r="BH2082" s="77"/>
      <c r="BI2082" s="77"/>
    </row>
    <row r="2083" spans="1:61" x14ac:dyDescent="0.25">
      <c r="A2083" s="62" t="s">
        <v>850</v>
      </c>
      <c r="B2083" s="62" t="s">
        <v>850</v>
      </c>
      <c r="C2083" s="63"/>
      <c r="D2083" s="64"/>
      <c r="E2083" s="65"/>
      <c r="F2083" s="66"/>
      <c r="G2083" s="63"/>
      <c r="H2083" s="67"/>
      <c r="I2083" s="68"/>
      <c r="J2083" s="68"/>
      <c r="K2083" s="32"/>
      <c r="L2083" s="75">
        <v>2083</v>
      </c>
      <c r="M2083" s="75"/>
      <c r="N2083" s="70"/>
      <c r="O2083" s="77" t="s">
        <v>179</v>
      </c>
      <c r="P2083" s="79">
        <v>45183.855486111112</v>
      </c>
      <c r="Q2083" s="77" t="s">
        <v>2859</v>
      </c>
      <c r="R2083" s="77">
        <v>0</v>
      </c>
      <c r="S2083" s="77">
        <v>0</v>
      </c>
      <c r="T2083" s="77">
        <v>0</v>
      </c>
      <c r="U2083" s="77">
        <v>0</v>
      </c>
      <c r="V2083" s="77">
        <v>12</v>
      </c>
      <c r="W2083" s="81" t="s">
        <v>4111</v>
      </c>
      <c r="X2083" s="77"/>
      <c r="Y2083" s="77"/>
      <c r="Z2083" s="77"/>
      <c r="AA2083" s="77" t="s">
        <v>5746</v>
      </c>
      <c r="AB2083" s="77" t="s">
        <v>5794</v>
      </c>
      <c r="AC2083" s="81" t="s">
        <v>5805</v>
      </c>
      <c r="AD2083" s="77" t="s">
        <v>5853</v>
      </c>
      <c r="AE2083" s="83" t="str">
        <f>HYPERLINK("https://twitter.com/nextthouse/status/1702419927926542553")</f>
        <v>https://twitter.com/nextthouse/status/1702419927926542553</v>
      </c>
      <c r="AF2083" s="79">
        <v>45183.855486111112</v>
      </c>
      <c r="AG2083" s="85">
        <v>45183</v>
      </c>
      <c r="AH2083" s="81" t="s">
        <v>7675</v>
      </c>
      <c r="AI2083" s="77" t="b">
        <v>0</v>
      </c>
      <c r="AJ2083" s="77"/>
      <c r="AK2083" s="77"/>
      <c r="AL2083" s="77"/>
      <c r="AM2083" s="77"/>
      <c r="AN2083" s="77"/>
      <c r="AO2083" s="77"/>
      <c r="AP2083" s="77"/>
      <c r="AQ2083" s="77" t="s">
        <v>9244</v>
      </c>
      <c r="AR2083" s="77"/>
      <c r="AS2083" s="77"/>
      <c r="AT2083" s="77"/>
      <c r="AU2083" s="77"/>
      <c r="AV2083" s="83" t="str">
        <f>HYPERLINK("https://pbs.twimg.com/media/F6A1rRHXcAANkk7.jpg")</f>
        <v>https://pbs.twimg.com/media/F6A1rRHXcAANkk7.jpg</v>
      </c>
      <c r="AW2083" s="81" t="s">
        <v>11191</v>
      </c>
      <c r="AX2083" s="81" t="s">
        <v>11191</v>
      </c>
      <c r="AY2083" s="77"/>
      <c r="AZ2083" s="81" t="s">
        <v>11359</v>
      </c>
      <c r="BA2083" s="81" t="s">
        <v>11359</v>
      </c>
      <c r="BB2083" s="81" t="s">
        <v>11359</v>
      </c>
      <c r="BC2083" s="81" t="s">
        <v>11191</v>
      </c>
      <c r="BD2083" s="81" t="s">
        <v>11701</v>
      </c>
      <c r="BE2083" s="77"/>
      <c r="BF2083" s="77"/>
      <c r="BG2083" s="77"/>
      <c r="BH2083" s="77"/>
      <c r="BI2083" s="77"/>
    </row>
    <row r="2084" spans="1:61" x14ac:dyDescent="0.25">
      <c r="A2084" s="62" t="s">
        <v>851</v>
      </c>
      <c r="B2084" s="62" t="s">
        <v>851</v>
      </c>
      <c r="C2084" s="63"/>
      <c r="D2084" s="64"/>
      <c r="E2084" s="65"/>
      <c r="F2084" s="66"/>
      <c r="G2084" s="63"/>
      <c r="H2084" s="67"/>
      <c r="I2084" s="68"/>
      <c r="J2084" s="68"/>
      <c r="K2084" s="32"/>
      <c r="L2084" s="75">
        <v>2084</v>
      </c>
      <c r="M2084" s="75"/>
      <c r="N2084" s="70"/>
      <c r="O2084" s="77" t="s">
        <v>969</v>
      </c>
      <c r="P2084" s="79">
        <v>45021.55300925926</v>
      </c>
      <c r="Q2084" s="77" t="s">
        <v>2860</v>
      </c>
      <c r="R2084" s="77">
        <v>4</v>
      </c>
      <c r="S2084" s="77">
        <v>10</v>
      </c>
      <c r="T2084" s="77">
        <v>0</v>
      </c>
      <c r="U2084" s="77">
        <v>0</v>
      </c>
      <c r="V2084" s="77">
        <v>498</v>
      </c>
      <c r="W2084" s="81" t="s">
        <v>4112</v>
      </c>
      <c r="X2084" s="77"/>
      <c r="Y2084" s="77"/>
      <c r="Z2084" s="77" t="s">
        <v>4386</v>
      </c>
      <c r="AA2084" s="77" t="s">
        <v>5747</v>
      </c>
      <c r="AB2084" s="77" t="s">
        <v>5798</v>
      </c>
      <c r="AC2084" s="81" t="s">
        <v>5803</v>
      </c>
      <c r="AD2084" s="77" t="s">
        <v>5850</v>
      </c>
      <c r="AE2084" s="83" t="str">
        <f>HYPERLINK("https://twitter.com/andrespb1981/status/1643603479162699777")</f>
        <v>https://twitter.com/andrespb1981/status/1643603479162699777</v>
      </c>
      <c r="AF2084" s="79">
        <v>45021.55300925926</v>
      </c>
      <c r="AG2084" s="85">
        <v>45021</v>
      </c>
      <c r="AH2084" s="81" t="s">
        <v>7676</v>
      </c>
      <c r="AI2084" s="77" t="b">
        <v>0</v>
      </c>
      <c r="AJ2084" s="77"/>
      <c r="AK2084" s="77"/>
      <c r="AL2084" s="77"/>
      <c r="AM2084" s="77"/>
      <c r="AN2084" s="77"/>
      <c r="AO2084" s="77"/>
      <c r="AP2084" s="77"/>
      <c r="AQ2084" s="77" t="s">
        <v>9245</v>
      </c>
      <c r="AR2084" s="77"/>
      <c r="AS2084" s="77"/>
      <c r="AT2084" s="77"/>
      <c r="AU2084" s="77"/>
      <c r="AV2084" s="83" t="str">
        <f>HYPERLINK("https://pbs.twimg.com/media/Fs9AmxtWYAERpZ8.jpg")</f>
        <v>https://pbs.twimg.com/media/Fs9AmxtWYAERpZ8.jpg</v>
      </c>
      <c r="AW2084" s="81" t="s">
        <v>11192</v>
      </c>
      <c r="AX2084" s="81" t="s">
        <v>11317</v>
      </c>
      <c r="AY2084" s="81" t="s">
        <v>11358</v>
      </c>
      <c r="AZ2084" s="81" t="s">
        <v>11317</v>
      </c>
      <c r="BA2084" s="81" t="s">
        <v>11359</v>
      </c>
      <c r="BB2084" s="81" t="s">
        <v>11359</v>
      </c>
      <c r="BC2084" s="81" t="s">
        <v>11317</v>
      </c>
      <c r="BD2084" s="77">
        <v>385685511</v>
      </c>
      <c r="BE2084" s="77"/>
      <c r="BF2084" s="77"/>
      <c r="BG2084" s="77"/>
      <c r="BH2084" s="77"/>
      <c r="BI2084" s="77"/>
    </row>
    <row r="2085" spans="1:61" x14ac:dyDescent="0.25">
      <c r="A2085" s="62" t="s">
        <v>852</v>
      </c>
      <c r="B2085" s="62" t="s">
        <v>852</v>
      </c>
      <c r="C2085" s="63"/>
      <c r="D2085" s="64"/>
      <c r="E2085" s="65"/>
      <c r="F2085" s="66"/>
      <c r="G2085" s="63"/>
      <c r="H2085" s="67"/>
      <c r="I2085" s="68"/>
      <c r="J2085" s="68"/>
      <c r="K2085" s="32"/>
      <c r="L2085" s="75">
        <v>2085</v>
      </c>
      <c r="M2085" s="75"/>
      <c r="N2085" s="70"/>
      <c r="O2085" s="77" t="s">
        <v>179</v>
      </c>
      <c r="P2085" s="79">
        <v>44971.015648148146</v>
      </c>
      <c r="Q2085" s="77" t="s">
        <v>2861</v>
      </c>
      <c r="R2085" s="77">
        <v>1</v>
      </c>
      <c r="S2085" s="77">
        <v>1</v>
      </c>
      <c r="T2085" s="77">
        <v>0</v>
      </c>
      <c r="U2085" s="77">
        <v>0</v>
      </c>
      <c r="V2085" s="77">
        <v>45</v>
      </c>
      <c r="W2085" s="81" t="s">
        <v>4113</v>
      </c>
      <c r="X2085" s="83" t="str">
        <f>HYPERLINK("http://live.24liveblog.com/user/zaragalo")</f>
        <v>http://live.24liveblog.com/user/zaragalo</v>
      </c>
      <c r="Y2085" s="77" t="s">
        <v>4353</v>
      </c>
      <c r="Z2085" s="77"/>
      <c r="AA2085" s="77" t="s">
        <v>5748</v>
      </c>
      <c r="AB2085" s="77" t="s">
        <v>5795</v>
      </c>
      <c r="AC2085" s="81" t="s">
        <v>5805</v>
      </c>
      <c r="AD2085" s="77" t="s">
        <v>5851</v>
      </c>
      <c r="AE2085" s="83" t="str">
        <f>HYPERLINK("https://twitter.com/blogpdnoticia/status/1625289349884530691")</f>
        <v>https://twitter.com/blogpdnoticia/status/1625289349884530691</v>
      </c>
      <c r="AF2085" s="79">
        <v>44971.015648148146</v>
      </c>
      <c r="AG2085" s="85">
        <v>44971</v>
      </c>
      <c r="AH2085" s="81" t="s">
        <v>7677</v>
      </c>
      <c r="AI2085" s="77" t="b">
        <v>0</v>
      </c>
      <c r="AJ2085" s="77"/>
      <c r="AK2085" s="77"/>
      <c r="AL2085" s="77"/>
      <c r="AM2085" s="77"/>
      <c r="AN2085" s="77"/>
      <c r="AO2085" s="77"/>
      <c r="AP2085" s="77"/>
      <c r="AQ2085" s="77" t="s">
        <v>9246</v>
      </c>
      <c r="AR2085" s="77">
        <v>137045</v>
      </c>
      <c r="AS2085" s="77"/>
      <c r="AT2085" s="77"/>
      <c r="AU2085" s="77"/>
      <c r="AV2085" s="83" t="str">
        <f>HYPERLINK("https://pbs.twimg.com/ext_tw_video_thumb/1625288479599984640/pu/img/QwQDYA20kLZcX6th.jpg")</f>
        <v>https://pbs.twimg.com/ext_tw_video_thumb/1625288479599984640/pu/img/QwQDYA20kLZcX6th.jpg</v>
      </c>
      <c r="AW2085" s="81" t="s">
        <v>11193</v>
      </c>
      <c r="AX2085" s="81" t="s">
        <v>11193</v>
      </c>
      <c r="AY2085" s="77"/>
      <c r="AZ2085" s="81" t="s">
        <v>11359</v>
      </c>
      <c r="BA2085" s="81" t="s">
        <v>11359</v>
      </c>
      <c r="BB2085" s="81" t="s">
        <v>11359</v>
      </c>
      <c r="BC2085" s="81" t="s">
        <v>11193</v>
      </c>
      <c r="BD2085" s="81" t="s">
        <v>11702</v>
      </c>
      <c r="BE2085" s="77"/>
      <c r="BF2085" s="77"/>
      <c r="BG2085" s="77"/>
      <c r="BH2085" s="77"/>
      <c r="BI2085" s="77"/>
    </row>
    <row r="2086" spans="1:61" x14ac:dyDescent="0.25">
      <c r="A2086" s="62" t="s">
        <v>853</v>
      </c>
      <c r="B2086" s="62" t="s">
        <v>853</v>
      </c>
      <c r="C2086" s="63"/>
      <c r="D2086" s="64"/>
      <c r="E2086" s="65"/>
      <c r="F2086" s="66"/>
      <c r="G2086" s="63"/>
      <c r="H2086" s="67"/>
      <c r="I2086" s="68"/>
      <c r="J2086" s="68"/>
      <c r="K2086" s="32"/>
      <c r="L2086" s="75">
        <v>2086</v>
      </c>
      <c r="M2086" s="75"/>
      <c r="N2086" s="70"/>
      <c r="O2086" s="77" t="s">
        <v>179</v>
      </c>
      <c r="P2086" s="79">
        <v>45033.811585648145</v>
      </c>
      <c r="Q2086" s="77" t="s">
        <v>2862</v>
      </c>
      <c r="R2086" s="77">
        <v>0</v>
      </c>
      <c r="S2086" s="77">
        <v>0</v>
      </c>
      <c r="T2086" s="77">
        <v>0</v>
      </c>
      <c r="U2086" s="77">
        <v>0</v>
      </c>
      <c r="V2086" s="77">
        <v>53</v>
      </c>
      <c r="W2086" s="81" t="s">
        <v>4114</v>
      </c>
      <c r="X2086" s="83" t="str">
        <f>HYPERLINK("https://empleosdeleje.com/empleos/")</f>
        <v>https://empleosdeleje.com/empleos/</v>
      </c>
      <c r="Y2086" s="77" t="s">
        <v>4354</v>
      </c>
      <c r="Z2086" s="77"/>
      <c r="AA2086" s="77" t="s">
        <v>5749</v>
      </c>
      <c r="AB2086" s="77" t="s">
        <v>5794</v>
      </c>
      <c r="AC2086" s="81" t="s">
        <v>5801</v>
      </c>
      <c r="AD2086" s="77" t="s">
        <v>5850</v>
      </c>
      <c r="AE2086" s="83" t="str">
        <f>HYPERLINK("https://twitter.com/empleosdeleje/status/1648045835756752905")</f>
        <v>https://twitter.com/empleosdeleje/status/1648045835756752905</v>
      </c>
      <c r="AF2086" s="79">
        <v>45033.811585648145</v>
      </c>
      <c r="AG2086" s="85">
        <v>45033</v>
      </c>
      <c r="AH2086" s="81" t="s">
        <v>7678</v>
      </c>
      <c r="AI2086" s="77" t="b">
        <v>0</v>
      </c>
      <c r="AJ2086" s="77" t="s">
        <v>7761</v>
      </c>
      <c r="AK2086" s="77" t="s">
        <v>7766</v>
      </c>
      <c r="AL2086" s="77" t="s">
        <v>7775</v>
      </c>
      <c r="AM2086" s="77" t="s">
        <v>7815</v>
      </c>
      <c r="AN2086" s="77" t="s">
        <v>7851</v>
      </c>
      <c r="AO2086" s="77" t="s">
        <v>7887</v>
      </c>
      <c r="AP2086" s="77" t="s">
        <v>7889</v>
      </c>
      <c r="AQ2086" s="77" t="s">
        <v>9247</v>
      </c>
      <c r="AR2086" s="77"/>
      <c r="AS2086" s="77"/>
      <c r="AT2086" s="77"/>
      <c r="AU2086" s="77"/>
      <c r="AV2086" s="83" t="str">
        <f>HYPERLINK("https://pbs.twimg.com/media/Ft8I9DxX0AQtjeE.jpg")</f>
        <v>https://pbs.twimg.com/media/Ft8I9DxX0AQtjeE.jpg</v>
      </c>
      <c r="AW2086" s="81" t="s">
        <v>11194</v>
      </c>
      <c r="AX2086" s="81" t="s">
        <v>11194</v>
      </c>
      <c r="AY2086" s="77"/>
      <c r="AZ2086" s="81" t="s">
        <v>11359</v>
      </c>
      <c r="BA2086" s="81" t="s">
        <v>11359</v>
      </c>
      <c r="BB2086" s="81" t="s">
        <v>11359</v>
      </c>
      <c r="BC2086" s="81" t="s">
        <v>11194</v>
      </c>
      <c r="BD2086" s="81" t="s">
        <v>11703</v>
      </c>
      <c r="BE2086" s="77"/>
      <c r="BF2086" s="77"/>
      <c r="BG2086" s="77"/>
      <c r="BH2086" s="77"/>
      <c r="BI2086" s="77"/>
    </row>
    <row r="2087" spans="1:61" x14ac:dyDescent="0.25">
      <c r="A2087" s="62" t="s">
        <v>853</v>
      </c>
      <c r="B2087" s="62" t="s">
        <v>853</v>
      </c>
      <c r="C2087" s="63"/>
      <c r="D2087" s="64"/>
      <c r="E2087" s="65"/>
      <c r="F2087" s="66"/>
      <c r="G2087" s="63"/>
      <c r="H2087" s="67"/>
      <c r="I2087" s="68"/>
      <c r="J2087" s="68"/>
      <c r="K2087" s="32"/>
      <c r="L2087" s="75">
        <v>2087</v>
      </c>
      <c r="M2087" s="75"/>
      <c r="N2087" s="70"/>
      <c r="O2087" s="77" t="s">
        <v>179</v>
      </c>
      <c r="P2087" s="79">
        <v>44999.058437500003</v>
      </c>
      <c r="Q2087" s="77" t="s">
        <v>2863</v>
      </c>
      <c r="R2087" s="77">
        <v>0</v>
      </c>
      <c r="S2087" s="77">
        <v>0</v>
      </c>
      <c r="T2087" s="77">
        <v>0</v>
      </c>
      <c r="U2087" s="77">
        <v>0</v>
      </c>
      <c r="V2087" s="77">
        <v>42</v>
      </c>
      <c r="W2087" s="81" t="s">
        <v>4115</v>
      </c>
      <c r="X2087" s="83" t="str">
        <f>HYPERLINK("https://empleosdeleje.com/empleos/")</f>
        <v>https://empleosdeleje.com/empleos/</v>
      </c>
      <c r="Y2087" s="77" t="s">
        <v>4354</v>
      </c>
      <c r="Z2087" s="77"/>
      <c r="AA2087" s="77" t="s">
        <v>5750</v>
      </c>
      <c r="AB2087" s="77" t="s">
        <v>5798</v>
      </c>
      <c r="AC2087" s="81" t="s">
        <v>5801</v>
      </c>
      <c r="AD2087" s="77" t="s">
        <v>5850</v>
      </c>
      <c r="AE2087" s="83" t="str">
        <f>HYPERLINK("https://twitter.com/empleosdeleje/status/1635451718778363906")</f>
        <v>https://twitter.com/empleosdeleje/status/1635451718778363906</v>
      </c>
      <c r="AF2087" s="79">
        <v>44999.058437500003</v>
      </c>
      <c r="AG2087" s="85">
        <v>44999</v>
      </c>
      <c r="AH2087" s="81" t="s">
        <v>7679</v>
      </c>
      <c r="AI2087" s="77" t="b">
        <v>0</v>
      </c>
      <c r="AJ2087" s="77" t="s">
        <v>7761</v>
      </c>
      <c r="AK2087" s="77" t="s">
        <v>7766</v>
      </c>
      <c r="AL2087" s="77" t="s">
        <v>7775</v>
      </c>
      <c r="AM2087" s="77" t="s">
        <v>7815</v>
      </c>
      <c r="AN2087" s="77" t="s">
        <v>7851</v>
      </c>
      <c r="AO2087" s="77" t="s">
        <v>7887</v>
      </c>
      <c r="AP2087" s="77" t="s">
        <v>7889</v>
      </c>
      <c r="AQ2087" s="77" t="s">
        <v>9248</v>
      </c>
      <c r="AR2087" s="77"/>
      <c r="AS2087" s="77"/>
      <c r="AT2087" s="77"/>
      <c r="AU2087" s="77"/>
      <c r="AV2087" s="83" t="str">
        <f>HYPERLINK("https://pbs.twimg.com/media/FrJKqxbWwAA1dsw.jpg")</f>
        <v>https://pbs.twimg.com/media/FrJKqxbWwAA1dsw.jpg</v>
      </c>
      <c r="AW2087" s="81" t="s">
        <v>11195</v>
      </c>
      <c r="AX2087" s="81" t="s">
        <v>11195</v>
      </c>
      <c r="AY2087" s="77"/>
      <c r="AZ2087" s="81" t="s">
        <v>11359</v>
      </c>
      <c r="BA2087" s="81" t="s">
        <v>11359</v>
      </c>
      <c r="BB2087" s="81" t="s">
        <v>11359</v>
      </c>
      <c r="BC2087" s="81" t="s">
        <v>11195</v>
      </c>
      <c r="BD2087" s="81" t="s">
        <v>11703</v>
      </c>
      <c r="BE2087" s="77"/>
      <c r="BF2087" s="77"/>
      <c r="BG2087" s="77"/>
      <c r="BH2087" s="77"/>
      <c r="BI2087" s="77"/>
    </row>
    <row r="2088" spans="1:61" x14ac:dyDescent="0.25">
      <c r="A2088" s="62" t="s">
        <v>853</v>
      </c>
      <c r="B2088" s="62" t="s">
        <v>853</v>
      </c>
      <c r="C2088" s="63"/>
      <c r="D2088" s="64"/>
      <c r="E2088" s="65"/>
      <c r="F2088" s="66"/>
      <c r="G2088" s="63"/>
      <c r="H2088" s="67"/>
      <c r="I2088" s="68"/>
      <c r="J2088" s="68"/>
      <c r="K2088" s="32"/>
      <c r="L2088" s="75">
        <v>2088</v>
      </c>
      <c r="M2088" s="75"/>
      <c r="N2088" s="70"/>
      <c r="O2088" s="77" t="s">
        <v>179</v>
      </c>
      <c r="P2088" s="79">
        <v>45029.911400462966</v>
      </c>
      <c r="Q2088" s="77" t="s">
        <v>2864</v>
      </c>
      <c r="R2088" s="77">
        <v>0</v>
      </c>
      <c r="S2088" s="77">
        <v>0</v>
      </c>
      <c r="T2088" s="77">
        <v>0</v>
      </c>
      <c r="U2088" s="77">
        <v>0</v>
      </c>
      <c r="V2088" s="77">
        <v>40</v>
      </c>
      <c r="W2088" s="81" t="s">
        <v>4116</v>
      </c>
      <c r="X2088" s="83" t="str">
        <f>HYPERLINK("https://empleosdeleje.com/empleos/")</f>
        <v>https://empleosdeleje.com/empleos/</v>
      </c>
      <c r="Y2088" s="77" t="s">
        <v>4354</v>
      </c>
      <c r="Z2088" s="77"/>
      <c r="AA2088" s="77" t="s">
        <v>5751</v>
      </c>
      <c r="AB2088" s="77" t="s">
        <v>5794</v>
      </c>
      <c r="AC2088" s="81" t="s">
        <v>5801</v>
      </c>
      <c r="AD2088" s="77" t="s">
        <v>5850</v>
      </c>
      <c r="AE2088" s="83" t="str">
        <f>HYPERLINK("https://twitter.com/empleosdeleje/status/1646632457876254721")</f>
        <v>https://twitter.com/empleosdeleje/status/1646632457876254721</v>
      </c>
      <c r="AF2088" s="79">
        <v>45029.911400462966</v>
      </c>
      <c r="AG2088" s="85">
        <v>45029</v>
      </c>
      <c r="AH2088" s="81" t="s">
        <v>7680</v>
      </c>
      <c r="AI2088" s="77" t="b">
        <v>0</v>
      </c>
      <c r="AJ2088" s="77" t="s">
        <v>7761</v>
      </c>
      <c r="AK2088" s="77" t="s">
        <v>7766</v>
      </c>
      <c r="AL2088" s="77" t="s">
        <v>7775</v>
      </c>
      <c r="AM2088" s="77" t="s">
        <v>7815</v>
      </c>
      <c r="AN2088" s="77" t="s">
        <v>7851</v>
      </c>
      <c r="AO2088" s="77" t="s">
        <v>7887</v>
      </c>
      <c r="AP2088" s="77" t="s">
        <v>7889</v>
      </c>
      <c r="AQ2088" s="77" t="s">
        <v>9249</v>
      </c>
      <c r="AR2088" s="77"/>
      <c r="AS2088" s="77"/>
      <c r="AT2088" s="77"/>
      <c r="AU2088" s="77"/>
      <c r="AV2088" s="83" t="str">
        <f>HYPERLINK("https://pbs.twimg.com/media/FtoDfktWcAQ0p0v.jpg")</f>
        <v>https://pbs.twimg.com/media/FtoDfktWcAQ0p0v.jpg</v>
      </c>
      <c r="AW2088" s="81" t="s">
        <v>11196</v>
      </c>
      <c r="AX2088" s="81" t="s">
        <v>11196</v>
      </c>
      <c r="AY2088" s="77"/>
      <c r="AZ2088" s="81" t="s">
        <v>11359</v>
      </c>
      <c r="BA2088" s="81" t="s">
        <v>11359</v>
      </c>
      <c r="BB2088" s="81" t="s">
        <v>11359</v>
      </c>
      <c r="BC2088" s="81" t="s">
        <v>11196</v>
      </c>
      <c r="BD2088" s="81" t="s">
        <v>11703</v>
      </c>
      <c r="BE2088" s="77"/>
      <c r="BF2088" s="77"/>
      <c r="BG2088" s="77"/>
      <c r="BH2088" s="77"/>
      <c r="BI2088" s="77"/>
    </row>
    <row r="2089" spans="1:61" x14ac:dyDescent="0.25">
      <c r="A2089" s="62" t="s">
        <v>853</v>
      </c>
      <c r="B2089" s="62" t="s">
        <v>853</v>
      </c>
      <c r="C2089" s="63"/>
      <c r="D2089" s="64"/>
      <c r="E2089" s="65"/>
      <c r="F2089" s="66"/>
      <c r="G2089" s="63"/>
      <c r="H2089" s="67"/>
      <c r="I2089" s="68"/>
      <c r="J2089" s="68"/>
      <c r="K2089" s="32"/>
      <c r="L2089" s="75">
        <v>2089</v>
      </c>
      <c r="M2089" s="75"/>
      <c r="N2089" s="70"/>
      <c r="O2089" s="77" t="s">
        <v>179</v>
      </c>
      <c r="P2089" s="79">
        <v>44981.839479166665</v>
      </c>
      <c r="Q2089" s="77" t="s">
        <v>2865</v>
      </c>
      <c r="R2089" s="77">
        <v>0</v>
      </c>
      <c r="S2089" s="77">
        <v>0</v>
      </c>
      <c r="T2089" s="77">
        <v>0</v>
      </c>
      <c r="U2089" s="77">
        <v>0</v>
      </c>
      <c r="V2089" s="77">
        <v>44</v>
      </c>
      <c r="W2089" s="81" t="s">
        <v>4117</v>
      </c>
      <c r="X2089" s="83" t="str">
        <f>HYPERLINK("https://empleosdeleje.com/empleos/")</f>
        <v>https://empleosdeleje.com/empleos/</v>
      </c>
      <c r="Y2089" s="77" t="s">
        <v>4354</v>
      </c>
      <c r="Z2089" s="77"/>
      <c r="AA2089" s="77" t="s">
        <v>5752</v>
      </c>
      <c r="AB2089" s="77" t="s">
        <v>5794</v>
      </c>
      <c r="AC2089" s="81" t="s">
        <v>5801</v>
      </c>
      <c r="AD2089" s="77" t="s">
        <v>5850</v>
      </c>
      <c r="AE2089" s="83" t="str">
        <f>HYPERLINK("https://twitter.com/empleosdeleje/status/1629211778692292609")</f>
        <v>https://twitter.com/empleosdeleje/status/1629211778692292609</v>
      </c>
      <c r="AF2089" s="79">
        <v>44981.839479166665</v>
      </c>
      <c r="AG2089" s="85">
        <v>44981</v>
      </c>
      <c r="AH2089" s="81" t="s">
        <v>7681</v>
      </c>
      <c r="AI2089" s="77" t="b">
        <v>0</v>
      </c>
      <c r="AJ2089" s="77"/>
      <c r="AK2089" s="77"/>
      <c r="AL2089" s="77"/>
      <c r="AM2089" s="77"/>
      <c r="AN2089" s="77"/>
      <c r="AO2089" s="77"/>
      <c r="AP2089" s="77"/>
      <c r="AQ2089" s="77" t="s">
        <v>9250</v>
      </c>
      <c r="AR2089" s="77"/>
      <c r="AS2089" s="77"/>
      <c r="AT2089" s="77"/>
      <c r="AU2089" s="77"/>
      <c r="AV2089" s="83" t="str">
        <f>HYPERLINK("https://pbs.twimg.com/media/FpwfembX0AAX5ld.jpg")</f>
        <v>https://pbs.twimg.com/media/FpwfembX0AAX5ld.jpg</v>
      </c>
      <c r="AW2089" s="81" t="s">
        <v>11197</v>
      </c>
      <c r="AX2089" s="81" t="s">
        <v>11197</v>
      </c>
      <c r="AY2089" s="77"/>
      <c r="AZ2089" s="81" t="s">
        <v>11359</v>
      </c>
      <c r="BA2089" s="81" t="s">
        <v>11359</v>
      </c>
      <c r="BB2089" s="81" t="s">
        <v>11359</v>
      </c>
      <c r="BC2089" s="81" t="s">
        <v>11197</v>
      </c>
      <c r="BD2089" s="81" t="s">
        <v>11703</v>
      </c>
      <c r="BE2089" s="77"/>
      <c r="BF2089" s="77"/>
      <c r="BG2089" s="77"/>
      <c r="BH2089" s="77"/>
      <c r="BI2089" s="77"/>
    </row>
    <row r="2090" spans="1:61" x14ac:dyDescent="0.25">
      <c r="A2090" s="62" t="s">
        <v>853</v>
      </c>
      <c r="B2090" s="62" t="s">
        <v>853</v>
      </c>
      <c r="C2090" s="63"/>
      <c r="D2090" s="64"/>
      <c r="E2090" s="65"/>
      <c r="F2090" s="66"/>
      <c r="G2090" s="63"/>
      <c r="H2090" s="67"/>
      <c r="I2090" s="68"/>
      <c r="J2090" s="68"/>
      <c r="K2090" s="32"/>
      <c r="L2090" s="75">
        <v>2090</v>
      </c>
      <c r="M2090" s="75"/>
      <c r="N2090" s="70"/>
      <c r="O2090" s="77" t="s">
        <v>179</v>
      </c>
      <c r="P2090" s="79">
        <v>45065.865381944444</v>
      </c>
      <c r="Q2090" s="77" t="s">
        <v>2866</v>
      </c>
      <c r="R2090" s="77">
        <v>0</v>
      </c>
      <c r="S2090" s="77">
        <v>0</v>
      </c>
      <c r="T2090" s="77">
        <v>0</v>
      </c>
      <c r="U2090" s="77">
        <v>0</v>
      </c>
      <c r="V2090" s="77">
        <v>64</v>
      </c>
      <c r="W2090" s="81" t="s">
        <v>4118</v>
      </c>
      <c r="X2090" s="83" t="str">
        <f>HYPERLINK("https://empleosdeleje.com/empleos/")</f>
        <v>https://empleosdeleje.com/empleos/</v>
      </c>
      <c r="Y2090" s="77" t="s">
        <v>4354</v>
      </c>
      <c r="Z2090" s="77"/>
      <c r="AA2090" s="77" t="s">
        <v>5753</v>
      </c>
      <c r="AB2090" s="77" t="s">
        <v>5794</v>
      </c>
      <c r="AC2090" s="81" t="s">
        <v>5801</v>
      </c>
      <c r="AD2090" s="77" t="s">
        <v>5850</v>
      </c>
      <c r="AE2090" s="83" t="str">
        <f>HYPERLINK("https://twitter.com/empleosdeleje/status/1659661744002719746")</f>
        <v>https://twitter.com/empleosdeleje/status/1659661744002719746</v>
      </c>
      <c r="AF2090" s="79">
        <v>45065.865381944444</v>
      </c>
      <c r="AG2090" s="85">
        <v>45065</v>
      </c>
      <c r="AH2090" s="81" t="s">
        <v>7682</v>
      </c>
      <c r="AI2090" s="77" t="b">
        <v>0</v>
      </c>
      <c r="AJ2090" s="77" t="s">
        <v>7761</v>
      </c>
      <c r="AK2090" s="77" t="s">
        <v>7766</v>
      </c>
      <c r="AL2090" s="77" t="s">
        <v>7775</v>
      </c>
      <c r="AM2090" s="77" t="s">
        <v>7815</v>
      </c>
      <c r="AN2090" s="77" t="s">
        <v>7851</v>
      </c>
      <c r="AO2090" s="77" t="s">
        <v>7887</v>
      </c>
      <c r="AP2090" s="77" t="s">
        <v>7889</v>
      </c>
      <c r="AQ2090" s="77" t="s">
        <v>9251</v>
      </c>
      <c r="AR2090" s="77"/>
      <c r="AS2090" s="77"/>
      <c r="AT2090" s="77"/>
      <c r="AU2090" s="77"/>
      <c r="AV2090" s="83" t="str">
        <f>HYPERLINK("https://pbs.twimg.com/media/FwhNj6mWAAA8NVC.jpg")</f>
        <v>https://pbs.twimg.com/media/FwhNj6mWAAA8NVC.jpg</v>
      </c>
      <c r="AW2090" s="81" t="s">
        <v>11198</v>
      </c>
      <c r="AX2090" s="81" t="s">
        <v>11198</v>
      </c>
      <c r="AY2090" s="77"/>
      <c r="AZ2090" s="81" t="s">
        <v>11359</v>
      </c>
      <c r="BA2090" s="81" t="s">
        <v>11359</v>
      </c>
      <c r="BB2090" s="81" t="s">
        <v>11359</v>
      </c>
      <c r="BC2090" s="81" t="s">
        <v>11198</v>
      </c>
      <c r="BD2090" s="81" t="s">
        <v>11703</v>
      </c>
      <c r="BE2090" s="77"/>
      <c r="BF2090" s="77"/>
      <c r="BG2090" s="77"/>
      <c r="BH2090" s="77"/>
      <c r="BI2090" s="77"/>
    </row>
    <row r="2091" spans="1:61" x14ac:dyDescent="0.25">
      <c r="A2091" s="62" t="s">
        <v>853</v>
      </c>
      <c r="B2091" s="62" t="s">
        <v>853</v>
      </c>
      <c r="C2091" s="63"/>
      <c r="D2091" s="64"/>
      <c r="E2091" s="65"/>
      <c r="F2091" s="66"/>
      <c r="G2091" s="63"/>
      <c r="H2091" s="67"/>
      <c r="I2091" s="68"/>
      <c r="J2091" s="68"/>
      <c r="K2091" s="32"/>
      <c r="L2091" s="75">
        <v>2091</v>
      </c>
      <c r="M2091" s="75"/>
      <c r="N2091" s="70"/>
      <c r="O2091" s="77" t="s">
        <v>179</v>
      </c>
      <c r="P2091" s="79">
        <v>45065.649606481478</v>
      </c>
      <c r="Q2091" s="77" t="s">
        <v>2867</v>
      </c>
      <c r="R2091" s="77">
        <v>0</v>
      </c>
      <c r="S2091" s="77">
        <v>0</v>
      </c>
      <c r="T2091" s="77">
        <v>0</v>
      </c>
      <c r="U2091" s="77">
        <v>0</v>
      </c>
      <c r="V2091" s="77">
        <v>64</v>
      </c>
      <c r="W2091" s="81" t="s">
        <v>4119</v>
      </c>
      <c r="X2091" s="83" t="str">
        <f>HYPERLINK("https://empleosdeleje.com/empleos/")</f>
        <v>https://empleosdeleje.com/empleos/</v>
      </c>
      <c r="Y2091" s="77" t="s">
        <v>4354</v>
      </c>
      <c r="Z2091" s="77"/>
      <c r="AA2091" s="77" t="s">
        <v>5754</v>
      </c>
      <c r="AB2091" s="77" t="s">
        <v>5794</v>
      </c>
      <c r="AC2091" s="81" t="s">
        <v>5801</v>
      </c>
      <c r="AD2091" s="77" t="s">
        <v>5850</v>
      </c>
      <c r="AE2091" s="83" t="str">
        <f>HYPERLINK("https://twitter.com/empleosdeleje/status/1659583548356014081")</f>
        <v>https://twitter.com/empleosdeleje/status/1659583548356014081</v>
      </c>
      <c r="AF2091" s="79">
        <v>45065.649606481478</v>
      </c>
      <c r="AG2091" s="85">
        <v>45065</v>
      </c>
      <c r="AH2091" s="81" t="s">
        <v>7683</v>
      </c>
      <c r="AI2091" s="77" t="b">
        <v>0</v>
      </c>
      <c r="AJ2091" s="77" t="s">
        <v>7761</v>
      </c>
      <c r="AK2091" s="77" t="s">
        <v>7766</v>
      </c>
      <c r="AL2091" s="77" t="s">
        <v>7775</v>
      </c>
      <c r="AM2091" s="77" t="s">
        <v>7815</v>
      </c>
      <c r="AN2091" s="77" t="s">
        <v>7851</v>
      </c>
      <c r="AO2091" s="77" t="s">
        <v>7887</v>
      </c>
      <c r="AP2091" s="77" t="s">
        <v>7889</v>
      </c>
      <c r="AQ2091" s="77" t="s">
        <v>9252</v>
      </c>
      <c r="AR2091" s="77"/>
      <c r="AS2091" s="77"/>
      <c r="AT2091" s="77"/>
      <c r="AU2091" s="77"/>
      <c r="AV2091" s="83" t="str">
        <f>HYPERLINK("https://pbs.twimg.com/media/FwgGcSuX0AENX0t.jpg")</f>
        <v>https://pbs.twimg.com/media/FwgGcSuX0AENX0t.jpg</v>
      </c>
      <c r="AW2091" s="81" t="s">
        <v>11199</v>
      </c>
      <c r="AX2091" s="81" t="s">
        <v>11199</v>
      </c>
      <c r="AY2091" s="77"/>
      <c r="AZ2091" s="81" t="s">
        <v>11359</v>
      </c>
      <c r="BA2091" s="81" t="s">
        <v>11359</v>
      </c>
      <c r="BB2091" s="81" t="s">
        <v>11359</v>
      </c>
      <c r="BC2091" s="81" t="s">
        <v>11199</v>
      </c>
      <c r="BD2091" s="81" t="s">
        <v>11703</v>
      </c>
      <c r="BE2091" s="77"/>
      <c r="BF2091" s="77"/>
      <c r="BG2091" s="77"/>
      <c r="BH2091" s="77"/>
      <c r="BI2091" s="77"/>
    </row>
    <row r="2092" spans="1:61" x14ac:dyDescent="0.25">
      <c r="A2092" s="62" t="s">
        <v>853</v>
      </c>
      <c r="B2092" s="62" t="s">
        <v>853</v>
      </c>
      <c r="C2092" s="63"/>
      <c r="D2092" s="64"/>
      <c r="E2092" s="65"/>
      <c r="F2092" s="66"/>
      <c r="G2092" s="63"/>
      <c r="H2092" s="67"/>
      <c r="I2092" s="68"/>
      <c r="J2092" s="68"/>
      <c r="K2092" s="32"/>
      <c r="L2092" s="75">
        <v>2092</v>
      </c>
      <c r="M2092" s="75"/>
      <c r="N2092" s="70"/>
      <c r="O2092" s="77" t="s">
        <v>179</v>
      </c>
      <c r="P2092" s="79">
        <v>45098.772789351853</v>
      </c>
      <c r="Q2092" s="77" t="s">
        <v>2868</v>
      </c>
      <c r="R2092" s="77">
        <v>0</v>
      </c>
      <c r="S2092" s="77">
        <v>0</v>
      </c>
      <c r="T2092" s="77">
        <v>0</v>
      </c>
      <c r="U2092" s="77">
        <v>0</v>
      </c>
      <c r="V2092" s="77">
        <v>60</v>
      </c>
      <c r="W2092" s="81" t="s">
        <v>4120</v>
      </c>
      <c r="X2092" s="83" t="str">
        <f>HYPERLINK("https://empleosdeleje.com/empleos/")</f>
        <v>https://empleosdeleje.com/empleos/</v>
      </c>
      <c r="Y2092" s="77" t="s">
        <v>4354</v>
      </c>
      <c r="Z2092" s="77"/>
      <c r="AA2092" s="77" t="s">
        <v>5755</v>
      </c>
      <c r="AB2092" s="77" t="s">
        <v>5794</v>
      </c>
      <c r="AC2092" s="81" t="s">
        <v>5801</v>
      </c>
      <c r="AD2092" s="77" t="s">
        <v>5850</v>
      </c>
      <c r="AE2092" s="83" t="str">
        <f>HYPERLINK("https://twitter.com/empleosdeleje/status/1671586989043326986")</f>
        <v>https://twitter.com/empleosdeleje/status/1671586989043326986</v>
      </c>
      <c r="AF2092" s="79">
        <v>45098.772789351853</v>
      </c>
      <c r="AG2092" s="85">
        <v>45098</v>
      </c>
      <c r="AH2092" s="81" t="s">
        <v>7684</v>
      </c>
      <c r="AI2092" s="77" t="b">
        <v>0</v>
      </c>
      <c r="AJ2092" s="77"/>
      <c r="AK2092" s="77"/>
      <c r="AL2092" s="77"/>
      <c r="AM2092" s="77"/>
      <c r="AN2092" s="77"/>
      <c r="AO2092" s="77"/>
      <c r="AP2092" s="77"/>
      <c r="AQ2092" s="77" t="s">
        <v>9253</v>
      </c>
      <c r="AR2092" s="77"/>
      <c r="AS2092" s="77"/>
      <c r="AT2092" s="77"/>
      <c r="AU2092" s="77"/>
      <c r="AV2092" s="83" t="str">
        <f>HYPERLINK("https://pbs.twimg.com/media/FzKrghgXoBQdIkM.jpg")</f>
        <v>https://pbs.twimg.com/media/FzKrghgXoBQdIkM.jpg</v>
      </c>
      <c r="AW2092" s="81" t="s">
        <v>11200</v>
      </c>
      <c r="AX2092" s="81" t="s">
        <v>11200</v>
      </c>
      <c r="AY2092" s="77"/>
      <c r="AZ2092" s="81" t="s">
        <v>11359</v>
      </c>
      <c r="BA2092" s="81" t="s">
        <v>11359</v>
      </c>
      <c r="BB2092" s="81" t="s">
        <v>11359</v>
      </c>
      <c r="BC2092" s="81" t="s">
        <v>11200</v>
      </c>
      <c r="BD2092" s="81" t="s">
        <v>11703</v>
      </c>
      <c r="BE2092" s="77"/>
      <c r="BF2092" s="77"/>
      <c r="BG2092" s="77"/>
      <c r="BH2092" s="77"/>
      <c r="BI2092" s="77"/>
    </row>
    <row r="2093" spans="1:61" x14ac:dyDescent="0.25">
      <c r="A2093" s="62" t="s">
        <v>854</v>
      </c>
      <c r="B2093" s="62" t="s">
        <v>854</v>
      </c>
      <c r="C2093" s="63"/>
      <c r="D2093" s="64"/>
      <c r="E2093" s="65"/>
      <c r="F2093" s="66"/>
      <c r="G2093" s="63"/>
      <c r="H2093" s="67"/>
      <c r="I2093" s="68"/>
      <c r="J2093" s="68"/>
      <c r="K2093" s="32"/>
      <c r="L2093" s="75">
        <v>2093</v>
      </c>
      <c r="M2093" s="75"/>
      <c r="N2093" s="70"/>
      <c r="O2093" s="77" t="s">
        <v>179</v>
      </c>
      <c r="P2093" s="79">
        <v>45058.701793981483</v>
      </c>
      <c r="Q2093" s="77" t="s">
        <v>2869</v>
      </c>
      <c r="R2093" s="77">
        <v>0</v>
      </c>
      <c r="S2093" s="77">
        <v>0</v>
      </c>
      <c r="T2093" s="77">
        <v>0</v>
      </c>
      <c r="U2093" s="77">
        <v>0</v>
      </c>
      <c r="V2093" s="77">
        <v>12</v>
      </c>
      <c r="W2093" s="81" t="s">
        <v>4121</v>
      </c>
      <c r="X2093" s="77"/>
      <c r="Y2093" s="77"/>
      <c r="Z2093" s="77"/>
      <c r="AA2093" s="77"/>
      <c r="AB2093" s="77"/>
      <c r="AC2093" s="81" t="s">
        <v>5801</v>
      </c>
      <c r="AD2093" s="77" t="s">
        <v>5851</v>
      </c>
      <c r="AE2093" s="83" t="str">
        <f>HYPERLINK("https://twitter.com/loc_adalberto/status/1657065746042695680")</f>
        <v>https://twitter.com/loc_adalberto/status/1657065746042695680</v>
      </c>
      <c r="AF2093" s="79">
        <v>45058.701793981483</v>
      </c>
      <c r="AG2093" s="85">
        <v>45058</v>
      </c>
      <c r="AH2093" s="81" t="s">
        <v>7685</v>
      </c>
      <c r="AI2093" s="77"/>
      <c r="AJ2093" s="77"/>
      <c r="AK2093" s="77"/>
      <c r="AL2093" s="77"/>
      <c r="AM2093" s="77"/>
      <c r="AN2093" s="77"/>
      <c r="AO2093" s="77"/>
      <c r="AP2093" s="77"/>
      <c r="AQ2093" s="77"/>
      <c r="AR2093" s="77"/>
      <c r="AS2093" s="77"/>
      <c r="AT2093" s="77"/>
      <c r="AU2093" s="77"/>
      <c r="AV2093" s="83" t="str">
        <f>HYPERLINK("https://pbs.twimg.com/profile_images/488093348717019136/5PuNKsXn_normal.jpeg")</f>
        <v>https://pbs.twimg.com/profile_images/488093348717019136/5PuNKsXn_normal.jpeg</v>
      </c>
      <c r="AW2093" s="81" t="s">
        <v>11201</v>
      </c>
      <c r="AX2093" s="81" t="s">
        <v>11201</v>
      </c>
      <c r="AY2093" s="77"/>
      <c r="AZ2093" s="81" t="s">
        <v>11359</v>
      </c>
      <c r="BA2093" s="81" t="s">
        <v>11359</v>
      </c>
      <c r="BB2093" s="81" t="s">
        <v>11359</v>
      </c>
      <c r="BC2093" s="81" t="s">
        <v>11201</v>
      </c>
      <c r="BD2093" s="77">
        <v>180640224</v>
      </c>
      <c r="BE2093" s="77"/>
      <c r="BF2093" s="77"/>
      <c r="BG2093" s="77"/>
      <c r="BH2093" s="77"/>
      <c r="BI2093" s="77"/>
    </row>
    <row r="2094" spans="1:61" x14ac:dyDescent="0.25">
      <c r="A2094" s="62" t="s">
        <v>855</v>
      </c>
      <c r="B2094" s="62" t="s">
        <v>855</v>
      </c>
      <c r="C2094" s="63"/>
      <c r="D2094" s="64"/>
      <c r="E2094" s="65"/>
      <c r="F2094" s="66"/>
      <c r="G2094" s="63"/>
      <c r="H2094" s="67"/>
      <c r="I2094" s="68"/>
      <c r="J2094" s="68"/>
      <c r="K2094" s="32"/>
      <c r="L2094" s="75">
        <v>2094</v>
      </c>
      <c r="M2094" s="75"/>
      <c r="N2094" s="70"/>
      <c r="O2094" s="77" t="s">
        <v>179</v>
      </c>
      <c r="P2094" s="79">
        <v>45002.781782407408</v>
      </c>
      <c r="Q2094" s="77" t="s">
        <v>2870</v>
      </c>
      <c r="R2094" s="77">
        <v>0</v>
      </c>
      <c r="S2094" s="77">
        <v>0</v>
      </c>
      <c r="T2094" s="77">
        <v>0</v>
      </c>
      <c r="U2094" s="77">
        <v>0</v>
      </c>
      <c r="V2094" s="77">
        <v>36</v>
      </c>
      <c r="W2094" s="81" t="s">
        <v>4122</v>
      </c>
      <c r="X2094" s="77"/>
      <c r="Y2094" s="77"/>
      <c r="Z2094" s="77"/>
      <c r="AA2094" s="77" t="s">
        <v>5756</v>
      </c>
      <c r="AB2094" s="77" t="s">
        <v>5794</v>
      </c>
      <c r="AC2094" s="81" t="s">
        <v>5805</v>
      </c>
      <c r="AD2094" s="77" t="s">
        <v>5851</v>
      </c>
      <c r="AE2094" s="83" t="str">
        <f>HYPERLINK("https://twitter.com/mundo_pauta/status/1636801012999520272")</f>
        <v>https://twitter.com/mundo_pauta/status/1636801012999520272</v>
      </c>
      <c r="AF2094" s="79">
        <v>45002.781782407408</v>
      </c>
      <c r="AG2094" s="85">
        <v>45002</v>
      </c>
      <c r="AH2094" s="81" t="s">
        <v>7686</v>
      </c>
      <c r="AI2094" s="77" t="b">
        <v>1</v>
      </c>
      <c r="AJ2094" s="77"/>
      <c r="AK2094" s="77"/>
      <c r="AL2094" s="77"/>
      <c r="AM2094" s="77"/>
      <c r="AN2094" s="77"/>
      <c r="AO2094" s="77"/>
      <c r="AP2094" s="77"/>
      <c r="AQ2094" s="77" t="s">
        <v>9254</v>
      </c>
      <c r="AR2094" s="77"/>
      <c r="AS2094" s="77"/>
      <c r="AT2094" s="77"/>
      <c r="AU2094" s="77"/>
      <c r="AV2094" s="83" t="str">
        <f>HYPERLINK("https://pbs.twimg.com/media/FrcVxzMWABsUpFu.jpg")</f>
        <v>https://pbs.twimg.com/media/FrcVxzMWABsUpFu.jpg</v>
      </c>
      <c r="AW2094" s="81" t="s">
        <v>11202</v>
      </c>
      <c r="AX2094" s="81" t="s">
        <v>11202</v>
      </c>
      <c r="AY2094" s="77"/>
      <c r="AZ2094" s="81" t="s">
        <v>11359</v>
      </c>
      <c r="BA2094" s="81" t="s">
        <v>11359</v>
      </c>
      <c r="BB2094" s="81" t="s">
        <v>11359</v>
      </c>
      <c r="BC2094" s="81" t="s">
        <v>11202</v>
      </c>
      <c r="BD2094" s="77">
        <v>872193572</v>
      </c>
      <c r="BE2094" s="77"/>
      <c r="BF2094" s="77"/>
      <c r="BG2094" s="77"/>
      <c r="BH2094" s="77"/>
      <c r="BI2094" s="77"/>
    </row>
    <row r="2095" spans="1:61" x14ac:dyDescent="0.25">
      <c r="A2095" s="62" t="s">
        <v>856</v>
      </c>
      <c r="B2095" s="62" t="s">
        <v>856</v>
      </c>
      <c r="C2095" s="63"/>
      <c r="D2095" s="64"/>
      <c r="E2095" s="65"/>
      <c r="F2095" s="66"/>
      <c r="G2095" s="63"/>
      <c r="H2095" s="67"/>
      <c r="I2095" s="68"/>
      <c r="J2095" s="68"/>
      <c r="K2095" s="32"/>
      <c r="L2095" s="75">
        <v>2095</v>
      </c>
      <c r="M2095" s="75"/>
      <c r="N2095" s="70"/>
      <c r="O2095" s="77" t="s">
        <v>179</v>
      </c>
      <c r="P2095" s="79">
        <v>45188.4846875</v>
      </c>
      <c r="Q2095" s="77" t="s">
        <v>2871</v>
      </c>
      <c r="R2095" s="77">
        <v>0</v>
      </c>
      <c r="S2095" s="77">
        <v>0</v>
      </c>
      <c r="T2095" s="77">
        <v>0</v>
      </c>
      <c r="U2095" s="77">
        <v>0</v>
      </c>
      <c r="V2095" s="77">
        <v>313</v>
      </c>
      <c r="W2095" s="81" t="s">
        <v>3589</v>
      </c>
      <c r="X2095" s="77"/>
      <c r="Y2095" s="77"/>
      <c r="Z2095" s="77"/>
      <c r="AA2095" s="77" t="s">
        <v>5757</v>
      </c>
      <c r="AB2095" s="77" t="s">
        <v>5795</v>
      </c>
      <c r="AC2095" s="81" t="s">
        <v>5805</v>
      </c>
      <c r="AD2095" s="77" t="s">
        <v>5850</v>
      </c>
      <c r="AE2095" s="83" t="str">
        <f>HYPERLINK("https://twitter.com/cheparaguay/status/1704097491904237905")</f>
        <v>https://twitter.com/cheparaguay/status/1704097491904237905</v>
      </c>
      <c r="AF2095" s="79">
        <v>45188.4846875</v>
      </c>
      <c r="AG2095" s="85">
        <v>45188</v>
      </c>
      <c r="AH2095" s="81" t="s">
        <v>7687</v>
      </c>
      <c r="AI2095" s="77" t="b">
        <v>0</v>
      </c>
      <c r="AJ2095" s="77"/>
      <c r="AK2095" s="77"/>
      <c r="AL2095" s="77"/>
      <c r="AM2095" s="77"/>
      <c r="AN2095" s="77"/>
      <c r="AO2095" s="77"/>
      <c r="AP2095" s="77"/>
      <c r="AQ2095" s="77" t="s">
        <v>9255</v>
      </c>
      <c r="AR2095" s="77">
        <v>7894</v>
      </c>
      <c r="AS2095" s="77"/>
      <c r="AT2095" s="77"/>
      <c r="AU2095" s="77"/>
      <c r="AV2095" s="83" t="str">
        <f>HYPERLINK("https://pbs.twimg.com/ext_tw_video_thumb/1704097453593493504/pu/img/BS1RJm8ybX4Jyyrw.jpg")</f>
        <v>https://pbs.twimg.com/ext_tw_video_thumb/1704097453593493504/pu/img/BS1RJm8ybX4Jyyrw.jpg</v>
      </c>
      <c r="AW2095" s="81" t="s">
        <v>11203</v>
      </c>
      <c r="AX2095" s="81" t="s">
        <v>11203</v>
      </c>
      <c r="AY2095" s="77"/>
      <c r="AZ2095" s="81" t="s">
        <v>11359</v>
      </c>
      <c r="BA2095" s="81" t="s">
        <v>11359</v>
      </c>
      <c r="BB2095" s="81" t="s">
        <v>11359</v>
      </c>
      <c r="BC2095" s="81" t="s">
        <v>11203</v>
      </c>
      <c r="BD2095" s="77">
        <v>32910045</v>
      </c>
      <c r="BE2095" s="77"/>
      <c r="BF2095" s="77"/>
      <c r="BG2095" s="77"/>
      <c r="BH2095" s="77"/>
      <c r="BI2095" s="77"/>
    </row>
    <row r="2096" spans="1:61" x14ac:dyDescent="0.25">
      <c r="A2096" s="62" t="s">
        <v>857</v>
      </c>
      <c r="B2096" s="62" t="s">
        <v>857</v>
      </c>
      <c r="C2096" s="63"/>
      <c r="D2096" s="64"/>
      <c r="E2096" s="65"/>
      <c r="F2096" s="66"/>
      <c r="G2096" s="63"/>
      <c r="H2096" s="67"/>
      <c r="I2096" s="68"/>
      <c r="J2096" s="68"/>
      <c r="K2096" s="32"/>
      <c r="L2096" s="75">
        <v>2096</v>
      </c>
      <c r="M2096" s="75"/>
      <c r="N2096" s="70"/>
      <c r="O2096" s="77" t="s">
        <v>179</v>
      </c>
      <c r="P2096" s="79">
        <v>45040.673819444448</v>
      </c>
      <c r="Q2096" s="77" t="s">
        <v>2872</v>
      </c>
      <c r="R2096" s="77">
        <v>0</v>
      </c>
      <c r="S2096" s="77">
        <v>2</v>
      </c>
      <c r="T2096" s="77">
        <v>0</v>
      </c>
      <c r="U2096" s="77">
        <v>0</v>
      </c>
      <c r="V2096" s="77">
        <v>44</v>
      </c>
      <c r="W2096" s="81" t="s">
        <v>4123</v>
      </c>
      <c r="X2096" s="77"/>
      <c r="Y2096" s="77"/>
      <c r="Z2096" s="77"/>
      <c r="AA2096" s="77" t="s">
        <v>5758</v>
      </c>
      <c r="AB2096" s="77" t="s">
        <v>5796</v>
      </c>
      <c r="AC2096" s="81" t="s">
        <v>5805</v>
      </c>
      <c r="AD2096" s="77" t="s">
        <v>5850</v>
      </c>
      <c r="AE2096" s="83" t="str">
        <f>HYPERLINK("https://twitter.com/sol_wong/status/1650532628506787843")</f>
        <v>https://twitter.com/sol_wong/status/1650532628506787843</v>
      </c>
      <c r="AF2096" s="79">
        <v>45040.673819444448</v>
      </c>
      <c r="AG2096" s="85">
        <v>45040</v>
      </c>
      <c r="AH2096" s="81" t="s">
        <v>7688</v>
      </c>
      <c r="AI2096" s="77" t="b">
        <v>1</v>
      </c>
      <c r="AJ2096" s="77" t="s">
        <v>7762</v>
      </c>
      <c r="AK2096" s="77" t="s">
        <v>7771</v>
      </c>
      <c r="AL2096" s="77" t="s">
        <v>7780</v>
      </c>
      <c r="AM2096" s="77" t="s">
        <v>7816</v>
      </c>
      <c r="AN2096" s="77" t="s">
        <v>7852</v>
      </c>
      <c r="AO2096" s="77" t="s">
        <v>7888</v>
      </c>
      <c r="AP2096" s="77" t="s">
        <v>7890</v>
      </c>
      <c r="AQ2096" s="77" t="s">
        <v>9256</v>
      </c>
      <c r="AR2096" s="77"/>
      <c r="AS2096" s="77"/>
      <c r="AT2096" s="77"/>
      <c r="AU2096" s="77"/>
      <c r="AV2096" s="83" t="str">
        <f>HYPERLINK("https://pbs.twimg.com/tweet_video_thumb/FuferFgXgAMaqQG.jpg")</f>
        <v>https://pbs.twimg.com/tweet_video_thumb/FuferFgXgAMaqQG.jpg</v>
      </c>
      <c r="AW2096" s="81" t="s">
        <v>11204</v>
      </c>
      <c r="AX2096" s="81" t="s">
        <v>11204</v>
      </c>
      <c r="AY2096" s="77"/>
      <c r="AZ2096" s="81" t="s">
        <v>11359</v>
      </c>
      <c r="BA2096" s="81" t="s">
        <v>11359</v>
      </c>
      <c r="BB2096" s="81" t="s">
        <v>11359</v>
      </c>
      <c r="BC2096" s="81" t="s">
        <v>11204</v>
      </c>
      <c r="BD2096" s="77">
        <v>313062616</v>
      </c>
      <c r="BE2096" s="77"/>
      <c r="BF2096" s="77"/>
      <c r="BG2096" s="77"/>
      <c r="BH2096" s="77"/>
      <c r="BI2096" s="77"/>
    </row>
    <row r="2097" spans="1:61" x14ac:dyDescent="0.25">
      <c r="A2097" s="62" t="s">
        <v>858</v>
      </c>
      <c r="B2097" s="62" t="s">
        <v>858</v>
      </c>
      <c r="C2097" s="63"/>
      <c r="D2097" s="64"/>
      <c r="E2097" s="65"/>
      <c r="F2097" s="66"/>
      <c r="G2097" s="63"/>
      <c r="H2097" s="67"/>
      <c r="I2097" s="68"/>
      <c r="J2097" s="68"/>
      <c r="K2097" s="32"/>
      <c r="L2097" s="75">
        <v>2097</v>
      </c>
      <c r="M2097" s="75"/>
      <c r="N2097" s="70"/>
      <c r="O2097" s="77" t="s">
        <v>179</v>
      </c>
      <c r="P2097" s="79">
        <v>45141.911076388889</v>
      </c>
      <c r="Q2097" s="77" t="s">
        <v>2873</v>
      </c>
      <c r="R2097" s="77">
        <v>0</v>
      </c>
      <c r="S2097" s="77">
        <v>0</v>
      </c>
      <c r="T2097" s="77">
        <v>0</v>
      </c>
      <c r="U2097" s="77">
        <v>0</v>
      </c>
      <c r="V2097" s="77">
        <v>59</v>
      </c>
      <c r="W2097" s="81" t="s">
        <v>4124</v>
      </c>
      <c r="X2097" s="77"/>
      <c r="Y2097" s="77"/>
      <c r="Z2097" s="77"/>
      <c r="AA2097" s="77"/>
      <c r="AB2097" s="77"/>
      <c r="AC2097" s="81" t="s">
        <v>5805</v>
      </c>
      <c r="AD2097" s="77" t="s">
        <v>5851</v>
      </c>
      <c r="AE2097" s="83" t="str">
        <f>HYPERLINK("https://twitter.com/midimashup/status/1687219781512941568")</f>
        <v>https://twitter.com/midimashup/status/1687219781512941568</v>
      </c>
      <c r="AF2097" s="79">
        <v>45141.911076388889</v>
      </c>
      <c r="AG2097" s="85">
        <v>45141</v>
      </c>
      <c r="AH2097" s="81" t="s">
        <v>7689</v>
      </c>
      <c r="AI2097" s="77"/>
      <c r="AJ2097" s="77"/>
      <c r="AK2097" s="77"/>
      <c r="AL2097" s="77"/>
      <c r="AM2097" s="77"/>
      <c r="AN2097" s="77"/>
      <c r="AO2097" s="77"/>
      <c r="AP2097" s="77"/>
      <c r="AQ2097" s="77"/>
      <c r="AR2097" s="77"/>
      <c r="AS2097" s="77"/>
      <c r="AT2097" s="77"/>
      <c r="AU2097" s="77"/>
      <c r="AV2097" s="83" t="str">
        <f>HYPERLINK("https://pbs.twimg.com/profile_images/1582377001373106176/Ivu-Hmj3_normal.jpg")</f>
        <v>https://pbs.twimg.com/profile_images/1582377001373106176/Ivu-Hmj3_normal.jpg</v>
      </c>
      <c r="AW2097" s="81" t="s">
        <v>11205</v>
      </c>
      <c r="AX2097" s="81" t="s">
        <v>11205</v>
      </c>
      <c r="AY2097" s="77"/>
      <c r="AZ2097" s="81" t="s">
        <v>11359</v>
      </c>
      <c r="BA2097" s="81" t="s">
        <v>11359</v>
      </c>
      <c r="BB2097" s="81" t="s">
        <v>11359</v>
      </c>
      <c r="BC2097" s="81" t="s">
        <v>11205</v>
      </c>
      <c r="BD2097" s="77">
        <v>3234532213</v>
      </c>
      <c r="BE2097" s="77"/>
      <c r="BF2097" s="77"/>
      <c r="BG2097" s="77"/>
      <c r="BH2097" s="77"/>
      <c r="BI2097" s="77"/>
    </row>
    <row r="2098" spans="1:61" x14ac:dyDescent="0.25">
      <c r="A2098" s="62" t="s">
        <v>859</v>
      </c>
      <c r="B2098" s="62" t="s">
        <v>859</v>
      </c>
      <c r="C2098" s="63"/>
      <c r="D2098" s="64"/>
      <c r="E2098" s="65"/>
      <c r="F2098" s="66"/>
      <c r="G2098" s="63"/>
      <c r="H2098" s="67"/>
      <c r="I2098" s="68"/>
      <c r="J2098" s="68"/>
      <c r="K2098" s="32"/>
      <c r="L2098" s="75">
        <v>2098</v>
      </c>
      <c r="M2098" s="75"/>
      <c r="N2098" s="70"/>
      <c r="O2098" s="77" t="s">
        <v>179</v>
      </c>
      <c r="P2098" s="79">
        <v>44943.11210648148</v>
      </c>
      <c r="Q2098" s="77" t="s">
        <v>2874</v>
      </c>
      <c r="R2098" s="77">
        <v>0</v>
      </c>
      <c r="S2098" s="77">
        <v>2</v>
      </c>
      <c r="T2098" s="77">
        <v>0</v>
      </c>
      <c r="U2098" s="77">
        <v>0</v>
      </c>
      <c r="V2098" s="77">
        <v>190</v>
      </c>
      <c r="W2098" s="81" t="s">
        <v>4125</v>
      </c>
      <c r="X2098" s="83" t="str">
        <f>HYPERLINK("http://rededomex.com/detienen-a-conductor-que-atropello-a-vendedor-de-tamales-en-tlalnepantla/")</f>
        <v>http://rededomex.com/detienen-a-conductor-que-atropello-a-vendedor-de-tamales-en-tlalnepantla/</v>
      </c>
      <c r="Y2098" s="77" t="s">
        <v>4355</v>
      </c>
      <c r="Z2098" s="77"/>
      <c r="AA2098" s="77" t="s">
        <v>5759</v>
      </c>
      <c r="AB2098" s="77" t="s">
        <v>5794</v>
      </c>
      <c r="AC2098" s="81" t="s">
        <v>5801</v>
      </c>
      <c r="AD2098" s="77" t="s">
        <v>5850</v>
      </c>
      <c r="AE2098" s="83" t="str">
        <f>HYPERLINK("https://twitter.com/edomexred/status/1615177447783206914")</f>
        <v>https://twitter.com/edomexred/status/1615177447783206914</v>
      </c>
      <c r="AF2098" s="79">
        <v>44943.11210648148</v>
      </c>
      <c r="AG2098" s="85">
        <v>44943</v>
      </c>
      <c r="AH2098" s="81" t="s">
        <v>7690</v>
      </c>
      <c r="AI2098" s="77" t="b">
        <v>0</v>
      </c>
      <c r="AJ2098" s="77"/>
      <c r="AK2098" s="77"/>
      <c r="AL2098" s="77"/>
      <c r="AM2098" s="77"/>
      <c r="AN2098" s="77"/>
      <c r="AO2098" s="77"/>
      <c r="AP2098" s="77"/>
      <c r="AQ2098" s="77" t="s">
        <v>9257</v>
      </c>
      <c r="AR2098" s="77"/>
      <c r="AS2098" s="77"/>
      <c r="AT2098" s="77"/>
      <c r="AU2098" s="77"/>
      <c r="AV2098" s="83" t="str">
        <f>HYPERLINK("https://pbs.twimg.com/media/FmpDVALX0AEoY10.jpg")</f>
        <v>https://pbs.twimg.com/media/FmpDVALX0AEoY10.jpg</v>
      </c>
      <c r="AW2098" s="81" t="s">
        <v>11206</v>
      </c>
      <c r="AX2098" s="81" t="s">
        <v>11206</v>
      </c>
      <c r="AY2098" s="77"/>
      <c r="AZ2098" s="81" t="s">
        <v>11359</v>
      </c>
      <c r="BA2098" s="81" t="s">
        <v>11359</v>
      </c>
      <c r="BB2098" s="81" t="s">
        <v>11359</v>
      </c>
      <c r="BC2098" s="81" t="s">
        <v>11206</v>
      </c>
      <c r="BD2098" s="81" t="s">
        <v>11704</v>
      </c>
      <c r="BE2098" s="77"/>
      <c r="BF2098" s="77"/>
      <c r="BG2098" s="77"/>
      <c r="BH2098" s="77"/>
      <c r="BI2098" s="77"/>
    </row>
    <row r="2099" spans="1:61" x14ac:dyDescent="0.25">
      <c r="A2099" s="62" t="s">
        <v>860</v>
      </c>
      <c r="B2099" s="62" t="s">
        <v>860</v>
      </c>
      <c r="C2099" s="63"/>
      <c r="D2099" s="64"/>
      <c r="E2099" s="65"/>
      <c r="F2099" s="66"/>
      <c r="G2099" s="63"/>
      <c r="H2099" s="67"/>
      <c r="I2099" s="68"/>
      <c r="J2099" s="68"/>
      <c r="K2099" s="32"/>
      <c r="L2099" s="75">
        <v>2099</v>
      </c>
      <c r="M2099" s="75"/>
      <c r="N2099" s="70"/>
      <c r="O2099" s="77" t="s">
        <v>179</v>
      </c>
      <c r="P2099" s="79">
        <v>45121.815983796296</v>
      </c>
      <c r="Q2099" s="77" t="s">
        <v>2875</v>
      </c>
      <c r="R2099" s="77">
        <v>0</v>
      </c>
      <c r="S2099" s="77">
        <v>0</v>
      </c>
      <c r="T2099" s="77">
        <v>0</v>
      </c>
      <c r="U2099" s="77">
        <v>0</v>
      </c>
      <c r="V2099" s="77">
        <v>57</v>
      </c>
      <c r="W2099" s="81" t="s">
        <v>4126</v>
      </c>
      <c r="X2099" s="77"/>
      <c r="Y2099" s="77"/>
      <c r="Z2099" s="77"/>
      <c r="AA2099" s="77" t="s">
        <v>5760</v>
      </c>
      <c r="AB2099" s="77" t="s">
        <v>5799</v>
      </c>
      <c r="AC2099" s="81" t="s">
        <v>5801</v>
      </c>
      <c r="AD2099" s="77" t="s">
        <v>5850</v>
      </c>
      <c r="AE2099" s="83" t="str">
        <f>HYPERLINK("https://twitter.com/telecentral/status/1679937564990423054")</f>
        <v>https://twitter.com/telecentral/status/1679937564990423054</v>
      </c>
      <c r="AF2099" s="79">
        <v>45121.815983796296</v>
      </c>
      <c r="AG2099" s="85">
        <v>45121</v>
      </c>
      <c r="AH2099" s="81" t="s">
        <v>7691</v>
      </c>
      <c r="AI2099" s="77" t="b">
        <v>0</v>
      </c>
      <c r="AJ2099" s="77"/>
      <c r="AK2099" s="77"/>
      <c r="AL2099" s="77"/>
      <c r="AM2099" s="77"/>
      <c r="AN2099" s="77"/>
      <c r="AO2099" s="77"/>
      <c r="AP2099" s="77"/>
      <c r="AQ2099" s="77" t="s">
        <v>9258</v>
      </c>
      <c r="AR2099" s="77"/>
      <c r="AS2099" s="77"/>
      <c r="AT2099" s="77"/>
      <c r="AU2099" s="77"/>
      <c r="AV2099" s="83" t="str">
        <f>HYPERLINK("https://pbs.twimg.com/media/F1BWTwoWwAIT38b.jpg")</f>
        <v>https://pbs.twimg.com/media/F1BWTwoWwAIT38b.jpg</v>
      </c>
      <c r="AW2099" s="81" t="s">
        <v>11207</v>
      </c>
      <c r="AX2099" s="81" t="s">
        <v>11207</v>
      </c>
      <c r="AY2099" s="77"/>
      <c r="AZ2099" s="81" t="s">
        <v>11359</v>
      </c>
      <c r="BA2099" s="81" t="s">
        <v>11359</v>
      </c>
      <c r="BB2099" s="81" t="s">
        <v>11359</v>
      </c>
      <c r="BC2099" s="81" t="s">
        <v>11207</v>
      </c>
      <c r="BD2099" s="77">
        <v>501112614</v>
      </c>
      <c r="BE2099" s="77"/>
      <c r="BF2099" s="77"/>
      <c r="BG2099" s="77"/>
      <c r="BH2099" s="77"/>
      <c r="BI2099" s="77"/>
    </row>
    <row r="2100" spans="1:61" x14ac:dyDescent="0.25">
      <c r="A2100" s="62" t="s">
        <v>860</v>
      </c>
      <c r="B2100" s="62" t="s">
        <v>860</v>
      </c>
      <c r="C2100" s="63"/>
      <c r="D2100" s="64"/>
      <c r="E2100" s="65"/>
      <c r="F2100" s="66"/>
      <c r="G2100" s="63"/>
      <c r="H2100" s="67"/>
      <c r="I2100" s="68"/>
      <c r="J2100" s="68"/>
      <c r="K2100" s="32"/>
      <c r="L2100" s="75">
        <v>2100</v>
      </c>
      <c r="M2100" s="75"/>
      <c r="N2100" s="70"/>
      <c r="O2100" s="77" t="s">
        <v>179</v>
      </c>
      <c r="P2100" s="79">
        <v>45181.525671296295</v>
      </c>
      <c r="Q2100" s="77" t="s">
        <v>2876</v>
      </c>
      <c r="R2100" s="77">
        <v>1</v>
      </c>
      <c r="S2100" s="77">
        <v>2</v>
      </c>
      <c r="T2100" s="77">
        <v>0</v>
      </c>
      <c r="U2100" s="77">
        <v>0</v>
      </c>
      <c r="V2100" s="77">
        <v>45</v>
      </c>
      <c r="W2100" s="81" t="s">
        <v>4126</v>
      </c>
      <c r="X2100" s="77"/>
      <c r="Y2100" s="77"/>
      <c r="Z2100" s="77"/>
      <c r="AA2100" s="77" t="s">
        <v>5761</v>
      </c>
      <c r="AB2100" s="77" t="s">
        <v>5798</v>
      </c>
      <c r="AC2100" s="81" t="s">
        <v>5805</v>
      </c>
      <c r="AD2100" s="77" t="s">
        <v>5850</v>
      </c>
      <c r="AE2100" s="83" t="str">
        <f>HYPERLINK("https://twitter.com/telecentral/status/1701575629827715391")</f>
        <v>https://twitter.com/telecentral/status/1701575629827715391</v>
      </c>
      <c r="AF2100" s="79">
        <v>45181.525671296295</v>
      </c>
      <c r="AG2100" s="85">
        <v>45181</v>
      </c>
      <c r="AH2100" s="81" t="s">
        <v>7692</v>
      </c>
      <c r="AI2100" s="77" t="b">
        <v>0</v>
      </c>
      <c r="AJ2100" s="77"/>
      <c r="AK2100" s="77"/>
      <c r="AL2100" s="77"/>
      <c r="AM2100" s="77"/>
      <c r="AN2100" s="77"/>
      <c r="AO2100" s="77"/>
      <c r="AP2100" s="77"/>
      <c r="AQ2100" s="77" t="s">
        <v>9259</v>
      </c>
      <c r="AR2100" s="77"/>
      <c r="AS2100" s="77"/>
      <c r="AT2100" s="77"/>
      <c r="AU2100" s="77"/>
      <c r="AV2100" s="83" t="str">
        <f>HYPERLINK("https://pbs.twimg.com/media/F50114GWcAEhJT1.jpg")</f>
        <v>https://pbs.twimg.com/media/F50114GWcAEhJT1.jpg</v>
      </c>
      <c r="AW2100" s="81" t="s">
        <v>11208</v>
      </c>
      <c r="AX2100" s="81" t="s">
        <v>11208</v>
      </c>
      <c r="AY2100" s="77"/>
      <c r="AZ2100" s="81" t="s">
        <v>11359</v>
      </c>
      <c r="BA2100" s="81" t="s">
        <v>11359</v>
      </c>
      <c r="BB2100" s="81" t="s">
        <v>11359</v>
      </c>
      <c r="BC2100" s="81" t="s">
        <v>11208</v>
      </c>
      <c r="BD2100" s="77">
        <v>501112614</v>
      </c>
      <c r="BE2100" s="77"/>
      <c r="BF2100" s="77"/>
      <c r="BG2100" s="77"/>
      <c r="BH2100" s="77"/>
      <c r="BI2100" s="77"/>
    </row>
    <row r="2101" spans="1:61" x14ac:dyDescent="0.25">
      <c r="A2101" s="62" t="s">
        <v>861</v>
      </c>
      <c r="B2101" s="62" t="s">
        <v>861</v>
      </c>
      <c r="C2101" s="63"/>
      <c r="D2101" s="64"/>
      <c r="E2101" s="65"/>
      <c r="F2101" s="66"/>
      <c r="G2101" s="63"/>
      <c r="H2101" s="67"/>
      <c r="I2101" s="68"/>
      <c r="J2101" s="68"/>
      <c r="K2101" s="32"/>
      <c r="L2101" s="75">
        <v>2101</v>
      </c>
      <c r="M2101" s="75"/>
      <c r="N2101" s="70"/>
      <c r="O2101" s="77" t="s">
        <v>179</v>
      </c>
      <c r="P2101" s="79">
        <v>45016.962025462963</v>
      </c>
      <c r="Q2101" s="77" t="s">
        <v>2877</v>
      </c>
      <c r="R2101" s="77">
        <v>0</v>
      </c>
      <c r="S2101" s="77">
        <v>0</v>
      </c>
      <c r="T2101" s="77">
        <v>0</v>
      </c>
      <c r="U2101" s="77">
        <v>0</v>
      </c>
      <c r="V2101" s="77">
        <v>56</v>
      </c>
      <c r="W2101" s="81" t="s">
        <v>4127</v>
      </c>
      <c r="X2101" s="83" t="str">
        <f>HYPERLINK("https://www.linkedin.com/posts/payagar-sm_sectorinmobiliario-asesorinmobiliario-century21capitallpa-activity-7047699941934133249-eQAu?utm_source=share&amp;utm_medium=member_android")</f>
        <v>https://www.linkedin.com/posts/payagar-sm_sectorinmobiliario-asesorinmobiliario-century21capitallpa-activity-7047699941934133249-eQAu?utm_source=share&amp;utm_medium=member_android</v>
      </c>
      <c r="Y2101" s="77" t="s">
        <v>4218</v>
      </c>
      <c r="Z2101" s="77"/>
      <c r="AA2101" s="77"/>
      <c r="AB2101" s="77"/>
      <c r="AC2101" s="81" t="s">
        <v>5801</v>
      </c>
      <c r="AD2101" s="77" t="s">
        <v>5850</v>
      </c>
      <c r="AE2101" s="83" t="str">
        <f>HYPERLINK("https://twitter.com/payagar_sm/status/1641939761311936515")</f>
        <v>https://twitter.com/payagar_sm/status/1641939761311936515</v>
      </c>
      <c r="AF2101" s="79">
        <v>45016.962025462963</v>
      </c>
      <c r="AG2101" s="85">
        <v>45016</v>
      </c>
      <c r="AH2101" s="81" t="s">
        <v>7693</v>
      </c>
      <c r="AI2101" s="77" t="b">
        <v>0</v>
      </c>
      <c r="AJ2101" s="77"/>
      <c r="AK2101" s="77"/>
      <c r="AL2101" s="77"/>
      <c r="AM2101" s="77"/>
      <c r="AN2101" s="77"/>
      <c r="AO2101" s="77"/>
      <c r="AP2101" s="77"/>
      <c r="AQ2101" s="77"/>
      <c r="AR2101" s="77"/>
      <c r="AS2101" s="77"/>
      <c r="AT2101" s="77"/>
      <c r="AU2101" s="77"/>
      <c r="AV2101" s="83" t="str">
        <f>HYPERLINK("https://pbs.twimg.com/profile_images/1699438389013946368/CrWeIoml_normal.jpg")</f>
        <v>https://pbs.twimg.com/profile_images/1699438389013946368/CrWeIoml_normal.jpg</v>
      </c>
      <c r="AW2101" s="81" t="s">
        <v>11209</v>
      </c>
      <c r="AX2101" s="81" t="s">
        <v>11209</v>
      </c>
      <c r="AY2101" s="77"/>
      <c r="AZ2101" s="81" t="s">
        <v>11359</v>
      </c>
      <c r="BA2101" s="81" t="s">
        <v>11359</v>
      </c>
      <c r="BB2101" s="81" t="s">
        <v>11359</v>
      </c>
      <c r="BC2101" s="81" t="s">
        <v>11209</v>
      </c>
      <c r="BD2101" s="81" t="s">
        <v>11705</v>
      </c>
      <c r="BE2101" s="77"/>
      <c r="BF2101" s="77"/>
      <c r="BG2101" s="77"/>
      <c r="BH2101" s="77"/>
      <c r="BI2101" s="77"/>
    </row>
    <row r="2102" spans="1:61" x14ac:dyDescent="0.25">
      <c r="A2102" s="62" t="s">
        <v>861</v>
      </c>
      <c r="B2102" s="62" t="s">
        <v>861</v>
      </c>
      <c r="C2102" s="63"/>
      <c r="D2102" s="64"/>
      <c r="E2102" s="65"/>
      <c r="F2102" s="66"/>
      <c r="G2102" s="63"/>
      <c r="H2102" s="67"/>
      <c r="I2102" s="68"/>
      <c r="J2102" s="68"/>
      <c r="K2102" s="32"/>
      <c r="L2102" s="75">
        <v>2102</v>
      </c>
      <c r="M2102" s="75"/>
      <c r="N2102" s="70"/>
      <c r="O2102" s="77" t="s">
        <v>179</v>
      </c>
      <c r="P2102" s="79">
        <v>45016.960682870369</v>
      </c>
      <c r="Q2102" s="77" t="s">
        <v>2878</v>
      </c>
      <c r="R2102" s="77">
        <v>0</v>
      </c>
      <c r="S2102" s="77">
        <v>0</v>
      </c>
      <c r="T2102" s="77">
        <v>0</v>
      </c>
      <c r="U2102" s="77">
        <v>0</v>
      </c>
      <c r="V2102" s="77">
        <v>52</v>
      </c>
      <c r="W2102" s="81" t="s">
        <v>4127</v>
      </c>
      <c r="X2102" s="83" t="str">
        <f>HYPERLINK("https://www.linkedin.com/posts/payagar-sm_sectorinmobiliario-asesorinmobiliario-century21capitallpa-activity-7047697863568420864-Wd4K?utm_source=share&amp;utm_medium=member_android")</f>
        <v>https://www.linkedin.com/posts/payagar-sm_sectorinmobiliario-asesorinmobiliario-century21capitallpa-activity-7047697863568420864-Wd4K?utm_source=share&amp;utm_medium=member_android</v>
      </c>
      <c r="Y2102" s="77" t="s">
        <v>4218</v>
      </c>
      <c r="Z2102" s="77"/>
      <c r="AA2102" s="77"/>
      <c r="AB2102" s="77"/>
      <c r="AC2102" s="81" t="s">
        <v>5801</v>
      </c>
      <c r="AD2102" s="77" t="s">
        <v>5850</v>
      </c>
      <c r="AE2102" s="83" t="str">
        <f>HYPERLINK("https://twitter.com/payagar_sm/status/1641939276513386500")</f>
        <v>https://twitter.com/payagar_sm/status/1641939276513386500</v>
      </c>
      <c r="AF2102" s="79">
        <v>45016.960682870369</v>
      </c>
      <c r="AG2102" s="85">
        <v>45016</v>
      </c>
      <c r="AH2102" s="81" t="s">
        <v>7694</v>
      </c>
      <c r="AI2102" s="77" t="b">
        <v>0</v>
      </c>
      <c r="AJ2102" s="77"/>
      <c r="AK2102" s="77"/>
      <c r="AL2102" s="77"/>
      <c r="AM2102" s="77"/>
      <c r="AN2102" s="77"/>
      <c r="AO2102" s="77"/>
      <c r="AP2102" s="77"/>
      <c r="AQ2102" s="77"/>
      <c r="AR2102" s="77"/>
      <c r="AS2102" s="77"/>
      <c r="AT2102" s="77"/>
      <c r="AU2102" s="77"/>
      <c r="AV2102" s="83" t="str">
        <f>HYPERLINK("https://pbs.twimg.com/profile_images/1699438389013946368/CrWeIoml_normal.jpg")</f>
        <v>https://pbs.twimg.com/profile_images/1699438389013946368/CrWeIoml_normal.jpg</v>
      </c>
      <c r="AW2102" s="81" t="s">
        <v>11210</v>
      </c>
      <c r="AX2102" s="81" t="s">
        <v>11210</v>
      </c>
      <c r="AY2102" s="77"/>
      <c r="AZ2102" s="81" t="s">
        <v>11359</v>
      </c>
      <c r="BA2102" s="81" t="s">
        <v>11359</v>
      </c>
      <c r="BB2102" s="81" t="s">
        <v>11359</v>
      </c>
      <c r="BC2102" s="81" t="s">
        <v>11210</v>
      </c>
      <c r="BD2102" s="81" t="s">
        <v>11705</v>
      </c>
      <c r="BE2102" s="77"/>
      <c r="BF2102" s="77"/>
      <c r="BG2102" s="77"/>
      <c r="BH2102" s="77"/>
      <c r="BI2102" s="77"/>
    </row>
    <row r="2103" spans="1:61" x14ac:dyDescent="0.25">
      <c r="A2103" s="62" t="s">
        <v>861</v>
      </c>
      <c r="B2103" s="62" t="s">
        <v>861</v>
      </c>
      <c r="C2103" s="63"/>
      <c r="D2103" s="64"/>
      <c r="E2103" s="65"/>
      <c r="F2103" s="66"/>
      <c r="G2103" s="63"/>
      <c r="H2103" s="67"/>
      <c r="I2103" s="68"/>
      <c r="J2103" s="68"/>
      <c r="K2103" s="32"/>
      <c r="L2103" s="75">
        <v>2103</v>
      </c>
      <c r="M2103" s="75"/>
      <c r="N2103" s="70"/>
      <c r="O2103" s="77" t="s">
        <v>179</v>
      </c>
      <c r="P2103" s="79">
        <v>45016.959768518522</v>
      </c>
      <c r="Q2103" s="77" t="s">
        <v>2879</v>
      </c>
      <c r="R2103" s="77">
        <v>0</v>
      </c>
      <c r="S2103" s="77">
        <v>0</v>
      </c>
      <c r="T2103" s="77">
        <v>0</v>
      </c>
      <c r="U2103" s="77">
        <v>0</v>
      </c>
      <c r="V2103" s="77">
        <v>44</v>
      </c>
      <c r="W2103" s="81" t="s">
        <v>4127</v>
      </c>
      <c r="X2103" s="83" t="str">
        <f>HYPERLINK("https://www.linkedin.com/posts/payagar-sm_sectorinmobiliario-asesorinmobiliario-century21capitallpa-activity-7047697298214014976-ab26?utm_source=share&amp;utm_medium=member_android")</f>
        <v>https://www.linkedin.com/posts/payagar-sm_sectorinmobiliario-asesorinmobiliario-century21capitallpa-activity-7047697298214014976-ab26?utm_source=share&amp;utm_medium=member_android</v>
      </c>
      <c r="Y2103" s="77" t="s">
        <v>4218</v>
      </c>
      <c r="Z2103" s="77"/>
      <c r="AA2103" s="77"/>
      <c r="AB2103" s="77"/>
      <c r="AC2103" s="81" t="s">
        <v>5801</v>
      </c>
      <c r="AD2103" s="77" t="s">
        <v>5850</v>
      </c>
      <c r="AE2103" s="83" t="str">
        <f>HYPERLINK("https://twitter.com/payagar_sm/status/1641938941593911296")</f>
        <v>https://twitter.com/payagar_sm/status/1641938941593911296</v>
      </c>
      <c r="AF2103" s="79">
        <v>45016.959768518522</v>
      </c>
      <c r="AG2103" s="85">
        <v>45016</v>
      </c>
      <c r="AH2103" s="81" t="s">
        <v>7695</v>
      </c>
      <c r="AI2103" s="77" t="b">
        <v>0</v>
      </c>
      <c r="AJ2103" s="77"/>
      <c r="AK2103" s="77"/>
      <c r="AL2103" s="77"/>
      <c r="AM2103" s="77"/>
      <c r="AN2103" s="77"/>
      <c r="AO2103" s="77"/>
      <c r="AP2103" s="77"/>
      <c r="AQ2103" s="77"/>
      <c r="AR2103" s="77"/>
      <c r="AS2103" s="77"/>
      <c r="AT2103" s="77"/>
      <c r="AU2103" s="77"/>
      <c r="AV2103" s="83" t="str">
        <f>HYPERLINK("https://pbs.twimg.com/profile_images/1699438389013946368/CrWeIoml_normal.jpg")</f>
        <v>https://pbs.twimg.com/profile_images/1699438389013946368/CrWeIoml_normal.jpg</v>
      </c>
      <c r="AW2103" s="81" t="s">
        <v>11211</v>
      </c>
      <c r="AX2103" s="81" t="s">
        <v>11211</v>
      </c>
      <c r="AY2103" s="77"/>
      <c r="AZ2103" s="81" t="s">
        <v>11359</v>
      </c>
      <c r="BA2103" s="81" t="s">
        <v>11359</v>
      </c>
      <c r="BB2103" s="81" t="s">
        <v>11359</v>
      </c>
      <c r="BC2103" s="81" t="s">
        <v>11211</v>
      </c>
      <c r="BD2103" s="81" t="s">
        <v>11705</v>
      </c>
      <c r="BE2103" s="77"/>
      <c r="BF2103" s="77"/>
      <c r="BG2103" s="77"/>
      <c r="BH2103" s="77"/>
      <c r="BI2103" s="77"/>
    </row>
    <row r="2104" spans="1:61" x14ac:dyDescent="0.25">
      <c r="A2104" s="62" t="s">
        <v>862</v>
      </c>
      <c r="B2104" s="62" t="s">
        <v>962</v>
      </c>
      <c r="C2104" s="63"/>
      <c r="D2104" s="64"/>
      <c r="E2104" s="65"/>
      <c r="F2104" s="66"/>
      <c r="G2104" s="63"/>
      <c r="H2104" s="67"/>
      <c r="I2104" s="68"/>
      <c r="J2104" s="68"/>
      <c r="K2104" s="32"/>
      <c r="L2104" s="75">
        <v>2104</v>
      </c>
      <c r="M2104" s="75"/>
      <c r="N2104" s="70"/>
      <c r="O2104" s="77" t="s">
        <v>967</v>
      </c>
      <c r="P2104" s="79">
        <v>45183.741157407407</v>
      </c>
      <c r="Q2104" s="77" t="s">
        <v>2880</v>
      </c>
      <c r="R2104" s="77">
        <v>1</v>
      </c>
      <c r="S2104" s="77">
        <v>4</v>
      </c>
      <c r="T2104" s="77">
        <v>0</v>
      </c>
      <c r="U2104" s="77">
        <v>0</v>
      </c>
      <c r="V2104" s="77">
        <v>2750</v>
      </c>
      <c r="W2104" s="81" t="s">
        <v>4128</v>
      </c>
      <c r="X2104" s="77"/>
      <c r="Y2104" s="77"/>
      <c r="Z2104" s="77" t="s">
        <v>962</v>
      </c>
      <c r="AA2104" s="77" t="s">
        <v>5762</v>
      </c>
      <c r="AB2104" s="77" t="s">
        <v>5795</v>
      </c>
      <c r="AC2104" s="81" t="s">
        <v>5805</v>
      </c>
      <c r="AD2104" s="77" t="s">
        <v>5850</v>
      </c>
      <c r="AE2104" s="83" t="str">
        <f>HYPERLINK("https://twitter.com/migranoticiasla/status/1702378496516038903")</f>
        <v>https://twitter.com/migranoticiasla/status/1702378496516038903</v>
      </c>
      <c r="AF2104" s="79">
        <v>45183.741157407407</v>
      </c>
      <c r="AG2104" s="85">
        <v>45183</v>
      </c>
      <c r="AH2104" s="81" t="s">
        <v>7696</v>
      </c>
      <c r="AI2104" s="77" t="b">
        <v>0</v>
      </c>
      <c r="AJ2104" s="77"/>
      <c r="AK2104" s="77"/>
      <c r="AL2104" s="77"/>
      <c r="AM2104" s="77"/>
      <c r="AN2104" s="77"/>
      <c r="AO2104" s="77"/>
      <c r="AP2104" s="77"/>
      <c r="AQ2104" s="77" t="s">
        <v>9260</v>
      </c>
      <c r="AR2104" s="77">
        <v>26401</v>
      </c>
      <c r="AS2104" s="77"/>
      <c r="AT2104" s="77"/>
      <c r="AU2104" s="77"/>
      <c r="AV2104" s="83" t="str">
        <f>HYPERLINK("https://pbs.twimg.com/ext_tw_video_thumb/1702378401527664640/pu/img/euarJSBSewEjT3eC.jpg")</f>
        <v>https://pbs.twimg.com/ext_tw_video_thumb/1702378401527664640/pu/img/euarJSBSewEjT3eC.jpg</v>
      </c>
      <c r="AW2104" s="81" t="s">
        <v>11212</v>
      </c>
      <c r="AX2104" s="81" t="s">
        <v>11212</v>
      </c>
      <c r="AY2104" s="77"/>
      <c r="AZ2104" s="81" t="s">
        <v>11359</v>
      </c>
      <c r="BA2104" s="81" t="s">
        <v>11359</v>
      </c>
      <c r="BB2104" s="81" t="s">
        <v>11359</v>
      </c>
      <c r="BC2104" s="81" t="s">
        <v>11212</v>
      </c>
      <c r="BD2104" s="81" t="s">
        <v>11706</v>
      </c>
      <c r="BE2104" s="77"/>
      <c r="BF2104" s="77"/>
      <c r="BG2104" s="77"/>
      <c r="BH2104" s="77"/>
      <c r="BI2104" s="77"/>
    </row>
    <row r="2105" spans="1:61" x14ac:dyDescent="0.25">
      <c r="A2105" s="62" t="s">
        <v>863</v>
      </c>
      <c r="B2105" s="62" t="s">
        <v>963</v>
      </c>
      <c r="C2105" s="63"/>
      <c r="D2105" s="64"/>
      <c r="E2105" s="65"/>
      <c r="F2105" s="66"/>
      <c r="G2105" s="63"/>
      <c r="H2105" s="67"/>
      <c r="I2105" s="68"/>
      <c r="J2105" s="68"/>
      <c r="K2105" s="32"/>
      <c r="L2105" s="75">
        <v>2105</v>
      </c>
      <c r="M2105" s="75"/>
      <c r="N2105" s="70"/>
      <c r="O2105" s="77" t="s">
        <v>967</v>
      </c>
      <c r="P2105" s="79">
        <v>44942.677222222221</v>
      </c>
      <c r="Q2105" s="77" t="s">
        <v>2881</v>
      </c>
      <c r="R2105" s="77">
        <v>0</v>
      </c>
      <c r="S2105" s="77">
        <v>0</v>
      </c>
      <c r="T2105" s="77">
        <v>0</v>
      </c>
      <c r="U2105" s="77">
        <v>0</v>
      </c>
      <c r="V2105" s="77">
        <v>70</v>
      </c>
      <c r="W2105" s="81" t="s">
        <v>4129</v>
      </c>
      <c r="X2105" s="77" t="s">
        <v>4211</v>
      </c>
      <c r="Y2105" s="77" t="s">
        <v>4356</v>
      </c>
      <c r="Z2105" s="77" t="s">
        <v>4387</v>
      </c>
      <c r="AA2105" s="77" t="s">
        <v>5763</v>
      </c>
      <c r="AB2105" s="77" t="s">
        <v>5794</v>
      </c>
      <c r="AC2105" s="81" t="s">
        <v>5802</v>
      </c>
      <c r="AD2105" s="77" t="s">
        <v>5850</v>
      </c>
      <c r="AE2105" s="83" t="str">
        <f>HYPERLINK("https://twitter.com/esiceditorial/status/1615019849960259587")</f>
        <v>https://twitter.com/esiceditorial/status/1615019849960259587</v>
      </c>
      <c r="AF2105" s="79">
        <v>44942.677222222221</v>
      </c>
      <c r="AG2105" s="85">
        <v>44942</v>
      </c>
      <c r="AH2105" s="81" t="s">
        <v>7697</v>
      </c>
      <c r="AI2105" s="77" t="b">
        <v>0</v>
      </c>
      <c r="AJ2105" s="77"/>
      <c r="AK2105" s="77"/>
      <c r="AL2105" s="77"/>
      <c r="AM2105" s="77"/>
      <c r="AN2105" s="77"/>
      <c r="AO2105" s="77"/>
      <c r="AP2105" s="77"/>
      <c r="AQ2105" s="77" t="s">
        <v>9261</v>
      </c>
      <c r="AR2105" s="77"/>
      <c r="AS2105" s="77"/>
      <c r="AT2105" s="77"/>
      <c r="AU2105" s="77"/>
      <c r="AV2105" s="83" t="str">
        <f>HYPERLINK("https://pbs.twimg.com/media/Fmmz_sqWAAwu4Cu.jpg")</f>
        <v>https://pbs.twimg.com/media/Fmmz_sqWAAwu4Cu.jpg</v>
      </c>
      <c r="AW2105" s="81" t="s">
        <v>11213</v>
      </c>
      <c r="AX2105" s="81" t="s">
        <v>11213</v>
      </c>
      <c r="AY2105" s="77"/>
      <c r="AZ2105" s="81" t="s">
        <v>11359</v>
      </c>
      <c r="BA2105" s="81" t="s">
        <v>11359</v>
      </c>
      <c r="BB2105" s="81" t="s">
        <v>11359</v>
      </c>
      <c r="BC2105" s="81" t="s">
        <v>11213</v>
      </c>
      <c r="BD2105" s="81" t="s">
        <v>11707</v>
      </c>
      <c r="BE2105" s="77"/>
      <c r="BF2105" s="77"/>
      <c r="BG2105" s="77"/>
      <c r="BH2105" s="77"/>
      <c r="BI2105" s="77"/>
    </row>
    <row r="2106" spans="1:61" x14ac:dyDescent="0.25">
      <c r="A2106" s="62" t="s">
        <v>863</v>
      </c>
      <c r="B2106" s="62" t="s">
        <v>964</v>
      </c>
      <c r="C2106" s="63"/>
      <c r="D2106" s="64"/>
      <c r="E2106" s="65"/>
      <c r="F2106" s="66"/>
      <c r="G2106" s="63"/>
      <c r="H2106" s="67"/>
      <c r="I2106" s="68"/>
      <c r="J2106" s="68"/>
      <c r="K2106" s="32"/>
      <c r="L2106" s="75">
        <v>2106</v>
      </c>
      <c r="M2106" s="75"/>
      <c r="N2106" s="70"/>
      <c r="O2106" s="77" t="s">
        <v>967</v>
      </c>
      <c r="P2106" s="79">
        <v>44987.677222222221</v>
      </c>
      <c r="Q2106" s="77" t="s">
        <v>2882</v>
      </c>
      <c r="R2106" s="77">
        <v>0</v>
      </c>
      <c r="S2106" s="77">
        <v>1</v>
      </c>
      <c r="T2106" s="77">
        <v>0</v>
      </c>
      <c r="U2106" s="77">
        <v>0</v>
      </c>
      <c r="V2106" s="77">
        <v>58</v>
      </c>
      <c r="W2106" s="81" t="s">
        <v>4130</v>
      </c>
      <c r="X2106" s="83" t="str">
        <f>HYPERLINK("https://esic.edu/editorial/emotional-selling")</f>
        <v>https://esic.edu/editorial/emotional-selling</v>
      </c>
      <c r="Y2106" s="77" t="s">
        <v>4357</v>
      </c>
      <c r="Z2106" s="77" t="s">
        <v>4388</v>
      </c>
      <c r="AA2106" s="77" t="s">
        <v>5764</v>
      </c>
      <c r="AB2106" s="77" t="s">
        <v>5794</v>
      </c>
      <c r="AC2106" s="81" t="s">
        <v>5802</v>
      </c>
      <c r="AD2106" s="77" t="s">
        <v>5850</v>
      </c>
      <c r="AE2106" s="83" t="str">
        <f>HYPERLINK("https://twitter.com/esiceditorial/status/1631327302947569665")</f>
        <v>https://twitter.com/esiceditorial/status/1631327302947569665</v>
      </c>
      <c r="AF2106" s="79">
        <v>44987.677222222221</v>
      </c>
      <c r="AG2106" s="85">
        <v>44987</v>
      </c>
      <c r="AH2106" s="81" t="s">
        <v>7697</v>
      </c>
      <c r="AI2106" s="77" t="b">
        <v>0</v>
      </c>
      <c r="AJ2106" s="77"/>
      <c r="AK2106" s="77"/>
      <c r="AL2106" s="77"/>
      <c r="AM2106" s="77"/>
      <c r="AN2106" s="77"/>
      <c r="AO2106" s="77"/>
      <c r="AP2106" s="77"/>
      <c r="AQ2106" s="77" t="s">
        <v>9262</v>
      </c>
      <c r="AR2106" s="77"/>
      <c r="AS2106" s="77"/>
      <c r="AT2106" s="77"/>
      <c r="AU2106" s="77"/>
      <c r="AV2106" s="83" t="str">
        <f>HYPERLINK("https://pbs.twimg.com/media/FqOjiWgXsAAtaIq.jpg")</f>
        <v>https://pbs.twimg.com/media/FqOjiWgXsAAtaIq.jpg</v>
      </c>
      <c r="AW2106" s="81" t="s">
        <v>11214</v>
      </c>
      <c r="AX2106" s="81" t="s">
        <v>11214</v>
      </c>
      <c r="AY2106" s="77"/>
      <c r="AZ2106" s="81" t="s">
        <v>11359</v>
      </c>
      <c r="BA2106" s="81" t="s">
        <v>11359</v>
      </c>
      <c r="BB2106" s="81" t="s">
        <v>11359</v>
      </c>
      <c r="BC2106" s="81" t="s">
        <v>11214</v>
      </c>
      <c r="BD2106" s="81" t="s">
        <v>11707</v>
      </c>
      <c r="BE2106" s="77"/>
      <c r="BF2106" s="77"/>
      <c r="BG2106" s="77"/>
      <c r="BH2106" s="77"/>
      <c r="BI2106" s="77"/>
    </row>
    <row r="2107" spans="1:61" x14ac:dyDescent="0.25">
      <c r="A2107" s="62" t="s">
        <v>863</v>
      </c>
      <c r="B2107" s="62" t="s">
        <v>965</v>
      </c>
      <c r="C2107" s="63"/>
      <c r="D2107" s="64"/>
      <c r="E2107" s="65"/>
      <c r="F2107" s="66"/>
      <c r="G2107" s="63"/>
      <c r="H2107" s="67"/>
      <c r="I2107" s="68"/>
      <c r="J2107" s="68"/>
      <c r="K2107" s="32"/>
      <c r="L2107" s="75">
        <v>2107</v>
      </c>
      <c r="M2107" s="75"/>
      <c r="N2107" s="70"/>
      <c r="O2107" s="77" t="s">
        <v>967</v>
      </c>
      <c r="P2107" s="79">
        <v>44942.677222222221</v>
      </c>
      <c r="Q2107" s="77" t="s">
        <v>2881</v>
      </c>
      <c r="R2107" s="77">
        <v>0</v>
      </c>
      <c r="S2107" s="77">
        <v>0</v>
      </c>
      <c r="T2107" s="77">
        <v>0</v>
      </c>
      <c r="U2107" s="77">
        <v>0</v>
      </c>
      <c r="V2107" s="77">
        <v>70</v>
      </c>
      <c r="W2107" s="81" t="s">
        <v>4129</v>
      </c>
      <c r="X2107" s="77" t="s">
        <v>4211</v>
      </c>
      <c r="Y2107" s="77" t="s">
        <v>4356</v>
      </c>
      <c r="Z2107" s="77" t="s">
        <v>4387</v>
      </c>
      <c r="AA2107" s="77" t="s">
        <v>5763</v>
      </c>
      <c r="AB2107" s="77" t="s">
        <v>5794</v>
      </c>
      <c r="AC2107" s="81" t="s">
        <v>5802</v>
      </c>
      <c r="AD2107" s="77" t="s">
        <v>5850</v>
      </c>
      <c r="AE2107" s="83" t="str">
        <f>HYPERLINK("https://twitter.com/esiceditorial/status/1615019849960259587")</f>
        <v>https://twitter.com/esiceditorial/status/1615019849960259587</v>
      </c>
      <c r="AF2107" s="79">
        <v>44942.677222222221</v>
      </c>
      <c r="AG2107" s="85">
        <v>44942</v>
      </c>
      <c r="AH2107" s="81" t="s">
        <v>7697</v>
      </c>
      <c r="AI2107" s="77" t="b">
        <v>0</v>
      </c>
      <c r="AJ2107" s="77"/>
      <c r="AK2107" s="77"/>
      <c r="AL2107" s="77"/>
      <c r="AM2107" s="77"/>
      <c r="AN2107" s="77"/>
      <c r="AO2107" s="77"/>
      <c r="AP2107" s="77"/>
      <c r="AQ2107" s="77" t="s">
        <v>9261</v>
      </c>
      <c r="AR2107" s="77"/>
      <c r="AS2107" s="77"/>
      <c r="AT2107" s="77"/>
      <c r="AU2107" s="77"/>
      <c r="AV2107" s="83" t="str">
        <f>HYPERLINK("https://pbs.twimg.com/media/Fmmz_sqWAAwu4Cu.jpg")</f>
        <v>https://pbs.twimg.com/media/Fmmz_sqWAAwu4Cu.jpg</v>
      </c>
      <c r="AW2107" s="81" t="s">
        <v>11213</v>
      </c>
      <c r="AX2107" s="81" t="s">
        <v>11213</v>
      </c>
      <c r="AY2107" s="77"/>
      <c r="AZ2107" s="81" t="s">
        <v>11359</v>
      </c>
      <c r="BA2107" s="81" t="s">
        <v>11359</v>
      </c>
      <c r="BB2107" s="81" t="s">
        <v>11359</v>
      </c>
      <c r="BC2107" s="81" t="s">
        <v>11213</v>
      </c>
      <c r="BD2107" s="81" t="s">
        <v>11707</v>
      </c>
      <c r="BE2107" s="77"/>
      <c r="BF2107" s="77"/>
      <c r="BG2107" s="77"/>
      <c r="BH2107" s="77"/>
      <c r="BI2107" s="77"/>
    </row>
    <row r="2108" spans="1:61" x14ac:dyDescent="0.25">
      <c r="A2108" s="62" t="s">
        <v>863</v>
      </c>
      <c r="B2108" s="62" t="s">
        <v>965</v>
      </c>
      <c r="C2108" s="63"/>
      <c r="D2108" s="64"/>
      <c r="E2108" s="65"/>
      <c r="F2108" s="66"/>
      <c r="G2108" s="63"/>
      <c r="H2108" s="67"/>
      <c r="I2108" s="68"/>
      <c r="J2108" s="68"/>
      <c r="K2108" s="32"/>
      <c r="L2108" s="75">
        <v>2108</v>
      </c>
      <c r="M2108" s="75"/>
      <c r="N2108" s="70"/>
      <c r="O2108" s="77" t="s">
        <v>967</v>
      </c>
      <c r="P2108" s="79">
        <v>44970.677222222221</v>
      </c>
      <c r="Q2108" s="77" t="s">
        <v>2883</v>
      </c>
      <c r="R2108" s="77">
        <v>2</v>
      </c>
      <c r="S2108" s="77">
        <v>1</v>
      </c>
      <c r="T2108" s="77">
        <v>0</v>
      </c>
      <c r="U2108" s="77">
        <v>0</v>
      </c>
      <c r="V2108" s="77">
        <v>96</v>
      </c>
      <c r="W2108" s="81" t="s">
        <v>4131</v>
      </c>
      <c r="X2108" s="83" t="str">
        <f>HYPERLINK("https://www.esic.edu/editorial/emotional-selling")</f>
        <v>https://www.esic.edu/editorial/emotional-selling</v>
      </c>
      <c r="Y2108" s="77" t="s">
        <v>4357</v>
      </c>
      <c r="Z2108" s="77" t="s">
        <v>965</v>
      </c>
      <c r="AA2108" s="77" t="s">
        <v>5765</v>
      </c>
      <c r="AB2108" s="77" t="s">
        <v>5794</v>
      </c>
      <c r="AC2108" s="81" t="s">
        <v>5802</v>
      </c>
      <c r="AD2108" s="77" t="s">
        <v>5850</v>
      </c>
      <c r="AE2108" s="83" t="str">
        <f>HYPERLINK("https://twitter.com/esiceditorial/status/1625166711191134210")</f>
        <v>https://twitter.com/esiceditorial/status/1625166711191134210</v>
      </c>
      <c r="AF2108" s="79">
        <v>44970.677222222221</v>
      </c>
      <c r="AG2108" s="85">
        <v>44970</v>
      </c>
      <c r="AH2108" s="81" t="s">
        <v>7697</v>
      </c>
      <c r="AI2108" s="77" t="b">
        <v>0</v>
      </c>
      <c r="AJ2108" s="77"/>
      <c r="AK2108" s="77"/>
      <c r="AL2108" s="77"/>
      <c r="AM2108" s="77"/>
      <c r="AN2108" s="77"/>
      <c r="AO2108" s="77"/>
      <c r="AP2108" s="77"/>
      <c r="AQ2108" s="77" t="s">
        <v>9263</v>
      </c>
      <c r="AR2108" s="77"/>
      <c r="AS2108" s="77"/>
      <c r="AT2108" s="77"/>
      <c r="AU2108" s="77"/>
      <c r="AV2108" s="83" t="str">
        <f>HYPERLINK("https://pbs.twimg.com/media/Fo3AgwrXsAEEroH.jpg")</f>
        <v>https://pbs.twimg.com/media/Fo3AgwrXsAEEroH.jpg</v>
      </c>
      <c r="AW2108" s="81" t="s">
        <v>11215</v>
      </c>
      <c r="AX2108" s="81" t="s">
        <v>11215</v>
      </c>
      <c r="AY2108" s="77"/>
      <c r="AZ2108" s="81" t="s">
        <v>11359</v>
      </c>
      <c r="BA2108" s="81" t="s">
        <v>11359</v>
      </c>
      <c r="BB2108" s="81" t="s">
        <v>11359</v>
      </c>
      <c r="BC2108" s="81" t="s">
        <v>11215</v>
      </c>
      <c r="BD2108" s="81" t="s">
        <v>11707</v>
      </c>
      <c r="BE2108" s="77"/>
      <c r="BF2108" s="77"/>
      <c r="BG2108" s="77"/>
      <c r="BH2108" s="77"/>
      <c r="BI2108" s="77"/>
    </row>
    <row r="2109" spans="1:61" x14ac:dyDescent="0.25">
      <c r="A2109" s="62" t="s">
        <v>863</v>
      </c>
      <c r="B2109" s="62" t="s">
        <v>965</v>
      </c>
      <c r="C2109" s="63"/>
      <c r="D2109" s="64"/>
      <c r="E2109" s="65"/>
      <c r="F2109" s="66"/>
      <c r="G2109" s="63"/>
      <c r="H2109" s="67"/>
      <c r="I2109" s="68"/>
      <c r="J2109" s="68"/>
      <c r="K2109" s="32"/>
      <c r="L2109" s="75">
        <v>2109</v>
      </c>
      <c r="M2109" s="75"/>
      <c r="N2109" s="70"/>
      <c r="O2109" s="77" t="s">
        <v>967</v>
      </c>
      <c r="P2109" s="79">
        <v>44929.448067129626</v>
      </c>
      <c r="Q2109" s="77" t="s">
        <v>2884</v>
      </c>
      <c r="R2109" s="77">
        <v>1</v>
      </c>
      <c r="S2109" s="77">
        <v>1</v>
      </c>
      <c r="T2109" s="77">
        <v>0</v>
      </c>
      <c r="U2109" s="77">
        <v>0</v>
      </c>
      <c r="V2109" s="77">
        <v>108</v>
      </c>
      <c r="W2109" s="81" t="s">
        <v>4132</v>
      </c>
      <c r="X2109" s="83" t="str">
        <f>HYPERLINK("https://esic.edu/editorial/emotional-selling")</f>
        <v>https://esic.edu/editorial/emotional-selling</v>
      </c>
      <c r="Y2109" s="77" t="s">
        <v>4357</v>
      </c>
      <c r="Z2109" s="77" t="s">
        <v>965</v>
      </c>
      <c r="AA2109" s="77" t="s">
        <v>5766</v>
      </c>
      <c r="AB2109" s="77" t="s">
        <v>5794</v>
      </c>
      <c r="AC2109" s="81" t="s">
        <v>5802</v>
      </c>
      <c r="AD2109" s="77" t="s">
        <v>5850</v>
      </c>
      <c r="AE2109" s="83" t="str">
        <f>HYPERLINK("https://twitter.com/esiceditorial/status/1610225765190098945")</f>
        <v>https://twitter.com/esiceditorial/status/1610225765190098945</v>
      </c>
      <c r="AF2109" s="79">
        <v>44929.448067129626</v>
      </c>
      <c r="AG2109" s="85">
        <v>44929</v>
      </c>
      <c r="AH2109" s="81" t="s">
        <v>7698</v>
      </c>
      <c r="AI2109" s="77" t="b">
        <v>0</v>
      </c>
      <c r="AJ2109" s="77"/>
      <c r="AK2109" s="77"/>
      <c r="AL2109" s="77"/>
      <c r="AM2109" s="77"/>
      <c r="AN2109" s="77"/>
      <c r="AO2109" s="77"/>
      <c r="AP2109" s="77"/>
      <c r="AQ2109" s="77" t="s">
        <v>9264</v>
      </c>
      <c r="AR2109" s="77"/>
      <c r="AS2109" s="77"/>
      <c r="AT2109" s="77"/>
      <c r="AU2109" s="77"/>
      <c r="AV2109" s="83" t="str">
        <f>HYPERLINK("https://pbs.twimg.com/media/FlirzO0XEAAkWJV.jpg")</f>
        <v>https://pbs.twimg.com/media/FlirzO0XEAAkWJV.jpg</v>
      </c>
      <c r="AW2109" s="81" t="s">
        <v>11216</v>
      </c>
      <c r="AX2109" s="81" t="s">
        <v>11216</v>
      </c>
      <c r="AY2109" s="77"/>
      <c r="AZ2109" s="81" t="s">
        <v>11359</v>
      </c>
      <c r="BA2109" s="81" t="s">
        <v>11359</v>
      </c>
      <c r="BB2109" s="81" t="s">
        <v>11359</v>
      </c>
      <c r="BC2109" s="81" t="s">
        <v>11216</v>
      </c>
      <c r="BD2109" s="81" t="s">
        <v>11707</v>
      </c>
      <c r="BE2109" s="77"/>
      <c r="BF2109" s="77"/>
      <c r="BG2109" s="77"/>
      <c r="BH2109" s="77"/>
      <c r="BI2109" s="77"/>
    </row>
    <row r="2110" spans="1:61" x14ac:dyDescent="0.25">
      <c r="A2110" s="62" t="s">
        <v>863</v>
      </c>
      <c r="B2110" s="62" t="s">
        <v>965</v>
      </c>
      <c r="C2110" s="63"/>
      <c r="D2110" s="64"/>
      <c r="E2110" s="65"/>
      <c r="F2110" s="66"/>
      <c r="G2110" s="63"/>
      <c r="H2110" s="67"/>
      <c r="I2110" s="68"/>
      <c r="J2110" s="68"/>
      <c r="K2110" s="32"/>
      <c r="L2110" s="75">
        <v>2110</v>
      </c>
      <c r="M2110" s="75"/>
      <c r="N2110" s="70"/>
      <c r="O2110" s="77" t="s">
        <v>967</v>
      </c>
      <c r="P2110" s="79">
        <v>45016.413356481484</v>
      </c>
      <c r="Q2110" s="77" t="s">
        <v>2885</v>
      </c>
      <c r="R2110" s="77">
        <v>0</v>
      </c>
      <c r="S2110" s="77">
        <v>3</v>
      </c>
      <c r="T2110" s="77">
        <v>0</v>
      </c>
      <c r="U2110" s="77">
        <v>0</v>
      </c>
      <c r="V2110" s="77">
        <v>136</v>
      </c>
      <c r="W2110" s="81" t="s">
        <v>4133</v>
      </c>
      <c r="X2110" s="83" t="str">
        <f>HYPERLINK("https://esic.edu/editorial/emotional-selling")</f>
        <v>https://esic.edu/editorial/emotional-selling</v>
      </c>
      <c r="Y2110" s="77" t="s">
        <v>4357</v>
      </c>
      <c r="Z2110" s="77" t="s">
        <v>965</v>
      </c>
      <c r="AA2110" s="77" t="s">
        <v>5767</v>
      </c>
      <c r="AB2110" s="77" t="s">
        <v>5794</v>
      </c>
      <c r="AC2110" s="81" t="s">
        <v>5802</v>
      </c>
      <c r="AD2110" s="77" t="s">
        <v>5850</v>
      </c>
      <c r="AE2110" s="83" t="str">
        <f>HYPERLINK("https://twitter.com/esiceditorial/status/1641740930330894336")</f>
        <v>https://twitter.com/esiceditorial/status/1641740930330894336</v>
      </c>
      <c r="AF2110" s="79">
        <v>45016.413356481484</v>
      </c>
      <c r="AG2110" s="85">
        <v>45016</v>
      </c>
      <c r="AH2110" s="81" t="s">
        <v>7699</v>
      </c>
      <c r="AI2110" s="77" t="b">
        <v>0</v>
      </c>
      <c r="AJ2110" s="77"/>
      <c r="AK2110" s="77"/>
      <c r="AL2110" s="77"/>
      <c r="AM2110" s="77"/>
      <c r="AN2110" s="77"/>
      <c r="AO2110" s="77"/>
      <c r="AP2110" s="77"/>
      <c r="AQ2110" s="77" t="s">
        <v>9265</v>
      </c>
      <c r="AR2110" s="77"/>
      <c r="AS2110" s="77"/>
      <c r="AT2110" s="77"/>
      <c r="AU2110" s="77"/>
      <c r="AV2110" s="83" t="str">
        <f>HYPERLINK("https://pbs.twimg.com/media/FsiirRVWIAEfGwk.jpg")</f>
        <v>https://pbs.twimg.com/media/FsiirRVWIAEfGwk.jpg</v>
      </c>
      <c r="AW2110" s="81" t="s">
        <v>11217</v>
      </c>
      <c r="AX2110" s="81" t="s">
        <v>11217</v>
      </c>
      <c r="AY2110" s="77"/>
      <c r="AZ2110" s="81" t="s">
        <v>11359</v>
      </c>
      <c r="BA2110" s="81" t="s">
        <v>11359</v>
      </c>
      <c r="BB2110" s="81" t="s">
        <v>11359</v>
      </c>
      <c r="BC2110" s="81" t="s">
        <v>11217</v>
      </c>
      <c r="BD2110" s="81" t="s">
        <v>11707</v>
      </c>
      <c r="BE2110" s="77"/>
      <c r="BF2110" s="77"/>
      <c r="BG2110" s="77"/>
      <c r="BH2110" s="77"/>
      <c r="BI2110" s="77"/>
    </row>
    <row r="2111" spans="1:61" x14ac:dyDescent="0.25">
      <c r="A2111" s="62" t="s">
        <v>863</v>
      </c>
      <c r="B2111" s="62" t="s">
        <v>965</v>
      </c>
      <c r="C2111" s="63"/>
      <c r="D2111" s="64"/>
      <c r="E2111" s="65"/>
      <c r="F2111" s="66"/>
      <c r="G2111" s="63"/>
      <c r="H2111" s="67"/>
      <c r="I2111" s="68"/>
      <c r="J2111" s="68"/>
      <c r="K2111" s="32"/>
      <c r="L2111" s="75">
        <v>2111</v>
      </c>
      <c r="M2111" s="75"/>
      <c r="N2111" s="70"/>
      <c r="O2111" s="77" t="s">
        <v>967</v>
      </c>
      <c r="P2111" s="79">
        <v>44950.448055555556</v>
      </c>
      <c r="Q2111" s="77" t="s">
        <v>2886</v>
      </c>
      <c r="R2111" s="77">
        <v>0</v>
      </c>
      <c r="S2111" s="77">
        <v>1</v>
      </c>
      <c r="T2111" s="77">
        <v>0</v>
      </c>
      <c r="U2111" s="77">
        <v>0</v>
      </c>
      <c r="V2111" s="77">
        <v>90</v>
      </c>
      <c r="W2111" s="81" t="s">
        <v>4131</v>
      </c>
      <c r="X2111" s="83" t="str">
        <f>HYPERLINK("https://www.esic.edu/editorial/emotional-selling")</f>
        <v>https://www.esic.edu/editorial/emotional-selling</v>
      </c>
      <c r="Y2111" s="77" t="s">
        <v>4357</v>
      </c>
      <c r="Z2111" s="77" t="s">
        <v>965</v>
      </c>
      <c r="AA2111" s="77" t="s">
        <v>5768</v>
      </c>
      <c r="AB2111" s="77" t="s">
        <v>5794</v>
      </c>
      <c r="AC2111" s="81" t="s">
        <v>5802</v>
      </c>
      <c r="AD2111" s="77" t="s">
        <v>5850</v>
      </c>
      <c r="AE2111" s="83" t="str">
        <f>HYPERLINK("https://twitter.com/esiceditorial/status/1617835904726405120")</f>
        <v>https://twitter.com/esiceditorial/status/1617835904726405120</v>
      </c>
      <c r="AF2111" s="79">
        <v>44950.448055555556</v>
      </c>
      <c r="AG2111" s="85">
        <v>44950</v>
      </c>
      <c r="AH2111" s="81" t="s">
        <v>7700</v>
      </c>
      <c r="AI2111" s="77" t="b">
        <v>0</v>
      </c>
      <c r="AJ2111" s="77"/>
      <c r="AK2111" s="77"/>
      <c r="AL2111" s="77"/>
      <c r="AM2111" s="77"/>
      <c r="AN2111" s="77"/>
      <c r="AO2111" s="77"/>
      <c r="AP2111" s="77"/>
      <c r="AQ2111" s="77" t="s">
        <v>9266</v>
      </c>
      <c r="AR2111" s="77"/>
      <c r="AS2111" s="77"/>
      <c r="AT2111" s="77"/>
      <c r="AU2111" s="77"/>
      <c r="AV2111" s="83" t="str">
        <f>HYPERLINK("https://pbs.twimg.com/media/FnO1LnDWIAEzTb6.jpg")</f>
        <v>https://pbs.twimg.com/media/FnO1LnDWIAEzTb6.jpg</v>
      </c>
      <c r="AW2111" s="81" t="s">
        <v>11218</v>
      </c>
      <c r="AX2111" s="81" t="s">
        <v>11218</v>
      </c>
      <c r="AY2111" s="77"/>
      <c r="AZ2111" s="81" t="s">
        <v>11359</v>
      </c>
      <c r="BA2111" s="81" t="s">
        <v>11359</v>
      </c>
      <c r="BB2111" s="81" t="s">
        <v>11359</v>
      </c>
      <c r="BC2111" s="81" t="s">
        <v>11218</v>
      </c>
      <c r="BD2111" s="81" t="s">
        <v>11707</v>
      </c>
      <c r="BE2111" s="77"/>
      <c r="BF2111" s="77"/>
      <c r="BG2111" s="77"/>
      <c r="BH2111" s="77"/>
      <c r="BI2111" s="77"/>
    </row>
    <row r="2112" spans="1:61" x14ac:dyDescent="0.25">
      <c r="A2112" s="62" t="s">
        <v>863</v>
      </c>
      <c r="B2112" s="62" t="s">
        <v>965</v>
      </c>
      <c r="C2112" s="63"/>
      <c r="D2112" s="64"/>
      <c r="E2112" s="65"/>
      <c r="F2112" s="66"/>
      <c r="G2112" s="63"/>
      <c r="H2112" s="67"/>
      <c r="I2112" s="68"/>
      <c r="J2112" s="68"/>
      <c r="K2112" s="32"/>
      <c r="L2112" s="75">
        <v>2112</v>
      </c>
      <c r="M2112" s="75"/>
      <c r="N2112" s="70"/>
      <c r="O2112" s="77" t="s">
        <v>967</v>
      </c>
      <c r="P2112" s="79">
        <v>45069.63554398148</v>
      </c>
      <c r="Q2112" s="77" t="s">
        <v>2887</v>
      </c>
      <c r="R2112" s="77">
        <v>0</v>
      </c>
      <c r="S2112" s="77">
        <v>2</v>
      </c>
      <c r="T2112" s="77">
        <v>0</v>
      </c>
      <c r="U2112" s="77">
        <v>0</v>
      </c>
      <c r="V2112" s="77">
        <v>92</v>
      </c>
      <c r="W2112" s="81" t="s">
        <v>4134</v>
      </c>
      <c r="X2112" s="83" t="str">
        <f>HYPERLINK("https://esic.edu/editorial/emotional-selling")</f>
        <v>https://esic.edu/editorial/emotional-selling</v>
      </c>
      <c r="Y2112" s="77" t="s">
        <v>4357</v>
      </c>
      <c r="Z2112" s="77" t="s">
        <v>965</v>
      </c>
      <c r="AA2112" s="77" t="s">
        <v>5769</v>
      </c>
      <c r="AB2112" s="77" t="s">
        <v>5794</v>
      </c>
      <c r="AC2112" s="81" t="s">
        <v>5802</v>
      </c>
      <c r="AD2112" s="77" t="s">
        <v>5850</v>
      </c>
      <c r="AE2112" s="83" t="str">
        <f>HYPERLINK("https://twitter.com/esiceditorial/status/1661028004246478848")</f>
        <v>https://twitter.com/esiceditorial/status/1661028004246478848</v>
      </c>
      <c r="AF2112" s="79">
        <v>45069.63554398148</v>
      </c>
      <c r="AG2112" s="85">
        <v>45069</v>
      </c>
      <c r="AH2112" s="81" t="s">
        <v>7701</v>
      </c>
      <c r="AI2112" s="77" t="b">
        <v>0</v>
      </c>
      <c r="AJ2112" s="77"/>
      <c r="AK2112" s="77"/>
      <c r="AL2112" s="77"/>
      <c r="AM2112" s="77"/>
      <c r="AN2112" s="77"/>
      <c r="AO2112" s="77"/>
      <c r="AP2112" s="77"/>
      <c r="AQ2112" s="77" t="s">
        <v>9267</v>
      </c>
      <c r="AR2112" s="77"/>
      <c r="AS2112" s="77"/>
      <c r="AT2112" s="77"/>
      <c r="AU2112" s="77"/>
      <c r="AV2112" s="83" t="str">
        <f>HYPERLINK("https://pbs.twimg.com/media/Fw0oKvrXsAAFK1m.jpg")</f>
        <v>https://pbs.twimg.com/media/Fw0oKvrXsAAFK1m.jpg</v>
      </c>
      <c r="AW2112" s="81" t="s">
        <v>11219</v>
      </c>
      <c r="AX2112" s="81" t="s">
        <v>11219</v>
      </c>
      <c r="AY2112" s="77"/>
      <c r="AZ2112" s="81" t="s">
        <v>11359</v>
      </c>
      <c r="BA2112" s="81" t="s">
        <v>11359</v>
      </c>
      <c r="BB2112" s="81" t="s">
        <v>11359</v>
      </c>
      <c r="BC2112" s="81" t="s">
        <v>11219</v>
      </c>
      <c r="BD2112" s="81" t="s">
        <v>11707</v>
      </c>
      <c r="BE2112" s="77"/>
      <c r="BF2112" s="77"/>
      <c r="BG2112" s="77"/>
      <c r="BH2112" s="77"/>
      <c r="BI2112" s="77"/>
    </row>
    <row r="2113" spans="1:61" x14ac:dyDescent="0.25">
      <c r="A2113" s="62" t="s">
        <v>863</v>
      </c>
      <c r="B2113" s="62" t="s">
        <v>965</v>
      </c>
      <c r="C2113" s="63"/>
      <c r="D2113" s="64"/>
      <c r="E2113" s="65"/>
      <c r="F2113" s="66"/>
      <c r="G2113" s="63"/>
      <c r="H2113" s="67"/>
      <c r="I2113" s="68"/>
      <c r="J2113" s="68"/>
      <c r="K2113" s="32"/>
      <c r="L2113" s="75">
        <v>2113</v>
      </c>
      <c r="M2113" s="75"/>
      <c r="N2113" s="70"/>
      <c r="O2113" s="77" t="s">
        <v>967</v>
      </c>
      <c r="P2113" s="79">
        <v>45082.396018518521</v>
      </c>
      <c r="Q2113" s="77" t="s">
        <v>2888</v>
      </c>
      <c r="R2113" s="77">
        <v>1</v>
      </c>
      <c r="S2113" s="77">
        <v>2</v>
      </c>
      <c r="T2113" s="77">
        <v>0</v>
      </c>
      <c r="U2113" s="77">
        <v>0</v>
      </c>
      <c r="V2113" s="77">
        <v>73</v>
      </c>
      <c r="W2113" s="81" t="s">
        <v>4135</v>
      </c>
      <c r="X2113" s="83" t="str">
        <f>HYPERLINK("https://esic.edu/editorial/emotional-selling")</f>
        <v>https://esic.edu/editorial/emotional-selling</v>
      </c>
      <c r="Y2113" s="77" t="s">
        <v>4357</v>
      </c>
      <c r="Z2113" s="77" t="s">
        <v>965</v>
      </c>
      <c r="AA2113" s="77" t="s">
        <v>5770</v>
      </c>
      <c r="AB2113" s="77" t="s">
        <v>5794</v>
      </c>
      <c r="AC2113" s="81" t="s">
        <v>5802</v>
      </c>
      <c r="AD2113" s="77" t="s">
        <v>5850</v>
      </c>
      <c r="AE2113" s="83" t="str">
        <f>HYPERLINK("https://twitter.com/esiceditorial/status/1665652246418272256")</f>
        <v>https://twitter.com/esiceditorial/status/1665652246418272256</v>
      </c>
      <c r="AF2113" s="79">
        <v>45082.396018518521</v>
      </c>
      <c r="AG2113" s="85">
        <v>45082</v>
      </c>
      <c r="AH2113" s="81" t="s">
        <v>7702</v>
      </c>
      <c r="AI2113" s="77" t="b">
        <v>0</v>
      </c>
      <c r="AJ2113" s="77"/>
      <c r="AK2113" s="77"/>
      <c r="AL2113" s="77"/>
      <c r="AM2113" s="77"/>
      <c r="AN2113" s="77"/>
      <c r="AO2113" s="77"/>
      <c r="AP2113" s="77"/>
      <c r="AQ2113" s="77" t="s">
        <v>9268</v>
      </c>
      <c r="AR2113" s="77"/>
      <c r="AS2113" s="77"/>
      <c r="AT2113" s="77"/>
      <c r="AU2113" s="77"/>
      <c r="AV2113" s="83" t="str">
        <f>HYPERLINK("https://pbs.twimg.com/media/Fx2V5FSWwAA4EJC.jpg")</f>
        <v>https://pbs.twimg.com/media/Fx2V5FSWwAA4EJC.jpg</v>
      </c>
      <c r="AW2113" s="81" t="s">
        <v>11220</v>
      </c>
      <c r="AX2113" s="81" t="s">
        <v>11220</v>
      </c>
      <c r="AY2113" s="77"/>
      <c r="AZ2113" s="81" t="s">
        <v>11359</v>
      </c>
      <c r="BA2113" s="81" t="s">
        <v>11359</v>
      </c>
      <c r="BB2113" s="81" t="s">
        <v>11359</v>
      </c>
      <c r="BC2113" s="81" t="s">
        <v>11220</v>
      </c>
      <c r="BD2113" s="81" t="s">
        <v>11707</v>
      </c>
      <c r="BE2113" s="77"/>
      <c r="BF2113" s="77"/>
      <c r="BG2113" s="77"/>
      <c r="BH2113" s="77"/>
      <c r="BI2113" s="77"/>
    </row>
    <row r="2114" spans="1:61" x14ac:dyDescent="0.25">
      <c r="A2114" s="62" t="s">
        <v>863</v>
      </c>
      <c r="B2114" s="62" t="s">
        <v>965</v>
      </c>
      <c r="C2114" s="63"/>
      <c r="D2114" s="64"/>
      <c r="E2114" s="65"/>
      <c r="F2114" s="66"/>
      <c r="G2114" s="63"/>
      <c r="H2114" s="67"/>
      <c r="I2114" s="68"/>
      <c r="J2114" s="68"/>
      <c r="K2114" s="32"/>
      <c r="L2114" s="75">
        <v>2114</v>
      </c>
      <c r="M2114" s="75"/>
      <c r="N2114" s="70"/>
      <c r="O2114" s="77" t="s">
        <v>967</v>
      </c>
      <c r="P2114" s="79">
        <v>45090.635416666664</v>
      </c>
      <c r="Q2114" s="77" t="s">
        <v>2889</v>
      </c>
      <c r="R2114" s="77">
        <v>0</v>
      </c>
      <c r="S2114" s="77">
        <v>2</v>
      </c>
      <c r="T2114" s="77">
        <v>0</v>
      </c>
      <c r="U2114" s="77">
        <v>0</v>
      </c>
      <c r="V2114" s="77">
        <v>108</v>
      </c>
      <c r="W2114" s="81" t="s">
        <v>4131</v>
      </c>
      <c r="X2114" s="83" t="str">
        <f>HYPERLINK("https://www.esic.edu/editorial/emotional-selling")</f>
        <v>https://www.esic.edu/editorial/emotional-selling</v>
      </c>
      <c r="Y2114" s="77" t="s">
        <v>4357</v>
      </c>
      <c r="Z2114" s="77" t="s">
        <v>965</v>
      </c>
      <c r="AA2114" s="77" t="s">
        <v>5771</v>
      </c>
      <c r="AB2114" s="77" t="s">
        <v>5794</v>
      </c>
      <c r="AC2114" s="81" t="s">
        <v>5805</v>
      </c>
      <c r="AD2114" s="77" t="s">
        <v>5850</v>
      </c>
      <c r="AE2114" s="83" t="str">
        <f>HYPERLINK("https://twitter.com/esiceditorial/status/1668638104163319808")</f>
        <v>https://twitter.com/esiceditorial/status/1668638104163319808</v>
      </c>
      <c r="AF2114" s="79">
        <v>45090.635416666664</v>
      </c>
      <c r="AG2114" s="85">
        <v>45090</v>
      </c>
      <c r="AH2114" s="81" t="s">
        <v>7703</v>
      </c>
      <c r="AI2114" s="77" t="b">
        <v>0</v>
      </c>
      <c r="AJ2114" s="77"/>
      <c r="AK2114" s="77"/>
      <c r="AL2114" s="77"/>
      <c r="AM2114" s="77"/>
      <c r="AN2114" s="77"/>
      <c r="AO2114" s="77"/>
      <c r="AP2114" s="77"/>
      <c r="AQ2114" s="77" t="s">
        <v>9269</v>
      </c>
      <c r="AR2114" s="77"/>
      <c r="AS2114" s="77"/>
      <c r="AT2114" s="77"/>
      <c r="AU2114" s="77"/>
      <c r="AV2114" s="83" t="str">
        <f>HYPERLINK("https://pbs.twimg.com/media/FygqZxVaIAEu0QY.jpg")</f>
        <v>https://pbs.twimg.com/media/FygqZxVaIAEu0QY.jpg</v>
      </c>
      <c r="AW2114" s="81" t="s">
        <v>11221</v>
      </c>
      <c r="AX2114" s="81" t="s">
        <v>11221</v>
      </c>
      <c r="AY2114" s="77"/>
      <c r="AZ2114" s="81" t="s">
        <v>11359</v>
      </c>
      <c r="BA2114" s="81" t="s">
        <v>11359</v>
      </c>
      <c r="BB2114" s="81" t="s">
        <v>11359</v>
      </c>
      <c r="BC2114" s="81" t="s">
        <v>11221</v>
      </c>
      <c r="BD2114" s="81" t="s">
        <v>11707</v>
      </c>
      <c r="BE2114" s="77"/>
      <c r="BF2114" s="77"/>
      <c r="BG2114" s="77"/>
      <c r="BH2114" s="77"/>
      <c r="BI2114" s="77"/>
    </row>
    <row r="2115" spans="1:61" x14ac:dyDescent="0.25">
      <c r="A2115" s="62" t="s">
        <v>863</v>
      </c>
      <c r="B2115" s="62" t="s">
        <v>965</v>
      </c>
      <c r="C2115" s="63"/>
      <c r="D2115" s="64"/>
      <c r="E2115" s="65"/>
      <c r="F2115" s="66"/>
      <c r="G2115" s="63"/>
      <c r="H2115" s="67"/>
      <c r="I2115" s="68"/>
      <c r="J2115" s="68"/>
      <c r="K2115" s="32"/>
      <c r="L2115" s="75">
        <v>2115</v>
      </c>
      <c r="M2115" s="75"/>
      <c r="N2115" s="70"/>
      <c r="O2115" s="77" t="s">
        <v>967</v>
      </c>
      <c r="P2115" s="79">
        <v>44987.677222222221</v>
      </c>
      <c r="Q2115" s="77" t="s">
        <v>2882</v>
      </c>
      <c r="R2115" s="77">
        <v>0</v>
      </c>
      <c r="S2115" s="77">
        <v>1</v>
      </c>
      <c r="T2115" s="77">
        <v>0</v>
      </c>
      <c r="U2115" s="77">
        <v>0</v>
      </c>
      <c r="V2115" s="77">
        <v>58</v>
      </c>
      <c r="W2115" s="81" t="s">
        <v>4130</v>
      </c>
      <c r="X2115" s="83" t="str">
        <f>HYPERLINK("https://esic.edu/editorial/emotional-selling")</f>
        <v>https://esic.edu/editorial/emotional-selling</v>
      </c>
      <c r="Y2115" s="77" t="s">
        <v>4357</v>
      </c>
      <c r="Z2115" s="77" t="s">
        <v>4388</v>
      </c>
      <c r="AA2115" s="77" t="s">
        <v>5764</v>
      </c>
      <c r="AB2115" s="77" t="s">
        <v>5794</v>
      </c>
      <c r="AC2115" s="81" t="s">
        <v>5802</v>
      </c>
      <c r="AD2115" s="77" t="s">
        <v>5850</v>
      </c>
      <c r="AE2115" s="83" t="str">
        <f>HYPERLINK("https://twitter.com/esiceditorial/status/1631327302947569665")</f>
        <v>https://twitter.com/esiceditorial/status/1631327302947569665</v>
      </c>
      <c r="AF2115" s="79">
        <v>44987.677222222221</v>
      </c>
      <c r="AG2115" s="85">
        <v>44987</v>
      </c>
      <c r="AH2115" s="81" t="s">
        <v>7697</v>
      </c>
      <c r="AI2115" s="77" t="b">
        <v>0</v>
      </c>
      <c r="AJ2115" s="77"/>
      <c r="AK2115" s="77"/>
      <c r="AL2115" s="77"/>
      <c r="AM2115" s="77"/>
      <c r="AN2115" s="77"/>
      <c r="AO2115" s="77"/>
      <c r="AP2115" s="77"/>
      <c r="AQ2115" s="77" t="s">
        <v>9262</v>
      </c>
      <c r="AR2115" s="77"/>
      <c r="AS2115" s="77"/>
      <c r="AT2115" s="77"/>
      <c r="AU2115" s="77"/>
      <c r="AV2115" s="83" t="str">
        <f>HYPERLINK("https://pbs.twimg.com/media/FqOjiWgXsAAtaIq.jpg")</f>
        <v>https://pbs.twimg.com/media/FqOjiWgXsAAtaIq.jpg</v>
      </c>
      <c r="AW2115" s="81" t="s">
        <v>11214</v>
      </c>
      <c r="AX2115" s="81" t="s">
        <v>11214</v>
      </c>
      <c r="AY2115" s="77"/>
      <c r="AZ2115" s="81" t="s">
        <v>11359</v>
      </c>
      <c r="BA2115" s="81" t="s">
        <v>11359</v>
      </c>
      <c r="BB2115" s="81" t="s">
        <v>11359</v>
      </c>
      <c r="BC2115" s="81" t="s">
        <v>11214</v>
      </c>
      <c r="BD2115" s="81" t="s">
        <v>11707</v>
      </c>
      <c r="BE2115" s="77"/>
      <c r="BF2115" s="77"/>
      <c r="BG2115" s="77"/>
      <c r="BH2115" s="77"/>
      <c r="BI2115" s="77"/>
    </row>
    <row r="2116" spans="1:61" x14ac:dyDescent="0.25">
      <c r="A2116" s="62" t="s">
        <v>863</v>
      </c>
      <c r="B2116" s="62" t="s">
        <v>965</v>
      </c>
      <c r="C2116" s="63"/>
      <c r="D2116" s="64"/>
      <c r="E2116" s="65"/>
      <c r="F2116" s="66"/>
      <c r="G2116" s="63"/>
      <c r="H2116" s="67"/>
      <c r="I2116" s="68"/>
      <c r="J2116" s="68"/>
      <c r="K2116" s="32"/>
      <c r="L2116" s="75">
        <v>2116</v>
      </c>
      <c r="M2116" s="75"/>
      <c r="N2116" s="70"/>
      <c r="O2116" s="77" t="s">
        <v>967</v>
      </c>
      <c r="P2116" s="79">
        <v>45100.635416666664</v>
      </c>
      <c r="Q2116" s="77" t="s">
        <v>2890</v>
      </c>
      <c r="R2116" s="77">
        <v>0</v>
      </c>
      <c r="S2116" s="77">
        <v>0</v>
      </c>
      <c r="T2116" s="77">
        <v>0</v>
      </c>
      <c r="U2116" s="77">
        <v>0</v>
      </c>
      <c r="V2116" s="77">
        <v>41</v>
      </c>
      <c r="W2116" s="81" t="s">
        <v>4136</v>
      </c>
      <c r="X2116" s="83" t="str">
        <f>HYPERLINK("https://www.esic.edu/editorial/emotional-selling")</f>
        <v>https://www.esic.edu/editorial/emotional-selling</v>
      </c>
      <c r="Y2116" s="77" t="s">
        <v>4357</v>
      </c>
      <c r="Z2116" s="77" t="s">
        <v>965</v>
      </c>
      <c r="AA2116" s="77" t="s">
        <v>5772</v>
      </c>
      <c r="AB2116" s="77" t="s">
        <v>5794</v>
      </c>
      <c r="AC2116" s="81" t="s">
        <v>5805</v>
      </c>
      <c r="AD2116" s="77" t="s">
        <v>5850</v>
      </c>
      <c r="AE2116" s="83" t="str">
        <f>HYPERLINK("https://twitter.com/esiceditorial/status/1672261982236336130")</f>
        <v>https://twitter.com/esiceditorial/status/1672261982236336130</v>
      </c>
      <c r="AF2116" s="79">
        <v>45100.635416666664</v>
      </c>
      <c r="AG2116" s="85">
        <v>45100</v>
      </c>
      <c r="AH2116" s="81" t="s">
        <v>7703</v>
      </c>
      <c r="AI2116" s="77" t="b">
        <v>0</v>
      </c>
      <c r="AJ2116" s="77"/>
      <c r="AK2116" s="77"/>
      <c r="AL2116" s="77"/>
      <c r="AM2116" s="77"/>
      <c r="AN2116" s="77"/>
      <c r="AO2116" s="77"/>
      <c r="AP2116" s="77"/>
      <c r="AQ2116" s="77" t="s">
        <v>9270</v>
      </c>
      <c r="AR2116" s="77"/>
      <c r="AS2116" s="77"/>
      <c r="AT2116" s="77"/>
      <c r="AU2116" s="77"/>
      <c r="AV2116" s="83" t="str">
        <f>HYPERLINK("https://pbs.twimg.com/media/FzUIqR7XsAAr-Bq.jpg")</f>
        <v>https://pbs.twimg.com/media/FzUIqR7XsAAr-Bq.jpg</v>
      </c>
      <c r="AW2116" s="81" t="s">
        <v>11222</v>
      </c>
      <c r="AX2116" s="81" t="s">
        <v>11222</v>
      </c>
      <c r="AY2116" s="77"/>
      <c r="AZ2116" s="81" t="s">
        <v>11359</v>
      </c>
      <c r="BA2116" s="81" t="s">
        <v>11359</v>
      </c>
      <c r="BB2116" s="81" t="s">
        <v>11359</v>
      </c>
      <c r="BC2116" s="81" t="s">
        <v>11222</v>
      </c>
      <c r="BD2116" s="81" t="s">
        <v>11707</v>
      </c>
      <c r="BE2116" s="77"/>
      <c r="BF2116" s="77"/>
      <c r="BG2116" s="77"/>
      <c r="BH2116" s="77"/>
      <c r="BI2116" s="77"/>
    </row>
    <row r="2117" spans="1:61" x14ac:dyDescent="0.25">
      <c r="A2117" s="62" t="s">
        <v>863</v>
      </c>
      <c r="B2117" s="62" t="s">
        <v>965</v>
      </c>
      <c r="C2117" s="63"/>
      <c r="D2117" s="64"/>
      <c r="E2117" s="65"/>
      <c r="F2117" s="66"/>
      <c r="G2117" s="63"/>
      <c r="H2117" s="67"/>
      <c r="I2117" s="68"/>
      <c r="J2117" s="68"/>
      <c r="K2117" s="32"/>
      <c r="L2117" s="75">
        <v>2117</v>
      </c>
      <c r="M2117" s="75"/>
      <c r="N2117" s="70"/>
      <c r="O2117" s="77" t="s">
        <v>967</v>
      </c>
      <c r="P2117" s="79">
        <v>45049.63554398148</v>
      </c>
      <c r="Q2117" s="77" t="s">
        <v>2891</v>
      </c>
      <c r="R2117" s="77">
        <v>0</v>
      </c>
      <c r="S2117" s="77">
        <v>2</v>
      </c>
      <c r="T2117" s="77">
        <v>0</v>
      </c>
      <c r="U2117" s="77">
        <v>0</v>
      </c>
      <c r="V2117" s="77">
        <v>74</v>
      </c>
      <c r="W2117" s="81" t="s">
        <v>4131</v>
      </c>
      <c r="X2117" s="83" t="str">
        <f>HYPERLINK("https://esic.edu/editorial/emotional-selling")</f>
        <v>https://esic.edu/editorial/emotional-selling</v>
      </c>
      <c r="Y2117" s="77" t="s">
        <v>4357</v>
      </c>
      <c r="Z2117" s="77" t="s">
        <v>965</v>
      </c>
      <c r="AA2117" s="77"/>
      <c r="AB2117" s="77"/>
      <c r="AC2117" s="81" t="s">
        <v>5802</v>
      </c>
      <c r="AD2117" s="77" t="s">
        <v>5850</v>
      </c>
      <c r="AE2117" s="83" t="str">
        <f>HYPERLINK("https://twitter.com/esiceditorial/status/1653780249631506436")</f>
        <v>https://twitter.com/esiceditorial/status/1653780249631506436</v>
      </c>
      <c r="AF2117" s="79">
        <v>45049.63554398148</v>
      </c>
      <c r="AG2117" s="85">
        <v>45049</v>
      </c>
      <c r="AH2117" s="81" t="s">
        <v>7701</v>
      </c>
      <c r="AI2117" s="77" t="b">
        <v>0</v>
      </c>
      <c r="AJ2117" s="77"/>
      <c r="AK2117" s="77"/>
      <c r="AL2117" s="77"/>
      <c r="AM2117" s="77"/>
      <c r="AN2117" s="77"/>
      <c r="AO2117" s="77"/>
      <c r="AP2117" s="77"/>
      <c r="AQ2117" s="77"/>
      <c r="AR2117" s="77"/>
      <c r="AS2117" s="77"/>
      <c r="AT2117" s="77"/>
      <c r="AU2117" s="77"/>
      <c r="AV2117" s="83" t="str">
        <f>HYPERLINK("https://pbs.twimg.com/profile_images/1399671855552794627/alxvjfrF_normal.jpg")</f>
        <v>https://pbs.twimg.com/profile_images/1399671855552794627/alxvjfrF_normal.jpg</v>
      </c>
      <c r="AW2117" s="81" t="s">
        <v>11223</v>
      </c>
      <c r="AX2117" s="81" t="s">
        <v>11223</v>
      </c>
      <c r="AY2117" s="77"/>
      <c r="AZ2117" s="81" t="s">
        <v>11359</v>
      </c>
      <c r="BA2117" s="81" t="s">
        <v>11359</v>
      </c>
      <c r="BB2117" s="81" t="s">
        <v>11359</v>
      </c>
      <c r="BC2117" s="81" t="s">
        <v>11223</v>
      </c>
      <c r="BD2117" s="81" t="s">
        <v>11707</v>
      </c>
      <c r="BE2117" s="77"/>
      <c r="BF2117" s="77"/>
      <c r="BG2117" s="77"/>
      <c r="BH2117" s="77"/>
      <c r="BI2117" s="77"/>
    </row>
    <row r="2118" spans="1:61" x14ac:dyDescent="0.25">
      <c r="A2118" s="62" t="s">
        <v>864</v>
      </c>
      <c r="B2118" s="62" t="s">
        <v>864</v>
      </c>
      <c r="C2118" s="63"/>
      <c r="D2118" s="64"/>
      <c r="E2118" s="65"/>
      <c r="F2118" s="66"/>
      <c r="G2118" s="63"/>
      <c r="H2118" s="67"/>
      <c r="I2118" s="68"/>
      <c r="J2118" s="68"/>
      <c r="K2118" s="32"/>
      <c r="L2118" s="75">
        <v>2118</v>
      </c>
      <c r="M2118" s="75"/>
      <c r="N2118" s="70"/>
      <c r="O2118" s="77" t="s">
        <v>179</v>
      </c>
      <c r="P2118" s="79">
        <v>45107.490624999999</v>
      </c>
      <c r="Q2118" s="77" t="s">
        <v>2892</v>
      </c>
      <c r="R2118" s="77">
        <v>0</v>
      </c>
      <c r="S2118" s="77">
        <v>0</v>
      </c>
      <c r="T2118" s="77">
        <v>0</v>
      </c>
      <c r="U2118" s="77">
        <v>0</v>
      </c>
      <c r="V2118" s="77">
        <v>89</v>
      </c>
      <c r="W2118" s="81" t="s">
        <v>2947</v>
      </c>
      <c r="X2118" s="77"/>
      <c r="Y2118" s="77"/>
      <c r="Z2118" s="77"/>
      <c r="AA2118" s="77" t="s">
        <v>5773</v>
      </c>
      <c r="AB2118" s="77" t="s">
        <v>5795</v>
      </c>
      <c r="AC2118" s="81" t="s">
        <v>5803</v>
      </c>
      <c r="AD2118" s="77" t="s">
        <v>5851</v>
      </c>
      <c r="AE2118" s="83" t="str">
        <f>HYPERLINK("https://twitter.com/venezianolopes/status/1674746227437518848")</f>
        <v>https://twitter.com/venezianolopes/status/1674746227437518848</v>
      </c>
      <c r="AF2118" s="79">
        <v>45107.490624999999</v>
      </c>
      <c r="AG2118" s="85">
        <v>45107</v>
      </c>
      <c r="AH2118" s="81" t="s">
        <v>7704</v>
      </c>
      <c r="AI2118" s="77" t="b">
        <v>0</v>
      </c>
      <c r="AJ2118" s="77"/>
      <c r="AK2118" s="77"/>
      <c r="AL2118" s="77"/>
      <c r="AM2118" s="77"/>
      <c r="AN2118" s="77"/>
      <c r="AO2118" s="77"/>
      <c r="AP2118" s="77"/>
      <c r="AQ2118" s="77" t="s">
        <v>9271</v>
      </c>
      <c r="AR2118" s="77">
        <v>85436</v>
      </c>
      <c r="AS2118" s="77"/>
      <c r="AT2118" s="77"/>
      <c r="AU2118" s="77"/>
      <c r="AV2118" s="83" t="str">
        <f>HYPERLINK("https://pbs.twimg.com/ext_tw_video_thumb/1674746105278365698/pu/img/FDlyC6VV3jNlBtaA.jpg")</f>
        <v>https://pbs.twimg.com/ext_tw_video_thumb/1674746105278365698/pu/img/FDlyC6VV3jNlBtaA.jpg</v>
      </c>
      <c r="AW2118" s="81" t="s">
        <v>11224</v>
      </c>
      <c r="AX2118" s="81" t="s">
        <v>11224</v>
      </c>
      <c r="AY2118" s="77"/>
      <c r="AZ2118" s="81" t="s">
        <v>11359</v>
      </c>
      <c r="BA2118" s="81" t="s">
        <v>11359</v>
      </c>
      <c r="BB2118" s="81" t="s">
        <v>11359</v>
      </c>
      <c r="BC2118" s="81" t="s">
        <v>11224</v>
      </c>
      <c r="BD2118" s="81" t="s">
        <v>11708</v>
      </c>
      <c r="BE2118" s="77"/>
      <c r="BF2118" s="77"/>
      <c r="BG2118" s="77"/>
      <c r="BH2118" s="77"/>
      <c r="BI2118" s="77"/>
    </row>
    <row r="2119" spans="1:61" x14ac:dyDescent="0.25">
      <c r="A2119" s="62" t="s">
        <v>864</v>
      </c>
      <c r="B2119" s="62" t="s">
        <v>864</v>
      </c>
      <c r="C2119" s="63"/>
      <c r="D2119" s="64"/>
      <c r="E2119" s="65"/>
      <c r="F2119" s="66"/>
      <c r="G2119" s="63"/>
      <c r="H2119" s="67"/>
      <c r="I2119" s="68"/>
      <c r="J2119" s="68"/>
      <c r="K2119" s="32"/>
      <c r="L2119" s="75">
        <v>2119</v>
      </c>
      <c r="M2119" s="75"/>
      <c r="N2119" s="70"/>
      <c r="O2119" s="77" t="s">
        <v>179</v>
      </c>
      <c r="P2119" s="79">
        <v>45151.921631944446</v>
      </c>
      <c r="Q2119" s="77" t="s">
        <v>2893</v>
      </c>
      <c r="R2119" s="77">
        <v>0</v>
      </c>
      <c r="S2119" s="77">
        <v>0</v>
      </c>
      <c r="T2119" s="77">
        <v>0</v>
      </c>
      <c r="U2119" s="77">
        <v>0</v>
      </c>
      <c r="V2119" s="77">
        <v>20</v>
      </c>
      <c r="W2119" s="81" t="s">
        <v>4137</v>
      </c>
      <c r="X2119" s="77"/>
      <c r="Y2119" s="77"/>
      <c r="Z2119" s="77"/>
      <c r="AA2119" s="77"/>
      <c r="AB2119" s="77"/>
      <c r="AC2119" s="81" t="s">
        <v>5803</v>
      </c>
      <c r="AD2119" s="77" t="s">
        <v>5851</v>
      </c>
      <c r="AE2119" s="83" t="str">
        <f>HYPERLINK("https://twitter.com/venezianolopes/status/1690847483386011649")</f>
        <v>https://twitter.com/venezianolopes/status/1690847483386011649</v>
      </c>
      <c r="AF2119" s="79">
        <v>45151.921631944446</v>
      </c>
      <c r="AG2119" s="85">
        <v>45151</v>
      </c>
      <c r="AH2119" s="81" t="s">
        <v>7705</v>
      </c>
      <c r="AI2119" s="77"/>
      <c r="AJ2119" s="77"/>
      <c r="AK2119" s="77"/>
      <c r="AL2119" s="77"/>
      <c r="AM2119" s="77"/>
      <c r="AN2119" s="77"/>
      <c r="AO2119" s="77"/>
      <c r="AP2119" s="77"/>
      <c r="AQ2119" s="77"/>
      <c r="AR2119" s="77"/>
      <c r="AS2119" s="77"/>
      <c r="AT2119" s="77"/>
      <c r="AU2119" s="77"/>
      <c r="AV2119" s="83" t="str">
        <f>HYPERLINK("https://pbs.twimg.com/profile_images/1670873499353661442/dWwTl0F7_normal.jpg")</f>
        <v>https://pbs.twimg.com/profile_images/1670873499353661442/dWwTl0F7_normal.jpg</v>
      </c>
      <c r="AW2119" s="81" t="s">
        <v>11225</v>
      </c>
      <c r="AX2119" s="81" t="s">
        <v>11225</v>
      </c>
      <c r="AY2119" s="77"/>
      <c r="AZ2119" s="81" t="s">
        <v>11359</v>
      </c>
      <c r="BA2119" s="81" t="s">
        <v>11359</v>
      </c>
      <c r="BB2119" s="81" t="s">
        <v>11359</v>
      </c>
      <c r="BC2119" s="81" t="s">
        <v>11225</v>
      </c>
      <c r="BD2119" s="81" t="s">
        <v>11708</v>
      </c>
      <c r="BE2119" s="77"/>
      <c r="BF2119" s="77"/>
      <c r="BG2119" s="77"/>
      <c r="BH2119" s="77"/>
      <c r="BI2119" s="77"/>
    </row>
    <row r="2120" spans="1:61" x14ac:dyDescent="0.25">
      <c r="A2120" s="62" t="s">
        <v>865</v>
      </c>
      <c r="B2120" s="62" t="s">
        <v>865</v>
      </c>
      <c r="C2120" s="63"/>
      <c r="D2120" s="64"/>
      <c r="E2120" s="65"/>
      <c r="F2120" s="66"/>
      <c r="G2120" s="63"/>
      <c r="H2120" s="67"/>
      <c r="I2120" s="68"/>
      <c r="J2120" s="68"/>
      <c r="K2120" s="32"/>
      <c r="L2120" s="75">
        <v>2120</v>
      </c>
      <c r="M2120" s="75"/>
      <c r="N2120" s="70"/>
      <c r="O2120" s="77" t="s">
        <v>179</v>
      </c>
      <c r="P2120" s="79">
        <v>45071.770972222221</v>
      </c>
      <c r="Q2120" s="77" t="s">
        <v>2894</v>
      </c>
      <c r="R2120" s="77">
        <v>0</v>
      </c>
      <c r="S2120" s="77">
        <v>1</v>
      </c>
      <c r="T2120" s="77">
        <v>0</v>
      </c>
      <c r="U2120" s="77">
        <v>0</v>
      </c>
      <c r="V2120" s="77">
        <v>4</v>
      </c>
      <c r="W2120" s="81" t="s">
        <v>4138</v>
      </c>
      <c r="X2120" s="83" t="str">
        <f>HYPERLINK("http://www.motorvirtualgt.com")</f>
        <v>http://www.motorvirtualgt.com</v>
      </c>
      <c r="Y2120" s="77" t="s">
        <v>4358</v>
      </c>
      <c r="Z2120" s="77"/>
      <c r="AA2120" s="77" t="s">
        <v>5774</v>
      </c>
      <c r="AB2120" s="77" t="s">
        <v>5794</v>
      </c>
      <c r="AC2120" s="81" t="s">
        <v>5849</v>
      </c>
      <c r="AD2120" s="77" t="s">
        <v>5850</v>
      </c>
      <c r="AE2120" s="83" t="str">
        <f>HYPERLINK("https://twitter.com/motorvirtualgt/status/1661801858044936192")</f>
        <v>https://twitter.com/motorvirtualgt/status/1661801858044936192</v>
      </c>
      <c r="AF2120" s="79">
        <v>45071.770972222221</v>
      </c>
      <c r="AG2120" s="85">
        <v>45071</v>
      </c>
      <c r="AH2120" s="81" t="s">
        <v>7706</v>
      </c>
      <c r="AI2120" s="77" t="b">
        <v>0</v>
      </c>
      <c r="AJ2120" s="77"/>
      <c r="AK2120" s="77"/>
      <c r="AL2120" s="77"/>
      <c r="AM2120" s="77"/>
      <c r="AN2120" s="77"/>
      <c r="AO2120" s="77"/>
      <c r="AP2120" s="77"/>
      <c r="AQ2120" s="77" t="s">
        <v>9272</v>
      </c>
      <c r="AR2120" s="77"/>
      <c r="AS2120" s="77"/>
      <c r="AT2120" s="77"/>
      <c r="AU2120" s="77"/>
      <c r="AV2120" s="83" t="str">
        <f>HYPERLINK("https://pbs.twimg.com/media/Fw_n-9DakAIKdhB.jpg")</f>
        <v>https://pbs.twimg.com/media/Fw_n-9DakAIKdhB.jpg</v>
      </c>
      <c r="AW2120" s="81" t="s">
        <v>11226</v>
      </c>
      <c r="AX2120" s="81" t="s">
        <v>11226</v>
      </c>
      <c r="AY2120" s="77"/>
      <c r="AZ2120" s="81" t="s">
        <v>11359</v>
      </c>
      <c r="BA2120" s="81" t="s">
        <v>11359</v>
      </c>
      <c r="BB2120" s="81" t="s">
        <v>11359</v>
      </c>
      <c r="BC2120" s="81" t="s">
        <v>11226</v>
      </c>
      <c r="BD2120" s="81" t="s">
        <v>11709</v>
      </c>
      <c r="BE2120" s="77"/>
      <c r="BF2120" s="77"/>
      <c r="BG2120" s="77"/>
      <c r="BH2120" s="77"/>
      <c r="BI2120" s="77"/>
    </row>
    <row r="2121" spans="1:61" x14ac:dyDescent="0.25">
      <c r="A2121" s="62" t="s">
        <v>866</v>
      </c>
      <c r="B2121" s="62" t="s">
        <v>866</v>
      </c>
      <c r="C2121" s="63"/>
      <c r="D2121" s="64"/>
      <c r="E2121" s="65"/>
      <c r="F2121" s="66"/>
      <c r="G2121" s="63"/>
      <c r="H2121" s="67"/>
      <c r="I2121" s="68"/>
      <c r="J2121" s="68"/>
      <c r="K2121" s="32"/>
      <c r="L2121" s="75">
        <v>2121</v>
      </c>
      <c r="M2121" s="75"/>
      <c r="N2121" s="70"/>
      <c r="O2121" s="77" t="s">
        <v>179</v>
      </c>
      <c r="P2121" s="79">
        <v>45078.941874999997</v>
      </c>
      <c r="Q2121" s="77" t="s">
        <v>2895</v>
      </c>
      <c r="R2121" s="77">
        <v>0</v>
      </c>
      <c r="S2121" s="77">
        <v>0</v>
      </c>
      <c r="T2121" s="77">
        <v>0</v>
      </c>
      <c r="U2121" s="77">
        <v>0</v>
      </c>
      <c r="V2121" s="77">
        <v>326</v>
      </c>
      <c r="W2121" s="81" t="s">
        <v>4139</v>
      </c>
      <c r="X2121" s="83" t="str">
        <f>HYPERLINK("https://www.diariojornada.com.ar/348072/policiales/miserable_a_punta_de_pistola_le_robo_lo_recaudado_a_un_vendedor_ambulante_video")</f>
        <v>https://www.diariojornada.com.ar/348072/policiales/miserable_a_punta_de_pistola_le_robo_lo_recaudado_a_un_vendedor_ambulante_video</v>
      </c>
      <c r="Y2121" s="77" t="s">
        <v>4231</v>
      </c>
      <c r="Z2121" s="77"/>
      <c r="AA2121" s="77" t="s">
        <v>5775</v>
      </c>
      <c r="AB2121" s="77" t="s">
        <v>5794</v>
      </c>
      <c r="AC2121" s="81" t="s">
        <v>5805</v>
      </c>
      <c r="AD2121" s="77" t="s">
        <v>5850</v>
      </c>
      <c r="AE2121" s="83" t="str">
        <f>HYPERLINK("https://twitter.com/jornadaweb/status/1664400505508974592")</f>
        <v>https://twitter.com/jornadaweb/status/1664400505508974592</v>
      </c>
      <c r="AF2121" s="79">
        <v>45078.941874999997</v>
      </c>
      <c r="AG2121" s="85">
        <v>45078</v>
      </c>
      <c r="AH2121" s="81" t="s">
        <v>7707</v>
      </c>
      <c r="AI2121" s="77" t="b">
        <v>0</v>
      </c>
      <c r="AJ2121" s="77"/>
      <c r="AK2121" s="77"/>
      <c r="AL2121" s="77"/>
      <c r="AM2121" s="77"/>
      <c r="AN2121" s="77"/>
      <c r="AO2121" s="77"/>
      <c r="AP2121" s="77"/>
      <c r="AQ2121" s="77" t="s">
        <v>9273</v>
      </c>
      <c r="AR2121" s="77"/>
      <c r="AS2121" s="77"/>
      <c r="AT2121" s="77"/>
      <c r="AU2121" s="77"/>
      <c r="AV2121" s="83" t="str">
        <f>HYPERLINK("https://pbs.twimg.com/media/FxkjbVaXsAEjCrg.jpg")</f>
        <v>https://pbs.twimg.com/media/FxkjbVaXsAEjCrg.jpg</v>
      </c>
      <c r="AW2121" s="81" t="s">
        <v>11227</v>
      </c>
      <c r="AX2121" s="81" t="s">
        <v>11227</v>
      </c>
      <c r="AY2121" s="77"/>
      <c r="AZ2121" s="81" t="s">
        <v>11359</v>
      </c>
      <c r="BA2121" s="81" t="s">
        <v>11359</v>
      </c>
      <c r="BB2121" s="81" t="s">
        <v>11359</v>
      </c>
      <c r="BC2121" s="81" t="s">
        <v>11227</v>
      </c>
      <c r="BD2121" s="77">
        <v>250662294</v>
      </c>
      <c r="BE2121" s="77"/>
      <c r="BF2121" s="77"/>
      <c r="BG2121" s="77"/>
      <c r="BH2121" s="77"/>
      <c r="BI2121" s="77"/>
    </row>
    <row r="2122" spans="1:61" x14ac:dyDescent="0.25">
      <c r="A2122" s="62" t="s">
        <v>867</v>
      </c>
      <c r="B2122" s="62" t="s">
        <v>867</v>
      </c>
      <c r="C2122" s="63"/>
      <c r="D2122" s="64"/>
      <c r="E2122" s="65"/>
      <c r="F2122" s="66"/>
      <c r="G2122" s="63"/>
      <c r="H2122" s="67"/>
      <c r="I2122" s="68"/>
      <c r="J2122" s="68"/>
      <c r="K2122" s="32"/>
      <c r="L2122" s="75">
        <v>2122</v>
      </c>
      <c r="M2122" s="75"/>
      <c r="N2122" s="70"/>
      <c r="O2122" s="77" t="s">
        <v>179</v>
      </c>
      <c r="P2122" s="79">
        <v>45075.845578703702</v>
      </c>
      <c r="Q2122" s="77" t="s">
        <v>2896</v>
      </c>
      <c r="R2122" s="77">
        <v>0</v>
      </c>
      <c r="S2122" s="77">
        <v>0</v>
      </c>
      <c r="T2122" s="77">
        <v>0</v>
      </c>
      <c r="U2122" s="77">
        <v>0</v>
      </c>
      <c r="V2122" s="77">
        <v>6</v>
      </c>
      <c r="W2122" s="81" t="s">
        <v>4140</v>
      </c>
      <c r="X2122" s="83" t="str">
        <f>HYPERLINK("https://comunidadeempregope.com.br/vaga/vendedor-pap-jr-com-salario-de-r-1-33000-para-empresa-no-segmento-de-tecnologia-e-telecomunicacoes/")</f>
        <v>https://comunidadeempregope.com.br/vaga/vendedor-pap-jr-com-salario-de-r-1-33000-para-empresa-no-segmento-de-tecnologia-e-telecomunicacoes/</v>
      </c>
      <c r="Y2122" s="77" t="s">
        <v>4223</v>
      </c>
      <c r="Z2122" s="77"/>
      <c r="AA2122" s="77" t="s">
        <v>5776</v>
      </c>
      <c r="AB2122" s="77" t="s">
        <v>5794</v>
      </c>
      <c r="AC2122" s="81" t="s">
        <v>5805</v>
      </c>
      <c r="AD2122" s="77" t="s">
        <v>5851</v>
      </c>
      <c r="AE2122" s="83" t="str">
        <f>HYPERLINK("https://twitter.com/comuemprego/status/1663278447064498177")</f>
        <v>https://twitter.com/comuemprego/status/1663278447064498177</v>
      </c>
      <c r="AF2122" s="79">
        <v>45075.845578703702</v>
      </c>
      <c r="AG2122" s="85">
        <v>45075</v>
      </c>
      <c r="AH2122" s="81" t="s">
        <v>7708</v>
      </c>
      <c r="AI2122" s="77" t="b">
        <v>0</v>
      </c>
      <c r="AJ2122" s="77"/>
      <c r="AK2122" s="77"/>
      <c r="AL2122" s="77"/>
      <c r="AM2122" s="77"/>
      <c r="AN2122" s="77"/>
      <c r="AO2122" s="77"/>
      <c r="AP2122" s="77"/>
      <c r="AQ2122" s="77" t="s">
        <v>9274</v>
      </c>
      <c r="AR2122" s="77"/>
      <c r="AS2122" s="77"/>
      <c r="AT2122" s="77"/>
      <c r="AU2122" s="77"/>
      <c r="AV2122" s="83" t="str">
        <f>HYPERLINK("https://pbs.twimg.com/media/FxUm7aFWwAAv25F.png")</f>
        <v>https://pbs.twimg.com/media/FxUm7aFWwAAv25F.png</v>
      </c>
      <c r="AW2122" s="81" t="s">
        <v>11228</v>
      </c>
      <c r="AX2122" s="81" t="s">
        <v>11228</v>
      </c>
      <c r="AY2122" s="77"/>
      <c r="AZ2122" s="81" t="s">
        <v>11359</v>
      </c>
      <c r="BA2122" s="81" t="s">
        <v>11359</v>
      </c>
      <c r="BB2122" s="81" t="s">
        <v>11359</v>
      </c>
      <c r="BC2122" s="81" t="s">
        <v>11228</v>
      </c>
      <c r="BD2122" s="77">
        <v>473803924</v>
      </c>
      <c r="BE2122" s="77"/>
      <c r="BF2122" s="77"/>
      <c r="BG2122" s="77"/>
      <c r="BH2122" s="77"/>
      <c r="BI2122" s="77"/>
    </row>
    <row r="2123" spans="1:61" x14ac:dyDescent="0.25">
      <c r="A2123" s="62" t="s">
        <v>867</v>
      </c>
      <c r="B2123" s="62" t="s">
        <v>867</v>
      </c>
      <c r="C2123" s="63"/>
      <c r="D2123" s="64"/>
      <c r="E2123" s="65"/>
      <c r="F2123" s="66"/>
      <c r="G2123" s="63"/>
      <c r="H2123" s="67"/>
      <c r="I2123" s="68"/>
      <c r="J2123" s="68"/>
      <c r="K2123" s="32"/>
      <c r="L2123" s="75">
        <v>2123</v>
      </c>
      <c r="M2123" s="75"/>
      <c r="N2123" s="70"/>
      <c r="O2123" s="77" t="s">
        <v>179</v>
      </c>
      <c r="P2123" s="79">
        <v>45120.947106481479</v>
      </c>
      <c r="Q2123" s="77" t="s">
        <v>2897</v>
      </c>
      <c r="R2123" s="77">
        <v>0</v>
      </c>
      <c r="S2123" s="77">
        <v>0</v>
      </c>
      <c r="T2123" s="77">
        <v>0</v>
      </c>
      <c r="U2123" s="77">
        <v>0</v>
      </c>
      <c r="V2123" s="77">
        <v>18</v>
      </c>
      <c r="W2123" s="81" t="s">
        <v>4141</v>
      </c>
      <c r="X2123" s="83" t="str">
        <f>HYPERLINK("https://comunidadeempregope.com.br/vaga/vendedora-em-quiosque-02-vagas-com-salario-de-ate-r-2-00000-para-alimentos-biscoitos-e-bolo-de-rolo/")</f>
        <v>https://comunidadeempregope.com.br/vaga/vendedora-em-quiosque-02-vagas-com-salario-de-ate-r-2-00000-para-alimentos-biscoitos-e-bolo-de-rolo/</v>
      </c>
      <c r="Y2123" s="77" t="s">
        <v>4223</v>
      </c>
      <c r="Z2123" s="77"/>
      <c r="AA2123" s="77" t="s">
        <v>5777</v>
      </c>
      <c r="AB2123" s="77" t="s">
        <v>5794</v>
      </c>
      <c r="AC2123" s="81" t="s">
        <v>5805</v>
      </c>
      <c r="AD2123" s="77" t="s">
        <v>5851</v>
      </c>
      <c r="AE2123" s="83" t="str">
        <f>HYPERLINK("https://twitter.com/comuemprego/status/1679622691500720128")</f>
        <v>https://twitter.com/comuemprego/status/1679622691500720128</v>
      </c>
      <c r="AF2123" s="79">
        <v>45120.947106481479</v>
      </c>
      <c r="AG2123" s="85">
        <v>45120</v>
      </c>
      <c r="AH2123" s="81" t="s">
        <v>7709</v>
      </c>
      <c r="AI2123" s="77" t="b">
        <v>0</v>
      </c>
      <c r="AJ2123" s="77"/>
      <c r="AK2123" s="77"/>
      <c r="AL2123" s="77"/>
      <c r="AM2123" s="77"/>
      <c r="AN2123" s="77"/>
      <c r="AO2123" s="77"/>
      <c r="AP2123" s="77"/>
      <c r="AQ2123" s="77" t="s">
        <v>9275</v>
      </c>
      <c r="AR2123" s="77"/>
      <c r="AS2123" s="77"/>
      <c r="AT2123" s="77"/>
      <c r="AU2123" s="77"/>
      <c r="AV2123" s="83" t="str">
        <f>HYPERLINK("https://pbs.twimg.com/media/F0837GPWcAAfHDo.jpg")</f>
        <v>https://pbs.twimg.com/media/F0837GPWcAAfHDo.jpg</v>
      </c>
      <c r="AW2123" s="81" t="s">
        <v>11229</v>
      </c>
      <c r="AX2123" s="81" t="s">
        <v>11229</v>
      </c>
      <c r="AY2123" s="77"/>
      <c r="AZ2123" s="81" t="s">
        <v>11359</v>
      </c>
      <c r="BA2123" s="81" t="s">
        <v>11359</v>
      </c>
      <c r="BB2123" s="81" t="s">
        <v>11359</v>
      </c>
      <c r="BC2123" s="81" t="s">
        <v>11229</v>
      </c>
      <c r="BD2123" s="77">
        <v>473803924</v>
      </c>
      <c r="BE2123" s="77"/>
      <c r="BF2123" s="77"/>
      <c r="BG2123" s="77"/>
      <c r="BH2123" s="77"/>
      <c r="BI2123" s="77"/>
    </row>
    <row r="2124" spans="1:61" x14ac:dyDescent="0.25">
      <c r="A2124" s="62" t="s">
        <v>867</v>
      </c>
      <c r="B2124" s="62" t="s">
        <v>867</v>
      </c>
      <c r="C2124" s="63"/>
      <c r="D2124" s="64"/>
      <c r="E2124" s="65"/>
      <c r="F2124" s="66"/>
      <c r="G2124" s="63"/>
      <c r="H2124" s="67"/>
      <c r="I2124" s="68"/>
      <c r="J2124" s="68"/>
      <c r="K2124" s="32"/>
      <c r="L2124" s="75">
        <v>2124</v>
      </c>
      <c r="M2124" s="75"/>
      <c r="N2124" s="70"/>
      <c r="O2124" s="77" t="s">
        <v>179</v>
      </c>
      <c r="P2124" s="79">
        <v>45085.966539351852</v>
      </c>
      <c r="Q2124" s="77" t="s">
        <v>2898</v>
      </c>
      <c r="R2124" s="77">
        <v>0</v>
      </c>
      <c r="S2124" s="77">
        <v>0</v>
      </c>
      <c r="T2124" s="77">
        <v>0</v>
      </c>
      <c r="U2124" s="77">
        <v>0</v>
      </c>
      <c r="V2124" s="77">
        <v>21</v>
      </c>
      <c r="W2124" s="81" t="s">
        <v>4142</v>
      </c>
      <c r="X2124" s="83" t="str">
        <f>HYPERLINK("https://comunidadeempregope.com.br/vaga/vendedor-em-auto-center-02-vagas-com-salario-de-r-1-75000-para-centro-automotivo/")</f>
        <v>https://comunidadeempregope.com.br/vaga/vendedor-em-auto-center-02-vagas-com-salario-de-r-1-75000-para-centro-automotivo/</v>
      </c>
      <c r="Y2124" s="77" t="s">
        <v>4223</v>
      </c>
      <c r="Z2124" s="77"/>
      <c r="AA2124" s="77" t="s">
        <v>5778</v>
      </c>
      <c r="AB2124" s="77" t="s">
        <v>5794</v>
      </c>
      <c r="AC2124" s="81" t="s">
        <v>5805</v>
      </c>
      <c r="AD2124" s="77" t="s">
        <v>5851</v>
      </c>
      <c r="AE2124" s="83" t="str">
        <f>HYPERLINK("https://twitter.com/comuemprego/status/1666946157946232833")</f>
        <v>https://twitter.com/comuemprego/status/1666946157946232833</v>
      </c>
      <c r="AF2124" s="79">
        <v>45085.966539351852</v>
      </c>
      <c r="AG2124" s="85">
        <v>45085</v>
      </c>
      <c r="AH2124" s="81" t="s">
        <v>7710</v>
      </c>
      <c r="AI2124" s="77" t="b">
        <v>0</v>
      </c>
      <c r="AJ2124" s="77"/>
      <c r="AK2124" s="77"/>
      <c r="AL2124" s="77"/>
      <c r="AM2124" s="77"/>
      <c r="AN2124" s="77"/>
      <c r="AO2124" s="77"/>
      <c r="AP2124" s="77"/>
      <c r="AQ2124" s="77" t="s">
        <v>9276</v>
      </c>
      <c r="AR2124" s="77"/>
      <c r="AS2124" s="77"/>
      <c r="AT2124" s="77"/>
      <c r="AU2124" s="77"/>
      <c r="AV2124" s="83" t="str">
        <f>HYPERLINK("https://pbs.twimg.com/media/FyIusD_WAAc4Y2j.png")</f>
        <v>https://pbs.twimg.com/media/FyIusD_WAAc4Y2j.png</v>
      </c>
      <c r="AW2124" s="81" t="s">
        <v>11230</v>
      </c>
      <c r="AX2124" s="81" t="s">
        <v>11230</v>
      </c>
      <c r="AY2124" s="77"/>
      <c r="AZ2124" s="81" t="s">
        <v>11359</v>
      </c>
      <c r="BA2124" s="81" t="s">
        <v>11359</v>
      </c>
      <c r="BB2124" s="81" t="s">
        <v>11359</v>
      </c>
      <c r="BC2124" s="81" t="s">
        <v>11230</v>
      </c>
      <c r="BD2124" s="77">
        <v>473803924</v>
      </c>
      <c r="BE2124" s="77"/>
      <c r="BF2124" s="77"/>
      <c r="BG2124" s="77"/>
      <c r="BH2124" s="77"/>
      <c r="BI2124" s="77"/>
    </row>
    <row r="2125" spans="1:61" x14ac:dyDescent="0.25">
      <c r="A2125" s="62" t="s">
        <v>867</v>
      </c>
      <c r="B2125" s="62" t="s">
        <v>867</v>
      </c>
      <c r="C2125" s="63"/>
      <c r="D2125" s="64"/>
      <c r="E2125" s="65"/>
      <c r="F2125" s="66"/>
      <c r="G2125" s="63"/>
      <c r="H2125" s="67"/>
      <c r="I2125" s="68"/>
      <c r="J2125" s="68"/>
      <c r="K2125" s="32"/>
      <c r="L2125" s="75">
        <v>2125</v>
      </c>
      <c r="M2125" s="75"/>
      <c r="N2125" s="70"/>
      <c r="O2125" s="77" t="s">
        <v>179</v>
      </c>
      <c r="P2125" s="79">
        <v>45062.7575</v>
      </c>
      <c r="Q2125" s="77" t="s">
        <v>2899</v>
      </c>
      <c r="R2125" s="77">
        <v>0</v>
      </c>
      <c r="S2125" s="77">
        <v>0</v>
      </c>
      <c r="T2125" s="77">
        <v>0</v>
      </c>
      <c r="U2125" s="77">
        <v>0</v>
      </c>
      <c r="V2125" s="77">
        <v>14</v>
      </c>
      <c r="W2125" s="81" t="s">
        <v>2947</v>
      </c>
      <c r="X2125" s="83" t="str">
        <f>HYPERLINK("https://comunidadeempregope.com.br/vaga/vendedor-04-vagas-com-salario-de-ate-r-1-50000-para-segmento-de-eletro-domestico/")</f>
        <v>https://comunidadeempregope.com.br/vaga/vendedor-04-vagas-com-salario-de-ate-r-1-50000-para-segmento-de-eletro-domestico/</v>
      </c>
      <c r="Y2125" s="77" t="s">
        <v>4223</v>
      </c>
      <c r="Z2125" s="77"/>
      <c r="AA2125" s="77" t="s">
        <v>5779</v>
      </c>
      <c r="AB2125" s="77" t="s">
        <v>5794</v>
      </c>
      <c r="AC2125" s="81" t="s">
        <v>5805</v>
      </c>
      <c r="AD2125" s="77" t="s">
        <v>5851</v>
      </c>
      <c r="AE2125" s="83" t="str">
        <f>HYPERLINK("https://twitter.com/comuemprego/status/1658535485982093312")</f>
        <v>https://twitter.com/comuemprego/status/1658535485982093312</v>
      </c>
      <c r="AF2125" s="79">
        <v>45062.7575</v>
      </c>
      <c r="AG2125" s="85">
        <v>45062</v>
      </c>
      <c r="AH2125" s="81" t="s">
        <v>7711</v>
      </c>
      <c r="AI2125" s="77" t="b">
        <v>0</v>
      </c>
      <c r="AJ2125" s="77"/>
      <c r="AK2125" s="77"/>
      <c r="AL2125" s="77"/>
      <c r="AM2125" s="77"/>
      <c r="AN2125" s="77"/>
      <c r="AO2125" s="77"/>
      <c r="AP2125" s="77"/>
      <c r="AQ2125" s="77" t="s">
        <v>9277</v>
      </c>
      <c r="AR2125" s="77"/>
      <c r="AS2125" s="77"/>
      <c r="AT2125" s="77"/>
      <c r="AU2125" s="77"/>
      <c r="AV2125" s="83" t="str">
        <f>HYPERLINK("https://pbs.twimg.com/media/FwRNOvFWYAAvQ5G.png")</f>
        <v>https://pbs.twimg.com/media/FwRNOvFWYAAvQ5G.png</v>
      </c>
      <c r="AW2125" s="81" t="s">
        <v>11231</v>
      </c>
      <c r="AX2125" s="81" t="s">
        <v>11231</v>
      </c>
      <c r="AY2125" s="77"/>
      <c r="AZ2125" s="81" t="s">
        <v>11359</v>
      </c>
      <c r="BA2125" s="81" t="s">
        <v>11359</v>
      </c>
      <c r="BB2125" s="81" t="s">
        <v>11359</v>
      </c>
      <c r="BC2125" s="81" t="s">
        <v>11231</v>
      </c>
      <c r="BD2125" s="77">
        <v>473803924</v>
      </c>
      <c r="BE2125" s="77"/>
      <c r="BF2125" s="77"/>
      <c r="BG2125" s="77"/>
      <c r="BH2125" s="77"/>
      <c r="BI2125" s="77"/>
    </row>
    <row r="2126" spans="1:61" x14ac:dyDescent="0.25">
      <c r="A2126" s="62" t="s">
        <v>867</v>
      </c>
      <c r="B2126" s="62" t="s">
        <v>867</v>
      </c>
      <c r="C2126" s="63"/>
      <c r="D2126" s="64"/>
      <c r="E2126" s="65"/>
      <c r="F2126" s="66"/>
      <c r="G2126" s="63"/>
      <c r="H2126" s="67"/>
      <c r="I2126" s="68"/>
      <c r="J2126" s="68"/>
      <c r="K2126" s="32"/>
      <c r="L2126" s="75">
        <v>2126</v>
      </c>
      <c r="M2126" s="75"/>
      <c r="N2126" s="70"/>
      <c r="O2126" s="77" t="s">
        <v>179</v>
      </c>
      <c r="P2126" s="79">
        <v>45058.824259259258</v>
      </c>
      <c r="Q2126" s="77" t="s">
        <v>2900</v>
      </c>
      <c r="R2126" s="77">
        <v>0</v>
      </c>
      <c r="S2126" s="77">
        <v>0</v>
      </c>
      <c r="T2126" s="77">
        <v>0</v>
      </c>
      <c r="U2126" s="77">
        <v>0</v>
      </c>
      <c r="V2126" s="77">
        <v>15</v>
      </c>
      <c r="W2126" s="81" t="s">
        <v>2947</v>
      </c>
      <c r="X2126" s="83" t="str">
        <f>HYPERLINK("https://comunidadeempregope.com.br/vaga/vendedor-02-vagas-com-salario-de-r-2-30000-para-industria-metalurgica-no-segmento-de-moveis-e-expositores/")</f>
        <v>https://comunidadeempregope.com.br/vaga/vendedor-02-vagas-com-salario-de-r-2-30000-para-industria-metalurgica-no-segmento-de-moveis-e-expositores/</v>
      </c>
      <c r="Y2126" s="77" t="s">
        <v>4223</v>
      </c>
      <c r="Z2126" s="77"/>
      <c r="AA2126" s="77" t="s">
        <v>5780</v>
      </c>
      <c r="AB2126" s="77" t="s">
        <v>5794</v>
      </c>
      <c r="AC2126" s="81" t="s">
        <v>5805</v>
      </c>
      <c r="AD2126" s="77" t="s">
        <v>5851</v>
      </c>
      <c r="AE2126" s="83" t="str">
        <f>HYPERLINK("https://twitter.com/comuemprego/status/1657110126690553870")</f>
        <v>https://twitter.com/comuemprego/status/1657110126690553870</v>
      </c>
      <c r="AF2126" s="79">
        <v>45058.824259259258</v>
      </c>
      <c r="AG2126" s="85">
        <v>45058</v>
      </c>
      <c r="AH2126" s="81" t="s">
        <v>7712</v>
      </c>
      <c r="AI2126" s="77" t="b">
        <v>0</v>
      </c>
      <c r="AJ2126" s="77"/>
      <c r="AK2126" s="77"/>
      <c r="AL2126" s="77"/>
      <c r="AM2126" s="77"/>
      <c r="AN2126" s="77"/>
      <c r="AO2126" s="77"/>
      <c r="AP2126" s="77"/>
      <c r="AQ2126" s="77" t="s">
        <v>9278</v>
      </c>
      <c r="AR2126" s="77"/>
      <c r="AS2126" s="77"/>
      <c r="AT2126" s="77"/>
      <c r="AU2126" s="77"/>
      <c r="AV2126" s="83" t="str">
        <f>HYPERLINK("https://pbs.twimg.com/media/Fv8834YX0BEqyiW.png")</f>
        <v>https://pbs.twimg.com/media/Fv8834YX0BEqyiW.png</v>
      </c>
      <c r="AW2126" s="81" t="s">
        <v>11232</v>
      </c>
      <c r="AX2126" s="81" t="s">
        <v>11232</v>
      </c>
      <c r="AY2126" s="77"/>
      <c r="AZ2126" s="81" t="s">
        <v>11359</v>
      </c>
      <c r="BA2126" s="81" t="s">
        <v>11359</v>
      </c>
      <c r="BB2126" s="81" t="s">
        <v>11359</v>
      </c>
      <c r="BC2126" s="81" t="s">
        <v>11232</v>
      </c>
      <c r="BD2126" s="77">
        <v>473803924</v>
      </c>
      <c r="BE2126" s="77"/>
      <c r="BF2126" s="77"/>
      <c r="BG2126" s="77"/>
      <c r="BH2126" s="77"/>
      <c r="BI2126" s="77"/>
    </row>
    <row r="2127" spans="1:61" x14ac:dyDescent="0.25">
      <c r="A2127" s="62" t="s">
        <v>867</v>
      </c>
      <c r="B2127" s="62" t="s">
        <v>867</v>
      </c>
      <c r="C2127" s="63"/>
      <c r="D2127" s="64"/>
      <c r="E2127" s="65"/>
      <c r="F2127" s="66"/>
      <c r="G2127" s="63"/>
      <c r="H2127" s="67"/>
      <c r="I2127" s="68"/>
      <c r="J2127" s="68"/>
      <c r="K2127" s="32"/>
      <c r="L2127" s="75">
        <v>2127</v>
      </c>
      <c r="M2127" s="75"/>
      <c r="N2127" s="70"/>
      <c r="O2127" s="77" t="s">
        <v>179</v>
      </c>
      <c r="P2127" s="79">
        <v>45149.934004629627</v>
      </c>
      <c r="Q2127" s="77" t="s">
        <v>2901</v>
      </c>
      <c r="R2127" s="77">
        <v>0</v>
      </c>
      <c r="S2127" s="77">
        <v>0</v>
      </c>
      <c r="T2127" s="77">
        <v>0</v>
      </c>
      <c r="U2127" s="77">
        <v>0</v>
      </c>
      <c r="V2127" s="77">
        <v>12</v>
      </c>
      <c r="W2127" s="81" t="s">
        <v>4143</v>
      </c>
      <c r="X2127" s="83" t="str">
        <f>HYPERLINK("https://comunidadeempregope.com.br/vaga/vendedor-de-material-de-construcao-03-vagas-com-salario-de-r-1-50000-para-empresa-de-comercio/")</f>
        <v>https://comunidadeempregope.com.br/vaga/vendedor-de-material-de-construcao-03-vagas-com-salario-de-r-1-50000-para-empresa-de-comercio/</v>
      </c>
      <c r="Y2127" s="77" t="s">
        <v>4223</v>
      </c>
      <c r="Z2127" s="77"/>
      <c r="AA2127" s="77" t="s">
        <v>5781</v>
      </c>
      <c r="AB2127" s="77" t="s">
        <v>5794</v>
      </c>
      <c r="AC2127" s="81" t="s">
        <v>5805</v>
      </c>
      <c r="AD2127" s="77" t="s">
        <v>5851</v>
      </c>
      <c r="AE2127" s="83" t="str">
        <f>HYPERLINK("https://twitter.com/comuemprego/status/1690127194754797570")</f>
        <v>https://twitter.com/comuemprego/status/1690127194754797570</v>
      </c>
      <c r="AF2127" s="79">
        <v>45149.934004629627</v>
      </c>
      <c r="AG2127" s="85">
        <v>45149</v>
      </c>
      <c r="AH2127" s="81" t="s">
        <v>7713</v>
      </c>
      <c r="AI2127" s="77" t="b">
        <v>0</v>
      </c>
      <c r="AJ2127" s="77"/>
      <c r="AK2127" s="77"/>
      <c r="AL2127" s="77"/>
      <c r="AM2127" s="77"/>
      <c r="AN2127" s="77"/>
      <c r="AO2127" s="77"/>
      <c r="AP2127" s="77"/>
      <c r="AQ2127" s="77" t="s">
        <v>9279</v>
      </c>
      <c r="AR2127" s="77"/>
      <c r="AS2127" s="77"/>
      <c r="AT2127" s="77"/>
      <c r="AU2127" s="77"/>
      <c r="AV2127" s="83" t="str">
        <f>HYPERLINK("https://pbs.twimg.com/media/F3SJuQwWYAAqYh9.jpg")</f>
        <v>https://pbs.twimg.com/media/F3SJuQwWYAAqYh9.jpg</v>
      </c>
      <c r="AW2127" s="81" t="s">
        <v>11233</v>
      </c>
      <c r="AX2127" s="81" t="s">
        <v>11233</v>
      </c>
      <c r="AY2127" s="77"/>
      <c r="AZ2127" s="81" t="s">
        <v>11359</v>
      </c>
      <c r="BA2127" s="81" t="s">
        <v>11359</v>
      </c>
      <c r="BB2127" s="81" t="s">
        <v>11359</v>
      </c>
      <c r="BC2127" s="81" t="s">
        <v>11233</v>
      </c>
      <c r="BD2127" s="77">
        <v>473803924</v>
      </c>
      <c r="BE2127" s="77"/>
      <c r="BF2127" s="77"/>
      <c r="BG2127" s="77"/>
      <c r="BH2127" s="77"/>
      <c r="BI2127" s="77"/>
    </row>
    <row r="2128" spans="1:61" x14ac:dyDescent="0.25">
      <c r="A2128" s="62" t="s">
        <v>867</v>
      </c>
      <c r="B2128" s="62" t="s">
        <v>867</v>
      </c>
      <c r="C2128" s="63"/>
      <c r="D2128" s="64"/>
      <c r="E2128" s="65"/>
      <c r="F2128" s="66"/>
      <c r="G2128" s="63"/>
      <c r="H2128" s="67"/>
      <c r="I2128" s="68"/>
      <c r="J2128" s="68"/>
      <c r="K2128" s="32"/>
      <c r="L2128" s="75">
        <v>2128</v>
      </c>
      <c r="M2128" s="75"/>
      <c r="N2128" s="70"/>
      <c r="O2128" s="77" t="s">
        <v>179</v>
      </c>
      <c r="P2128" s="79">
        <v>45077.791331018518</v>
      </c>
      <c r="Q2128" s="77" t="s">
        <v>2902</v>
      </c>
      <c r="R2128" s="77">
        <v>0</v>
      </c>
      <c r="S2128" s="77">
        <v>0</v>
      </c>
      <c r="T2128" s="77">
        <v>0</v>
      </c>
      <c r="U2128" s="77">
        <v>0</v>
      </c>
      <c r="V2128" s="77">
        <v>8</v>
      </c>
      <c r="W2128" s="81" t="s">
        <v>2947</v>
      </c>
      <c r="X2128" s="83" t="str">
        <f>HYPERLINK("https://comunidadeempregope.com.br/vaga/vendedor-de-frutos-do-mar-com-salario-de-r-1-32000-para-comercio-de-pescados/")</f>
        <v>https://comunidadeempregope.com.br/vaga/vendedor-de-frutos-do-mar-com-salario-de-r-1-32000-para-comercio-de-pescados/</v>
      </c>
      <c r="Y2128" s="77" t="s">
        <v>4223</v>
      </c>
      <c r="Z2128" s="77"/>
      <c r="AA2128" s="77" t="s">
        <v>5782</v>
      </c>
      <c r="AB2128" s="77" t="s">
        <v>5794</v>
      </c>
      <c r="AC2128" s="81" t="s">
        <v>5805</v>
      </c>
      <c r="AD2128" s="77" t="s">
        <v>5851</v>
      </c>
      <c r="AE2128" s="83" t="str">
        <f>HYPERLINK("https://twitter.com/comuemprego/status/1663983562326982678")</f>
        <v>https://twitter.com/comuemprego/status/1663983562326982678</v>
      </c>
      <c r="AF2128" s="79">
        <v>45077.791331018518</v>
      </c>
      <c r="AG2128" s="85">
        <v>45077</v>
      </c>
      <c r="AH2128" s="81" t="s">
        <v>7714</v>
      </c>
      <c r="AI2128" s="77" t="b">
        <v>0</v>
      </c>
      <c r="AJ2128" s="77"/>
      <c r="AK2128" s="77"/>
      <c r="AL2128" s="77"/>
      <c r="AM2128" s="77"/>
      <c r="AN2128" s="77"/>
      <c r="AO2128" s="77"/>
      <c r="AP2128" s="77"/>
      <c r="AQ2128" s="77" t="s">
        <v>9280</v>
      </c>
      <c r="AR2128" s="77"/>
      <c r="AS2128" s="77"/>
      <c r="AT2128" s="77"/>
      <c r="AU2128" s="77"/>
      <c r="AV2128" s="83" t="str">
        <f>HYPERLINK("https://pbs.twimg.com/media/FxeoOlsWwBAGndk.png")</f>
        <v>https://pbs.twimg.com/media/FxeoOlsWwBAGndk.png</v>
      </c>
      <c r="AW2128" s="81" t="s">
        <v>11234</v>
      </c>
      <c r="AX2128" s="81" t="s">
        <v>11234</v>
      </c>
      <c r="AY2128" s="77"/>
      <c r="AZ2128" s="81" t="s">
        <v>11359</v>
      </c>
      <c r="BA2128" s="81" t="s">
        <v>11359</v>
      </c>
      <c r="BB2128" s="81" t="s">
        <v>11359</v>
      </c>
      <c r="BC2128" s="81" t="s">
        <v>11234</v>
      </c>
      <c r="BD2128" s="77">
        <v>473803924</v>
      </c>
      <c r="BE2128" s="77"/>
      <c r="BF2128" s="77"/>
      <c r="BG2128" s="77"/>
      <c r="BH2128" s="77"/>
      <c r="BI2128" s="77"/>
    </row>
    <row r="2129" spans="1:61" x14ac:dyDescent="0.25">
      <c r="A2129" s="62" t="s">
        <v>867</v>
      </c>
      <c r="B2129" s="62" t="s">
        <v>867</v>
      </c>
      <c r="C2129" s="63"/>
      <c r="D2129" s="64"/>
      <c r="E2129" s="65"/>
      <c r="F2129" s="66"/>
      <c r="G2129" s="63"/>
      <c r="H2129" s="67"/>
      <c r="I2129" s="68"/>
      <c r="J2129" s="68"/>
      <c r="K2129" s="32"/>
      <c r="L2129" s="75">
        <v>2129</v>
      </c>
      <c r="M2129" s="75"/>
      <c r="N2129" s="70"/>
      <c r="O2129" s="77" t="s">
        <v>179</v>
      </c>
      <c r="P2129" s="79">
        <v>45044.714201388888</v>
      </c>
      <c r="Q2129" s="77" t="s">
        <v>2903</v>
      </c>
      <c r="R2129" s="77">
        <v>0</v>
      </c>
      <c r="S2129" s="77">
        <v>0</v>
      </c>
      <c r="T2129" s="77">
        <v>0</v>
      </c>
      <c r="U2129" s="77">
        <v>0</v>
      </c>
      <c r="V2129" s="77">
        <v>15</v>
      </c>
      <c r="W2129" s="81" t="s">
        <v>2947</v>
      </c>
      <c r="X2129" s="83" t="str">
        <f>HYPERLINK("https://comunidadeempregope.com.br/vaga/vendedora-com-salario-de-r-2-50000-e-conhecimento-em-hidraulica-e-eletrica/")</f>
        <v>https://comunidadeempregope.com.br/vaga/vendedora-com-salario-de-r-2-50000-e-conhecimento-em-hidraulica-e-eletrica/</v>
      </c>
      <c r="Y2129" s="77" t="s">
        <v>4223</v>
      </c>
      <c r="Z2129" s="77"/>
      <c r="AA2129" s="77" t="s">
        <v>5783</v>
      </c>
      <c r="AB2129" s="77" t="s">
        <v>5794</v>
      </c>
      <c r="AC2129" s="81" t="s">
        <v>5805</v>
      </c>
      <c r="AD2129" s="77" t="s">
        <v>5851</v>
      </c>
      <c r="AE2129" s="83" t="str">
        <f>HYPERLINK("https://twitter.com/comuemprego/status/1651996812524281856")</f>
        <v>https://twitter.com/comuemprego/status/1651996812524281856</v>
      </c>
      <c r="AF2129" s="79">
        <v>45044.714201388888</v>
      </c>
      <c r="AG2129" s="85">
        <v>45044</v>
      </c>
      <c r="AH2129" s="81" t="s">
        <v>7715</v>
      </c>
      <c r="AI2129" s="77" t="b">
        <v>0</v>
      </c>
      <c r="AJ2129" s="77"/>
      <c r="AK2129" s="77"/>
      <c r="AL2129" s="77"/>
      <c r="AM2129" s="77"/>
      <c r="AN2129" s="77"/>
      <c r="AO2129" s="77"/>
      <c r="AP2129" s="77"/>
      <c r="AQ2129" s="77" t="s">
        <v>9281</v>
      </c>
      <c r="AR2129" s="77"/>
      <c r="AS2129" s="77"/>
      <c r="AT2129" s="77"/>
      <c r="AU2129" s="77"/>
      <c r="AV2129" s="83" t="str">
        <f>HYPERLINK("https://pbs.twimg.com/media/Fu0SV1kXsBwS_Yq.png")</f>
        <v>https://pbs.twimg.com/media/Fu0SV1kXsBwS_Yq.png</v>
      </c>
      <c r="AW2129" s="81" t="s">
        <v>11235</v>
      </c>
      <c r="AX2129" s="81" t="s">
        <v>11235</v>
      </c>
      <c r="AY2129" s="77"/>
      <c r="AZ2129" s="81" t="s">
        <v>11359</v>
      </c>
      <c r="BA2129" s="81" t="s">
        <v>11359</v>
      </c>
      <c r="BB2129" s="81" t="s">
        <v>11359</v>
      </c>
      <c r="BC2129" s="81" t="s">
        <v>11235</v>
      </c>
      <c r="BD2129" s="77">
        <v>473803924</v>
      </c>
      <c r="BE2129" s="77"/>
      <c r="BF2129" s="77"/>
      <c r="BG2129" s="77"/>
      <c r="BH2129" s="77"/>
      <c r="BI2129" s="77"/>
    </row>
    <row r="2130" spans="1:61" x14ac:dyDescent="0.25">
      <c r="A2130" s="62" t="s">
        <v>867</v>
      </c>
      <c r="B2130" s="62" t="s">
        <v>867</v>
      </c>
      <c r="C2130" s="63"/>
      <c r="D2130" s="64"/>
      <c r="E2130" s="65"/>
      <c r="F2130" s="66"/>
      <c r="G2130" s="63"/>
      <c r="H2130" s="67"/>
      <c r="I2130" s="68"/>
      <c r="J2130" s="68"/>
      <c r="K2130" s="32"/>
      <c r="L2130" s="75">
        <v>2130</v>
      </c>
      <c r="M2130" s="75"/>
      <c r="N2130" s="70"/>
      <c r="O2130" s="77" t="s">
        <v>179</v>
      </c>
      <c r="P2130" s="79">
        <v>44929.525173611109</v>
      </c>
      <c r="Q2130" s="77" t="s">
        <v>2904</v>
      </c>
      <c r="R2130" s="77">
        <v>0</v>
      </c>
      <c r="S2130" s="77">
        <v>0</v>
      </c>
      <c r="T2130" s="77">
        <v>0</v>
      </c>
      <c r="U2130" s="77">
        <v>0</v>
      </c>
      <c r="V2130" s="77">
        <v>5</v>
      </c>
      <c r="W2130" s="81" t="s">
        <v>2947</v>
      </c>
      <c r="X2130" s="77" t="s">
        <v>4212</v>
      </c>
      <c r="Y2130" s="77" t="s">
        <v>4282</v>
      </c>
      <c r="Z2130" s="77"/>
      <c r="AA2130" s="77"/>
      <c r="AB2130" s="77"/>
      <c r="AC2130" s="81" t="s">
        <v>5810</v>
      </c>
      <c r="AD2130" s="77" t="s">
        <v>5851</v>
      </c>
      <c r="AE2130" s="83" t="str">
        <f>HYPERLINK("https://twitter.com/comuemprego/status/1610253707333062657")</f>
        <v>https://twitter.com/comuemprego/status/1610253707333062657</v>
      </c>
      <c r="AF2130" s="79">
        <v>44929.525173611109</v>
      </c>
      <c r="AG2130" s="85">
        <v>44929</v>
      </c>
      <c r="AH2130" s="81" t="s">
        <v>7716</v>
      </c>
      <c r="AI2130" s="77" t="b">
        <v>0</v>
      </c>
      <c r="AJ2130" s="77"/>
      <c r="AK2130" s="77"/>
      <c r="AL2130" s="77"/>
      <c r="AM2130" s="77"/>
      <c r="AN2130" s="77"/>
      <c r="AO2130" s="77"/>
      <c r="AP2130" s="77"/>
      <c r="AQ2130" s="77"/>
      <c r="AR2130" s="77"/>
      <c r="AS2130" s="77"/>
      <c r="AT2130" s="77"/>
      <c r="AU2130" s="77"/>
      <c r="AV2130" s="83" t="str">
        <f>HYPERLINK("https://pbs.twimg.com/profile_images/841633848119164928/dQn_v0ng_normal.jpg")</f>
        <v>https://pbs.twimg.com/profile_images/841633848119164928/dQn_v0ng_normal.jpg</v>
      </c>
      <c r="AW2130" s="81" t="s">
        <v>11236</v>
      </c>
      <c r="AX2130" s="81" t="s">
        <v>11236</v>
      </c>
      <c r="AY2130" s="77"/>
      <c r="AZ2130" s="81" t="s">
        <v>11359</v>
      </c>
      <c r="BA2130" s="81" t="s">
        <v>11359</v>
      </c>
      <c r="BB2130" s="81" t="s">
        <v>11359</v>
      </c>
      <c r="BC2130" s="81" t="s">
        <v>11236</v>
      </c>
      <c r="BD2130" s="77">
        <v>473803924</v>
      </c>
      <c r="BE2130" s="77"/>
      <c r="BF2130" s="77"/>
      <c r="BG2130" s="77"/>
      <c r="BH2130" s="77"/>
      <c r="BI2130" s="77"/>
    </row>
    <row r="2131" spans="1:61" x14ac:dyDescent="0.25">
      <c r="A2131" s="62" t="s">
        <v>867</v>
      </c>
      <c r="B2131" s="62" t="s">
        <v>867</v>
      </c>
      <c r="C2131" s="63"/>
      <c r="D2131" s="64"/>
      <c r="E2131" s="65"/>
      <c r="F2131" s="66"/>
      <c r="G2131" s="63"/>
      <c r="H2131" s="67"/>
      <c r="I2131" s="68"/>
      <c r="J2131" s="68"/>
      <c r="K2131" s="32"/>
      <c r="L2131" s="75">
        <v>2131</v>
      </c>
      <c r="M2131" s="75"/>
      <c r="N2131" s="70"/>
      <c r="O2131" s="77" t="s">
        <v>179</v>
      </c>
      <c r="P2131" s="79">
        <v>45175.682893518519</v>
      </c>
      <c r="Q2131" s="77" t="s">
        <v>2905</v>
      </c>
      <c r="R2131" s="77">
        <v>0</v>
      </c>
      <c r="S2131" s="77">
        <v>0</v>
      </c>
      <c r="T2131" s="77">
        <v>0</v>
      </c>
      <c r="U2131" s="77">
        <v>0</v>
      </c>
      <c r="V2131" s="77">
        <v>20</v>
      </c>
      <c r="W2131" s="81" t="s">
        <v>4144</v>
      </c>
      <c r="X2131" s="83" t="str">
        <f>HYPERLINK("https://comunidadeempregope.com.br/vaga/vendedor-de-material-de-construcao-com-salario-de-r-150000-para-pesssoas-com-deficiencia/")</f>
        <v>https://comunidadeempregope.com.br/vaga/vendedor-de-material-de-construcao-com-salario-de-r-150000-para-pesssoas-com-deficiencia/</v>
      </c>
      <c r="Y2131" s="77" t="s">
        <v>4223</v>
      </c>
      <c r="Z2131" s="77"/>
      <c r="AA2131" s="77" t="s">
        <v>5784</v>
      </c>
      <c r="AB2131" s="77" t="s">
        <v>5794</v>
      </c>
      <c r="AC2131" s="81" t="s">
        <v>5805</v>
      </c>
      <c r="AD2131" s="77" t="s">
        <v>5851</v>
      </c>
      <c r="AE2131" s="83" t="str">
        <f>HYPERLINK("https://twitter.com/comuemprego/status/1699458279791845556")</f>
        <v>https://twitter.com/comuemprego/status/1699458279791845556</v>
      </c>
      <c r="AF2131" s="79">
        <v>45175.682893518519</v>
      </c>
      <c r="AG2131" s="85">
        <v>45175</v>
      </c>
      <c r="AH2131" s="81" t="s">
        <v>7717</v>
      </c>
      <c r="AI2131" s="77" t="b">
        <v>0</v>
      </c>
      <c r="AJ2131" s="77"/>
      <c r="AK2131" s="77"/>
      <c r="AL2131" s="77"/>
      <c r="AM2131" s="77"/>
      <c r="AN2131" s="77"/>
      <c r="AO2131" s="77"/>
      <c r="AP2131" s="77"/>
      <c r="AQ2131" s="77" t="s">
        <v>9282</v>
      </c>
      <c r="AR2131" s="77"/>
      <c r="AS2131" s="77"/>
      <c r="AT2131" s="77"/>
      <c r="AU2131" s="77"/>
      <c r="AV2131" s="83" t="str">
        <f>HYPERLINK("https://pbs.twimg.com/media/F5WwS2SXAAASurN.jpg")</f>
        <v>https://pbs.twimg.com/media/F5WwS2SXAAASurN.jpg</v>
      </c>
      <c r="AW2131" s="81" t="s">
        <v>11237</v>
      </c>
      <c r="AX2131" s="81" t="s">
        <v>11237</v>
      </c>
      <c r="AY2131" s="77"/>
      <c r="AZ2131" s="81" t="s">
        <v>11359</v>
      </c>
      <c r="BA2131" s="81" t="s">
        <v>11359</v>
      </c>
      <c r="BB2131" s="81" t="s">
        <v>11359</v>
      </c>
      <c r="BC2131" s="81" t="s">
        <v>11237</v>
      </c>
      <c r="BD2131" s="77">
        <v>473803924</v>
      </c>
      <c r="BE2131" s="77"/>
      <c r="BF2131" s="77"/>
      <c r="BG2131" s="77"/>
      <c r="BH2131" s="77"/>
      <c r="BI2131" s="77"/>
    </row>
    <row r="2132" spans="1:61" x14ac:dyDescent="0.25">
      <c r="A2132" s="62" t="s">
        <v>867</v>
      </c>
      <c r="B2132" s="62" t="s">
        <v>867</v>
      </c>
      <c r="C2132" s="63"/>
      <c r="D2132" s="64"/>
      <c r="E2132" s="65"/>
      <c r="F2132" s="66"/>
      <c r="G2132" s="63"/>
      <c r="H2132" s="67"/>
      <c r="I2132" s="68"/>
      <c r="J2132" s="68"/>
      <c r="K2132" s="32"/>
      <c r="L2132" s="75">
        <v>2132</v>
      </c>
      <c r="M2132" s="75"/>
      <c r="N2132" s="70"/>
      <c r="O2132" s="77" t="s">
        <v>179</v>
      </c>
      <c r="P2132" s="79">
        <v>45141.728159722225</v>
      </c>
      <c r="Q2132" s="77" t="s">
        <v>2906</v>
      </c>
      <c r="R2132" s="77">
        <v>0</v>
      </c>
      <c r="S2132" s="77">
        <v>0</v>
      </c>
      <c r="T2132" s="77">
        <v>0</v>
      </c>
      <c r="U2132" s="77">
        <v>0</v>
      </c>
      <c r="V2132" s="77">
        <v>21</v>
      </c>
      <c r="W2132" s="81" t="s">
        <v>2947</v>
      </c>
      <c r="X2132" s="83" t="str">
        <f>HYPERLINK("https://comunidadeempregope.com.br/vaga/vendedora-com-salario-de-r-1-45000-para-empresa-de-comercio-hortifruti/")</f>
        <v>https://comunidadeempregope.com.br/vaga/vendedora-com-salario-de-r-1-45000-para-empresa-de-comercio-hortifruti/</v>
      </c>
      <c r="Y2132" s="77" t="s">
        <v>4223</v>
      </c>
      <c r="Z2132" s="77"/>
      <c r="AA2132" s="77" t="s">
        <v>5785</v>
      </c>
      <c r="AB2132" s="77" t="s">
        <v>5794</v>
      </c>
      <c r="AC2132" s="81" t="s">
        <v>5805</v>
      </c>
      <c r="AD2132" s="77" t="s">
        <v>5851</v>
      </c>
      <c r="AE2132" s="83" t="str">
        <f>HYPERLINK("https://twitter.com/comuemprego/status/1687153494145318922")</f>
        <v>https://twitter.com/comuemprego/status/1687153494145318922</v>
      </c>
      <c r="AF2132" s="79">
        <v>45141.728159722225</v>
      </c>
      <c r="AG2132" s="85">
        <v>45141</v>
      </c>
      <c r="AH2132" s="81" t="s">
        <v>7718</v>
      </c>
      <c r="AI2132" s="77" t="b">
        <v>0</v>
      </c>
      <c r="AJ2132" s="77"/>
      <c r="AK2132" s="77"/>
      <c r="AL2132" s="77"/>
      <c r="AM2132" s="77"/>
      <c r="AN2132" s="77"/>
      <c r="AO2132" s="77"/>
      <c r="AP2132" s="77"/>
      <c r="AQ2132" s="77" t="s">
        <v>9283</v>
      </c>
      <c r="AR2132" s="77"/>
      <c r="AS2132" s="77"/>
      <c r="AT2132" s="77"/>
      <c r="AU2132" s="77"/>
      <c r="AV2132" s="83" t="str">
        <f>HYPERLINK("https://pbs.twimg.com/media/F2n5KFZXQAY74-W.jpg")</f>
        <v>https://pbs.twimg.com/media/F2n5KFZXQAY74-W.jpg</v>
      </c>
      <c r="AW2132" s="81" t="s">
        <v>11238</v>
      </c>
      <c r="AX2132" s="81" t="s">
        <v>11238</v>
      </c>
      <c r="AY2132" s="77"/>
      <c r="AZ2132" s="81" t="s">
        <v>11359</v>
      </c>
      <c r="BA2132" s="81" t="s">
        <v>11359</v>
      </c>
      <c r="BB2132" s="81" t="s">
        <v>11359</v>
      </c>
      <c r="BC2132" s="81" t="s">
        <v>11238</v>
      </c>
      <c r="BD2132" s="77">
        <v>473803924</v>
      </c>
      <c r="BE2132" s="77"/>
      <c r="BF2132" s="77"/>
      <c r="BG2132" s="77"/>
      <c r="BH2132" s="77"/>
      <c r="BI2132" s="77"/>
    </row>
    <row r="2133" spans="1:61" x14ac:dyDescent="0.25">
      <c r="A2133" s="62" t="s">
        <v>867</v>
      </c>
      <c r="B2133" s="62" t="s">
        <v>867</v>
      </c>
      <c r="C2133" s="63"/>
      <c r="D2133" s="64"/>
      <c r="E2133" s="65"/>
      <c r="F2133" s="66"/>
      <c r="G2133" s="63"/>
      <c r="H2133" s="67"/>
      <c r="I2133" s="68"/>
      <c r="J2133" s="68"/>
      <c r="K2133" s="32"/>
      <c r="L2133" s="75">
        <v>2133</v>
      </c>
      <c r="M2133" s="75"/>
      <c r="N2133" s="70"/>
      <c r="O2133" s="77" t="s">
        <v>179</v>
      </c>
      <c r="P2133" s="79">
        <v>45183.589363425926</v>
      </c>
      <c r="Q2133" s="77" t="s">
        <v>2907</v>
      </c>
      <c r="R2133" s="77">
        <v>0</v>
      </c>
      <c r="S2133" s="77">
        <v>0</v>
      </c>
      <c r="T2133" s="77">
        <v>0</v>
      </c>
      <c r="U2133" s="77">
        <v>0</v>
      </c>
      <c r="V2133" s="77">
        <v>15</v>
      </c>
      <c r="W2133" s="81" t="s">
        <v>4145</v>
      </c>
      <c r="X2133" s="83" t="str">
        <f>HYPERLINK("https://comunidadeempregope.com.br/vaga/vendedor-externo-com-salario-de-r-190000-para-industria-do-segmento-de-construcao-civil/")</f>
        <v>https://comunidadeempregope.com.br/vaga/vendedor-externo-com-salario-de-r-190000-para-industria-do-segmento-de-construcao-civil/</v>
      </c>
      <c r="Y2133" s="77" t="s">
        <v>4223</v>
      </c>
      <c r="Z2133" s="77"/>
      <c r="AA2133" s="77" t="s">
        <v>5786</v>
      </c>
      <c r="AB2133" s="77" t="s">
        <v>5794</v>
      </c>
      <c r="AC2133" s="81" t="s">
        <v>5805</v>
      </c>
      <c r="AD2133" s="77" t="s">
        <v>5851</v>
      </c>
      <c r="AE2133" s="83" t="str">
        <f>HYPERLINK("https://twitter.com/comuemprego/status/1702323487468343578")</f>
        <v>https://twitter.com/comuemprego/status/1702323487468343578</v>
      </c>
      <c r="AF2133" s="79">
        <v>45183.589363425926</v>
      </c>
      <c r="AG2133" s="85">
        <v>45183</v>
      </c>
      <c r="AH2133" s="81" t="s">
        <v>7719</v>
      </c>
      <c r="AI2133" s="77" t="b">
        <v>0</v>
      </c>
      <c r="AJ2133" s="77"/>
      <c r="AK2133" s="77"/>
      <c r="AL2133" s="77"/>
      <c r="AM2133" s="77"/>
      <c r="AN2133" s="77"/>
      <c r="AO2133" s="77"/>
      <c r="AP2133" s="77"/>
      <c r="AQ2133" s="77" t="s">
        <v>9284</v>
      </c>
      <c r="AR2133" s="77"/>
      <c r="AS2133" s="77"/>
      <c r="AT2133" s="77"/>
      <c r="AU2133" s="77"/>
      <c r="AV2133" s="83" t="str">
        <f>HYPERLINK("https://pbs.twimg.com/media/F5_eLu-bMAADV6S.jpg")</f>
        <v>https://pbs.twimg.com/media/F5_eLu-bMAADV6S.jpg</v>
      </c>
      <c r="AW2133" s="81" t="s">
        <v>11239</v>
      </c>
      <c r="AX2133" s="81" t="s">
        <v>11239</v>
      </c>
      <c r="AY2133" s="77"/>
      <c r="AZ2133" s="81" t="s">
        <v>11359</v>
      </c>
      <c r="BA2133" s="81" t="s">
        <v>11359</v>
      </c>
      <c r="BB2133" s="81" t="s">
        <v>11359</v>
      </c>
      <c r="BC2133" s="81" t="s">
        <v>11239</v>
      </c>
      <c r="BD2133" s="77">
        <v>473803924</v>
      </c>
      <c r="BE2133" s="77"/>
      <c r="BF2133" s="77"/>
      <c r="BG2133" s="77"/>
      <c r="BH2133" s="77"/>
      <c r="BI2133" s="77"/>
    </row>
    <row r="2134" spans="1:61" x14ac:dyDescent="0.25">
      <c r="A2134" s="62" t="s">
        <v>867</v>
      </c>
      <c r="B2134" s="62" t="s">
        <v>867</v>
      </c>
      <c r="C2134" s="63"/>
      <c r="D2134" s="64"/>
      <c r="E2134" s="65"/>
      <c r="F2134" s="66"/>
      <c r="G2134" s="63"/>
      <c r="H2134" s="67"/>
      <c r="I2134" s="68"/>
      <c r="J2134" s="68"/>
      <c r="K2134" s="32"/>
      <c r="L2134" s="75">
        <v>2134</v>
      </c>
      <c r="M2134" s="75"/>
      <c r="N2134" s="70"/>
      <c r="O2134" s="77" t="s">
        <v>179</v>
      </c>
      <c r="P2134" s="79">
        <v>45174.69703703704</v>
      </c>
      <c r="Q2134" s="77" t="s">
        <v>2908</v>
      </c>
      <c r="R2134" s="77">
        <v>0</v>
      </c>
      <c r="S2134" s="77">
        <v>0</v>
      </c>
      <c r="T2134" s="77">
        <v>0</v>
      </c>
      <c r="U2134" s="77">
        <v>0</v>
      </c>
      <c r="V2134" s="77">
        <v>10</v>
      </c>
      <c r="W2134" s="81" t="s">
        <v>4145</v>
      </c>
      <c r="X2134" s="83" t="str">
        <f>HYPERLINK("https://comunidadeempregope.com.br/vaga/vendedor-com-salario-de-r-132520-para-segmento-de-vendas-instalacao-e-manutencao-de-bombas-dagua/")</f>
        <v>https://comunidadeempregope.com.br/vaga/vendedor-com-salario-de-r-132520-para-segmento-de-vendas-instalacao-e-manutencao-de-bombas-dagua/</v>
      </c>
      <c r="Y2134" s="77" t="s">
        <v>4223</v>
      </c>
      <c r="Z2134" s="77"/>
      <c r="AA2134" s="77" t="s">
        <v>5787</v>
      </c>
      <c r="AB2134" s="77" t="s">
        <v>5794</v>
      </c>
      <c r="AC2134" s="81" t="s">
        <v>5805</v>
      </c>
      <c r="AD2134" s="77" t="s">
        <v>5851</v>
      </c>
      <c r="AE2134" s="83" t="str">
        <f>HYPERLINK("https://twitter.com/comuemprego/status/1699101013762793683")</f>
        <v>https://twitter.com/comuemprego/status/1699101013762793683</v>
      </c>
      <c r="AF2134" s="79">
        <v>45174.69703703704</v>
      </c>
      <c r="AG2134" s="85">
        <v>45174</v>
      </c>
      <c r="AH2134" s="81" t="s">
        <v>7720</v>
      </c>
      <c r="AI2134" s="77" t="b">
        <v>0</v>
      </c>
      <c r="AJ2134" s="77"/>
      <c r="AK2134" s="77"/>
      <c r="AL2134" s="77"/>
      <c r="AM2134" s="77"/>
      <c r="AN2134" s="77"/>
      <c r="AO2134" s="77"/>
      <c r="AP2134" s="77"/>
      <c r="AQ2134" s="77" t="s">
        <v>9285</v>
      </c>
      <c r="AR2134" s="77"/>
      <c r="AS2134" s="77"/>
      <c r="AT2134" s="77"/>
      <c r="AU2134" s="77"/>
      <c r="AV2134" s="83" t="str">
        <f>HYPERLINK("https://pbs.twimg.com/media/F5RrULaW0AAQxXi.jpg")</f>
        <v>https://pbs.twimg.com/media/F5RrULaW0AAQxXi.jpg</v>
      </c>
      <c r="AW2134" s="81" t="s">
        <v>11240</v>
      </c>
      <c r="AX2134" s="81" t="s">
        <v>11240</v>
      </c>
      <c r="AY2134" s="77"/>
      <c r="AZ2134" s="81" t="s">
        <v>11359</v>
      </c>
      <c r="BA2134" s="81" t="s">
        <v>11359</v>
      </c>
      <c r="BB2134" s="81" t="s">
        <v>11359</v>
      </c>
      <c r="BC2134" s="81" t="s">
        <v>11240</v>
      </c>
      <c r="BD2134" s="77">
        <v>473803924</v>
      </c>
      <c r="BE2134" s="77"/>
      <c r="BF2134" s="77"/>
      <c r="BG2134" s="77"/>
      <c r="BH2134" s="77"/>
      <c r="BI2134" s="77"/>
    </row>
    <row r="2135" spans="1:61" x14ac:dyDescent="0.25">
      <c r="A2135" s="62" t="s">
        <v>867</v>
      </c>
      <c r="B2135" s="62" t="s">
        <v>867</v>
      </c>
      <c r="C2135" s="63"/>
      <c r="D2135" s="64"/>
      <c r="E2135" s="65"/>
      <c r="F2135" s="66"/>
      <c r="G2135" s="63"/>
      <c r="H2135" s="67"/>
      <c r="I2135" s="68"/>
      <c r="J2135" s="68"/>
      <c r="K2135" s="32"/>
      <c r="L2135" s="75">
        <v>2135</v>
      </c>
      <c r="M2135" s="75"/>
      <c r="N2135" s="70"/>
      <c r="O2135" s="77" t="s">
        <v>179</v>
      </c>
      <c r="P2135" s="79">
        <v>45096.610636574071</v>
      </c>
      <c r="Q2135" s="77" t="s">
        <v>2909</v>
      </c>
      <c r="R2135" s="77">
        <v>0</v>
      </c>
      <c r="S2135" s="77">
        <v>0</v>
      </c>
      <c r="T2135" s="77">
        <v>0</v>
      </c>
      <c r="U2135" s="77">
        <v>0</v>
      </c>
      <c r="V2135" s="77">
        <v>10</v>
      </c>
      <c r="W2135" s="81" t="s">
        <v>2947</v>
      </c>
      <c r="X2135" s="83" t="str">
        <f>HYPERLINK("https://comunidadeempregope.com.br/vaga/vendedor-04-vagas-com-salario-de-r-2-00000-para-empresa-de-capacitacao-profissional/")</f>
        <v>https://comunidadeempregope.com.br/vaga/vendedor-04-vagas-com-salario-de-r-2-00000-para-empresa-de-capacitacao-profissional/</v>
      </c>
      <c r="Y2135" s="77" t="s">
        <v>4223</v>
      </c>
      <c r="Z2135" s="77"/>
      <c r="AA2135" s="77" t="s">
        <v>5788</v>
      </c>
      <c r="AB2135" s="77" t="s">
        <v>5794</v>
      </c>
      <c r="AC2135" s="81" t="s">
        <v>5805</v>
      </c>
      <c r="AD2135" s="77" t="s">
        <v>5851</v>
      </c>
      <c r="AE2135" s="83" t="str">
        <f>HYPERLINK("https://twitter.com/comuemprego/status/1670803450144124934")</f>
        <v>https://twitter.com/comuemprego/status/1670803450144124934</v>
      </c>
      <c r="AF2135" s="79">
        <v>45096.610636574071</v>
      </c>
      <c r="AG2135" s="85">
        <v>45096</v>
      </c>
      <c r="AH2135" s="81" t="s">
        <v>7721</v>
      </c>
      <c r="AI2135" s="77" t="b">
        <v>0</v>
      </c>
      <c r="AJ2135" s="77"/>
      <c r="AK2135" s="77"/>
      <c r="AL2135" s="77"/>
      <c r="AM2135" s="77"/>
      <c r="AN2135" s="77"/>
      <c r="AO2135" s="77"/>
      <c r="AP2135" s="77"/>
      <c r="AQ2135" s="77" t="s">
        <v>9286</v>
      </c>
      <c r="AR2135" s="77"/>
      <c r="AS2135" s="77"/>
      <c r="AT2135" s="77"/>
      <c r="AU2135" s="77"/>
      <c r="AV2135" s="83" t="str">
        <f>HYPERLINK("https://pbs.twimg.com/media/Fy_i4RZWIAAuTgY.png")</f>
        <v>https://pbs.twimg.com/media/Fy_i4RZWIAAuTgY.png</v>
      </c>
      <c r="AW2135" s="81" t="s">
        <v>11241</v>
      </c>
      <c r="AX2135" s="81" t="s">
        <v>11241</v>
      </c>
      <c r="AY2135" s="77"/>
      <c r="AZ2135" s="81" t="s">
        <v>11359</v>
      </c>
      <c r="BA2135" s="81" t="s">
        <v>11359</v>
      </c>
      <c r="BB2135" s="81" t="s">
        <v>11359</v>
      </c>
      <c r="BC2135" s="81" t="s">
        <v>11241</v>
      </c>
      <c r="BD2135" s="77">
        <v>473803924</v>
      </c>
      <c r="BE2135" s="77"/>
      <c r="BF2135" s="77"/>
      <c r="BG2135" s="77"/>
      <c r="BH2135" s="77"/>
      <c r="BI2135" s="77"/>
    </row>
    <row r="2136" spans="1:61" x14ac:dyDescent="0.25">
      <c r="A2136" s="62" t="s">
        <v>867</v>
      </c>
      <c r="B2136" s="62" t="s">
        <v>867</v>
      </c>
      <c r="C2136" s="63"/>
      <c r="D2136" s="64"/>
      <c r="E2136" s="65"/>
      <c r="F2136" s="66"/>
      <c r="G2136" s="63"/>
      <c r="H2136" s="67"/>
      <c r="I2136" s="68"/>
      <c r="J2136" s="68"/>
      <c r="K2136" s="32"/>
      <c r="L2136" s="75">
        <v>2136</v>
      </c>
      <c r="M2136" s="75"/>
      <c r="N2136" s="70"/>
      <c r="O2136" s="77" t="s">
        <v>179</v>
      </c>
      <c r="P2136" s="79">
        <v>45095.491620370369</v>
      </c>
      <c r="Q2136" s="77" t="s">
        <v>2910</v>
      </c>
      <c r="R2136" s="77">
        <v>0</v>
      </c>
      <c r="S2136" s="77">
        <v>0</v>
      </c>
      <c r="T2136" s="77">
        <v>0</v>
      </c>
      <c r="U2136" s="77">
        <v>0</v>
      </c>
      <c r="V2136" s="77">
        <v>35</v>
      </c>
      <c r="W2136" s="81" t="s">
        <v>2947</v>
      </c>
      <c r="X2136" s="83" t="str">
        <f>HYPERLINK("https://comunidadeempregope.com.br/vaga/vendedora-com-salario-de-ate-r-3-50000-para-empresa-do-segmento-de-moveis-infantis/")</f>
        <v>https://comunidadeempregope.com.br/vaga/vendedora-com-salario-de-ate-r-3-50000-para-empresa-do-segmento-de-moveis-infantis/</v>
      </c>
      <c r="Y2136" s="77" t="s">
        <v>4223</v>
      </c>
      <c r="Z2136" s="77"/>
      <c r="AA2136" s="77" t="s">
        <v>5789</v>
      </c>
      <c r="AB2136" s="77" t="s">
        <v>5794</v>
      </c>
      <c r="AC2136" s="81" t="s">
        <v>5805</v>
      </c>
      <c r="AD2136" s="77" t="s">
        <v>5851</v>
      </c>
      <c r="AE2136" s="83" t="str">
        <f>HYPERLINK("https://twitter.com/comuemprego/status/1670397932003110912")</f>
        <v>https://twitter.com/comuemprego/status/1670397932003110912</v>
      </c>
      <c r="AF2136" s="79">
        <v>45095.491620370369</v>
      </c>
      <c r="AG2136" s="85">
        <v>45095</v>
      </c>
      <c r="AH2136" s="81" t="s">
        <v>7722</v>
      </c>
      <c r="AI2136" s="77" t="b">
        <v>0</v>
      </c>
      <c r="AJ2136" s="77"/>
      <c r="AK2136" s="77"/>
      <c r="AL2136" s="77"/>
      <c r="AM2136" s="77"/>
      <c r="AN2136" s="77"/>
      <c r="AO2136" s="77"/>
      <c r="AP2136" s="77"/>
      <c r="AQ2136" s="77" t="s">
        <v>9287</v>
      </c>
      <c r="AR2136" s="77"/>
      <c r="AS2136" s="77"/>
      <c r="AT2136" s="77"/>
      <c r="AU2136" s="77"/>
      <c r="AV2136" s="83" t="str">
        <f>HYPERLINK("https://pbs.twimg.com/media/Fy5yEDXXsAIKqsE.png")</f>
        <v>https://pbs.twimg.com/media/Fy5yEDXXsAIKqsE.png</v>
      </c>
      <c r="AW2136" s="81" t="s">
        <v>11242</v>
      </c>
      <c r="AX2136" s="81" t="s">
        <v>11242</v>
      </c>
      <c r="AY2136" s="77"/>
      <c r="AZ2136" s="81" t="s">
        <v>11359</v>
      </c>
      <c r="BA2136" s="81" t="s">
        <v>11359</v>
      </c>
      <c r="BB2136" s="81" t="s">
        <v>11359</v>
      </c>
      <c r="BC2136" s="81" t="s">
        <v>11242</v>
      </c>
      <c r="BD2136" s="77">
        <v>473803924</v>
      </c>
      <c r="BE2136" s="77"/>
      <c r="BF2136" s="77"/>
      <c r="BG2136" s="77"/>
      <c r="BH2136" s="77"/>
      <c r="BI2136" s="77"/>
    </row>
    <row r="2137" spans="1:61" x14ac:dyDescent="0.25">
      <c r="A2137" s="62" t="s">
        <v>867</v>
      </c>
      <c r="B2137" s="62" t="s">
        <v>867</v>
      </c>
      <c r="C2137" s="63"/>
      <c r="D2137" s="64"/>
      <c r="E2137" s="65"/>
      <c r="F2137" s="66"/>
      <c r="G2137" s="63"/>
      <c r="H2137" s="67"/>
      <c r="I2137" s="68"/>
      <c r="J2137" s="68"/>
      <c r="K2137" s="32"/>
      <c r="L2137" s="75">
        <v>2137</v>
      </c>
      <c r="M2137" s="75"/>
      <c r="N2137" s="70"/>
      <c r="O2137" s="77" t="s">
        <v>179</v>
      </c>
      <c r="P2137" s="79">
        <v>45195.694768518515</v>
      </c>
      <c r="Q2137" s="77" t="s">
        <v>2911</v>
      </c>
      <c r="R2137" s="77">
        <v>0</v>
      </c>
      <c r="S2137" s="77">
        <v>0</v>
      </c>
      <c r="T2137" s="77">
        <v>0</v>
      </c>
      <c r="U2137" s="77">
        <v>0</v>
      </c>
      <c r="V2137" s="77">
        <v>12</v>
      </c>
      <c r="W2137" s="81" t="s">
        <v>4146</v>
      </c>
      <c r="X2137" s="83" t="str">
        <f>HYPERLINK("https://comunidadeempregope.com.br/vaga/vendedor-de-material-de-construcao-pcd-com-salario-de-r-135000-para-comercio-varejista/")</f>
        <v>https://comunidadeempregope.com.br/vaga/vendedor-de-material-de-construcao-pcd-com-salario-de-r-135000-para-comercio-varejista/</v>
      </c>
      <c r="Y2137" s="77" t="s">
        <v>4223</v>
      </c>
      <c r="Z2137" s="77"/>
      <c r="AA2137" s="77" t="s">
        <v>5790</v>
      </c>
      <c r="AB2137" s="77" t="s">
        <v>5794</v>
      </c>
      <c r="AC2137" s="81" t="s">
        <v>5805</v>
      </c>
      <c r="AD2137" s="77" t="s">
        <v>5851</v>
      </c>
      <c r="AE2137" s="83" t="str">
        <f>HYPERLINK("https://twitter.com/comuemprego/status/1706710336903037315")</f>
        <v>https://twitter.com/comuemprego/status/1706710336903037315</v>
      </c>
      <c r="AF2137" s="79">
        <v>45195.694768518515</v>
      </c>
      <c r="AG2137" s="85">
        <v>45195</v>
      </c>
      <c r="AH2137" s="81" t="s">
        <v>7723</v>
      </c>
      <c r="AI2137" s="77" t="b">
        <v>0</v>
      </c>
      <c r="AJ2137" s="77"/>
      <c r="AK2137" s="77"/>
      <c r="AL2137" s="77"/>
      <c r="AM2137" s="77"/>
      <c r="AN2137" s="77"/>
      <c r="AO2137" s="77"/>
      <c r="AP2137" s="77"/>
      <c r="AQ2137" s="77" t="s">
        <v>9288</v>
      </c>
      <c r="AR2137" s="77"/>
      <c r="AS2137" s="77"/>
      <c r="AT2137" s="77"/>
      <c r="AU2137" s="77"/>
      <c r="AV2137" s="83" t="str">
        <f>HYPERLINK("https://pbs.twimg.com/media/F69z-80WgAArPbD.jpg")</f>
        <v>https://pbs.twimg.com/media/F69z-80WgAArPbD.jpg</v>
      </c>
      <c r="AW2137" s="81" t="s">
        <v>11243</v>
      </c>
      <c r="AX2137" s="81" t="s">
        <v>11243</v>
      </c>
      <c r="AY2137" s="77"/>
      <c r="AZ2137" s="81" t="s">
        <v>11359</v>
      </c>
      <c r="BA2137" s="81" t="s">
        <v>11359</v>
      </c>
      <c r="BB2137" s="81" t="s">
        <v>11359</v>
      </c>
      <c r="BC2137" s="81" t="s">
        <v>11243</v>
      </c>
      <c r="BD2137" s="77">
        <v>473803924</v>
      </c>
      <c r="BE2137" s="77"/>
      <c r="BF2137" s="77"/>
      <c r="BG2137" s="77"/>
      <c r="BH2137" s="77"/>
      <c r="BI2137" s="77"/>
    </row>
    <row r="2138" spans="1:61" x14ac:dyDescent="0.25">
      <c r="A2138" s="62" t="s">
        <v>867</v>
      </c>
      <c r="B2138" s="62" t="s">
        <v>867</v>
      </c>
      <c r="C2138" s="63"/>
      <c r="D2138" s="64"/>
      <c r="E2138" s="65"/>
      <c r="F2138" s="66"/>
      <c r="G2138" s="63"/>
      <c r="H2138" s="67"/>
      <c r="I2138" s="68"/>
      <c r="J2138" s="68"/>
      <c r="K2138" s="32"/>
      <c r="L2138" s="75">
        <v>2138</v>
      </c>
      <c r="M2138" s="75"/>
      <c r="N2138" s="70"/>
      <c r="O2138" s="77" t="s">
        <v>179</v>
      </c>
      <c r="P2138" s="79">
        <v>45189.738981481481</v>
      </c>
      <c r="Q2138" s="77" t="s">
        <v>2912</v>
      </c>
      <c r="R2138" s="77">
        <v>0</v>
      </c>
      <c r="S2138" s="77">
        <v>0</v>
      </c>
      <c r="T2138" s="77">
        <v>0</v>
      </c>
      <c r="U2138" s="77">
        <v>0</v>
      </c>
      <c r="V2138" s="77">
        <v>19</v>
      </c>
      <c r="W2138" s="81" t="s">
        <v>4147</v>
      </c>
      <c r="X2138" s="83" t="str">
        <f>HYPERLINK("https://comunidadeempregope.com.br/vaga/vendedor-com-salario-de-r-200000-para-empresa-do-segmento-de-confeccao-de-fardamentos/")</f>
        <v>https://comunidadeempregope.com.br/vaga/vendedor-com-salario-de-r-200000-para-empresa-do-segmento-de-confeccao-de-fardamentos/</v>
      </c>
      <c r="Y2138" s="77" t="s">
        <v>4223</v>
      </c>
      <c r="Z2138" s="77"/>
      <c r="AA2138" s="77" t="s">
        <v>5791</v>
      </c>
      <c r="AB2138" s="77" t="s">
        <v>5794</v>
      </c>
      <c r="AC2138" s="81" t="s">
        <v>5805</v>
      </c>
      <c r="AD2138" s="77" t="s">
        <v>5851</v>
      </c>
      <c r="AE2138" s="83" t="str">
        <f>HYPERLINK("https://twitter.com/comuemprego/status/1704552034303705412")</f>
        <v>https://twitter.com/comuemprego/status/1704552034303705412</v>
      </c>
      <c r="AF2138" s="79">
        <v>45189.738981481481</v>
      </c>
      <c r="AG2138" s="85">
        <v>45189</v>
      </c>
      <c r="AH2138" s="81" t="s">
        <v>7724</v>
      </c>
      <c r="AI2138" s="77" t="b">
        <v>0</v>
      </c>
      <c r="AJ2138" s="77"/>
      <c r="AK2138" s="77"/>
      <c r="AL2138" s="77"/>
      <c r="AM2138" s="77"/>
      <c r="AN2138" s="77"/>
      <c r="AO2138" s="77"/>
      <c r="AP2138" s="77"/>
      <c r="AQ2138" s="77" t="s">
        <v>9289</v>
      </c>
      <c r="AR2138" s="77"/>
      <c r="AS2138" s="77"/>
      <c r="AT2138" s="77"/>
      <c r="AU2138" s="77"/>
      <c r="AV2138" s="83" t="str">
        <f>HYPERLINK("https://pbs.twimg.com/media/F6fJA7TXUAAXQhY.jpg")</f>
        <v>https://pbs.twimg.com/media/F6fJA7TXUAAXQhY.jpg</v>
      </c>
      <c r="AW2138" s="81" t="s">
        <v>11244</v>
      </c>
      <c r="AX2138" s="81" t="s">
        <v>11244</v>
      </c>
      <c r="AY2138" s="77"/>
      <c r="AZ2138" s="81" t="s">
        <v>11359</v>
      </c>
      <c r="BA2138" s="81" t="s">
        <v>11359</v>
      </c>
      <c r="BB2138" s="81" t="s">
        <v>11359</v>
      </c>
      <c r="BC2138" s="81" t="s">
        <v>11244</v>
      </c>
      <c r="BD2138" s="77">
        <v>473803924</v>
      </c>
      <c r="BE2138" s="77"/>
      <c r="BF2138" s="77"/>
      <c r="BG2138" s="77"/>
      <c r="BH2138" s="77"/>
      <c r="BI2138" s="77"/>
    </row>
    <row r="2139" spans="1:61" x14ac:dyDescent="0.25">
      <c r="A2139" s="62" t="s">
        <v>867</v>
      </c>
      <c r="B2139" s="62" t="s">
        <v>867</v>
      </c>
      <c r="C2139" s="63"/>
      <c r="D2139" s="64"/>
      <c r="E2139" s="65"/>
      <c r="F2139" s="66"/>
      <c r="G2139" s="63"/>
      <c r="H2139" s="67"/>
      <c r="I2139" s="68"/>
      <c r="J2139" s="68"/>
      <c r="K2139" s="32"/>
      <c r="L2139" s="75">
        <v>2139</v>
      </c>
      <c r="M2139" s="75"/>
      <c r="N2139" s="70"/>
      <c r="O2139" s="77" t="s">
        <v>179</v>
      </c>
      <c r="P2139" s="79">
        <v>45147.624861111108</v>
      </c>
      <c r="Q2139" s="77" t="s">
        <v>2913</v>
      </c>
      <c r="R2139" s="77">
        <v>0</v>
      </c>
      <c r="S2139" s="77">
        <v>0</v>
      </c>
      <c r="T2139" s="77">
        <v>0</v>
      </c>
      <c r="U2139" s="77">
        <v>0</v>
      </c>
      <c r="V2139" s="77">
        <v>9</v>
      </c>
      <c r="W2139" s="81" t="s">
        <v>2947</v>
      </c>
      <c r="X2139" s="83" t="str">
        <f>HYPERLINK("https://comunidadeempregope.com.br/vaga/vendedor-03-vagas-com-salario-de-r-1-50000-para-empresa-do-segmento-pet/")</f>
        <v>https://comunidadeempregope.com.br/vaga/vendedor-03-vagas-com-salario-de-r-1-50000-para-empresa-do-segmento-pet/</v>
      </c>
      <c r="Y2139" s="77" t="s">
        <v>4223</v>
      </c>
      <c r="Z2139" s="77"/>
      <c r="AA2139" s="77" t="s">
        <v>5792</v>
      </c>
      <c r="AB2139" s="77" t="s">
        <v>5794</v>
      </c>
      <c r="AC2139" s="81" t="s">
        <v>5805</v>
      </c>
      <c r="AD2139" s="77" t="s">
        <v>5851</v>
      </c>
      <c r="AE2139" s="83" t="str">
        <f>HYPERLINK("https://twitter.com/comuemprego/status/1689290385955098625")</f>
        <v>https://twitter.com/comuemprego/status/1689290385955098625</v>
      </c>
      <c r="AF2139" s="79">
        <v>45147.624861111108</v>
      </c>
      <c r="AG2139" s="85">
        <v>45147</v>
      </c>
      <c r="AH2139" s="81" t="s">
        <v>7725</v>
      </c>
      <c r="AI2139" s="77" t="b">
        <v>0</v>
      </c>
      <c r="AJ2139" s="77"/>
      <c r="AK2139" s="77"/>
      <c r="AL2139" s="77"/>
      <c r="AM2139" s="77"/>
      <c r="AN2139" s="77"/>
      <c r="AO2139" s="77"/>
      <c r="AP2139" s="77"/>
      <c r="AQ2139" s="77" t="s">
        <v>9290</v>
      </c>
      <c r="AR2139" s="77"/>
      <c r="AS2139" s="77"/>
      <c r="AT2139" s="77"/>
      <c r="AU2139" s="77"/>
      <c r="AV2139" s="83" t="str">
        <f>HYPERLINK("https://pbs.twimg.com/media/F3GQoZ8WkAApYfw.jpg")</f>
        <v>https://pbs.twimg.com/media/F3GQoZ8WkAApYfw.jpg</v>
      </c>
      <c r="AW2139" s="81" t="s">
        <v>11245</v>
      </c>
      <c r="AX2139" s="81" t="s">
        <v>11245</v>
      </c>
      <c r="AY2139" s="77"/>
      <c r="AZ2139" s="81" t="s">
        <v>11359</v>
      </c>
      <c r="BA2139" s="81" t="s">
        <v>11359</v>
      </c>
      <c r="BB2139" s="81" t="s">
        <v>11359</v>
      </c>
      <c r="BC2139" s="81" t="s">
        <v>11245</v>
      </c>
      <c r="BD2139" s="77">
        <v>473803924</v>
      </c>
      <c r="BE2139" s="77"/>
      <c r="BF2139" s="77"/>
      <c r="BG2139" s="77"/>
      <c r="BH2139" s="77"/>
      <c r="BI2139" s="77"/>
    </row>
    <row r="2140" spans="1:61" x14ac:dyDescent="0.25">
      <c r="A2140" s="62" t="s">
        <v>867</v>
      </c>
      <c r="B2140" s="62" t="s">
        <v>867</v>
      </c>
      <c r="C2140" s="63"/>
      <c r="D2140" s="64"/>
      <c r="E2140" s="65"/>
      <c r="F2140" s="66"/>
      <c r="G2140" s="63"/>
      <c r="H2140" s="67"/>
      <c r="I2140" s="68"/>
      <c r="J2140" s="68"/>
      <c r="K2140" s="32"/>
      <c r="L2140" s="75">
        <v>2140</v>
      </c>
      <c r="M2140" s="75"/>
      <c r="N2140" s="70"/>
      <c r="O2140" s="77" t="s">
        <v>179</v>
      </c>
      <c r="P2140" s="79">
        <v>45041.893437500003</v>
      </c>
      <c r="Q2140" s="77" t="s">
        <v>2914</v>
      </c>
      <c r="R2140" s="77">
        <v>0</v>
      </c>
      <c r="S2140" s="77">
        <v>0</v>
      </c>
      <c r="T2140" s="77">
        <v>0</v>
      </c>
      <c r="U2140" s="77">
        <v>0</v>
      </c>
      <c r="V2140" s="77">
        <v>10</v>
      </c>
      <c r="W2140" s="81" t="s">
        <v>2947</v>
      </c>
      <c r="X2140" s="83" t="str">
        <f>HYPERLINK("https://comunidadeempregope.com.br/vaga/vendedora-05-vagas-com-salario-de-r-1-30200-para-empresa-de-higienizacao-de-reservatarios-e-analise-de-agua/")</f>
        <v>https://comunidadeempregope.com.br/vaga/vendedora-05-vagas-com-salario-de-r-1-30200-para-empresa-de-higienizacao-de-reservatarios-e-analise-de-agua/</v>
      </c>
      <c r="Y2140" s="77" t="s">
        <v>4223</v>
      </c>
      <c r="Z2140" s="77"/>
      <c r="AA2140" s="77" t="s">
        <v>5793</v>
      </c>
      <c r="AB2140" s="77" t="s">
        <v>5794</v>
      </c>
      <c r="AC2140" s="81" t="s">
        <v>5805</v>
      </c>
      <c r="AD2140" s="77" t="s">
        <v>5851</v>
      </c>
      <c r="AE2140" s="83" t="str">
        <f>HYPERLINK("https://twitter.com/comuemprego/status/1650974603315912708")</f>
        <v>https://twitter.com/comuemprego/status/1650974603315912708</v>
      </c>
      <c r="AF2140" s="79">
        <v>45041.893437500003</v>
      </c>
      <c r="AG2140" s="85">
        <v>45041</v>
      </c>
      <c r="AH2140" s="81" t="s">
        <v>7726</v>
      </c>
      <c r="AI2140" s="77" t="b">
        <v>0</v>
      </c>
      <c r="AJ2140" s="77"/>
      <c r="AK2140" s="77"/>
      <c r="AL2140" s="77"/>
      <c r="AM2140" s="77"/>
      <c r="AN2140" s="77"/>
      <c r="AO2140" s="77"/>
      <c r="AP2140" s="77"/>
      <c r="AQ2140" s="77" t="s">
        <v>9291</v>
      </c>
      <c r="AR2140" s="77"/>
      <c r="AS2140" s="77"/>
      <c r="AT2140" s="77"/>
      <c r="AU2140" s="77"/>
      <c r="AV2140" s="83" t="str">
        <f>HYPERLINK("https://pbs.twimg.com/media/Fulwg-2WAAMtezW.png")</f>
        <v>https://pbs.twimg.com/media/Fulwg-2WAAMtezW.png</v>
      </c>
      <c r="AW2140" s="81" t="s">
        <v>11246</v>
      </c>
      <c r="AX2140" s="81" t="s">
        <v>11246</v>
      </c>
      <c r="AY2140" s="77"/>
      <c r="AZ2140" s="81" t="s">
        <v>11359</v>
      </c>
      <c r="BA2140" s="81" t="s">
        <v>11359</v>
      </c>
      <c r="BB2140" s="81" t="s">
        <v>11359</v>
      </c>
      <c r="BC2140" s="81" t="s">
        <v>11246</v>
      </c>
      <c r="BD2140" s="77">
        <v>473803924</v>
      </c>
      <c r="BE2140" s="77"/>
      <c r="BF2140" s="77"/>
      <c r="BG2140" s="77"/>
      <c r="BH2140" s="77"/>
      <c r="BI2140" s="77"/>
    </row>
    <row r="2141" spans="1:61" x14ac:dyDescent="0.25">
      <c r="A2141" s="62" t="s">
        <v>868</v>
      </c>
      <c r="B2141" s="62" t="s">
        <v>868</v>
      </c>
      <c r="C2141" s="63"/>
      <c r="D2141" s="64"/>
      <c r="E2141" s="65"/>
      <c r="F2141" s="66"/>
      <c r="G2141" s="63"/>
      <c r="H2141" s="67"/>
      <c r="I2141" s="68"/>
      <c r="J2141" s="68"/>
      <c r="K2141" s="32"/>
      <c r="L2141" s="75">
        <v>2141</v>
      </c>
      <c r="M2141" s="75"/>
      <c r="N2141" s="70"/>
      <c r="O2141" s="77" t="s">
        <v>179</v>
      </c>
      <c r="P2141" s="79">
        <v>45139.833344907405</v>
      </c>
      <c r="Q2141" s="77" t="s">
        <v>2915</v>
      </c>
      <c r="R2141" s="77">
        <v>0</v>
      </c>
      <c r="S2141" s="77">
        <v>0</v>
      </c>
      <c r="T2141" s="77">
        <v>0</v>
      </c>
      <c r="U2141" s="77">
        <v>0</v>
      </c>
      <c r="V2141" s="77">
        <v>6</v>
      </c>
      <c r="W2141" s="81" t="s">
        <v>4148</v>
      </c>
      <c r="X2141" s="83" t="str">
        <f>HYPERLINK("https://www.costenses.com/2023/08/01/01-08-2023-empresa-busca-vendedor-de-salon-en-el-rubro-automotriz/")</f>
        <v>https://www.costenses.com/2023/08/01/01-08-2023-empresa-busca-vendedor-de-salon-en-el-rubro-automotriz/</v>
      </c>
      <c r="Y2141" s="77" t="s">
        <v>4359</v>
      </c>
      <c r="Z2141" s="77"/>
      <c r="AA2141" s="77"/>
      <c r="AB2141" s="77"/>
      <c r="AC2141" s="81" t="s">
        <v>5805</v>
      </c>
      <c r="AD2141" s="77" t="s">
        <v>5850</v>
      </c>
      <c r="AE2141" s="83" t="str">
        <f>HYPERLINK("https://twitter.com/costenses/status/1686466834919481344")</f>
        <v>https://twitter.com/costenses/status/1686466834919481344</v>
      </c>
      <c r="AF2141" s="79">
        <v>45139.833344907405</v>
      </c>
      <c r="AG2141" s="85">
        <v>45139</v>
      </c>
      <c r="AH2141" s="81" t="s">
        <v>6005</v>
      </c>
      <c r="AI2141" s="77" t="b">
        <v>0</v>
      </c>
      <c r="AJ2141" s="77"/>
      <c r="AK2141" s="77"/>
      <c r="AL2141" s="77"/>
      <c r="AM2141" s="77"/>
      <c r="AN2141" s="77"/>
      <c r="AO2141" s="77"/>
      <c r="AP2141" s="77"/>
      <c r="AQ2141" s="77"/>
      <c r="AR2141" s="77"/>
      <c r="AS2141" s="77"/>
      <c r="AT2141" s="77"/>
      <c r="AU2141" s="77"/>
      <c r="AV2141" s="83" t="str">
        <f>HYPERLINK("https://pbs.twimg.com/profile_images/1347958606315069453/6MlDwNcz_normal.jpg")</f>
        <v>https://pbs.twimg.com/profile_images/1347958606315069453/6MlDwNcz_normal.jpg</v>
      </c>
      <c r="AW2141" s="81" t="s">
        <v>11247</v>
      </c>
      <c r="AX2141" s="81" t="s">
        <v>11247</v>
      </c>
      <c r="AY2141" s="77"/>
      <c r="AZ2141" s="81" t="s">
        <v>11359</v>
      </c>
      <c r="BA2141" s="81" t="s">
        <v>11359</v>
      </c>
      <c r="BB2141" s="81" t="s">
        <v>11359</v>
      </c>
      <c r="BC2141" s="81" t="s">
        <v>11247</v>
      </c>
      <c r="BD2141" s="81" t="s">
        <v>11710</v>
      </c>
      <c r="BE2141" s="77"/>
      <c r="BF2141" s="77"/>
      <c r="BG2141" s="77"/>
      <c r="BH2141" s="77"/>
      <c r="BI2141" s="77"/>
    </row>
  </sheetData>
  <dataConsolidate/>
  <dataValidations count="14">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L3:L2141" xr:uid="{00000000-0002-0000-0000-000000000000}"/>
    <dataValidation allowBlank="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M3:M2141" xr:uid="{00000000-0002-0000-0000-000001000000}"/>
    <dataValidation allowBlank="1" showErrorMessage="1" sqref="N2:N2141" xr:uid="{00000000-0002-0000-0000-000002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Text Color" prompt="To select an optional label text color, right-click and select Select Color on the right-click menu." sqref="I3:I2141" xr:uid="{00000000-0002-0000-0000-000003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Font Size" prompt="Enter an optional label font size between 8 and 72." sqref="J3:J2141" xr:uid="{00000000-0002-0000-0000-000004000000}"/>
    <dataValidation allowBlank="1" showInputMessage="1" promptTitle="Edge Color" prompt="To select an optional edge color, right-click and select Select Color on the right-click menu." sqref="C3:C2141" xr:uid="{00000000-0002-0000-0000-000005000000}"/>
    <dataValidation allowBlank="1" showInputMessage="1" errorTitle="Invalid Edge Width" error="The optional edge width must be a whole number between 1 and 10." promptTitle="Edge Width" prompt="Enter an optional edge width between 1 and 10." sqref="D3:D2141" xr:uid="{00000000-0002-0000-0000-000006000000}"/>
    <dataValidation allowBlank="1" showInputMessage="1" errorTitle="Invalid Edge Opacity" error="The optional edge opacity must be a whole number between 0 and 10." promptTitle="Edge Opacity" prompt="Enter an optional edge opacity between 0 (transparent) and 100 (opaque)." sqref="F3:F2141" xr:uid="{00000000-0002-0000-0000-000007000000}"/>
    <dataValidation type="list" allowBlank="1" showInputMessage="1" showErrorMessage="1" errorTitle="Invalid Edge Visibility" error="You have entered an invalid edge visibility.  Try selecting from the drop-down list instead." promptTitle="Edge Visibility" prompt="Select an optional edge visibility.  Edges are shown by default." sqref="G3:G2141" xr:uid="{00000000-0002-0000-0000-000008000000}">
      <formula1>ValidEdgeVisibilities</formula1>
    </dataValidation>
    <dataValidation allowBlank="1" showInputMessage="1" showErrorMessage="1" promptTitle="Vertex 1 Name" prompt="Enter the name of the edge's first vertex." sqref="A3:A2141" xr:uid="{00000000-0002-0000-0000-000009000000}"/>
    <dataValidation allowBlank="1" showInputMessage="1" showErrorMessage="1" promptTitle="Vertex 2 Name" prompt="Enter the name of the edge's second vertex." sqref="B3:B2141" xr:uid="{00000000-0002-0000-0000-00000A000000}"/>
    <dataValidation allowBlank="1" showInputMessage="1" showErrorMessage="1" errorTitle="Invalid Edge Visibility" error="You have entered an unrecognized edge visibility.  Try selecting from the drop-down list instead." promptTitle="Edge Label" prompt="Enter an optional edge label." sqref="H3:H2141" xr:uid="{00000000-0002-0000-0000-00000B000000}"/>
    <dataValidation type="list" allowBlank="1" showInputMessage="1" showErrorMessage="1" errorTitle="Invalid Edge Style" error="You have entered an invalid edge style.  Try selecting from the drop-down list instead." promptTitle="Edge Style" prompt="Select an optional edge style.  Edges are Solid by default." sqref="E3:E2141" xr:uid="{00000000-0002-0000-0000-00000C000000}">
      <formula1>ValidEdgeStyles</formula1>
    </dataValidation>
    <dataValidation allowBlank="1" errorTitle="Invalid Edge Visibility" error="The optional edge visibility must be Yes, Y, True, T, Always, 1, or empty to make the edge visible; or No, N, False, F, Never, or 0 to hide the edge.  Try selecting from the drop-down list instead." sqref="K3:K2141" xr:uid="{00000000-0002-0000-0000-00000D000000}"/>
  </dataValidations>
  <hyperlinks>
    <hyperlink ref="X146" r:id="rId1" display="https://www.civil-mercantil.com/agencia-inmobiliaria-contrato-mediacion-corretaje-responsabilidad.html?web_origen=Social_Organico_Twitter_Civil_Caso_Practico_Contrato_Medicacion_Inmoviliaria&amp;utm_source=Social_Organico_Twitter_Civil&amp;utm_medium=social&amp;utm_campaign=Caso_Practico_Contrato_Medicacion_Inmoviliaria" xr:uid="{CE250536-00AE-4F74-82D2-31A3D9DDFA2A}"/>
    <hyperlink ref="X1418" r:id="rId2" display="https://br.indeed.com/m/viewjob?jk=1c287c5176393070&amp;advn=5206233891179969&amp;adid=415152775&amp;ad=-6NYlbfkN0BSEEFJ7xVyKwqdbs0hksJ6T95gHxrASH2LWYf73c3bNM7_uyBJSed03mzgUyYycpwXKPyhM-5JFmSUKxsEtHZLCHDMtd1ps3fj5Hhc6pcsVCiN0xG_nKMLDkTBSw2mIXncJdMMR8Ruh3bp8oKCuZaGitzkBRWUSxTVPmWOBq-Lr1hEACLCqLylrymQa1cFkUTXz8CkEz0CfGVMdFjXOQhIi_Bf_K0-7XOzoa1zC0aBecNeLD76b4wAQvfX8vEBiFY4-quq3H82YBlURe1mJZloh5O7KH4dYiu3xfEyUK_YfDI9LJzpVjhn8cjGUh_oUQgpGlWuHW747ZPk9hYWhM9A0tboLSRKumIC18XuqxQvAPfpnsJcWDgBwVpyTBLbKFBAJ9qCsYXFbtecv7JnastDLh1T2i8I5RJ3cxlyBVwnwnWug1sBJIHPrrpqUzqzKHbBrRZ_NyN1XQ%3D%3D&amp;from=serp&amp;dest=http%3A%2F%2Fbr.indeed.com%2Fjob%2Fvendedor-interno-1c287c5176393070&amp;desth=d698014396c83495f966e48e5f612409&amp;prevUrl=https%3A%2F%2Fbr.indeed.com%2Fm%2Fjobs%3Fq%3DSalvador%26l%3D%26from%3DsearchOnHP%26sameL%3D1&amp;tk=1h4tk6qi4kbl0806&amp;dupclk=1&amp;acatk=1h4tk7hjvh4eu800&amp;pub=6917c08ec3ecf6012dd26f3773156e870cace3277f6b99df&amp;xkcb=SoC1-_M3NdgUjoQGqR0LbzkdCdPP" xr:uid="{246A2456-E28C-4517-9043-D6253094FE35}"/>
  </hyperlinks>
  <pageMargins left="0.7" right="0.7" top="0.75" bottom="0.75" header="0.3" footer="0.3"/>
  <pageSetup orientation="portrait" verticalDpi="0" r:id="rId3"/>
  <legacyDrawing r:id="rId4"/>
  <tableParts count="1">
    <tablePart r:id="rId5"/>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P749"/>
  <sheetViews>
    <sheetView workbookViewId="0">
      <pane xSplit="1" ySplit="2" topLeftCell="B3" activePane="bottomRight" state="frozen"/>
      <selection pane="topRight" activeCell="B1" sqref="B1"/>
      <selection pane="bottomLeft" activeCell="A3" sqref="A3"/>
      <selection pane="bottomRight" activeCell="A3" sqref="A3"/>
    </sheetView>
  </sheetViews>
  <sheetFormatPr defaultRowHeight="15" x14ac:dyDescent="0.25"/>
  <cols>
    <col min="1" max="1" width="9.140625" style="1"/>
    <col min="2" max="2" width="7.85546875" customWidth="1"/>
    <col min="3" max="3" width="8.5703125" customWidth="1"/>
    <col min="4" max="4" width="6.7109375" customWidth="1"/>
    <col min="5" max="5" width="9.85546875" customWidth="1"/>
    <col min="6" max="6" width="7.7109375" customWidth="1"/>
    <col min="7" max="7" width="11" customWidth="1"/>
    <col min="8" max="8" width="8.5703125" customWidth="1"/>
    <col min="9" max="9" width="9.7109375" customWidth="1"/>
    <col min="10" max="10" width="10.5703125" customWidth="1"/>
    <col min="11" max="11" width="9.140625" customWidth="1"/>
    <col min="12" max="12" width="9.140625" hidden="1" customWidth="1"/>
    <col min="13" max="14" width="4.28515625" hidden="1" customWidth="1"/>
    <col min="15" max="15" width="10.28515625" hidden="1" customWidth="1"/>
    <col min="16" max="16" width="6.42578125" hidden="1" customWidth="1"/>
    <col min="17" max="17" width="8.28515625" hidden="1" customWidth="1"/>
    <col min="18" max="18" width="9.5703125" hidden="1" customWidth="1"/>
    <col min="19" max="19" width="9.28515625" hidden="1" customWidth="1"/>
    <col min="20" max="20" width="9.5703125" hidden="1" customWidth="1"/>
    <col min="21" max="23" width="14.28515625" hidden="1" customWidth="1"/>
    <col min="24" max="24" width="11.85546875" hidden="1" customWidth="1"/>
    <col min="25" max="25" width="14.42578125" hidden="1" customWidth="1"/>
    <col min="26" max="26" width="18.28515625" hidden="1" customWidth="1"/>
    <col min="27" max="27" width="5" hidden="1" customWidth="1"/>
    <col min="28" max="28" width="16" hidden="1" customWidth="1"/>
    <col min="29" max="29" width="16" style="5" bestFit="1" customWidth="1"/>
    <col min="30" max="30" width="8.5703125" style="2" bestFit="1" customWidth="1"/>
    <col min="31" max="31" width="9.5703125" bestFit="1" customWidth="1"/>
    <col min="32" max="32" width="12" bestFit="1" customWidth="1"/>
    <col min="33" max="33" width="11.5703125" bestFit="1" customWidth="1"/>
    <col min="34" max="34" width="9.7109375" bestFit="1" customWidth="1"/>
    <col min="35" max="35" width="9" bestFit="1" customWidth="1"/>
    <col min="36" max="36" width="13" bestFit="1" customWidth="1"/>
    <col min="37" max="37" width="14.5703125" bestFit="1" customWidth="1"/>
    <col min="38" max="38" width="10.5703125" bestFit="1" customWidth="1"/>
    <col min="39" max="39" width="16.5703125" bestFit="1" customWidth="1"/>
    <col min="40" max="40" width="10.7109375" bestFit="1" customWidth="1"/>
    <col min="41" max="41" width="13.42578125" bestFit="1" customWidth="1"/>
    <col min="42" max="42" width="10.85546875" bestFit="1" customWidth="1"/>
    <col min="43" max="43" width="17.140625" bestFit="1" customWidth="1"/>
    <col min="44" max="44" width="14.7109375" bestFit="1" customWidth="1"/>
    <col min="45" max="45" width="15.5703125" bestFit="1" customWidth="1"/>
    <col min="46" max="46" width="23.28515625" bestFit="1" customWidth="1"/>
    <col min="47" max="47" width="21" bestFit="1" customWidth="1"/>
    <col min="48" max="48" width="11.140625" bestFit="1" customWidth="1"/>
    <col min="49" max="49" width="6.5703125" bestFit="1" customWidth="1"/>
    <col min="50" max="50" width="10.5703125" bestFit="1" customWidth="1"/>
    <col min="51" max="51" width="14.140625" bestFit="1" customWidth="1"/>
    <col min="52" max="52" width="12" bestFit="1" customWidth="1"/>
    <col min="53" max="53" width="10" bestFit="1" customWidth="1"/>
    <col min="54" max="54" width="13" bestFit="1" customWidth="1"/>
    <col min="55" max="55" width="10.28515625" bestFit="1" customWidth="1"/>
    <col min="56" max="56" width="16.85546875" bestFit="1" customWidth="1"/>
    <col min="57" max="58" width="14" bestFit="1" customWidth="1"/>
    <col min="59" max="59" width="11.42578125" bestFit="1" customWidth="1"/>
    <col min="60" max="60" width="13.28515625" bestFit="1" customWidth="1"/>
    <col min="61" max="61" width="19.7109375" bestFit="1" customWidth="1"/>
    <col min="62" max="62" width="12.5703125" bestFit="1" customWidth="1"/>
    <col min="63" max="63" width="11.7109375" bestFit="1" customWidth="1"/>
    <col min="64" max="64" width="11.5703125" bestFit="1" customWidth="1"/>
    <col min="65" max="65" width="15.140625" bestFit="1" customWidth="1"/>
    <col min="66" max="67" width="16.140625" bestFit="1" customWidth="1"/>
  </cols>
  <sheetData>
    <row r="1" spans="1:68" x14ac:dyDescent="0.25">
      <c r="B1" s="22" t="s">
        <v>39</v>
      </c>
      <c r="C1" s="15"/>
      <c r="D1" s="15"/>
      <c r="E1" s="15"/>
      <c r="F1" s="15"/>
      <c r="G1" s="15"/>
      <c r="H1" s="24" t="s">
        <v>43</v>
      </c>
      <c r="I1" s="23"/>
      <c r="J1" s="23"/>
      <c r="K1" s="23"/>
      <c r="L1" s="26" t="s">
        <v>44</v>
      </c>
      <c r="M1" s="25"/>
      <c r="N1" s="25"/>
      <c r="O1" s="25"/>
      <c r="P1" s="25"/>
      <c r="Q1" s="25"/>
      <c r="R1" s="21" t="s">
        <v>42</v>
      </c>
      <c r="S1" s="18"/>
      <c r="T1" s="19"/>
      <c r="U1" s="20"/>
      <c r="V1" s="18"/>
      <c r="W1" s="18"/>
      <c r="X1" s="18"/>
      <c r="Y1" s="18"/>
      <c r="Z1" s="18"/>
      <c r="AA1" s="27" t="s">
        <v>40</v>
      </c>
      <c r="AB1" s="17"/>
      <c r="AC1" s="28" t="s">
        <v>41</v>
      </c>
      <c r="AD1"/>
    </row>
    <row r="2" spans="1:68" ht="30" customHeight="1" x14ac:dyDescent="0.25">
      <c r="A2" s="10" t="s">
        <v>5</v>
      </c>
      <c r="B2" s="7" t="s">
        <v>2</v>
      </c>
      <c r="C2" s="7" t="s">
        <v>8</v>
      </c>
      <c r="D2" s="8" t="s">
        <v>45</v>
      </c>
      <c r="E2" s="9" t="s">
        <v>4</v>
      </c>
      <c r="F2" s="7" t="s">
        <v>48</v>
      </c>
      <c r="G2" s="7" t="s">
        <v>11</v>
      </c>
      <c r="H2" s="7" t="s">
        <v>46</v>
      </c>
      <c r="I2" s="7" t="s">
        <v>47</v>
      </c>
      <c r="J2" s="7" t="s">
        <v>77</v>
      </c>
      <c r="K2" s="7" t="s">
        <v>10</v>
      </c>
      <c r="L2" s="7" t="s">
        <v>27</v>
      </c>
      <c r="M2" s="7" t="s">
        <v>15</v>
      </c>
      <c r="N2" s="7" t="s">
        <v>16</v>
      </c>
      <c r="O2" s="7" t="s">
        <v>13</v>
      </c>
      <c r="P2" s="7" t="s">
        <v>28</v>
      </c>
      <c r="Q2" s="7" t="s">
        <v>29</v>
      </c>
      <c r="R2" s="7" t="s">
        <v>31</v>
      </c>
      <c r="S2" s="7" t="s">
        <v>32</v>
      </c>
      <c r="T2" s="7" t="s">
        <v>33</v>
      </c>
      <c r="U2" s="7" t="s">
        <v>34</v>
      </c>
      <c r="V2" s="7" t="s">
        <v>35</v>
      </c>
      <c r="W2" s="7" t="s">
        <v>36</v>
      </c>
      <c r="X2" s="7" t="s">
        <v>137</v>
      </c>
      <c r="Y2" s="7" t="s">
        <v>37</v>
      </c>
      <c r="Z2" s="7" t="s">
        <v>170</v>
      </c>
      <c r="AA2" s="10" t="s">
        <v>12</v>
      </c>
      <c r="AB2" s="10" t="s">
        <v>38</v>
      </c>
      <c r="AC2" s="7" t="s">
        <v>26</v>
      </c>
      <c r="AD2" s="7" t="s">
        <v>11712</v>
      </c>
      <c r="AE2" s="7" t="s">
        <v>11713</v>
      </c>
      <c r="AF2" s="7" t="s">
        <v>11714</v>
      </c>
      <c r="AG2" s="7" t="s">
        <v>11715</v>
      </c>
      <c r="AH2" s="7" t="s">
        <v>11716</v>
      </c>
      <c r="AI2" s="7" t="s">
        <v>11717</v>
      </c>
      <c r="AJ2" s="7" t="s">
        <v>11718</v>
      </c>
      <c r="AK2" s="7" t="s">
        <v>11719</v>
      </c>
      <c r="AL2" s="7" t="s">
        <v>11720</v>
      </c>
      <c r="AM2" s="7" t="s">
        <v>11721</v>
      </c>
      <c r="AN2" s="7" t="s">
        <v>11722</v>
      </c>
      <c r="AO2" s="7" t="s">
        <v>11723</v>
      </c>
      <c r="AP2" s="7" t="s">
        <v>11724</v>
      </c>
      <c r="AQ2" s="7" t="s">
        <v>11725</v>
      </c>
      <c r="AR2" s="7" t="s">
        <v>11726</v>
      </c>
      <c r="AS2" s="7" t="s">
        <v>11727</v>
      </c>
      <c r="AT2" s="7" t="s">
        <v>11728</v>
      </c>
      <c r="AU2" s="7" t="s">
        <v>11729</v>
      </c>
      <c r="AV2" s="7" t="s">
        <v>11730</v>
      </c>
      <c r="AW2" s="7" t="s">
        <v>11731</v>
      </c>
      <c r="AX2" s="7" t="s">
        <v>11732</v>
      </c>
      <c r="AY2" s="7" t="s">
        <v>11733</v>
      </c>
      <c r="AZ2" s="7" t="s">
        <v>11734</v>
      </c>
      <c r="BA2" s="7" t="s">
        <v>11735</v>
      </c>
      <c r="BB2" s="7" t="s">
        <v>11736</v>
      </c>
      <c r="BC2" s="7" t="s">
        <v>11737</v>
      </c>
      <c r="BD2" s="7" t="s">
        <v>11738</v>
      </c>
      <c r="BE2" s="7" t="s">
        <v>11739</v>
      </c>
      <c r="BF2" s="7" t="s">
        <v>11740</v>
      </c>
      <c r="BG2" s="7" t="s">
        <v>197</v>
      </c>
      <c r="BH2" s="7" t="s">
        <v>11741</v>
      </c>
      <c r="BI2" s="7" t="s">
        <v>11742</v>
      </c>
      <c r="BJ2" s="7" t="s">
        <v>11743</v>
      </c>
      <c r="BK2" s="7" t="s">
        <v>11744</v>
      </c>
      <c r="BL2" s="7" t="s">
        <v>11745</v>
      </c>
      <c r="BM2" s="7" t="s">
        <v>11746</v>
      </c>
      <c r="BN2" s="7" t="s">
        <v>11747</v>
      </c>
      <c r="BO2" s="7" t="s">
        <v>11748</v>
      </c>
    </row>
    <row r="3" spans="1:68" ht="15" customHeight="1" x14ac:dyDescent="0.25">
      <c r="A3" s="62" t="s">
        <v>224</v>
      </c>
      <c r="B3" s="63"/>
      <c r="C3" s="63"/>
      <c r="D3" s="64"/>
      <c r="E3" s="66"/>
      <c r="F3" s="103" t="str">
        <f>HYPERLINK("https://pbs.twimg.com/profile_images/577103653481250816/Gq2aGKA5_normal.jpeg")</f>
        <v>https://pbs.twimg.com/profile_images/577103653481250816/Gq2aGKA5_normal.jpeg</v>
      </c>
      <c r="G3" s="63"/>
      <c r="H3" s="67"/>
      <c r="I3" s="68"/>
      <c r="J3" s="68"/>
      <c r="K3" s="67" t="s">
        <v>15199</v>
      </c>
      <c r="L3" s="71"/>
      <c r="M3" s="72"/>
      <c r="N3" s="72"/>
      <c r="O3" s="73"/>
      <c r="P3" s="74"/>
      <c r="Q3" s="74"/>
      <c r="R3" s="46"/>
      <c r="S3" s="46"/>
      <c r="T3" s="46"/>
      <c r="U3" s="46"/>
      <c r="V3" s="47"/>
      <c r="W3" s="47"/>
      <c r="X3" s="48"/>
      <c r="Y3" s="47"/>
      <c r="Z3" s="47"/>
      <c r="AA3" s="69">
        <v>3</v>
      </c>
      <c r="AB3" s="69"/>
      <c r="AC3" s="70"/>
      <c r="AD3" s="76" t="s">
        <v>12476</v>
      </c>
      <c r="AE3" s="80" t="s">
        <v>12871</v>
      </c>
      <c r="AF3" s="76">
        <v>1195</v>
      </c>
      <c r="AG3" s="76">
        <v>329</v>
      </c>
      <c r="AH3" s="76">
        <v>16539</v>
      </c>
      <c r="AI3" s="76">
        <v>22</v>
      </c>
      <c r="AJ3" s="76">
        <v>114</v>
      </c>
      <c r="AK3" s="76">
        <v>12724</v>
      </c>
      <c r="AL3" s="76" t="b">
        <v>0</v>
      </c>
      <c r="AM3" s="78">
        <v>41947.769884259258</v>
      </c>
      <c r="AN3" s="76" t="s">
        <v>13226</v>
      </c>
      <c r="AO3" s="76" t="s">
        <v>13905</v>
      </c>
      <c r="AP3" s="82" t="str">
        <f>HYPERLINK("https://t.co/yTCqm7Ykg0")</f>
        <v>https://t.co/yTCqm7Ykg0</v>
      </c>
      <c r="AQ3" s="82" t="str">
        <f>HYPERLINK("http://laplazadiario.com.mx/")</f>
        <v>http://laplazadiario.com.mx/</v>
      </c>
      <c r="AR3" s="76" t="s">
        <v>14368</v>
      </c>
      <c r="AS3" s="76"/>
      <c r="AT3" s="76"/>
      <c r="AU3" s="76"/>
      <c r="AV3" s="76"/>
      <c r="AW3" s="82" t="str">
        <f>HYPERLINK("https://t.co/yTCqm7Ykg0")</f>
        <v>https://t.co/yTCqm7Ykg0</v>
      </c>
      <c r="AX3" s="76" t="b">
        <v>0</v>
      </c>
      <c r="AY3" s="76"/>
      <c r="AZ3" s="76"/>
      <c r="BA3" s="76" t="b">
        <v>0</v>
      </c>
      <c r="BB3" s="76" t="b">
        <v>1</v>
      </c>
      <c r="BC3" s="76" t="b">
        <v>0</v>
      </c>
      <c r="BD3" s="76" t="b">
        <v>0</v>
      </c>
      <c r="BE3" s="76" t="b">
        <v>1</v>
      </c>
      <c r="BF3" s="76" t="b">
        <v>0</v>
      </c>
      <c r="BG3" s="76" t="b">
        <v>0</v>
      </c>
      <c r="BH3" s="82" t="str">
        <f>HYPERLINK("https://pbs.twimg.com/profile_banners/2890071926/1520830956")</f>
        <v>https://pbs.twimg.com/profile_banners/2890071926/1520830956</v>
      </c>
      <c r="BI3" s="76"/>
      <c r="BJ3" s="76" t="s">
        <v>14450</v>
      </c>
      <c r="BK3" s="76" t="b">
        <v>0</v>
      </c>
      <c r="BL3" s="76"/>
      <c r="BM3" s="76" t="s">
        <v>66</v>
      </c>
      <c r="BN3" s="76" t="s">
        <v>14452</v>
      </c>
      <c r="BO3" s="82" t="str">
        <f>HYPERLINK("https://twitter.com/laplazadiario")</f>
        <v>https://twitter.com/laplazadiario</v>
      </c>
    </row>
    <row r="4" spans="1:68" x14ac:dyDescent="0.25">
      <c r="A4" s="62" t="s">
        <v>966</v>
      </c>
      <c r="B4" s="63"/>
      <c r="C4" s="63"/>
      <c r="D4" s="64"/>
      <c r="E4" s="66"/>
      <c r="F4" s="103" t="str">
        <f>HYPERLINK("https://pbs.twimg.com/profile_images/1323713513077035011/b4PKtnz8_normal.jpg")</f>
        <v>https://pbs.twimg.com/profile_images/1323713513077035011/b4PKtnz8_normal.jpg</v>
      </c>
      <c r="G4" s="63"/>
      <c r="H4" s="67"/>
      <c r="I4" s="68"/>
      <c r="J4" s="68"/>
      <c r="K4" s="67" t="s">
        <v>14453</v>
      </c>
      <c r="L4" s="71"/>
      <c r="M4" s="72"/>
      <c r="N4" s="72"/>
      <c r="O4" s="73"/>
      <c r="P4" s="74"/>
      <c r="Q4" s="74"/>
      <c r="R4" s="87"/>
      <c r="S4" s="87"/>
      <c r="T4" s="87"/>
      <c r="U4" s="87"/>
      <c r="V4" s="48"/>
      <c r="W4" s="48"/>
      <c r="X4" s="48"/>
      <c r="Y4" s="48"/>
      <c r="Z4" s="47"/>
      <c r="AA4" s="69">
        <v>4</v>
      </c>
      <c r="AB4" s="69"/>
      <c r="AC4" s="70"/>
      <c r="AD4" s="76" t="s">
        <v>11749</v>
      </c>
      <c r="AE4" s="80" t="s">
        <v>12477</v>
      </c>
      <c r="AF4" s="76">
        <v>163154</v>
      </c>
      <c r="AG4" s="76">
        <v>944</v>
      </c>
      <c r="AH4" s="76">
        <v>19650</v>
      </c>
      <c r="AI4" s="76">
        <v>706</v>
      </c>
      <c r="AJ4" s="76">
        <v>7366</v>
      </c>
      <c r="AK4" s="76">
        <v>13591</v>
      </c>
      <c r="AL4" s="76" t="b">
        <v>0</v>
      </c>
      <c r="AM4" s="78">
        <v>40223.098993055559</v>
      </c>
      <c r="AN4" s="76" t="s">
        <v>12872</v>
      </c>
      <c r="AO4" s="76" t="s">
        <v>13227</v>
      </c>
      <c r="AP4" s="82" t="str">
        <f>HYPERLINK("https://t.co/4UMAjt3Z7S")</f>
        <v>https://t.co/4UMAjt3Z7S</v>
      </c>
      <c r="AQ4" s="82" t="str">
        <f>HYPERLINK("http://www.cruzrojamexicana.org.mx")</f>
        <v>http://www.cruzrojamexicana.org.mx</v>
      </c>
      <c r="AR4" s="76" t="s">
        <v>13906</v>
      </c>
      <c r="AS4" s="76"/>
      <c r="AT4" s="76"/>
      <c r="AU4" s="76"/>
      <c r="AV4" s="76"/>
      <c r="AW4" s="82" t="str">
        <f>HYPERLINK("https://t.co/4UMAjt3Z7S")</f>
        <v>https://t.co/4UMAjt3Z7S</v>
      </c>
      <c r="AX4" s="76" t="b">
        <v>0</v>
      </c>
      <c r="AY4" s="76"/>
      <c r="AZ4" s="76"/>
      <c r="BA4" s="76" t="b">
        <v>1</v>
      </c>
      <c r="BB4" s="76" t="b">
        <v>0</v>
      </c>
      <c r="BC4" s="76" t="b">
        <v>0</v>
      </c>
      <c r="BD4" s="76" t="b">
        <v>0</v>
      </c>
      <c r="BE4" s="76" t="b">
        <v>1</v>
      </c>
      <c r="BF4" s="76" t="b">
        <v>0</v>
      </c>
      <c r="BG4" s="76" t="b">
        <v>0</v>
      </c>
      <c r="BH4" s="82" t="str">
        <f>HYPERLINK("https://pbs.twimg.com/profile_banners/114080569/1691527627")</f>
        <v>https://pbs.twimg.com/profile_banners/114080569/1691527627</v>
      </c>
      <c r="BI4" s="76"/>
      <c r="BJ4" s="76" t="s">
        <v>14450</v>
      </c>
      <c r="BK4" s="76" t="b">
        <v>0</v>
      </c>
      <c r="BL4" s="76"/>
      <c r="BM4" s="76" t="s">
        <v>65</v>
      </c>
      <c r="BN4" s="76" t="s">
        <v>14452</v>
      </c>
      <c r="BO4" s="82" t="str">
        <f>HYPERLINK("https://twitter.com/cruzroja_mx")</f>
        <v>https://twitter.com/cruzroja_mx</v>
      </c>
      <c r="BP4" s="2"/>
    </row>
    <row r="5" spans="1:68" x14ac:dyDescent="0.25">
      <c r="A5" s="62" t="s">
        <v>869</v>
      </c>
      <c r="B5" s="63"/>
      <c r="C5" s="63"/>
      <c r="D5" s="64"/>
      <c r="E5" s="66"/>
      <c r="F5" s="103" t="str">
        <f>HYPERLINK("https://pbs.twimg.com/profile_images/1700680140664045568/EPkW0PEZ_normal.jpg")</f>
        <v>https://pbs.twimg.com/profile_images/1700680140664045568/EPkW0PEZ_normal.jpg</v>
      </c>
      <c r="G5" s="63"/>
      <c r="H5" s="67"/>
      <c r="I5" s="68"/>
      <c r="J5" s="68"/>
      <c r="K5" s="67" t="s">
        <v>14454</v>
      </c>
      <c r="L5" s="71"/>
      <c r="M5" s="72"/>
      <c r="N5" s="72"/>
      <c r="O5" s="73"/>
      <c r="P5" s="74"/>
      <c r="Q5" s="74"/>
      <c r="R5" s="87"/>
      <c r="S5" s="87"/>
      <c r="T5" s="87"/>
      <c r="U5" s="87"/>
      <c r="V5" s="48"/>
      <c r="W5" s="48"/>
      <c r="X5" s="48"/>
      <c r="Y5" s="48"/>
      <c r="Z5" s="47"/>
      <c r="AA5" s="69">
        <v>5</v>
      </c>
      <c r="AB5" s="69"/>
      <c r="AC5" s="70"/>
      <c r="AD5" s="76" t="s">
        <v>11750</v>
      </c>
      <c r="AE5" s="80" t="s">
        <v>12478</v>
      </c>
      <c r="AF5" s="76">
        <v>126421</v>
      </c>
      <c r="AG5" s="76">
        <v>907</v>
      </c>
      <c r="AH5" s="76">
        <v>92316</v>
      </c>
      <c r="AI5" s="76">
        <v>452</v>
      </c>
      <c r="AJ5" s="76">
        <v>20283</v>
      </c>
      <c r="AK5" s="76">
        <v>13567</v>
      </c>
      <c r="AL5" s="76" t="b">
        <v>0</v>
      </c>
      <c r="AM5" s="78">
        <v>39931.807847222219</v>
      </c>
      <c r="AN5" s="76" t="s">
        <v>12873</v>
      </c>
      <c r="AO5" s="76" t="s">
        <v>13228</v>
      </c>
      <c r="AP5" s="82" t="str">
        <f>HYPERLINK("https://t.co/bsTdfue2pa")</f>
        <v>https://t.co/bsTdfue2pa</v>
      </c>
      <c r="AQ5" s="82" t="str">
        <f>HYPERLINK("http://www.guerrero.gob.mx")</f>
        <v>http://www.guerrero.gob.mx</v>
      </c>
      <c r="AR5" s="76" t="s">
        <v>13907</v>
      </c>
      <c r="AS5" s="76"/>
      <c r="AT5" s="76"/>
      <c r="AU5" s="76"/>
      <c r="AV5" s="76"/>
      <c r="AW5" s="82" t="str">
        <f>HYPERLINK("https://t.co/bsTdfue2pa")</f>
        <v>https://t.co/bsTdfue2pa</v>
      </c>
      <c r="AX5" s="76" t="b">
        <v>1</v>
      </c>
      <c r="AY5" s="76"/>
      <c r="AZ5" s="76"/>
      <c r="BA5" s="76" t="b">
        <v>0</v>
      </c>
      <c r="BB5" s="76" t="b">
        <v>0</v>
      </c>
      <c r="BC5" s="76" t="b">
        <v>0</v>
      </c>
      <c r="BD5" s="76" t="b">
        <v>0</v>
      </c>
      <c r="BE5" s="76" t="b">
        <v>1</v>
      </c>
      <c r="BF5" s="76" t="b">
        <v>0</v>
      </c>
      <c r="BG5" s="76" t="b">
        <v>0</v>
      </c>
      <c r="BH5" s="82" t="str">
        <f>HYPERLINK("https://pbs.twimg.com/profile_banners/36154972/1694308728")</f>
        <v>https://pbs.twimg.com/profile_banners/36154972/1694308728</v>
      </c>
      <c r="BI5" s="76"/>
      <c r="BJ5" s="76" t="s">
        <v>14450</v>
      </c>
      <c r="BK5" s="76" t="b">
        <v>0</v>
      </c>
      <c r="BL5" s="76"/>
      <c r="BM5" s="76" t="s">
        <v>65</v>
      </c>
      <c r="BN5" s="76" t="s">
        <v>14452</v>
      </c>
      <c r="BO5" s="82" t="str">
        <f>HYPERLINK("https://twitter.com/gob_guerrero")</f>
        <v>https://twitter.com/gob_guerrero</v>
      </c>
      <c r="BP5" s="2"/>
    </row>
    <row r="6" spans="1:68" x14ac:dyDescent="0.25">
      <c r="A6" s="62" t="s">
        <v>870</v>
      </c>
      <c r="B6" s="63"/>
      <c r="C6" s="63"/>
      <c r="D6" s="64"/>
      <c r="E6" s="66"/>
      <c r="F6" s="103" t="str">
        <f>HYPERLINK("https://pbs.twimg.com/profile_images/1675021326874976258/X0IiNrh-_normal.jpg")</f>
        <v>https://pbs.twimg.com/profile_images/1675021326874976258/X0IiNrh-_normal.jpg</v>
      </c>
      <c r="G6" s="63"/>
      <c r="H6" s="67"/>
      <c r="I6" s="68"/>
      <c r="J6" s="68"/>
      <c r="K6" s="67" t="s">
        <v>14455</v>
      </c>
      <c r="L6" s="71"/>
      <c r="M6" s="72"/>
      <c r="N6" s="72"/>
      <c r="O6" s="73"/>
      <c r="P6" s="74"/>
      <c r="Q6" s="74"/>
      <c r="R6" s="87"/>
      <c r="S6" s="87"/>
      <c r="T6" s="87"/>
      <c r="U6" s="87"/>
      <c r="V6" s="48"/>
      <c r="W6" s="48"/>
      <c r="X6" s="48"/>
      <c r="Y6" s="48"/>
      <c r="Z6" s="47"/>
      <c r="AA6" s="69">
        <v>6</v>
      </c>
      <c r="AB6" s="69"/>
      <c r="AC6" s="70"/>
      <c r="AD6" s="76" t="s">
        <v>11751</v>
      </c>
      <c r="AE6" s="80" t="s">
        <v>12479</v>
      </c>
      <c r="AF6" s="76">
        <v>1529687</v>
      </c>
      <c r="AG6" s="76">
        <v>69</v>
      </c>
      <c r="AH6" s="76">
        <v>46045</v>
      </c>
      <c r="AI6" s="76">
        <v>3203</v>
      </c>
      <c r="AJ6" s="76">
        <v>1439</v>
      </c>
      <c r="AK6" s="76">
        <v>31831</v>
      </c>
      <c r="AL6" s="76" t="b">
        <v>0</v>
      </c>
      <c r="AM6" s="78">
        <v>40245.696608796294</v>
      </c>
      <c r="AN6" s="76" t="s">
        <v>7767</v>
      </c>
      <c r="AO6" s="76" t="s">
        <v>13229</v>
      </c>
      <c r="AP6" s="82" t="str">
        <f>HYPERLINK("https://t.co/42JiQxZP2g")</f>
        <v>https://t.co/42JiQxZP2g</v>
      </c>
      <c r="AQ6" s="82" t="str">
        <f>HYPERLINK("https://www.gob.mx/sedena")</f>
        <v>https://www.gob.mx/sedena</v>
      </c>
      <c r="AR6" s="76" t="s">
        <v>13908</v>
      </c>
      <c r="AS6" s="76"/>
      <c r="AT6" s="76"/>
      <c r="AU6" s="76"/>
      <c r="AV6" s="76"/>
      <c r="AW6" s="82" t="str">
        <f>HYPERLINK("https://t.co/42JiQxZP2g")</f>
        <v>https://t.co/42JiQxZP2g</v>
      </c>
      <c r="AX6" s="76" t="b">
        <v>1</v>
      </c>
      <c r="AY6" s="76"/>
      <c r="AZ6" s="76"/>
      <c r="BA6" s="76" t="b">
        <v>0</v>
      </c>
      <c r="BB6" s="76" t="b">
        <v>1</v>
      </c>
      <c r="BC6" s="76" t="b">
        <v>0</v>
      </c>
      <c r="BD6" s="76" t="b">
        <v>0</v>
      </c>
      <c r="BE6" s="76" t="b">
        <v>1</v>
      </c>
      <c r="BF6" s="76" t="b">
        <v>0</v>
      </c>
      <c r="BG6" s="76" t="b">
        <v>0</v>
      </c>
      <c r="BH6" s="82" t="str">
        <f>HYPERLINK("https://pbs.twimg.com/profile_banners/121165363/1695057904")</f>
        <v>https://pbs.twimg.com/profile_banners/121165363/1695057904</v>
      </c>
      <c r="BI6" s="76"/>
      <c r="BJ6" s="76" t="s">
        <v>14450</v>
      </c>
      <c r="BK6" s="76" t="b">
        <v>0</v>
      </c>
      <c r="BL6" s="76"/>
      <c r="BM6" s="76" t="s">
        <v>65</v>
      </c>
      <c r="BN6" s="76" t="s">
        <v>14452</v>
      </c>
      <c r="BO6" s="82" t="str">
        <f>HYPERLINK("https://twitter.com/sedenamx")</f>
        <v>https://twitter.com/sedenamx</v>
      </c>
      <c r="BP6" s="2"/>
    </row>
    <row r="7" spans="1:68" x14ac:dyDescent="0.25">
      <c r="A7" s="62" t="s">
        <v>871</v>
      </c>
      <c r="B7" s="63"/>
      <c r="C7" s="63"/>
      <c r="D7" s="64"/>
      <c r="E7" s="66"/>
      <c r="F7" s="103" t="str">
        <f>HYPERLINK("https://pbs.twimg.com/profile_images/1455205151535419392/5Vn3_pD7_normal.jpg")</f>
        <v>https://pbs.twimg.com/profile_images/1455205151535419392/5Vn3_pD7_normal.jpg</v>
      </c>
      <c r="G7" s="63"/>
      <c r="H7" s="67"/>
      <c r="I7" s="68"/>
      <c r="J7" s="68"/>
      <c r="K7" s="67" t="s">
        <v>14456</v>
      </c>
      <c r="L7" s="71"/>
      <c r="M7" s="72"/>
      <c r="N7" s="72"/>
      <c r="O7" s="73"/>
      <c r="P7" s="74"/>
      <c r="Q7" s="74"/>
      <c r="R7" s="87"/>
      <c r="S7" s="87"/>
      <c r="T7" s="87"/>
      <c r="U7" s="87"/>
      <c r="V7" s="48"/>
      <c r="W7" s="48"/>
      <c r="X7" s="48"/>
      <c r="Y7" s="48"/>
      <c r="Z7" s="47"/>
      <c r="AA7" s="69">
        <v>7</v>
      </c>
      <c r="AB7" s="69"/>
      <c r="AC7" s="70"/>
      <c r="AD7" s="76" t="s">
        <v>11752</v>
      </c>
      <c r="AE7" s="80" t="s">
        <v>12480</v>
      </c>
      <c r="AF7" s="76">
        <v>526970</v>
      </c>
      <c r="AG7" s="76">
        <v>36</v>
      </c>
      <c r="AH7" s="76">
        <v>8165</v>
      </c>
      <c r="AI7" s="76">
        <v>652</v>
      </c>
      <c r="AJ7" s="76">
        <v>440</v>
      </c>
      <c r="AK7" s="76">
        <v>6805</v>
      </c>
      <c r="AL7" s="76" t="b">
        <v>0</v>
      </c>
      <c r="AM7" s="78">
        <v>43655.900891203702</v>
      </c>
      <c r="AN7" s="76"/>
      <c r="AO7" s="76" t="s">
        <v>13230</v>
      </c>
      <c r="AP7" s="82" t="str">
        <f>HYPERLINK("https://t.co/sVNOBu7dGp")</f>
        <v>https://t.co/sVNOBu7dGp</v>
      </c>
      <c r="AQ7" s="82" t="str">
        <f>HYPERLINK("http://www.gob.mx/guardianacional")</f>
        <v>http://www.gob.mx/guardianacional</v>
      </c>
      <c r="AR7" s="76" t="s">
        <v>13909</v>
      </c>
      <c r="AS7" s="76"/>
      <c r="AT7" s="76"/>
      <c r="AU7" s="76"/>
      <c r="AV7" s="76"/>
      <c r="AW7" s="82" t="str">
        <f>HYPERLINK("https://t.co/sVNOBu7dGp")</f>
        <v>https://t.co/sVNOBu7dGp</v>
      </c>
      <c r="AX7" s="76" t="b">
        <v>0</v>
      </c>
      <c r="AY7" s="76"/>
      <c r="AZ7" s="76"/>
      <c r="BA7" s="76" t="b">
        <v>0</v>
      </c>
      <c r="BB7" s="76" t="b">
        <v>1</v>
      </c>
      <c r="BC7" s="76" t="b">
        <v>1</v>
      </c>
      <c r="BD7" s="76" t="b">
        <v>0</v>
      </c>
      <c r="BE7" s="76" t="b">
        <v>1</v>
      </c>
      <c r="BF7" s="76" t="b">
        <v>0</v>
      </c>
      <c r="BG7" s="76" t="b">
        <v>0</v>
      </c>
      <c r="BH7" s="82" t="str">
        <f>HYPERLINK("https://pbs.twimg.com/profile_banners/1148707721878724609/1695050697")</f>
        <v>https://pbs.twimg.com/profile_banners/1148707721878724609/1695050697</v>
      </c>
      <c r="BI7" s="76"/>
      <c r="BJ7" s="76" t="s">
        <v>14450</v>
      </c>
      <c r="BK7" s="76" t="b">
        <v>0</v>
      </c>
      <c r="BL7" s="76"/>
      <c r="BM7" s="76" t="s">
        <v>65</v>
      </c>
      <c r="BN7" s="76" t="s">
        <v>14452</v>
      </c>
      <c r="BO7" s="82" t="str">
        <f>HYPERLINK("https://twitter.com/gn_mexico_")</f>
        <v>https://twitter.com/gn_mexico_</v>
      </c>
      <c r="BP7" s="2"/>
    </row>
    <row r="8" spans="1:68" x14ac:dyDescent="0.25">
      <c r="A8" s="62" t="s">
        <v>872</v>
      </c>
      <c r="B8" s="63"/>
      <c r="C8" s="63"/>
      <c r="D8" s="64"/>
      <c r="E8" s="66"/>
      <c r="F8" s="103" t="str">
        <f>HYPERLINK("https://pbs.twimg.com/profile_images/1643330563078512640/VQO2Nkpc_normal.jpg")</f>
        <v>https://pbs.twimg.com/profile_images/1643330563078512640/VQO2Nkpc_normal.jpg</v>
      </c>
      <c r="G8" s="63"/>
      <c r="H8" s="67"/>
      <c r="I8" s="68"/>
      <c r="J8" s="68"/>
      <c r="K8" s="67" t="s">
        <v>14457</v>
      </c>
      <c r="L8" s="71"/>
      <c r="M8" s="72"/>
      <c r="N8" s="72"/>
      <c r="O8" s="73"/>
      <c r="P8" s="74"/>
      <c r="Q8" s="74"/>
      <c r="R8" s="87"/>
      <c r="S8" s="87"/>
      <c r="T8" s="87"/>
      <c r="U8" s="87"/>
      <c r="V8" s="48"/>
      <c r="W8" s="48"/>
      <c r="X8" s="48"/>
      <c r="Y8" s="48"/>
      <c r="Z8" s="47"/>
      <c r="AA8" s="69">
        <v>8</v>
      </c>
      <c r="AB8" s="69"/>
      <c r="AC8" s="70"/>
      <c r="AD8" s="76" t="s">
        <v>11753</v>
      </c>
      <c r="AE8" s="80" t="s">
        <v>12481</v>
      </c>
      <c r="AF8" s="76">
        <v>12848</v>
      </c>
      <c r="AG8" s="76">
        <v>73</v>
      </c>
      <c r="AH8" s="76">
        <v>13839</v>
      </c>
      <c r="AI8" s="76">
        <v>81</v>
      </c>
      <c r="AJ8" s="76">
        <v>51</v>
      </c>
      <c r="AK8" s="76">
        <v>11975</v>
      </c>
      <c r="AL8" s="76" t="b">
        <v>0</v>
      </c>
      <c r="AM8" s="78">
        <v>40652.891331018516</v>
      </c>
      <c r="AN8" s="76" t="s">
        <v>12874</v>
      </c>
      <c r="AO8" s="76" t="s">
        <v>13231</v>
      </c>
      <c r="AP8" s="82" t="str">
        <f>HYPERLINK("https://t.co/0JCJUHElR8")</f>
        <v>https://t.co/0JCJUHElR8</v>
      </c>
      <c r="AQ8" s="82" t="str">
        <f>HYPERLINK("http://www.fiscaliaguerrero.gob.mx")</f>
        <v>http://www.fiscaliaguerrero.gob.mx</v>
      </c>
      <c r="AR8" s="76" t="s">
        <v>13910</v>
      </c>
      <c r="AS8" s="76"/>
      <c r="AT8" s="76"/>
      <c r="AU8" s="76"/>
      <c r="AV8" s="76"/>
      <c r="AW8" s="82" t="str">
        <f>HYPERLINK("https://t.co/0JCJUHElR8")</f>
        <v>https://t.co/0JCJUHElR8</v>
      </c>
      <c r="AX8" s="76" t="b">
        <v>0</v>
      </c>
      <c r="AY8" s="76"/>
      <c r="AZ8" s="76"/>
      <c r="BA8" s="76" t="b">
        <v>0</v>
      </c>
      <c r="BB8" s="76" t="b">
        <v>0</v>
      </c>
      <c r="BC8" s="76" t="b">
        <v>0</v>
      </c>
      <c r="BD8" s="76" t="b">
        <v>0</v>
      </c>
      <c r="BE8" s="76" t="b">
        <v>1</v>
      </c>
      <c r="BF8" s="76" t="b">
        <v>0</v>
      </c>
      <c r="BG8" s="76" t="b">
        <v>0</v>
      </c>
      <c r="BH8" s="82" t="str">
        <f>HYPERLINK("https://pbs.twimg.com/profile_banners/284730539/1673460715")</f>
        <v>https://pbs.twimg.com/profile_banners/284730539/1673460715</v>
      </c>
      <c r="BI8" s="76"/>
      <c r="BJ8" s="76" t="s">
        <v>14450</v>
      </c>
      <c r="BK8" s="76" t="b">
        <v>0</v>
      </c>
      <c r="BL8" s="76"/>
      <c r="BM8" s="76" t="s">
        <v>65</v>
      </c>
      <c r="BN8" s="76" t="s">
        <v>14452</v>
      </c>
      <c r="BO8" s="82" t="str">
        <f>HYPERLINK("https://twitter.com/fgeguerrero")</f>
        <v>https://twitter.com/fgeguerrero</v>
      </c>
      <c r="BP8" s="2"/>
    </row>
    <row r="9" spans="1:68" x14ac:dyDescent="0.25">
      <c r="A9" s="62" t="s">
        <v>873</v>
      </c>
      <c r="B9" s="63"/>
      <c r="C9" s="63"/>
      <c r="D9" s="64"/>
      <c r="E9" s="66"/>
      <c r="F9" s="103" t="str">
        <f>HYPERLINK("https://pbs.twimg.com/profile_images/1601953034078240768/hD73aZqr_normal.jpg")</f>
        <v>https://pbs.twimg.com/profile_images/1601953034078240768/hD73aZqr_normal.jpg</v>
      </c>
      <c r="G9" s="63"/>
      <c r="H9" s="67"/>
      <c r="I9" s="68"/>
      <c r="J9" s="68"/>
      <c r="K9" s="67" t="s">
        <v>14458</v>
      </c>
      <c r="L9" s="71"/>
      <c r="M9" s="72"/>
      <c r="N9" s="72"/>
      <c r="O9" s="73"/>
      <c r="P9" s="74"/>
      <c r="Q9" s="74"/>
      <c r="R9" s="87"/>
      <c r="S9" s="87"/>
      <c r="T9" s="87"/>
      <c r="U9" s="87"/>
      <c r="V9" s="48"/>
      <c r="W9" s="48"/>
      <c r="X9" s="48"/>
      <c r="Y9" s="48"/>
      <c r="Z9" s="47"/>
      <c r="AA9" s="69">
        <v>9</v>
      </c>
      <c r="AB9" s="69"/>
      <c r="AC9" s="70"/>
      <c r="AD9" s="76" t="s">
        <v>11754</v>
      </c>
      <c r="AE9" s="80" t="s">
        <v>12482</v>
      </c>
      <c r="AF9" s="76">
        <v>26328</v>
      </c>
      <c r="AG9" s="76">
        <v>414</v>
      </c>
      <c r="AH9" s="76">
        <v>101734</v>
      </c>
      <c r="AI9" s="76">
        <v>233</v>
      </c>
      <c r="AJ9" s="76">
        <v>4061</v>
      </c>
      <c r="AK9" s="76">
        <v>64574</v>
      </c>
      <c r="AL9" s="76" t="b">
        <v>0</v>
      </c>
      <c r="AM9" s="78">
        <v>39938.96770833333</v>
      </c>
      <c r="AN9" s="76" t="s">
        <v>12875</v>
      </c>
      <c r="AO9" s="76" t="s">
        <v>13232</v>
      </c>
      <c r="AP9" s="82" t="str">
        <f>HYPERLINK("https://t.co/RjSqNghtae")</f>
        <v>https://t.co/RjSqNghtae</v>
      </c>
      <c r="AQ9" s="82" t="str">
        <f>HYPERLINK("http://www.seguridadgro.gob.mx")</f>
        <v>http://www.seguridadgro.gob.mx</v>
      </c>
      <c r="AR9" s="76" t="s">
        <v>13911</v>
      </c>
      <c r="AS9" s="76"/>
      <c r="AT9" s="76"/>
      <c r="AU9" s="76"/>
      <c r="AV9" s="76"/>
      <c r="AW9" s="82" t="str">
        <f>HYPERLINK("https://t.co/RjSqNghtae")</f>
        <v>https://t.co/RjSqNghtae</v>
      </c>
      <c r="AX9" s="76" t="b">
        <v>0</v>
      </c>
      <c r="AY9" s="76"/>
      <c r="AZ9" s="76"/>
      <c r="BA9" s="76" t="b">
        <v>0</v>
      </c>
      <c r="BB9" s="76" t="b">
        <v>0</v>
      </c>
      <c r="BC9" s="76" t="b">
        <v>0</v>
      </c>
      <c r="BD9" s="76" t="b">
        <v>0</v>
      </c>
      <c r="BE9" s="76" t="b">
        <v>1</v>
      </c>
      <c r="BF9" s="76" t="b">
        <v>0</v>
      </c>
      <c r="BG9" s="76" t="b">
        <v>0</v>
      </c>
      <c r="BH9" s="82" t="str">
        <f>HYPERLINK("https://pbs.twimg.com/profile_banners/38048457/1694366542")</f>
        <v>https://pbs.twimg.com/profile_banners/38048457/1694366542</v>
      </c>
      <c r="BI9" s="76"/>
      <c r="BJ9" s="76" t="s">
        <v>14451</v>
      </c>
      <c r="BK9" s="76" t="b">
        <v>0</v>
      </c>
      <c r="BL9" s="76"/>
      <c r="BM9" s="76" t="s">
        <v>65</v>
      </c>
      <c r="BN9" s="76" t="s">
        <v>14452</v>
      </c>
      <c r="BO9" s="82" t="str">
        <f>HYPERLINK("https://twitter.com/sspgro")</f>
        <v>https://twitter.com/sspgro</v>
      </c>
      <c r="BP9" s="2"/>
    </row>
    <row r="10" spans="1:68" x14ac:dyDescent="0.25">
      <c r="A10" s="62" t="s">
        <v>225</v>
      </c>
      <c r="B10" s="63"/>
      <c r="C10" s="63"/>
      <c r="D10" s="64"/>
      <c r="E10" s="66"/>
      <c r="F10" s="103" t="str">
        <f>HYPERLINK("https://pbs.twimg.com/profile_images/1203109585118269440/_Ebo40Dk_normal.jpg")</f>
        <v>https://pbs.twimg.com/profile_images/1203109585118269440/_Ebo40Dk_normal.jpg</v>
      </c>
      <c r="G10" s="63"/>
      <c r="H10" s="67"/>
      <c r="I10" s="68"/>
      <c r="J10" s="68"/>
      <c r="K10" s="67" t="s">
        <v>14459</v>
      </c>
      <c r="L10" s="71"/>
      <c r="M10" s="72"/>
      <c r="N10" s="72"/>
      <c r="O10" s="73"/>
      <c r="P10" s="74"/>
      <c r="Q10" s="74"/>
      <c r="R10" s="87"/>
      <c r="S10" s="87"/>
      <c r="T10" s="87"/>
      <c r="U10" s="87"/>
      <c r="V10" s="48"/>
      <c r="W10" s="48"/>
      <c r="X10" s="48"/>
      <c r="Y10" s="48"/>
      <c r="Z10" s="47"/>
      <c r="AA10" s="69">
        <v>10</v>
      </c>
      <c r="AB10" s="69"/>
      <c r="AC10" s="70"/>
      <c r="AD10" s="76" t="s">
        <v>11755</v>
      </c>
      <c r="AE10" s="80" t="s">
        <v>12483</v>
      </c>
      <c r="AF10" s="76">
        <v>256</v>
      </c>
      <c r="AG10" s="76">
        <v>176</v>
      </c>
      <c r="AH10" s="76">
        <v>2185</v>
      </c>
      <c r="AI10" s="76">
        <v>4</v>
      </c>
      <c r="AJ10" s="76">
        <v>15</v>
      </c>
      <c r="AK10" s="76">
        <v>1553</v>
      </c>
      <c r="AL10" s="76" t="b">
        <v>0</v>
      </c>
      <c r="AM10" s="78">
        <v>42041.897777777776</v>
      </c>
      <c r="AN10" s="76" t="s">
        <v>12876</v>
      </c>
      <c r="AO10" s="76" t="s">
        <v>13233</v>
      </c>
      <c r="AP10" s="82" t="str">
        <f>HYPERLINK("http://t.co/9ECzO6C6iw")</f>
        <v>http://t.co/9ECzO6C6iw</v>
      </c>
      <c r="AQ10" s="82" t="str">
        <f>HYPERLINK("http://www.coachpepevillacis.com")</f>
        <v>http://www.coachpepevillacis.com</v>
      </c>
      <c r="AR10" s="76" t="s">
        <v>13912</v>
      </c>
      <c r="AS10" s="76"/>
      <c r="AT10" s="76"/>
      <c r="AU10" s="76"/>
      <c r="AV10" s="76"/>
      <c r="AW10" s="82" t="str">
        <f>HYPERLINK("http://t.co/9ECzO6C6iw")</f>
        <v>http://t.co/9ECzO6C6iw</v>
      </c>
      <c r="AX10" s="76" t="b">
        <v>0</v>
      </c>
      <c r="AY10" s="76"/>
      <c r="AZ10" s="76"/>
      <c r="BA10" s="76" t="b">
        <v>0</v>
      </c>
      <c r="BB10" s="76" t="b">
        <v>1</v>
      </c>
      <c r="BC10" s="76" t="b">
        <v>0</v>
      </c>
      <c r="BD10" s="76" t="b">
        <v>0</v>
      </c>
      <c r="BE10" s="76" t="b">
        <v>0</v>
      </c>
      <c r="BF10" s="76" t="b">
        <v>0</v>
      </c>
      <c r="BG10" s="76" t="b">
        <v>0</v>
      </c>
      <c r="BH10" s="82" t="str">
        <f>HYPERLINK("https://pbs.twimg.com/profile_banners/3011651160/1593383853")</f>
        <v>https://pbs.twimg.com/profile_banners/3011651160/1593383853</v>
      </c>
      <c r="BI10" s="76"/>
      <c r="BJ10" s="76" t="s">
        <v>14450</v>
      </c>
      <c r="BK10" s="76" t="b">
        <v>0</v>
      </c>
      <c r="BL10" s="76"/>
      <c r="BM10" s="76" t="s">
        <v>66</v>
      </c>
      <c r="BN10" s="76" t="s">
        <v>14452</v>
      </c>
      <c r="BO10" s="82" t="str">
        <f>HYPERLINK("https://twitter.com/coachvillacis")</f>
        <v>https://twitter.com/coachvillacis</v>
      </c>
      <c r="BP10" s="2"/>
    </row>
    <row r="11" spans="1:68" x14ac:dyDescent="0.25">
      <c r="A11" s="62" t="s">
        <v>226</v>
      </c>
      <c r="B11" s="63"/>
      <c r="C11" s="63"/>
      <c r="D11" s="64"/>
      <c r="E11" s="66"/>
      <c r="F11" s="103" t="str">
        <f>HYPERLINK("https://pbs.twimg.com/profile_images/1345048494378139649/qtu1o2fs_normal.jpg")</f>
        <v>https://pbs.twimg.com/profile_images/1345048494378139649/qtu1o2fs_normal.jpg</v>
      </c>
      <c r="G11" s="63"/>
      <c r="H11" s="67"/>
      <c r="I11" s="68"/>
      <c r="J11" s="68"/>
      <c r="K11" s="67" t="s">
        <v>14460</v>
      </c>
      <c r="L11" s="71"/>
      <c r="M11" s="72"/>
      <c r="N11" s="72"/>
      <c r="O11" s="73"/>
      <c r="P11" s="74"/>
      <c r="Q11" s="74"/>
      <c r="R11" s="87"/>
      <c r="S11" s="87"/>
      <c r="T11" s="87"/>
      <c r="U11" s="87"/>
      <c r="V11" s="48"/>
      <c r="W11" s="48"/>
      <c r="X11" s="48"/>
      <c r="Y11" s="48"/>
      <c r="Z11" s="47"/>
      <c r="AA11" s="69">
        <v>11</v>
      </c>
      <c r="AB11" s="69"/>
      <c r="AC11" s="70"/>
      <c r="AD11" s="76" t="s">
        <v>11756</v>
      </c>
      <c r="AE11" s="80" t="s">
        <v>12484</v>
      </c>
      <c r="AF11" s="76">
        <v>780</v>
      </c>
      <c r="AG11" s="76">
        <v>267</v>
      </c>
      <c r="AH11" s="76">
        <v>912</v>
      </c>
      <c r="AI11" s="76">
        <v>0</v>
      </c>
      <c r="AJ11" s="76">
        <v>60</v>
      </c>
      <c r="AK11" s="76">
        <v>421</v>
      </c>
      <c r="AL11" s="76" t="b">
        <v>0</v>
      </c>
      <c r="AM11" s="78">
        <v>41081.724328703705</v>
      </c>
      <c r="AN11" s="76" t="s">
        <v>12877</v>
      </c>
      <c r="AO11" s="76" t="s">
        <v>13234</v>
      </c>
      <c r="AP11" s="82" t="str">
        <f>HYPERLINK("https://t.co/iSe3ukdGL6")</f>
        <v>https://t.co/iSe3ukdGL6</v>
      </c>
      <c r="AQ11" s="82" t="str">
        <f>HYPERLINK("http://acsiresearch.com")</f>
        <v>http://acsiresearch.com</v>
      </c>
      <c r="AR11" s="76" t="s">
        <v>13913</v>
      </c>
      <c r="AS11" s="76"/>
      <c r="AT11" s="76"/>
      <c r="AU11" s="76"/>
      <c r="AV11" s="76"/>
      <c r="AW11" s="82" t="str">
        <f>HYPERLINK("https://t.co/iSe3ukdGL6")</f>
        <v>https://t.co/iSe3ukdGL6</v>
      </c>
      <c r="AX11" s="76" t="b">
        <v>0</v>
      </c>
      <c r="AY11" s="76"/>
      <c r="AZ11" s="76"/>
      <c r="BA11" s="76" t="b">
        <v>0</v>
      </c>
      <c r="BB11" s="76" t="b">
        <v>1</v>
      </c>
      <c r="BC11" s="76" t="b">
        <v>0</v>
      </c>
      <c r="BD11" s="76" t="b">
        <v>0</v>
      </c>
      <c r="BE11" s="76" t="b">
        <v>0</v>
      </c>
      <c r="BF11" s="76" t="b">
        <v>0</v>
      </c>
      <c r="BG11" s="76" t="b">
        <v>0</v>
      </c>
      <c r="BH11" s="82" t="str">
        <f>HYPERLINK("https://pbs.twimg.com/profile_banners/614439896/1609519774")</f>
        <v>https://pbs.twimg.com/profile_banners/614439896/1609519774</v>
      </c>
      <c r="BI11" s="76"/>
      <c r="BJ11" s="76" t="s">
        <v>14450</v>
      </c>
      <c r="BK11" s="76" t="b">
        <v>0</v>
      </c>
      <c r="BL11" s="76"/>
      <c r="BM11" s="76" t="s">
        <v>66</v>
      </c>
      <c r="BN11" s="76" t="s">
        <v>14452</v>
      </c>
      <c r="BO11" s="82" t="str">
        <f>HYPERLINK("https://twitter.com/acsiresearch")</f>
        <v>https://twitter.com/acsiresearch</v>
      </c>
      <c r="BP11" s="2"/>
    </row>
    <row r="12" spans="1:68" x14ac:dyDescent="0.25">
      <c r="A12" s="62" t="s">
        <v>227</v>
      </c>
      <c r="B12" s="63"/>
      <c r="C12" s="63"/>
      <c r="D12" s="64"/>
      <c r="E12" s="66"/>
      <c r="F12" s="103" t="str">
        <f>HYPERLINK("https://pbs.twimg.com/profile_images/1620120893769801751/Bo-ThO1O_normal.jpg")</f>
        <v>https://pbs.twimg.com/profile_images/1620120893769801751/Bo-ThO1O_normal.jpg</v>
      </c>
      <c r="G12" s="63"/>
      <c r="H12" s="67"/>
      <c r="I12" s="68"/>
      <c r="J12" s="68"/>
      <c r="K12" s="67" t="s">
        <v>14461</v>
      </c>
      <c r="L12" s="71"/>
      <c r="M12" s="72"/>
      <c r="N12" s="72"/>
      <c r="O12" s="73"/>
      <c r="P12" s="74"/>
      <c r="Q12" s="74"/>
      <c r="R12" s="87"/>
      <c r="S12" s="87"/>
      <c r="T12" s="87"/>
      <c r="U12" s="87"/>
      <c r="V12" s="48"/>
      <c r="W12" s="48"/>
      <c r="X12" s="48"/>
      <c r="Y12" s="48"/>
      <c r="Z12" s="47"/>
      <c r="AA12" s="69">
        <v>12</v>
      </c>
      <c r="AB12" s="69"/>
      <c r="AC12" s="70"/>
      <c r="AD12" s="76" t="s">
        <v>11757</v>
      </c>
      <c r="AE12" s="80" t="s">
        <v>12485</v>
      </c>
      <c r="AF12" s="76">
        <v>3113</v>
      </c>
      <c r="AG12" s="76">
        <v>29</v>
      </c>
      <c r="AH12" s="76">
        <v>9113</v>
      </c>
      <c r="AI12" s="76">
        <v>32</v>
      </c>
      <c r="AJ12" s="76">
        <v>1669</v>
      </c>
      <c r="AK12" s="76">
        <v>3509</v>
      </c>
      <c r="AL12" s="76" t="b">
        <v>0</v>
      </c>
      <c r="AM12" s="78">
        <v>40535.295601851853</v>
      </c>
      <c r="AN12" s="76" t="s">
        <v>12878</v>
      </c>
      <c r="AO12" s="76" t="s">
        <v>13235</v>
      </c>
      <c r="AP12" s="82" t="str">
        <f>HYPERLINK("https://t.co/JKHvVavJIZ")</f>
        <v>https://t.co/JKHvVavJIZ</v>
      </c>
      <c r="AQ12" s="82" t="str">
        <f>HYPERLINK("https://linktr.ee/carlosagami")</f>
        <v>https://linktr.ee/carlosagami</v>
      </c>
      <c r="AR12" s="76" t="s">
        <v>13914</v>
      </c>
      <c r="AS12" s="76"/>
      <c r="AT12" s="76"/>
      <c r="AU12" s="76"/>
      <c r="AV12" s="76">
        <v>1.5494306473447501E+18</v>
      </c>
      <c r="AW12" s="82" t="str">
        <f>HYPERLINK("https://t.co/JKHvVavJIZ")</f>
        <v>https://t.co/JKHvVavJIZ</v>
      </c>
      <c r="AX12" s="76" t="b">
        <v>0</v>
      </c>
      <c r="AY12" s="76"/>
      <c r="AZ12" s="76"/>
      <c r="BA12" s="76" t="b">
        <v>1</v>
      </c>
      <c r="BB12" s="76" t="b">
        <v>1</v>
      </c>
      <c r="BC12" s="76" t="b">
        <v>1</v>
      </c>
      <c r="BD12" s="76" t="b">
        <v>0</v>
      </c>
      <c r="BE12" s="76" t="b">
        <v>0</v>
      </c>
      <c r="BF12" s="76" t="b">
        <v>0</v>
      </c>
      <c r="BG12" s="76" t="b">
        <v>0</v>
      </c>
      <c r="BH12" s="82" t="str">
        <f>HYPERLINK("https://pbs.twimg.com/profile_banners/229755560/1607704814")</f>
        <v>https://pbs.twimg.com/profile_banners/229755560/1607704814</v>
      </c>
      <c r="BI12" s="76"/>
      <c r="BJ12" s="76" t="s">
        <v>14450</v>
      </c>
      <c r="BK12" s="76" t="b">
        <v>0</v>
      </c>
      <c r="BL12" s="76"/>
      <c r="BM12" s="76" t="s">
        <v>66</v>
      </c>
      <c r="BN12" s="76" t="s">
        <v>14452</v>
      </c>
      <c r="BO12" s="82" t="str">
        <f>HYPERLINK("https://twitter.com/carlosagami")</f>
        <v>https://twitter.com/carlosagami</v>
      </c>
      <c r="BP12" s="2"/>
    </row>
    <row r="13" spans="1:68" x14ac:dyDescent="0.25">
      <c r="A13" s="62" t="s">
        <v>228</v>
      </c>
      <c r="B13" s="63"/>
      <c r="C13" s="63"/>
      <c r="D13" s="64"/>
      <c r="E13" s="66"/>
      <c r="F13" s="103" t="str">
        <f>HYPERLINK("https://pbs.twimg.com/profile_images/1640156338977230848/6L65f03d_normal.jpg")</f>
        <v>https://pbs.twimg.com/profile_images/1640156338977230848/6L65f03d_normal.jpg</v>
      </c>
      <c r="G13" s="63"/>
      <c r="H13" s="67"/>
      <c r="I13" s="68"/>
      <c r="J13" s="68"/>
      <c r="K13" s="67" t="s">
        <v>14462</v>
      </c>
      <c r="L13" s="71"/>
      <c r="M13" s="72"/>
      <c r="N13" s="72"/>
      <c r="O13" s="73"/>
      <c r="P13" s="74"/>
      <c r="Q13" s="74"/>
      <c r="R13" s="87"/>
      <c r="S13" s="87"/>
      <c r="T13" s="87"/>
      <c r="U13" s="87"/>
      <c r="V13" s="48"/>
      <c r="W13" s="48"/>
      <c r="X13" s="48"/>
      <c r="Y13" s="48"/>
      <c r="Z13" s="47"/>
      <c r="AA13" s="69">
        <v>13</v>
      </c>
      <c r="AB13" s="69"/>
      <c r="AC13" s="70"/>
      <c r="AD13" s="76" t="s">
        <v>11758</v>
      </c>
      <c r="AE13" s="80" t="s">
        <v>12486</v>
      </c>
      <c r="AF13" s="76">
        <v>2048</v>
      </c>
      <c r="AG13" s="76">
        <v>1055</v>
      </c>
      <c r="AH13" s="76">
        <v>63250</v>
      </c>
      <c r="AI13" s="76">
        <v>1</v>
      </c>
      <c r="AJ13" s="76">
        <v>39994</v>
      </c>
      <c r="AK13" s="76">
        <v>1708</v>
      </c>
      <c r="AL13" s="76" t="b">
        <v>0</v>
      </c>
      <c r="AM13" s="78">
        <v>41398.780057870368</v>
      </c>
      <c r="AN13" s="76" t="s">
        <v>12879</v>
      </c>
      <c r="AO13" s="76"/>
      <c r="AP13" s="76"/>
      <c r="AQ13" s="76"/>
      <c r="AR13" s="76"/>
      <c r="AS13" s="76"/>
      <c r="AT13" s="76"/>
      <c r="AU13" s="76"/>
      <c r="AV13" s="76"/>
      <c r="AW13" s="76"/>
      <c r="AX13" s="76" t="b">
        <v>0</v>
      </c>
      <c r="AY13" s="76"/>
      <c r="AZ13" s="76"/>
      <c r="BA13" s="76" t="b">
        <v>1</v>
      </c>
      <c r="BB13" s="76" t="b">
        <v>0</v>
      </c>
      <c r="BC13" s="76" t="b">
        <v>0</v>
      </c>
      <c r="BD13" s="76" t="b">
        <v>0</v>
      </c>
      <c r="BE13" s="76" t="b">
        <v>1</v>
      </c>
      <c r="BF13" s="76" t="b">
        <v>0</v>
      </c>
      <c r="BG13" s="76" t="b">
        <v>0</v>
      </c>
      <c r="BH13" s="82" t="str">
        <f>HYPERLINK("https://pbs.twimg.com/profile_banners/1403108989/1676158257")</f>
        <v>https://pbs.twimg.com/profile_banners/1403108989/1676158257</v>
      </c>
      <c r="BI13" s="76"/>
      <c r="BJ13" s="76" t="s">
        <v>14450</v>
      </c>
      <c r="BK13" s="76" t="b">
        <v>0</v>
      </c>
      <c r="BL13" s="76"/>
      <c r="BM13" s="76" t="s">
        <v>66</v>
      </c>
      <c r="BN13" s="76" t="s">
        <v>14452</v>
      </c>
      <c r="BO13" s="82" t="str">
        <f>HYPERLINK("https://twitter.com/sagitariomaz")</f>
        <v>https://twitter.com/sagitariomaz</v>
      </c>
      <c r="BP13" s="2"/>
    </row>
    <row r="14" spans="1:68" x14ac:dyDescent="0.25">
      <c r="A14" s="62" t="s">
        <v>229</v>
      </c>
      <c r="B14" s="63"/>
      <c r="C14" s="63"/>
      <c r="D14" s="64"/>
      <c r="E14" s="66"/>
      <c r="F14" s="103" t="str">
        <f>HYPERLINK("https://pbs.twimg.com/profile_images/1228914978364608512/KFAiAGP6_normal.jpg")</f>
        <v>https://pbs.twimg.com/profile_images/1228914978364608512/KFAiAGP6_normal.jpg</v>
      </c>
      <c r="G14" s="63"/>
      <c r="H14" s="67"/>
      <c r="I14" s="68"/>
      <c r="J14" s="68"/>
      <c r="K14" s="67" t="s">
        <v>14463</v>
      </c>
      <c r="L14" s="71"/>
      <c r="M14" s="72"/>
      <c r="N14" s="72"/>
      <c r="O14" s="73"/>
      <c r="P14" s="74"/>
      <c r="Q14" s="74"/>
      <c r="R14" s="87"/>
      <c r="S14" s="87"/>
      <c r="T14" s="87"/>
      <c r="U14" s="87"/>
      <c r="V14" s="48"/>
      <c r="W14" s="48"/>
      <c r="X14" s="48"/>
      <c r="Y14" s="48"/>
      <c r="Z14" s="47"/>
      <c r="AA14" s="69">
        <v>14</v>
      </c>
      <c r="AB14" s="69"/>
      <c r="AC14" s="70"/>
      <c r="AD14" s="76" t="s">
        <v>11759</v>
      </c>
      <c r="AE14" s="80" t="s">
        <v>12487</v>
      </c>
      <c r="AF14" s="76">
        <v>14534</v>
      </c>
      <c r="AG14" s="76">
        <v>329</v>
      </c>
      <c r="AH14" s="76">
        <v>11385</v>
      </c>
      <c r="AI14" s="76">
        <v>112</v>
      </c>
      <c r="AJ14" s="76">
        <v>65</v>
      </c>
      <c r="AK14" s="76">
        <v>409</v>
      </c>
      <c r="AL14" s="76" t="b">
        <v>0</v>
      </c>
      <c r="AM14" s="78">
        <v>40135.040034722224</v>
      </c>
      <c r="AN14" s="76" t="s">
        <v>7872</v>
      </c>
      <c r="AO14" s="76" t="s">
        <v>13236</v>
      </c>
      <c r="AP14" s="76"/>
      <c r="AQ14" s="76"/>
      <c r="AR14" s="76"/>
      <c r="AS14" s="76"/>
      <c r="AT14" s="76"/>
      <c r="AU14" s="76"/>
      <c r="AV14" s="76"/>
      <c r="AW14" s="76"/>
      <c r="AX14" s="76" t="b">
        <v>0</v>
      </c>
      <c r="AY14" s="76"/>
      <c r="AZ14" s="76"/>
      <c r="BA14" s="76" t="b">
        <v>0</v>
      </c>
      <c r="BB14" s="76" t="b">
        <v>1</v>
      </c>
      <c r="BC14" s="76" t="b">
        <v>0</v>
      </c>
      <c r="BD14" s="76" t="b">
        <v>0</v>
      </c>
      <c r="BE14" s="76" t="b">
        <v>0</v>
      </c>
      <c r="BF14" s="76" t="b">
        <v>0</v>
      </c>
      <c r="BG14" s="76" t="b">
        <v>0</v>
      </c>
      <c r="BH14" s="76"/>
      <c r="BI14" s="76"/>
      <c r="BJ14" s="76" t="s">
        <v>14450</v>
      </c>
      <c r="BK14" s="76" t="b">
        <v>0</v>
      </c>
      <c r="BL14" s="76"/>
      <c r="BM14" s="76" t="s">
        <v>66</v>
      </c>
      <c r="BN14" s="76" t="s">
        <v>14452</v>
      </c>
      <c r="BO14" s="82" t="str">
        <f>HYPERLINK("https://twitter.com/m_malaquias")</f>
        <v>https://twitter.com/m_malaquias</v>
      </c>
      <c r="BP14" s="2"/>
    </row>
    <row r="15" spans="1:68" x14ac:dyDescent="0.25">
      <c r="A15" s="62" t="s">
        <v>874</v>
      </c>
      <c r="B15" s="63"/>
      <c r="C15" s="63"/>
      <c r="D15" s="64"/>
      <c r="E15" s="66"/>
      <c r="F15" s="103" t="str">
        <f>HYPERLINK("https://pbs.twimg.com/profile_images/1587217097855213577/v4EbJ7bm_normal.jpg")</f>
        <v>https://pbs.twimg.com/profile_images/1587217097855213577/v4EbJ7bm_normal.jpg</v>
      </c>
      <c r="G15" s="63"/>
      <c r="H15" s="67"/>
      <c r="I15" s="68"/>
      <c r="J15" s="68"/>
      <c r="K15" s="67" t="s">
        <v>14464</v>
      </c>
      <c r="L15" s="71"/>
      <c r="M15" s="72"/>
      <c r="N15" s="72"/>
      <c r="O15" s="73"/>
      <c r="P15" s="74"/>
      <c r="Q15" s="74"/>
      <c r="R15" s="87"/>
      <c r="S15" s="87"/>
      <c r="T15" s="87"/>
      <c r="U15" s="87"/>
      <c r="V15" s="48"/>
      <c r="W15" s="48"/>
      <c r="X15" s="48"/>
      <c r="Y15" s="48"/>
      <c r="Z15" s="47"/>
      <c r="AA15" s="69">
        <v>15</v>
      </c>
      <c r="AB15" s="69"/>
      <c r="AC15" s="70"/>
      <c r="AD15" s="76" t="s">
        <v>11760</v>
      </c>
      <c r="AE15" s="80" t="s">
        <v>12488</v>
      </c>
      <c r="AF15" s="76">
        <v>2543128</v>
      </c>
      <c r="AG15" s="76">
        <v>603</v>
      </c>
      <c r="AH15" s="76">
        <v>10858</v>
      </c>
      <c r="AI15" s="76">
        <v>2219</v>
      </c>
      <c r="AJ15" s="76">
        <v>43831</v>
      </c>
      <c r="AK15" s="76">
        <v>2542</v>
      </c>
      <c r="AL15" s="76" t="b">
        <v>0</v>
      </c>
      <c r="AM15" s="78">
        <v>43462.492430555554</v>
      </c>
      <c r="AN15" s="76"/>
      <c r="AO15" s="76" t="s">
        <v>13237</v>
      </c>
      <c r="AP15" s="76"/>
      <c r="AQ15" s="76"/>
      <c r="AR15" s="76"/>
      <c r="AS15" s="76"/>
      <c r="AT15" s="76"/>
      <c r="AU15" s="76"/>
      <c r="AV15" s="76"/>
      <c r="AW15" s="76"/>
      <c r="AX15" s="76" t="b">
        <v>1</v>
      </c>
      <c r="AY15" s="76"/>
      <c r="AZ15" s="76"/>
      <c r="BA15" s="76" t="b">
        <v>0</v>
      </c>
      <c r="BB15" s="76" t="b">
        <v>1</v>
      </c>
      <c r="BC15" s="76" t="b">
        <v>1</v>
      </c>
      <c r="BD15" s="76" t="b">
        <v>0</v>
      </c>
      <c r="BE15" s="76" t="b">
        <v>1</v>
      </c>
      <c r="BF15" s="76" t="b">
        <v>0</v>
      </c>
      <c r="BG15" s="76" t="b">
        <v>0</v>
      </c>
      <c r="BH15" s="82" t="str">
        <f>HYPERLINK("https://pbs.twimg.com/profile_banners/1078618844007157761/1667257673")</f>
        <v>https://pbs.twimg.com/profile_banners/1078618844007157761/1667257673</v>
      </c>
      <c r="BI15" s="76"/>
      <c r="BJ15" s="76" t="s">
        <v>14450</v>
      </c>
      <c r="BK15" s="76" t="b">
        <v>0</v>
      </c>
      <c r="BL15" s="76"/>
      <c r="BM15" s="76" t="s">
        <v>65</v>
      </c>
      <c r="BN15" s="76" t="s">
        <v>14452</v>
      </c>
      <c r="BO15" s="82" t="str">
        <f>HYPERLINK("https://twitter.com/tarcisiogdf")</f>
        <v>https://twitter.com/tarcisiogdf</v>
      </c>
      <c r="BP15" s="2"/>
    </row>
    <row r="16" spans="1:68" x14ac:dyDescent="0.25">
      <c r="A16" s="62" t="s">
        <v>230</v>
      </c>
      <c r="B16" s="63"/>
      <c r="C16" s="63"/>
      <c r="D16" s="64"/>
      <c r="E16" s="66"/>
      <c r="F16" s="103" t="str">
        <f>HYPERLINK("https://pbs.twimg.com/profile_images/1366741072957886477/aLbz7Ekh_normal.png")</f>
        <v>https://pbs.twimg.com/profile_images/1366741072957886477/aLbz7Ekh_normal.png</v>
      </c>
      <c r="G16" s="63"/>
      <c r="H16" s="67"/>
      <c r="I16" s="68"/>
      <c r="J16" s="68"/>
      <c r="K16" s="67" t="s">
        <v>14465</v>
      </c>
      <c r="L16" s="71"/>
      <c r="M16" s="72"/>
      <c r="N16" s="72"/>
      <c r="O16" s="73"/>
      <c r="P16" s="74"/>
      <c r="Q16" s="74"/>
      <c r="R16" s="87"/>
      <c r="S16" s="87"/>
      <c r="T16" s="87"/>
      <c r="U16" s="87"/>
      <c r="V16" s="48"/>
      <c r="W16" s="48"/>
      <c r="X16" s="48"/>
      <c r="Y16" s="48"/>
      <c r="Z16" s="47"/>
      <c r="AA16" s="69">
        <v>16</v>
      </c>
      <c r="AB16" s="69"/>
      <c r="AC16" s="70"/>
      <c r="AD16" s="76" t="s">
        <v>11761</v>
      </c>
      <c r="AE16" s="80" t="s">
        <v>12489</v>
      </c>
      <c r="AF16" s="76">
        <v>1517</v>
      </c>
      <c r="AG16" s="76">
        <v>837</v>
      </c>
      <c r="AH16" s="76">
        <v>20076</v>
      </c>
      <c r="AI16" s="76">
        <v>15</v>
      </c>
      <c r="AJ16" s="76">
        <v>265</v>
      </c>
      <c r="AK16" s="76">
        <v>2247</v>
      </c>
      <c r="AL16" s="76" t="b">
        <v>0</v>
      </c>
      <c r="AM16" s="78">
        <v>40043.782442129632</v>
      </c>
      <c r="AN16" s="76" t="s">
        <v>7766</v>
      </c>
      <c r="AO16" s="76" t="s">
        <v>13238</v>
      </c>
      <c r="AP16" s="82" t="str">
        <f>HYPERLINK("https://t.co/HbLzh9hEg5")</f>
        <v>https://t.co/HbLzh9hEg5</v>
      </c>
      <c r="AQ16" s="82" t="str">
        <f>HYPERLINK("https://lecheriatv.blogspot.com/?m=1")</f>
        <v>https://lecheriatv.blogspot.com/?m=1</v>
      </c>
      <c r="AR16" s="76" t="s">
        <v>13915</v>
      </c>
      <c r="AS16" s="82" t="str">
        <f>HYPERLINK("https://t.co/W7eujN5F42")</f>
        <v>https://t.co/W7eujN5F42</v>
      </c>
      <c r="AT16" s="82" t="str">
        <f>HYPERLINK("http://amzn.to/44NTOzt")</f>
        <v>http://amzn.to/44NTOzt</v>
      </c>
      <c r="AU16" s="76" t="s">
        <v>14392</v>
      </c>
      <c r="AV16" s="76">
        <v>1.70280419612943E+18</v>
      </c>
      <c r="AW16" s="82" t="str">
        <f>HYPERLINK("https://t.co/HbLzh9hEg5")</f>
        <v>https://t.co/HbLzh9hEg5</v>
      </c>
      <c r="AX16" s="76" t="b">
        <v>0</v>
      </c>
      <c r="AY16" s="76"/>
      <c r="AZ16" s="76"/>
      <c r="BA16" s="76" t="b">
        <v>0</v>
      </c>
      <c r="BB16" s="76" t="b">
        <v>0</v>
      </c>
      <c r="BC16" s="76" t="b">
        <v>1</v>
      </c>
      <c r="BD16" s="76" t="b">
        <v>0</v>
      </c>
      <c r="BE16" s="76" t="b">
        <v>0</v>
      </c>
      <c r="BF16" s="76" t="b">
        <v>0</v>
      </c>
      <c r="BG16" s="76" t="b">
        <v>0</v>
      </c>
      <c r="BH16" s="82" t="str">
        <f>HYPERLINK("https://pbs.twimg.com/profile_banners/66762139/1614691450")</f>
        <v>https://pbs.twimg.com/profile_banners/66762139/1614691450</v>
      </c>
      <c r="BI16" s="76"/>
      <c r="BJ16" s="76" t="s">
        <v>14450</v>
      </c>
      <c r="BK16" s="76" t="b">
        <v>0</v>
      </c>
      <c r="BL16" s="76"/>
      <c r="BM16" s="76" t="s">
        <v>66</v>
      </c>
      <c r="BN16" s="76" t="s">
        <v>14452</v>
      </c>
      <c r="BO16" s="82" t="str">
        <f>HYPERLINK("https://twitter.com/lecheriateve")</f>
        <v>https://twitter.com/lecheriateve</v>
      </c>
      <c r="BP16" s="2"/>
    </row>
    <row r="17" spans="1:68" x14ac:dyDescent="0.25">
      <c r="A17" s="62" t="s">
        <v>231</v>
      </c>
      <c r="B17" s="63"/>
      <c r="C17" s="63"/>
      <c r="D17" s="64"/>
      <c r="E17" s="66"/>
      <c r="F17" s="103" t="str">
        <f>HYPERLINK("https://pbs.twimg.com/profile_images/1275527649721487363/SLc19SBm_normal.jpg")</f>
        <v>https://pbs.twimg.com/profile_images/1275527649721487363/SLc19SBm_normal.jpg</v>
      </c>
      <c r="G17" s="63"/>
      <c r="H17" s="67"/>
      <c r="I17" s="68"/>
      <c r="J17" s="68"/>
      <c r="K17" s="67" t="s">
        <v>14466</v>
      </c>
      <c r="L17" s="71"/>
      <c r="M17" s="72"/>
      <c r="N17" s="72"/>
      <c r="O17" s="73"/>
      <c r="P17" s="74"/>
      <c r="Q17" s="74"/>
      <c r="R17" s="87"/>
      <c r="S17" s="87"/>
      <c r="T17" s="87"/>
      <c r="U17" s="87"/>
      <c r="V17" s="48"/>
      <c r="W17" s="48"/>
      <c r="X17" s="48"/>
      <c r="Y17" s="48"/>
      <c r="Z17" s="47"/>
      <c r="AA17" s="69">
        <v>17</v>
      </c>
      <c r="AB17" s="69"/>
      <c r="AC17" s="70"/>
      <c r="AD17" s="76" t="s">
        <v>11762</v>
      </c>
      <c r="AE17" s="80" t="s">
        <v>12490</v>
      </c>
      <c r="AF17" s="76">
        <v>67</v>
      </c>
      <c r="AG17" s="76">
        <v>151</v>
      </c>
      <c r="AH17" s="76">
        <v>850</v>
      </c>
      <c r="AI17" s="76">
        <v>0</v>
      </c>
      <c r="AJ17" s="76">
        <v>73</v>
      </c>
      <c r="AK17" s="76">
        <v>551</v>
      </c>
      <c r="AL17" s="76" t="b">
        <v>0</v>
      </c>
      <c r="AM17" s="78">
        <v>41814.950069444443</v>
      </c>
      <c r="AN17" s="76" t="s">
        <v>12880</v>
      </c>
      <c r="AO17" s="76"/>
      <c r="AP17" s="82" t="str">
        <f>HYPERLINK("https://t.co/kF7sZtIL1v")</f>
        <v>https://t.co/kF7sZtIL1v</v>
      </c>
      <c r="AQ17" s="82" t="str">
        <f>HYPERLINK("http://www.innetsolucoes.com.br")</f>
        <v>http://www.innetsolucoes.com.br</v>
      </c>
      <c r="AR17" s="76" t="s">
        <v>13916</v>
      </c>
      <c r="AS17" s="76"/>
      <c r="AT17" s="76"/>
      <c r="AU17" s="76"/>
      <c r="AV17" s="76"/>
      <c r="AW17" s="82" t="str">
        <f>HYPERLINK("https://t.co/kF7sZtIL1v")</f>
        <v>https://t.co/kF7sZtIL1v</v>
      </c>
      <c r="AX17" s="76" t="b">
        <v>0</v>
      </c>
      <c r="AY17" s="76"/>
      <c r="AZ17" s="76"/>
      <c r="BA17" s="76" t="b">
        <v>0</v>
      </c>
      <c r="BB17" s="76" t="b">
        <v>1</v>
      </c>
      <c r="BC17" s="76" t="b">
        <v>1</v>
      </c>
      <c r="BD17" s="76" t="b">
        <v>0</v>
      </c>
      <c r="BE17" s="76" t="b">
        <v>1</v>
      </c>
      <c r="BF17" s="76" t="b">
        <v>0</v>
      </c>
      <c r="BG17" s="76" t="b">
        <v>0</v>
      </c>
      <c r="BH17" s="82" t="str">
        <f>HYPERLINK("https://pbs.twimg.com/profile_banners/2586456380/1592944673")</f>
        <v>https://pbs.twimg.com/profile_banners/2586456380/1592944673</v>
      </c>
      <c r="BI17" s="76"/>
      <c r="BJ17" s="76" t="s">
        <v>14450</v>
      </c>
      <c r="BK17" s="76" t="b">
        <v>0</v>
      </c>
      <c r="BL17" s="76"/>
      <c r="BM17" s="76" t="s">
        <v>66</v>
      </c>
      <c r="BN17" s="76" t="s">
        <v>14452</v>
      </c>
      <c r="BO17" s="82" t="str">
        <f>HYPERLINK("https://twitter.com/innetsolucoes")</f>
        <v>https://twitter.com/innetsolucoes</v>
      </c>
      <c r="BP17" s="2"/>
    </row>
    <row r="18" spans="1:68" x14ac:dyDescent="0.25">
      <c r="A18" s="62" t="s">
        <v>875</v>
      </c>
      <c r="B18" s="63"/>
      <c r="C18" s="63"/>
      <c r="D18" s="64"/>
      <c r="E18" s="66"/>
      <c r="F18" s="103" t="str">
        <f>HYPERLINK("https://pbs.twimg.com/profile_images/1691265708598935553/g9GH0hvW_normal.jpg")</f>
        <v>https://pbs.twimg.com/profile_images/1691265708598935553/g9GH0hvW_normal.jpg</v>
      </c>
      <c r="G18" s="63"/>
      <c r="H18" s="67"/>
      <c r="I18" s="68"/>
      <c r="J18" s="68"/>
      <c r="K18" s="67" t="s">
        <v>14467</v>
      </c>
      <c r="L18" s="71"/>
      <c r="M18" s="72"/>
      <c r="N18" s="72"/>
      <c r="O18" s="73"/>
      <c r="P18" s="74"/>
      <c r="Q18" s="74"/>
      <c r="R18" s="87"/>
      <c r="S18" s="87"/>
      <c r="T18" s="87"/>
      <c r="U18" s="87"/>
      <c r="V18" s="48"/>
      <c r="W18" s="48"/>
      <c r="X18" s="48"/>
      <c r="Y18" s="48"/>
      <c r="Z18" s="47"/>
      <c r="AA18" s="69">
        <v>18</v>
      </c>
      <c r="AB18" s="69"/>
      <c r="AC18" s="70"/>
      <c r="AD18" s="76" t="s">
        <v>11763</v>
      </c>
      <c r="AE18" s="80" t="s">
        <v>12491</v>
      </c>
      <c r="AF18" s="76">
        <v>23</v>
      </c>
      <c r="AG18" s="76">
        <v>9</v>
      </c>
      <c r="AH18" s="76">
        <v>5</v>
      </c>
      <c r="AI18" s="76">
        <v>0</v>
      </c>
      <c r="AJ18" s="76">
        <v>3</v>
      </c>
      <c r="AK18" s="76">
        <v>3</v>
      </c>
      <c r="AL18" s="76" t="b">
        <v>0</v>
      </c>
      <c r="AM18" s="78">
        <v>43698.047708333332</v>
      </c>
      <c r="AN18" s="76" t="s">
        <v>12881</v>
      </c>
      <c r="AO18" s="76" t="s">
        <v>13239</v>
      </c>
      <c r="AP18" s="82" t="str">
        <f>HYPERLINK("https://t.co/JZLiKrZ0YN")</f>
        <v>https://t.co/JZLiKrZ0YN</v>
      </c>
      <c r="AQ18" s="82" t="str">
        <f>HYPERLINK("http://www.carlazucolotobeauty.com.br")</f>
        <v>http://www.carlazucolotobeauty.com.br</v>
      </c>
      <c r="AR18" s="76" t="s">
        <v>13917</v>
      </c>
      <c r="AS18" s="76"/>
      <c r="AT18" s="76"/>
      <c r="AU18" s="76"/>
      <c r="AV18" s="76"/>
      <c r="AW18" s="82" t="str">
        <f>HYPERLINK("https://t.co/JZLiKrZ0YN")</f>
        <v>https://t.co/JZLiKrZ0YN</v>
      </c>
      <c r="AX18" s="76" t="b">
        <v>0</v>
      </c>
      <c r="AY18" s="76"/>
      <c r="AZ18" s="76"/>
      <c r="BA18" s="76" t="b">
        <v>0</v>
      </c>
      <c r="BB18" s="76" t="b">
        <v>1</v>
      </c>
      <c r="BC18" s="76" t="b">
        <v>1</v>
      </c>
      <c r="BD18" s="76" t="b">
        <v>0</v>
      </c>
      <c r="BE18" s="76" t="b">
        <v>0</v>
      </c>
      <c r="BF18" s="76" t="b">
        <v>0</v>
      </c>
      <c r="BG18" s="76" t="b">
        <v>0</v>
      </c>
      <c r="BH18" s="82" t="str">
        <f>HYPERLINK("https://pbs.twimg.com/profile_banners/1163980980832657413/1692064152")</f>
        <v>https://pbs.twimg.com/profile_banners/1163980980832657413/1692064152</v>
      </c>
      <c r="BI18" s="76"/>
      <c r="BJ18" s="76" t="s">
        <v>14450</v>
      </c>
      <c r="BK18" s="76" t="b">
        <v>0</v>
      </c>
      <c r="BL18" s="76"/>
      <c r="BM18" s="76" t="s">
        <v>65</v>
      </c>
      <c r="BN18" s="76" t="s">
        <v>14452</v>
      </c>
      <c r="BO18" s="82" t="str">
        <f>HYPERLINK("https://twitter.com/carlazucoloto")</f>
        <v>https://twitter.com/carlazucoloto</v>
      </c>
      <c r="BP18" s="2"/>
    </row>
    <row r="19" spans="1:68" x14ac:dyDescent="0.25">
      <c r="A19" s="62" t="s">
        <v>232</v>
      </c>
      <c r="B19" s="63"/>
      <c r="C19" s="63"/>
      <c r="D19" s="64"/>
      <c r="E19" s="66"/>
      <c r="F19" s="103" t="str">
        <f>HYPERLINK("https://pbs.twimg.com/profile_images/1698739419753115648/_UgY4HXX_normal.jpg")</f>
        <v>https://pbs.twimg.com/profile_images/1698739419753115648/_UgY4HXX_normal.jpg</v>
      </c>
      <c r="G19" s="63"/>
      <c r="H19" s="67"/>
      <c r="I19" s="68"/>
      <c r="J19" s="68"/>
      <c r="K19" s="67" t="s">
        <v>14468</v>
      </c>
      <c r="L19" s="71"/>
      <c r="M19" s="72"/>
      <c r="N19" s="72"/>
      <c r="O19" s="73"/>
      <c r="P19" s="74"/>
      <c r="Q19" s="74"/>
      <c r="R19" s="87"/>
      <c r="S19" s="87"/>
      <c r="T19" s="87"/>
      <c r="U19" s="87"/>
      <c r="V19" s="48"/>
      <c r="W19" s="48"/>
      <c r="X19" s="48"/>
      <c r="Y19" s="48"/>
      <c r="Z19" s="47"/>
      <c r="AA19" s="69">
        <v>19</v>
      </c>
      <c r="AB19" s="69"/>
      <c r="AC19" s="70"/>
      <c r="AD19" s="76" t="s">
        <v>11764</v>
      </c>
      <c r="AE19" s="80" t="s">
        <v>11400</v>
      </c>
      <c r="AF19" s="76">
        <v>0</v>
      </c>
      <c r="AG19" s="76">
        <v>3</v>
      </c>
      <c r="AH19" s="76">
        <v>2</v>
      </c>
      <c r="AI19" s="76">
        <v>0</v>
      </c>
      <c r="AJ19" s="76">
        <v>4</v>
      </c>
      <c r="AK19" s="76">
        <v>2</v>
      </c>
      <c r="AL19" s="76" t="b">
        <v>0</v>
      </c>
      <c r="AM19" s="78">
        <v>45173.684745370374</v>
      </c>
      <c r="AN19" s="76" t="s">
        <v>12882</v>
      </c>
      <c r="AO19" s="76" t="s">
        <v>13240</v>
      </c>
      <c r="AP19" s="76"/>
      <c r="AQ19" s="76"/>
      <c r="AR19" s="76"/>
      <c r="AS19" s="76"/>
      <c r="AT19" s="76"/>
      <c r="AU19" s="76"/>
      <c r="AV19" s="76"/>
      <c r="AW19" s="76"/>
      <c r="AX19" s="76" t="b">
        <v>0</v>
      </c>
      <c r="AY19" s="76"/>
      <c r="AZ19" s="76"/>
      <c r="BA19" s="76" t="b">
        <v>1</v>
      </c>
      <c r="BB19" s="76" t="b">
        <v>1</v>
      </c>
      <c r="BC19" s="76" t="b">
        <v>1</v>
      </c>
      <c r="BD19" s="76" t="b">
        <v>0</v>
      </c>
      <c r="BE19" s="76" t="b">
        <v>0</v>
      </c>
      <c r="BF19" s="76" t="b">
        <v>0</v>
      </c>
      <c r="BG19" s="76" t="b">
        <v>0</v>
      </c>
      <c r="BH19" s="82" t="str">
        <f>HYPERLINK("https://pbs.twimg.com/profile_banners/1698734037664182273/1693845955")</f>
        <v>https://pbs.twimg.com/profile_banners/1698734037664182273/1693845955</v>
      </c>
      <c r="BI19" s="76"/>
      <c r="BJ19" s="76" t="s">
        <v>14450</v>
      </c>
      <c r="BK19" s="76" t="b">
        <v>0</v>
      </c>
      <c r="BL19" s="76"/>
      <c r="BM19" s="76" t="s">
        <v>66</v>
      </c>
      <c r="BN19" s="76" t="s">
        <v>14452</v>
      </c>
      <c r="BO19" s="82" t="str">
        <f>HYPERLINK("https://twitter.com/redclinicapsi")</f>
        <v>https://twitter.com/redclinicapsi</v>
      </c>
      <c r="BP19" s="2"/>
    </row>
    <row r="20" spans="1:68" x14ac:dyDescent="0.25">
      <c r="A20" s="62" t="s">
        <v>233</v>
      </c>
      <c r="B20" s="63"/>
      <c r="C20" s="63"/>
      <c r="D20" s="64"/>
      <c r="E20" s="66"/>
      <c r="F20" s="103" t="str">
        <f>HYPERLINK("https://pbs.twimg.com/profile_images/1164915651741462528/QHE4yeDs_normal.jpg")</f>
        <v>https://pbs.twimg.com/profile_images/1164915651741462528/QHE4yeDs_normal.jpg</v>
      </c>
      <c r="G20" s="63"/>
      <c r="H20" s="67"/>
      <c r="I20" s="68"/>
      <c r="J20" s="68"/>
      <c r="K20" s="67" t="s">
        <v>14469</v>
      </c>
      <c r="L20" s="71"/>
      <c r="M20" s="72"/>
      <c r="N20" s="72"/>
      <c r="O20" s="73"/>
      <c r="P20" s="74"/>
      <c r="Q20" s="74"/>
      <c r="R20" s="87"/>
      <c r="S20" s="87"/>
      <c r="T20" s="87"/>
      <c r="U20" s="87"/>
      <c r="V20" s="48"/>
      <c r="W20" s="48"/>
      <c r="X20" s="48"/>
      <c r="Y20" s="48"/>
      <c r="Z20" s="47"/>
      <c r="AA20" s="69">
        <v>20</v>
      </c>
      <c r="AB20" s="69"/>
      <c r="AC20" s="70"/>
      <c r="AD20" s="76" t="s">
        <v>11765</v>
      </c>
      <c r="AE20" s="80" t="s">
        <v>11401</v>
      </c>
      <c r="AF20" s="76">
        <v>543</v>
      </c>
      <c r="AG20" s="76">
        <v>3</v>
      </c>
      <c r="AH20" s="76">
        <v>967</v>
      </c>
      <c r="AI20" s="76">
        <v>1</v>
      </c>
      <c r="AJ20" s="76">
        <v>85</v>
      </c>
      <c r="AK20" s="76">
        <v>640</v>
      </c>
      <c r="AL20" s="76" t="b">
        <v>0</v>
      </c>
      <c r="AM20" s="78">
        <v>42732.842673611114</v>
      </c>
      <c r="AN20" s="76" t="s">
        <v>7765</v>
      </c>
      <c r="AO20" s="76" t="s">
        <v>13241</v>
      </c>
      <c r="AP20" s="82" t="str">
        <f>HYPERLINK("https://t.co/8SN8SB67WA")</f>
        <v>https://t.co/8SN8SB67WA</v>
      </c>
      <c r="AQ20" s="82" t="str">
        <f>HYPERLINK("http://jobs.bayton.com")</f>
        <v>http://jobs.bayton.com</v>
      </c>
      <c r="AR20" s="76" t="s">
        <v>13918</v>
      </c>
      <c r="AS20" s="82" t="str">
        <f>HYPERLINK("https://t.co/8SN8SB67WA")</f>
        <v>https://t.co/8SN8SB67WA</v>
      </c>
      <c r="AT20" s="82" t="str">
        <f>HYPERLINK("http://jobs.bayton.com")</f>
        <v>http://jobs.bayton.com</v>
      </c>
      <c r="AU20" s="76" t="s">
        <v>13918</v>
      </c>
      <c r="AV20" s="76">
        <v>1.40738432455136E+18</v>
      </c>
      <c r="AW20" s="82" t="str">
        <f>HYPERLINK("https://t.co/8SN8SB67WA")</f>
        <v>https://t.co/8SN8SB67WA</v>
      </c>
      <c r="AX20" s="76" t="b">
        <v>0</v>
      </c>
      <c r="AY20" s="76"/>
      <c r="AZ20" s="76"/>
      <c r="BA20" s="76" t="b">
        <v>0</v>
      </c>
      <c r="BB20" s="76" t="b">
        <v>1</v>
      </c>
      <c r="BC20" s="76" t="b">
        <v>1</v>
      </c>
      <c r="BD20" s="76" t="b">
        <v>0</v>
      </c>
      <c r="BE20" s="76" t="b">
        <v>0</v>
      </c>
      <c r="BF20" s="76" t="b">
        <v>0</v>
      </c>
      <c r="BG20" s="76" t="b">
        <v>0</v>
      </c>
      <c r="BH20" s="82" t="str">
        <f>HYPERLINK("https://pbs.twimg.com/profile_banners/814202622479659008/1549643627")</f>
        <v>https://pbs.twimg.com/profile_banners/814202622479659008/1549643627</v>
      </c>
      <c r="BI20" s="76"/>
      <c r="BJ20" s="76" t="s">
        <v>14450</v>
      </c>
      <c r="BK20" s="76" t="b">
        <v>0</v>
      </c>
      <c r="BL20" s="76"/>
      <c r="BM20" s="76" t="s">
        <v>66</v>
      </c>
      <c r="BN20" s="76" t="s">
        <v>14452</v>
      </c>
      <c r="BO20" s="82" t="str">
        <f>HYPERLINK("https://twitter.com/jobsbayton")</f>
        <v>https://twitter.com/jobsbayton</v>
      </c>
      <c r="BP20" s="2"/>
    </row>
    <row r="21" spans="1:68" x14ac:dyDescent="0.25">
      <c r="A21" s="62" t="s">
        <v>234</v>
      </c>
      <c r="B21" s="63"/>
      <c r="C21" s="63"/>
      <c r="D21" s="64"/>
      <c r="E21" s="66"/>
      <c r="F21" s="103" t="str">
        <f>HYPERLINK("https://pbs.twimg.com/profile_images/1635537841345134593/LMiL8rG0_normal.jpg")</f>
        <v>https://pbs.twimg.com/profile_images/1635537841345134593/LMiL8rG0_normal.jpg</v>
      </c>
      <c r="G21" s="63"/>
      <c r="H21" s="67"/>
      <c r="I21" s="68"/>
      <c r="J21" s="68"/>
      <c r="K21" s="67" t="s">
        <v>14470</v>
      </c>
      <c r="L21" s="71"/>
      <c r="M21" s="72"/>
      <c r="N21" s="72"/>
      <c r="O21" s="73"/>
      <c r="P21" s="74"/>
      <c r="Q21" s="74"/>
      <c r="R21" s="87"/>
      <c r="S21" s="87"/>
      <c r="T21" s="87"/>
      <c r="U21" s="87"/>
      <c r="V21" s="48"/>
      <c r="W21" s="48"/>
      <c r="X21" s="48"/>
      <c r="Y21" s="48"/>
      <c r="Z21" s="47"/>
      <c r="AA21" s="69">
        <v>21</v>
      </c>
      <c r="AB21" s="69"/>
      <c r="AC21" s="70"/>
      <c r="AD21" s="76" t="s">
        <v>11766</v>
      </c>
      <c r="AE21" s="80" t="s">
        <v>11402</v>
      </c>
      <c r="AF21" s="76">
        <v>57</v>
      </c>
      <c r="AG21" s="76">
        <v>342</v>
      </c>
      <c r="AH21" s="76">
        <v>1141</v>
      </c>
      <c r="AI21" s="76">
        <v>0</v>
      </c>
      <c r="AJ21" s="76">
        <v>4685</v>
      </c>
      <c r="AK21" s="76">
        <v>37</v>
      </c>
      <c r="AL21" s="76" t="b">
        <v>0</v>
      </c>
      <c r="AM21" s="78">
        <v>43379.866990740738</v>
      </c>
      <c r="AN21" s="76" t="s">
        <v>12883</v>
      </c>
      <c r="AO21" s="76" t="s">
        <v>13242</v>
      </c>
      <c r="AP21" s="76"/>
      <c r="AQ21" s="76"/>
      <c r="AR21" s="76"/>
      <c r="AS21" s="76"/>
      <c r="AT21" s="76"/>
      <c r="AU21" s="76"/>
      <c r="AV21" s="76">
        <v>1.47135040703743E+18</v>
      </c>
      <c r="AW21" s="76"/>
      <c r="AX21" s="76" t="b">
        <v>0</v>
      </c>
      <c r="AY21" s="76"/>
      <c r="AZ21" s="76"/>
      <c r="BA21" s="76" t="b">
        <v>1</v>
      </c>
      <c r="BB21" s="76" t="b">
        <v>1</v>
      </c>
      <c r="BC21" s="76" t="b">
        <v>1</v>
      </c>
      <c r="BD21" s="76" t="b">
        <v>0</v>
      </c>
      <c r="BE21" s="76" t="b">
        <v>1</v>
      </c>
      <c r="BF21" s="76" t="b">
        <v>0</v>
      </c>
      <c r="BG21" s="76" t="b">
        <v>1</v>
      </c>
      <c r="BH21" s="82" t="str">
        <f>HYPERLINK("https://pbs.twimg.com/profile_banners/1048676387018760192/1547434330")</f>
        <v>https://pbs.twimg.com/profile_banners/1048676387018760192/1547434330</v>
      </c>
      <c r="BI21" s="76"/>
      <c r="BJ21" s="76" t="s">
        <v>14450</v>
      </c>
      <c r="BK21" s="76" t="b">
        <v>0</v>
      </c>
      <c r="BL21" s="76"/>
      <c r="BM21" s="76" t="s">
        <v>66</v>
      </c>
      <c r="BN21" s="76" t="s">
        <v>14452</v>
      </c>
      <c r="BO21" s="82" t="str">
        <f>HYPERLINK("https://twitter.com/jpsotohelo")</f>
        <v>https://twitter.com/jpsotohelo</v>
      </c>
      <c r="BP21" s="2"/>
    </row>
    <row r="22" spans="1:68" x14ac:dyDescent="0.25">
      <c r="A22" s="62" t="s">
        <v>876</v>
      </c>
      <c r="B22" s="63"/>
      <c r="C22" s="63"/>
      <c r="D22" s="64"/>
      <c r="E22" s="66"/>
      <c r="F22" s="103" t="str">
        <f>HYPERLINK("https://pbs.twimg.com/profile_images/1611402082182959104/ZU4mYZH3_normal.jpg")</f>
        <v>https://pbs.twimg.com/profile_images/1611402082182959104/ZU4mYZH3_normal.jpg</v>
      </c>
      <c r="G22" s="63"/>
      <c r="H22" s="67"/>
      <c r="I22" s="68"/>
      <c r="J22" s="68"/>
      <c r="K22" s="67" t="s">
        <v>14471</v>
      </c>
      <c r="L22" s="71"/>
      <c r="M22" s="72"/>
      <c r="N22" s="72"/>
      <c r="O22" s="73"/>
      <c r="P22" s="74"/>
      <c r="Q22" s="74"/>
      <c r="R22" s="87"/>
      <c r="S22" s="87"/>
      <c r="T22" s="87"/>
      <c r="U22" s="87"/>
      <c r="V22" s="48"/>
      <c r="W22" s="48"/>
      <c r="X22" s="48"/>
      <c r="Y22" s="48"/>
      <c r="Z22" s="47"/>
      <c r="AA22" s="69">
        <v>22</v>
      </c>
      <c r="AB22" s="69"/>
      <c r="AC22" s="70"/>
      <c r="AD22" s="76" t="s">
        <v>11767</v>
      </c>
      <c r="AE22" s="80" t="s">
        <v>12492</v>
      </c>
      <c r="AF22" s="76">
        <v>16136</v>
      </c>
      <c r="AG22" s="76">
        <v>23</v>
      </c>
      <c r="AH22" s="76">
        <v>2216</v>
      </c>
      <c r="AI22" s="76">
        <v>19</v>
      </c>
      <c r="AJ22" s="76">
        <v>519</v>
      </c>
      <c r="AK22" s="76">
        <v>635</v>
      </c>
      <c r="AL22" s="76" t="b">
        <v>0</v>
      </c>
      <c r="AM22" s="78">
        <v>42467.572280092594</v>
      </c>
      <c r="AN22" s="76" t="s">
        <v>12884</v>
      </c>
      <c r="AO22" s="76" t="s">
        <v>13243</v>
      </c>
      <c r="AP22" s="82" t="str">
        <f>HYPERLINK("https://t.co/qMU5ScxXaW")</f>
        <v>https://t.co/qMU5ScxXaW</v>
      </c>
      <c r="AQ22" s="82" t="str">
        <f>HYPERLINK("https://www.mercadolibre.cl")</f>
        <v>https://www.mercadolibre.cl</v>
      </c>
      <c r="AR22" s="76" t="s">
        <v>13919</v>
      </c>
      <c r="AS22" s="82" t="str">
        <f>HYPERLINK("https://t.co/CHzV6DzqB1")</f>
        <v>https://t.co/CHzV6DzqB1</v>
      </c>
      <c r="AT22" s="82" t="str">
        <f>HYPERLINK("http://linktr.ee/mercadolibre.cl")</f>
        <v>http://linktr.ee/mercadolibre.cl</v>
      </c>
      <c r="AU22" s="76" t="s">
        <v>14393</v>
      </c>
      <c r="AV22" s="76"/>
      <c r="AW22" s="82" t="str">
        <f>HYPERLINK("https://t.co/qMU5ScxXaW")</f>
        <v>https://t.co/qMU5ScxXaW</v>
      </c>
      <c r="AX22" s="76" t="b">
        <v>1</v>
      </c>
      <c r="AY22" s="76"/>
      <c r="AZ22" s="76"/>
      <c r="BA22" s="76" t="b">
        <v>1</v>
      </c>
      <c r="BB22" s="76" t="b">
        <v>1</v>
      </c>
      <c r="BC22" s="76" t="b">
        <v>0</v>
      </c>
      <c r="BD22" s="76" t="b">
        <v>0</v>
      </c>
      <c r="BE22" s="76" t="b">
        <v>0</v>
      </c>
      <c r="BF22" s="76" t="b">
        <v>0</v>
      </c>
      <c r="BG22" s="76" t="b">
        <v>0</v>
      </c>
      <c r="BH22" s="82" t="str">
        <f>HYPERLINK("https://pbs.twimg.com/profile_banners/718071853483499520/1688669451")</f>
        <v>https://pbs.twimg.com/profile_banners/718071853483499520/1688669451</v>
      </c>
      <c r="BI22" s="76"/>
      <c r="BJ22" s="76" t="s">
        <v>14450</v>
      </c>
      <c r="BK22" s="76" t="b">
        <v>0</v>
      </c>
      <c r="BL22" s="76"/>
      <c r="BM22" s="76" t="s">
        <v>65</v>
      </c>
      <c r="BN22" s="76" t="s">
        <v>14452</v>
      </c>
      <c r="BO22" s="82" t="str">
        <f>HYPERLINK("https://twitter.com/ml_chile")</f>
        <v>https://twitter.com/ml_chile</v>
      </c>
      <c r="BP22" s="2"/>
    </row>
    <row r="23" spans="1:68" x14ac:dyDescent="0.25">
      <c r="A23" s="62" t="s">
        <v>877</v>
      </c>
      <c r="B23" s="63"/>
      <c r="C23" s="63"/>
      <c r="D23" s="64"/>
      <c r="E23" s="66"/>
      <c r="F23" s="103" t="str">
        <f>HYPERLINK("https://pbs.twimg.com/profile_images/1467840448077209608/xMaBZbSu_normal.jpg")</f>
        <v>https://pbs.twimg.com/profile_images/1467840448077209608/xMaBZbSu_normal.jpg</v>
      </c>
      <c r="G23" s="63"/>
      <c r="H23" s="67"/>
      <c r="I23" s="68"/>
      <c r="J23" s="68"/>
      <c r="K23" s="67" t="s">
        <v>14472</v>
      </c>
      <c r="L23" s="71"/>
      <c r="M23" s="72"/>
      <c r="N23" s="72"/>
      <c r="O23" s="73"/>
      <c r="P23" s="74"/>
      <c r="Q23" s="74"/>
      <c r="R23" s="87"/>
      <c r="S23" s="87"/>
      <c r="T23" s="87"/>
      <c r="U23" s="87"/>
      <c r="V23" s="48"/>
      <c r="W23" s="48"/>
      <c r="X23" s="48"/>
      <c r="Y23" s="48"/>
      <c r="Z23" s="47"/>
      <c r="AA23" s="69">
        <v>23</v>
      </c>
      <c r="AB23" s="69"/>
      <c r="AC23" s="70"/>
      <c r="AD23" s="76" t="s">
        <v>11768</v>
      </c>
      <c r="AE23" s="80" t="s">
        <v>12493</v>
      </c>
      <c r="AF23" s="76">
        <v>231443</v>
      </c>
      <c r="AG23" s="76">
        <v>43937</v>
      </c>
      <c r="AH23" s="76">
        <v>810522</v>
      </c>
      <c r="AI23" s="76">
        <v>199</v>
      </c>
      <c r="AJ23" s="76">
        <v>240</v>
      </c>
      <c r="AK23" s="76">
        <v>12</v>
      </c>
      <c r="AL23" s="76" t="b">
        <v>0</v>
      </c>
      <c r="AM23" s="78">
        <v>41115.853715277779</v>
      </c>
      <c r="AN23" s="76" t="s">
        <v>12885</v>
      </c>
      <c r="AO23" s="76" t="s">
        <v>13244</v>
      </c>
      <c r="AP23" s="82" t="str">
        <f>HYPERLINK("https://t.co/rWFoH3ZVKq")</f>
        <v>https://t.co/rWFoH3ZVKq</v>
      </c>
      <c r="AQ23" s="82" t="str">
        <f>HYPERLINK("https://mercadolibre.com/")</f>
        <v>https://mercadolibre.com/</v>
      </c>
      <c r="AR23" s="76" t="s">
        <v>13920</v>
      </c>
      <c r="AS23" s="82" t="str">
        <f>HYPERLINK("https://t.co/h6MANmxKfA")</f>
        <v>https://t.co/h6MANmxKfA</v>
      </c>
      <c r="AT23" s="82" t="str">
        <f>HYPERLINK("https://linktr.ee/ayudameli")</f>
        <v>https://linktr.ee/ayudameli</v>
      </c>
      <c r="AU23" s="76" t="s">
        <v>14394</v>
      </c>
      <c r="AV23" s="76">
        <v>1.41319622784029E+18</v>
      </c>
      <c r="AW23" s="82" t="str">
        <f>HYPERLINK("https://t.co/rWFoH3ZVKq")</f>
        <v>https://t.co/rWFoH3ZVKq</v>
      </c>
      <c r="AX23" s="76" t="b">
        <v>1</v>
      </c>
      <c r="AY23" s="76"/>
      <c r="AZ23" s="76"/>
      <c r="BA23" s="76" t="b">
        <v>1</v>
      </c>
      <c r="BB23" s="76" t="b">
        <v>1</v>
      </c>
      <c r="BC23" s="76" t="b">
        <v>0</v>
      </c>
      <c r="BD23" s="76" t="b">
        <v>0</v>
      </c>
      <c r="BE23" s="76" t="b">
        <v>1</v>
      </c>
      <c r="BF23" s="76" t="b">
        <v>0</v>
      </c>
      <c r="BG23" s="76" t="b">
        <v>0</v>
      </c>
      <c r="BH23" s="82" t="str">
        <f>HYPERLINK("https://pbs.twimg.com/profile_banners/716711347/1625583264")</f>
        <v>https://pbs.twimg.com/profile_banners/716711347/1625583264</v>
      </c>
      <c r="BI23" s="76"/>
      <c r="BJ23" s="76" t="s">
        <v>14450</v>
      </c>
      <c r="BK23" s="76" t="b">
        <v>0</v>
      </c>
      <c r="BL23" s="76"/>
      <c r="BM23" s="76" t="s">
        <v>65</v>
      </c>
      <c r="BN23" s="76" t="s">
        <v>14452</v>
      </c>
      <c r="BO23" s="82" t="str">
        <f>HYPERLINK("https://twitter.com/ml_ayuda")</f>
        <v>https://twitter.com/ml_ayuda</v>
      </c>
      <c r="BP23" s="2"/>
    </row>
    <row r="24" spans="1:68" x14ac:dyDescent="0.25">
      <c r="A24" s="62" t="s">
        <v>235</v>
      </c>
      <c r="B24" s="63"/>
      <c r="C24" s="63"/>
      <c r="D24" s="64"/>
      <c r="E24" s="66"/>
      <c r="F24" s="103" t="str">
        <f>HYPERLINK("https://pbs.twimg.com/profile_images/1487984438793457665/7bpqxtcY_normal.jpg")</f>
        <v>https://pbs.twimg.com/profile_images/1487984438793457665/7bpqxtcY_normal.jpg</v>
      </c>
      <c r="G24" s="63"/>
      <c r="H24" s="67"/>
      <c r="I24" s="68"/>
      <c r="J24" s="68"/>
      <c r="K24" s="67" t="s">
        <v>14473</v>
      </c>
      <c r="L24" s="71"/>
      <c r="M24" s="72"/>
      <c r="N24" s="72"/>
      <c r="O24" s="73"/>
      <c r="P24" s="74"/>
      <c r="Q24" s="74"/>
      <c r="R24" s="87"/>
      <c r="S24" s="87"/>
      <c r="T24" s="87"/>
      <c r="U24" s="87"/>
      <c r="V24" s="48"/>
      <c r="W24" s="48"/>
      <c r="X24" s="48"/>
      <c r="Y24" s="48"/>
      <c r="Z24" s="47"/>
      <c r="AA24" s="69">
        <v>24</v>
      </c>
      <c r="AB24" s="69"/>
      <c r="AC24" s="70"/>
      <c r="AD24" s="76" t="s">
        <v>11769</v>
      </c>
      <c r="AE24" s="80" t="s">
        <v>12494</v>
      </c>
      <c r="AF24" s="76">
        <v>45</v>
      </c>
      <c r="AG24" s="76">
        <v>351</v>
      </c>
      <c r="AH24" s="76">
        <v>5748</v>
      </c>
      <c r="AI24" s="76">
        <v>0</v>
      </c>
      <c r="AJ24" s="76">
        <v>467</v>
      </c>
      <c r="AK24" s="76">
        <v>51</v>
      </c>
      <c r="AL24" s="76" t="b">
        <v>0</v>
      </c>
      <c r="AM24" s="78">
        <v>40046.86614583333</v>
      </c>
      <c r="AN24" s="76" t="s">
        <v>12886</v>
      </c>
      <c r="AO24" s="76" t="s">
        <v>13245</v>
      </c>
      <c r="AP24" s="76"/>
      <c r="AQ24" s="76"/>
      <c r="AR24" s="76"/>
      <c r="AS24" s="76"/>
      <c r="AT24" s="76"/>
      <c r="AU24" s="76"/>
      <c r="AV24" s="76">
        <v>1.1762291793539599E+18</v>
      </c>
      <c r="AW24" s="76"/>
      <c r="AX24" s="76" t="b">
        <v>0</v>
      </c>
      <c r="AY24" s="76"/>
      <c r="AZ24" s="76"/>
      <c r="BA24" s="76" t="b">
        <v>0</v>
      </c>
      <c r="BB24" s="76" t="b">
        <v>1</v>
      </c>
      <c r="BC24" s="76" t="b">
        <v>0</v>
      </c>
      <c r="BD24" s="76" t="b">
        <v>0</v>
      </c>
      <c r="BE24" s="76" t="b">
        <v>1</v>
      </c>
      <c r="BF24" s="76" t="b">
        <v>0</v>
      </c>
      <c r="BG24" s="76" t="b">
        <v>0</v>
      </c>
      <c r="BH24" s="82" t="str">
        <f>HYPERLINK("https://pbs.twimg.com/profile_banners/67714638/1642019950")</f>
        <v>https://pbs.twimg.com/profile_banners/67714638/1642019950</v>
      </c>
      <c r="BI24" s="76"/>
      <c r="BJ24" s="76" t="s">
        <v>14450</v>
      </c>
      <c r="BK24" s="76" t="b">
        <v>0</v>
      </c>
      <c r="BL24" s="76"/>
      <c r="BM24" s="76" t="s">
        <v>66</v>
      </c>
      <c r="BN24" s="76" t="s">
        <v>14452</v>
      </c>
      <c r="BO24" s="82" t="str">
        <f>HYPERLINK("https://twitter.com/tina_pimenteld")</f>
        <v>https://twitter.com/tina_pimenteld</v>
      </c>
      <c r="BP24" s="2"/>
    </row>
    <row r="25" spans="1:68" x14ac:dyDescent="0.25">
      <c r="A25" s="62" t="s">
        <v>236</v>
      </c>
      <c r="B25" s="63"/>
      <c r="C25" s="63"/>
      <c r="D25" s="64"/>
      <c r="E25" s="66"/>
      <c r="F25" s="103" t="str">
        <f>HYPERLINK("https://pbs.twimg.com/profile_images/1668293110277758977/iAXFY8w-_normal.png")</f>
        <v>https://pbs.twimg.com/profile_images/1668293110277758977/iAXFY8w-_normal.png</v>
      </c>
      <c r="G25" s="63"/>
      <c r="H25" s="67"/>
      <c r="I25" s="68"/>
      <c r="J25" s="68"/>
      <c r="K25" s="67" t="s">
        <v>14474</v>
      </c>
      <c r="L25" s="71"/>
      <c r="M25" s="72"/>
      <c r="N25" s="72"/>
      <c r="O25" s="73"/>
      <c r="P25" s="74"/>
      <c r="Q25" s="74"/>
      <c r="R25" s="87"/>
      <c r="S25" s="87"/>
      <c r="T25" s="87"/>
      <c r="U25" s="87"/>
      <c r="V25" s="48"/>
      <c r="W25" s="48"/>
      <c r="X25" s="48"/>
      <c r="Y25" s="48"/>
      <c r="Z25" s="47"/>
      <c r="AA25" s="69">
        <v>25</v>
      </c>
      <c r="AB25" s="69"/>
      <c r="AC25" s="70"/>
      <c r="AD25" s="76" t="s">
        <v>11770</v>
      </c>
      <c r="AE25" s="80" t="s">
        <v>11403</v>
      </c>
      <c r="AF25" s="76">
        <v>0</v>
      </c>
      <c r="AG25" s="76">
        <v>7</v>
      </c>
      <c r="AH25" s="76">
        <v>13</v>
      </c>
      <c r="AI25" s="76">
        <v>0</v>
      </c>
      <c r="AJ25" s="76">
        <v>9</v>
      </c>
      <c r="AK25" s="76">
        <v>1</v>
      </c>
      <c r="AL25" s="76" t="b">
        <v>0</v>
      </c>
      <c r="AM25" s="78">
        <v>45089.68341435185</v>
      </c>
      <c r="AN25" s="76"/>
      <c r="AO25" s="76"/>
      <c r="AP25" s="76"/>
      <c r="AQ25" s="76"/>
      <c r="AR25" s="76"/>
      <c r="AS25" s="76"/>
      <c r="AT25" s="76"/>
      <c r="AU25" s="76"/>
      <c r="AV25" s="76"/>
      <c r="AW25" s="76"/>
      <c r="AX25" s="76" t="b">
        <v>0</v>
      </c>
      <c r="AY25" s="76"/>
      <c r="AZ25" s="76"/>
      <c r="BA25" s="76" t="b">
        <v>0</v>
      </c>
      <c r="BB25" s="76" t="b">
        <v>1</v>
      </c>
      <c r="BC25" s="76" t="b">
        <v>1</v>
      </c>
      <c r="BD25" s="76" t="b">
        <v>0</v>
      </c>
      <c r="BE25" s="76" t="b">
        <v>0</v>
      </c>
      <c r="BF25" s="76" t="b">
        <v>0</v>
      </c>
      <c r="BG25" s="76" t="b">
        <v>0</v>
      </c>
      <c r="BH25" s="76"/>
      <c r="BI25" s="76"/>
      <c r="BJ25" s="76" t="s">
        <v>14450</v>
      </c>
      <c r="BK25" s="76" t="b">
        <v>0</v>
      </c>
      <c r="BL25" s="76"/>
      <c r="BM25" s="76" t="s">
        <v>66</v>
      </c>
      <c r="BN25" s="76" t="s">
        <v>14452</v>
      </c>
      <c r="BO25" s="82" t="str">
        <f>HYPERLINK("https://twitter.com/daphinefmera")</f>
        <v>https://twitter.com/daphinefmera</v>
      </c>
      <c r="BP25" s="2"/>
    </row>
    <row r="26" spans="1:68" x14ac:dyDescent="0.25">
      <c r="A26" s="62" t="s">
        <v>237</v>
      </c>
      <c r="B26" s="63"/>
      <c r="C26" s="63"/>
      <c r="D26" s="64"/>
      <c r="E26" s="66"/>
      <c r="F26" s="103" t="str">
        <f>HYPERLINK("https://pbs.twimg.com/profile_images/540838854236725249/gfA7suC7_normal.png")</f>
        <v>https://pbs.twimg.com/profile_images/540838854236725249/gfA7suC7_normal.png</v>
      </c>
      <c r="G26" s="63"/>
      <c r="H26" s="67"/>
      <c r="I26" s="68"/>
      <c r="J26" s="68"/>
      <c r="K26" s="67" t="s">
        <v>14475</v>
      </c>
      <c r="L26" s="71"/>
      <c r="M26" s="72"/>
      <c r="N26" s="72"/>
      <c r="O26" s="73"/>
      <c r="P26" s="74"/>
      <c r="Q26" s="74"/>
      <c r="R26" s="87"/>
      <c r="S26" s="87"/>
      <c r="T26" s="87"/>
      <c r="U26" s="87"/>
      <c r="V26" s="48"/>
      <c r="W26" s="48"/>
      <c r="X26" s="48"/>
      <c r="Y26" s="48"/>
      <c r="Z26" s="47"/>
      <c r="AA26" s="69">
        <v>26</v>
      </c>
      <c r="AB26" s="69"/>
      <c r="AC26" s="70"/>
      <c r="AD26" s="76" t="s">
        <v>11771</v>
      </c>
      <c r="AE26" s="80" t="s">
        <v>12495</v>
      </c>
      <c r="AF26" s="76">
        <v>1077</v>
      </c>
      <c r="AG26" s="76">
        <v>1018</v>
      </c>
      <c r="AH26" s="76">
        <v>7148</v>
      </c>
      <c r="AI26" s="76">
        <v>5</v>
      </c>
      <c r="AJ26" s="76">
        <v>5612</v>
      </c>
      <c r="AK26" s="76">
        <v>2091</v>
      </c>
      <c r="AL26" s="76" t="b">
        <v>0</v>
      </c>
      <c r="AM26" s="78">
        <v>41978.385578703703</v>
      </c>
      <c r="AN26" s="76" t="s">
        <v>12887</v>
      </c>
      <c r="AO26" s="76" t="s">
        <v>13246</v>
      </c>
      <c r="AP26" s="82" t="str">
        <f>HYPERLINK("http://t.co/GbGZ5rCwol")</f>
        <v>http://t.co/GbGZ5rCwol</v>
      </c>
      <c r="AQ26" s="82" t="str">
        <f>HYPERLINK("http://www.psyteco.com/")</f>
        <v>http://www.psyteco.com/</v>
      </c>
      <c r="AR26" s="76" t="s">
        <v>13921</v>
      </c>
      <c r="AS26" s="76"/>
      <c r="AT26" s="76"/>
      <c r="AU26" s="76"/>
      <c r="AV26" s="76">
        <v>1.4660058217714501E+18</v>
      </c>
      <c r="AW26" s="82" t="str">
        <f>HYPERLINK("http://t.co/GbGZ5rCwol")</f>
        <v>http://t.co/GbGZ5rCwol</v>
      </c>
      <c r="AX26" s="76" t="b">
        <v>0</v>
      </c>
      <c r="AY26" s="76"/>
      <c r="AZ26" s="76"/>
      <c r="BA26" s="76" t="b">
        <v>0</v>
      </c>
      <c r="BB26" s="76" t="b">
        <v>1</v>
      </c>
      <c r="BC26" s="76" t="b">
        <v>0</v>
      </c>
      <c r="BD26" s="76" t="b">
        <v>0</v>
      </c>
      <c r="BE26" s="76" t="b">
        <v>1</v>
      </c>
      <c r="BF26" s="76" t="b">
        <v>0</v>
      </c>
      <c r="BG26" s="76" t="b">
        <v>0</v>
      </c>
      <c r="BH26" s="82" t="str">
        <f>HYPERLINK("https://pbs.twimg.com/profile_banners/2906124993/1417781019")</f>
        <v>https://pbs.twimg.com/profile_banners/2906124993/1417781019</v>
      </c>
      <c r="BI26" s="76"/>
      <c r="BJ26" s="76" t="s">
        <v>14450</v>
      </c>
      <c r="BK26" s="76" t="b">
        <v>0</v>
      </c>
      <c r="BL26" s="76"/>
      <c r="BM26" s="76" t="s">
        <v>66</v>
      </c>
      <c r="BN26" s="76" t="s">
        <v>14452</v>
      </c>
      <c r="BO26" s="82" t="str">
        <f>HYPERLINK("https://twitter.com/psyteco_")</f>
        <v>https://twitter.com/psyteco_</v>
      </c>
      <c r="BP26" s="2"/>
    </row>
    <row r="27" spans="1:68" x14ac:dyDescent="0.25">
      <c r="A27" s="62" t="s">
        <v>593</v>
      </c>
      <c r="B27" s="63"/>
      <c r="C27" s="63"/>
      <c r="D27" s="64"/>
      <c r="E27" s="66"/>
      <c r="F27" s="103" t="str">
        <f>HYPERLINK("https://pbs.twimg.com/profile_images/603503858309005312/m2j9vxEk_normal.png")</f>
        <v>https://pbs.twimg.com/profile_images/603503858309005312/m2j9vxEk_normal.png</v>
      </c>
      <c r="G27" s="63"/>
      <c r="H27" s="67"/>
      <c r="I27" s="68"/>
      <c r="J27" s="68"/>
      <c r="K27" s="67" t="s">
        <v>14476</v>
      </c>
      <c r="L27" s="71"/>
      <c r="M27" s="72"/>
      <c r="N27" s="72"/>
      <c r="O27" s="73"/>
      <c r="P27" s="74"/>
      <c r="Q27" s="74"/>
      <c r="R27" s="87"/>
      <c r="S27" s="87"/>
      <c r="T27" s="87"/>
      <c r="U27" s="87"/>
      <c r="V27" s="48"/>
      <c r="W27" s="48"/>
      <c r="X27" s="48"/>
      <c r="Y27" s="48"/>
      <c r="Z27" s="47"/>
      <c r="AA27" s="69">
        <v>27</v>
      </c>
      <c r="AB27" s="69"/>
      <c r="AC27" s="70"/>
      <c r="AD27" s="76" t="s">
        <v>11772</v>
      </c>
      <c r="AE27" s="80" t="s">
        <v>12496</v>
      </c>
      <c r="AF27" s="76">
        <v>2359</v>
      </c>
      <c r="AG27" s="76">
        <v>2383</v>
      </c>
      <c r="AH27" s="76">
        <v>6668</v>
      </c>
      <c r="AI27" s="76">
        <v>66</v>
      </c>
      <c r="AJ27" s="76">
        <v>7829</v>
      </c>
      <c r="AK27" s="76">
        <v>1079</v>
      </c>
      <c r="AL27" s="76" t="b">
        <v>0</v>
      </c>
      <c r="AM27" s="78">
        <v>40940.559236111112</v>
      </c>
      <c r="AN27" s="76" t="s">
        <v>12888</v>
      </c>
      <c r="AO27" s="76" t="s">
        <v>13247</v>
      </c>
      <c r="AP27" s="82" t="str">
        <f>HYPERLINK("https://t.co/lWQN4AiYXj")</f>
        <v>https://t.co/lWQN4AiYXj</v>
      </c>
      <c r="AQ27" s="82" t="str">
        <f>HYPERLINK("http://yosoyoriginal.es")</f>
        <v>http://yosoyoriginal.es</v>
      </c>
      <c r="AR27" s="76" t="s">
        <v>4305</v>
      </c>
      <c r="AS27" s="76"/>
      <c r="AT27" s="76"/>
      <c r="AU27" s="76"/>
      <c r="AV27" s="76">
        <v>1.62508084255169E+18</v>
      </c>
      <c r="AW27" s="82" t="str">
        <f>HYPERLINK("https://t.co/lWQN4AiYXj")</f>
        <v>https://t.co/lWQN4AiYXj</v>
      </c>
      <c r="AX27" s="76" t="b">
        <v>0</v>
      </c>
      <c r="AY27" s="76"/>
      <c r="AZ27" s="76"/>
      <c r="BA27" s="76" t="b">
        <v>0</v>
      </c>
      <c r="BB27" s="76" t="b">
        <v>1</v>
      </c>
      <c r="BC27" s="76" t="b">
        <v>0</v>
      </c>
      <c r="BD27" s="76" t="b">
        <v>0</v>
      </c>
      <c r="BE27" s="76" t="b">
        <v>0</v>
      </c>
      <c r="BF27" s="76" t="b">
        <v>0</v>
      </c>
      <c r="BG27" s="76" t="b">
        <v>0</v>
      </c>
      <c r="BH27" s="82" t="str">
        <f>HYPERLINK("https://pbs.twimg.com/profile_banners/480409304/1637839108")</f>
        <v>https://pbs.twimg.com/profile_banners/480409304/1637839108</v>
      </c>
      <c r="BI27" s="76"/>
      <c r="BJ27" s="76" t="s">
        <v>14450</v>
      </c>
      <c r="BK27" s="76" t="b">
        <v>0</v>
      </c>
      <c r="BL27" s="76"/>
      <c r="BM27" s="76" t="s">
        <v>66</v>
      </c>
      <c r="BN27" s="76" t="s">
        <v>14452</v>
      </c>
      <c r="BO27" s="82" t="str">
        <f>HYPERLINK("https://twitter.com/yosoyoriginal_")</f>
        <v>https://twitter.com/yosoyoriginal_</v>
      </c>
      <c r="BP27" s="2"/>
    </row>
    <row r="28" spans="1:68" x14ac:dyDescent="0.25">
      <c r="A28" s="62" t="s">
        <v>238</v>
      </c>
      <c r="B28" s="63"/>
      <c r="C28" s="63"/>
      <c r="D28" s="64"/>
      <c r="E28" s="66"/>
      <c r="F28" s="103" t="str">
        <f>HYPERLINK("https://pbs.twimg.com/profile_images/1160015292795359238/8EVcwhPY_normal.jpg")</f>
        <v>https://pbs.twimg.com/profile_images/1160015292795359238/8EVcwhPY_normal.jpg</v>
      </c>
      <c r="G28" s="63"/>
      <c r="H28" s="67"/>
      <c r="I28" s="68"/>
      <c r="J28" s="68"/>
      <c r="K28" s="67" t="s">
        <v>14477</v>
      </c>
      <c r="L28" s="71"/>
      <c r="M28" s="72"/>
      <c r="N28" s="72"/>
      <c r="O28" s="73"/>
      <c r="P28" s="74"/>
      <c r="Q28" s="74"/>
      <c r="R28" s="87"/>
      <c r="S28" s="87"/>
      <c r="T28" s="87"/>
      <c r="U28" s="87"/>
      <c r="V28" s="48"/>
      <c r="W28" s="48"/>
      <c r="X28" s="48"/>
      <c r="Y28" s="48"/>
      <c r="Z28" s="47"/>
      <c r="AA28" s="69">
        <v>28</v>
      </c>
      <c r="AB28" s="69"/>
      <c r="AC28" s="70"/>
      <c r="AD28" s="76" t="s">
        <v>11773</v>
      </c>
      <c r="AE28" s="80" t="s">
        <v>11404</v>
      </c>
      <c r="AF28" s="76">
        <v>5</v>
      </c>
      <c r="AG28" s="76">
        <v>8</v>
      </c>
      <c r="AH28" s="76">
        <v>2</v>
      </c>
      <c r="AI28" s="76">
        <v>0</v>
      </c>
      <c r="AJ28" s="76">
        <v>7</v>
      </c>
      <c r="AK28" s="76">
        <v>2</v>
      </c>
      <c r="AL28" s="76" t="b">
        <v>0</v>
      </c>
      <c r="AM28" s="78">
        <v>42828.026493055557</v>
      </c>
      <c r="AN28" s="76" t="s">
        <v>7763</v>
      </c>
      <c r="AO28" s="76" t="s">
        <v>13248</v>
      </c>
      <c r="AP28" s="82" t="str">
        <f>HYPERLINK("https://t.co/yWD34nT6az")</f>
        <v>https://t.co/yWD34nT6az</v>
      </c>
      <c r="AQ28" s="82" t="str">
        <f>HYPERLINK("http://dznprojectmedia.com")</f>
        <v>http://dznprojectmedia.com</v>
      </c>
      <c r="AR28" s="76" t="s">
        <v>4217</v>
      </c>
      <c r="AS28" s="76"/>
      <c r="AT28" s="76"/>
      <c r="AU28" s="76"/>
      <c r="AV28" s="76">
        <v>1.6506691183144901E+18</v>
      </c>
      <c r="AW28" s="82" t="str">
        <f>HYPERLINK("https://t.co/yWD34nT6az")</f>
        <v>https://t.co/yWD34nT6az</v>
      </c>
      <c r="AX28" s="76" t="b">
        <v>0</v>
      </c>
      <c r="AY28" s="76"/>
      <c r="AZ28" s="76"/>
      <c r="BA28" s="76" t="b">
        <v>0</v>
      </c>
      <c r="BB28" s="76" t="b">
        <v>1</v>
      </c>
      <c r="BC28" s="76" t="b">
        <v>1</v>
      </c>
      <c r="BD28" s="76" t="b">
        <v>0</v>
      </c>
      <c r="BE28" s="76" t="b">
        <v>0</v>
      </c>
      <c r="BF28" s="76" t="b">
        <v>0</v>
      </c>
      <c r="BG28" s="76" t="b">
        <v>0</v>
      </c>
      <c r="BH28" s="82" t="str">
        <f>HYPERLINK("https://pbs.twimg.com/profile_banners/848696083702218753/1682385555")</f>
        <v>https://pbs.twimg.com/profile_banners/848696083702218753/1682385555</v>
      </c>
      <c r="BI28" s="76"/>
      <c r="BJ28" s="76" t="s">
        <v>14450</v>
      </c>
      <c r="BK28" s="76" t="b">
        <v>0</v>
      </c>
      <c r="BL28" s="76"/>
      <c r="BM28" s="76" t="s">
        <v>66</v>
      </c>
      <c r="BN28" s="76" t="s">
        <v>14452</v>
      </c>
      <c r="BO28" s="82" t="str">
        <f>HYPERLINK("https://twitter.com/dznprojectmedia")</f>
        <v>https://twitter.com/dznprojectmedia</v>
      </c>
      <c r="BP28" s="2"/>
    </row>
    <row r="29" spans="1:68" x14ac:dyDescent="0.25">
      <c r="A29" s="62" t="s">
        <v>239</v>
      </c>
      <c r="B29" s="63"/>
      <c r="C29" s="63"/>
      <c r="D29" s="64"/>
      <c r="E29" s="66"/>
      <c r="F29" s="103" t="str">
        <f>HYPERLINK("https://pbs.twimg.com/profile_images/1703875690653741056/bN_O990V_normal.jpg")</f>
        <v>https://pbs.twimg.com/profile_images/1703875690653741056/bN_O990V_normal.jpg</v>
      </c>
      <c r="G29" s="63"/>
      <c r="H29" s="67"/>
      <c r="I29" s="68"/>
      <c r="J29" s="68"/>
      <c r="K29" s="67" t="s">
        <v>14478</v>
      </c>
      <c r="L29" s="71"/>
      <c r="M29" s="72"/>
      <c r="N29" s="72"/>
      <c r="O29" s="73"/>
      <c r="P29" s="74"/>
      <c r="Q29" s="74"/>
      <c r="R29" s="87"/>
      <c r="S29" s="87"/>
      <c r="T29" s="87"/>
      <c r="U29" s="87"/>
      <c r="V29" s="48"/>
      <c r="W29" s="48"/>
      <c r="X29" s="48"/>
      <c r="Y29" s="48"/>
      <c r="Z29" s="47"/>
      <c r="AA29" s="69">
        <v>29</v>
      </c>
      <c r="AB29" s="69"/>
      <c r="AC29" s="70"/>
      <c r="AD29" s="76" t="s">
        <v>11774</v>
      </c>
      <c r="AE29" s="80" t="s">
        <v>11405</v>
      </c>
      <c r="AF29" s="76">
        <v>8</v>
      </c>
      <c r="AG29" s="76">
        <v>125</v>
      </c>
      <c r="AH29" s="76">
        <v>63</v>
      </c>
      <c r="AI29" s="76">
        <v>0</v>
      </c>
      <c r="AJ29" s="76">
        <v>13</v>
      </c>
      <c r="AK29" s="76">
        <v>63</v>
      </c>
      <c r="AL29" s="76" t="b">
        <v>0</v>
      </c>
      <c r="AM29" s="78">
        <v>43386.5934375</v>
      </c>
      <c r="AN29" s="76" t="s">
        <v>7766</v>
      </c>
      <c r="AO29" s="76"/>
      <c r="AP29" s="76"/>
      <c r="AQ29" s="76"/>
      <c r="AR29" s="76"/>
      <c r="AS29" s="76"/>
      <c r="AT29" s="76"/>
      <c r="AU29" s="76"/>
      <c r="AV29" s="76">
        <v>1.6610315735740001E+18</v>
      </c>
      <c r="AW29" s="76"/>
      <c r="AX29" s="76" t="b">
        <v>0</v>
      </c>
      <c r="AY29" s="76"/>
      <c r="AZ29" s="76"/>
      <c r="BA29" s="76" t="b">
        <v>0</v>
      </c>
      <c r="BB29" s="76" t="b">
        <v>1</v>
      </c>
      <c r="BC29" s="76" t="b">
        <v>1</v>
      </c>
      <c r="BD29" s="76" t="b">
        <v>0</v>
      </c>
      <c r="BE29" s="76" t="b">
        <v>0</v>
      </c>
      <c r="BF29" s="76" t="b">
        <v>0</v>
      </c>
      <c r="BG29" s="76" t="b">
        <v>0</v>
      </c>
      <c r="BH29" s="82" t="str">
        <f>HYPERLINK("https://pbs.twimg.com/profile_banners/1051113967177871360/1695070585")</f>
        <v>https://pbs.twimg.com/profile_banners/1051113967177871360/1695070585</v>
      </c>
      <c r="BI29" s="76"/>
      <c r="BJ29" s="76" t="s">
        <v>14450</v>
      </c>
      <c r="BK29" s="76" t="b">
        <v>0</v>
      </c>
      <c r="BL29" s="76"/>
      <c r="BM29" s="76" t="s">
        <v>66</v>
      </c>
      <c r="BN29" s="76" t="s">
        <v>14452</v>
      </c>
      <c r="BO29" s="82" t="str">
        <f>HYPERLINK("https://twitter.com/digitaltic1")</f>
        <v>https://twitter.com/digitaltic1</v>
      </c>
      <c r="BP29" s="2"/>
    </row>
    <row r="30" spans="1:68" x14ac:dyDescent="0.25">
      <c r="A30" s="62" t="s">
        <v>240</v>
      </c>
      <c r="B30" s="63"/>
      <c r="C30" s="63"/>
      <c r="D30" s="64"/>
      <c r="E30" s="66"/>
      <c r="F30" s="103" t="str">
        <f>HYPERLINK("https://abs.twimg.com/sticky/default_profile_images/default_profile_normal.png")</f>
        <v>https://abs.twimg.com/sticky/default_profile_images/default_profile_normal.png</v>
      </c>
      <c r="G30" s="63"/>
      <c r="H30" s="67"/>
      <c r="I30" s="68"/>
      <c r="J30" s="68"/>
      <c r="K30" s="67" t="s">
        <v>14479</v>
      </c>
      <c r="L30" s="71"/>
      <c r="M30" s="72"/>
      <c r="N30" s="72"/>
      <c r="O30" s="73"/>
      <c r="P30" s="74"/>
      <c r="Q30" s="74"/>
      <c r="R30" s="87"/>
      <c r="S30" s="87"/>
      <c r="T30" s="87"/>
      <c r="U30" s="87"/>
      <c r="V30" s="48"/>
      <c r="W30" s="48"/>
      <c r="X30" s="48"/>
      <c r="Y30" s="48"/>
      <c r="Z30" s="47"/>
      <c r="AA30" s="69">
        <v>30</v>
      </c>
      <c r="AB30" s="69"/>
      <c r="AC30" s="70"/>
      <c r="AD30" s="76" t="s">
        <v>11775</v>
      </c>
      <c r="AE30" s="80" t="s">
        <v>11406</v>
      </c>
      <c r="AF30" s="76">
        <v>1</v>
      </c>
      <c r="AG30" s="76">
        <v>27</v>
      </c>
      <c r="AH30" s="76">
        <v>1</v>
      </c>
      <c r="AI30" s="76">
        <v>0</v>
      </c>
      <c r="AJ30" s="76">
        <v>1</v>
      </c>
      <c r="AK30" s="76">
        <v>1</v>
      </c>
      <c r="AL30" s="76" t="b">
        <v>0</v>
      </c>
      <c r="AM30" s="78">
        <v>45166.577141203707</v>
      </c>
      <c r="AN30" s="76"/>
      <c r="AO30" s="76"/>
      <c r="AP30" s="76"/>
      <c r="AQ30" s="76"/>
      <c r="AR30" s="76"/>
      <c r="AS30" s="76"/>
      <c r="AT30" s="76"/>
      <c r="AU30" s="76"/>
      <c r="AV30" s="76"/>
      <c r="AW30" s="76"/>
      <c r="AX30" s="76" t="b">
        <v>0</v>
      </c>
      <c r="AY30" s="76"/>
      <c r="AZ30" s="76"/>
      <c r="BA30" s="76" t="b">
        <v>0</v>
      </c>
      <c r="BB30" s="76" t="b">
        <v>1</v>
      </c>
      <c r="BC30" s="76" t="b">
        <v>1</v>
      </c>
      <c r="BD30" s="76" t="b">
        <v>1</v>
      </c>
      <c r="BE30" s="76" t="b">
        <v>0</v>
      </c>
      <c r="BF30" s="76" t="b">
        <v>0</v>
      </c>
      <c r="BG30" s="76" t="b">
        <v>0</v>
      </c>
      <c r="BH30" s="76"/>
      <c r="BI30" s="76"/>
      <c r="BJ30" s="76" t="s">
        <v>14450</v>
      </c>
      <c r="BK30" s="76" t="b">
        <v>0</v>
      </c>
      <c r="BL30" s="76"/>
      <c r="BM30" s="76" t="s">
        <v>66</v>
      </c>
      <c r="BN30" s="76" t="s">
        <v>14452</v>
      </c>
      <c r="BO30" s="82" t="str">
        <f>HYPERLINK("https://twitter.com/diarioenlaruta")</f>
        <v>https://twitter.com/diarioenlaruta</v>
      </c>
      <c r="BP30" s="2"/>
    </row>
    <row r="31" spans="1:68" x14ac:dyDescent="0.25">
      <c r="A31" s="62" t="s">
        <v>241</v>
      </c>
      <c r="B31" s="63"/>
      <c r="C31" s="63"/>
      <c r="D31" s="64"/>
      <c r="E31" s="66"/>
      <c r="F31" s="103" t="str">
        <f>HYPERLINK("https://pbs.twimg.com/profile_images/645357314938003456/2FZMqqNL_normal.jpg")</f>
        <v>https://pbs.twimg.com/profile_images/645357314938003456/2FZMqqNL_normal.jpg</v>
      </c>
      <c r="G31" s="63"/>
      <c r="H31" s="67"/>
      <c r="I31" s="68"/>
      <c r="J31" s="68"/>
      <c r="K31" s="67" t="s">
        <v>14480</v>
      </c>
      <c r="L31" s="71"/>
      <c r="M31" s="72"/>
      <c r="N31" s="72"/>
      <c r="O31" s="73"/>
      <c r="P31" s="74"/>
      <c r="Q31" s="74"/>
      <c r="R31" s="87"/>
      <c r="S31" s="87"/>
      <c r="T31" s="87"/>
      <c r="U31" s="87"/>
      <c r="V31" s="48"/>
      <c r="W31" s="48"/>
      <c r="X31" s="48"/>
      <c r="Y31" s="48"/>
      <c r="Z31" s="47"/>
      <c r="AA31" s="69">
        <v>31</v>
      </c>
      <c r="AB31" s="69"/>
      <c r="AC31" s="70"/>
      <c r="AD31" s="76" t="s">
        <v>11776</v>
      </c>
      <c r="AE31" s="80" t="s">
        <v>12497</v>
      </c>
      <c r="AF31" s="76">
        <v>415</v>
      </c>
      <c r="AG31" s="76">
        <v>203</v>
      </c>
      <c r="AH31" s="76">
        <v>6905</v>
      </c>
      <c r="AI31" s="76">
        <v>20</v>
      </c>
      <c r="AJ31" s="76">
        <v>30</v>
      </c>
      <c r="AK31" s="76">
        <v>1819</v>
      </c>
      <c r="AL31" s="76" t="b">
        <v>0</v>
      </c>
      <c r="AM31" s="78">
        <v>41036.842731481483</v>
      </c>
      <c r="AN31" s="76" t="s">
        <v>12889</v>
      </c>
      <c r="AO31" s="76" t="s">
        <v>13249</v>
      </c>
      <c r="AP31" s="82" t="str">
        <f>HYPERLINK("https://t.co/DTNJk3cv7U")</f>
        <v>https://t.co/DTNJk3cv7U</v>
      </c>
      <c r="AQ31" s="82" t="str">
        <f>HYPERLINK("https://www.visocym.com")</f>
        <v>https://www.visocym.com</v>
      </c>
      <c r="AR31" s="76" t="s">
        <v>13922</v>
      </c>
      <c r="AS31" s="82" t="str">
        <f>HYPERLINK("https://t.co/6QQwQC2mp2")</f>
        <v>https://t.co/6QQwQC2mp2</v>
      </c>
      <c r="AT31" s="82" t="str">
        <f>HYPERLINK("http://visocym.com")</f>
        <v>http://visocym.com</v>
      </c>
      <c r="AU31" s="76" t="s">
        <v>13922</v>
      </c>
      <c r="AV31" s="76">
        <v>1.6984684246811599E+18</v>
      </c>
      <c r="AW31" s="82" t="str">
        <f>HYPERLINK("https://t.co/DTNJk3cv7U")</f>
        <v>https://t.co/DTNJk3cv7U</v>
      </c>
      <c r="AX31" s="76" t="b">
        <v>0</v>
      </c>
      <c r="AY31" s="76"/>
      <c r="AZ31" s="76"/>
      <c r="BA31" s="76" t="b">
        <v>0</v>
      </c>
      <c r="BB31" s="76" t="b">
        <v>1</v>
      </c>
      <c r="BC31" s="76" t="b">
        <v>0</v>
      </c>
      <c r="BD31" s="76" t="b">
        <v>0</v>
      </c>
      <c r="BE31" s="76" t="b">
        <v>0</v>
      </c>
      <c r="BF31" s="76" t="b">
        <v>0</v>
      </c>
      <c r="BG31" s="76" t="b">
        <v>0</v>
      </c>
      <c r="BH31" s="82" t="str">
        <f>HYPERLINK("https://pbs.twimg.com/profile_banners/573931223/1636164363")</f>
        <v>https://pbs.twimg.com/profile_banners/573931223/1636164363</v>
      </c>
      <c r="BI31" s="76"/>
      <c r="BJ31" s="76" t="s">
        <v>14450</v>
      </c>
      <c r="BK31" s="76" t="b">
        <v>0</v>
      </c>
      <c r="BL31" s="76"/>
      <c r="BM31" s="76" t="s">
        <v>66</v>
      </c>
      <c r="BN31" s="76" t="s">
        <v>14452</v>
      </c>
      <c r="BO31" s="82" t="str">
        <f>HYPERLINK("https://twitter.com/visocym")</f>
        <v>https://twitter.com/visocym</v>
      </c>
      <c r="BP31" s="2"/>
    </row>
    <row r="32" spans="1:68" x14ac:dyDescent="0.25">
      <c r="A32" s="62" t="s">
        <v>242</v>
      </c>
      <c r="B32" s="63"/>
      <c r="C32" s="63"/>
      <c r="D32" s="64"/>
      <c r="E32" s="66"/>
      <c r="F32" s="103" t="str">
        <f>HYPERLINK("https://pbs.twimg.com/profile_images/1663396514322890753/pC5s5qBe_normal.jpg")</f>
        <v>https://pbs.twimg.com/profile_images/1663396514322890753/pC5s5qBe_normal.jpg</v>
      </c>
      <c r="G32" s="63"/>
      <c r="H32" s="67"/>
      <c r="I32" s="68"/>
      <c r="J32" s="68"/>
      <c r="K32" s="67" t="s">
        <v>14481</v>
      </c>
      <c r="L32" s="71"/>
      <c r="M32" s="72"/>
      <c r="N32" s="72"/>
      <c r="O32" s="73"/>
      <c r="P32" s="74"/>
      <c r="Q32" s="74"/>
      <c r="R32" s="87"/>
      <c r="S32" s="87"/>
      <c r="T32" s="87"/>
      <c r="U32" s="87"/>
      <c r="V32" s="48"/>
      <c r="W32" s="48"/>
      <c r="X32" s="48"/>
      <c r="Y32" s="48"/>
      <c r="Z32" s="47"/>
      <c r="AA32" s="69">
        <v>32</v>
      </c>
      <c r="AB32" s="69"/>
      <c r="AC32" s="70"/>
      <c r="AD32" s="76" t="s">
        <v>11777</v>
      </c>
      <c r="AE32" s="80" t="s">
        <v>11407</v>
      </c>
      <c r="AF32" s="76">
        <v>2</v>
      </c>
      <c r="AG32" s="76">
        <v>35</v>
      </c>
      <c r="AH32" s="76">
        <v>19</v>
      </c>
      <c r="AI32" s="76">
        <v>0</v>
      </c>
      <c r="AJ32" s="76">
        <v>0</v>
      </c>
      <c r="AK32" s="76">
        <v>18</v>
      </c>
      <c r="AL32" s="76" t="b">
        <v>0</v>
      </c>
      <c r="AM32" s="78">
        <v>45076.169861111113</v>
      </c>
      <c r="AN32" s="76" t="s">
        <v>7767</v>
      </c>
      <c r="AO32" s="76" t="s">
        <v>13250</v>
      </c>
      <c r="AP32" s="82" t="str">
        <f>HYPERLINK("https://t.co/IVd55cuSfG")</f>
        <v>https://t.co/IVd55cuSfG</v>
      </c>
      <c r="AQ32" s="82" t="str">
        <f>HYPERLINK("https://alicam.com.mx")</f>
        <v>https://alicam.com.mx</v>
      </c>
      <c r="AR32" s="76" t="s">
        <v>13923</v>
      </c>
      <c r="AS32" s="76"/>
      <c r="AT32" s="76"/>
      <c r="AU32" s="76"/>
      <c r="AV32" s="76"/>
      <c r="AW32" s="82" t="str">
        <f>HYPERLINK("https://t.co/IVd55cuSfG")</f>
        <v>https://t.co/IVd55cuSfG</v>
      </c>
      <c r="AX32" s="76" t="b">
        <v>0</v>
      </c>
      <c r="AY32" s="76"/>
      <c r="AZ32" s="76"/>
      <c r="BA32" s="76" t="b">
        <v>0</v>
      </c>
      <c r="BB32" s="76" t="b">
        <v>1</v>
      </c>
      <c r="BC32" s="76" t="b">
        <v>1</v>
      </c>
      <c r="BD32" s="76" t="b">
        <v>0</v>
      </c>
      <c r="BE32" s="76" t="b">
        <v>0</v>
      </c>
      <c r="BF32" s="76" t="b">
        <v>0</v>
      </c>
      <c r="BG32" s="76" t="b">
        <v>0</v>
      </c>
      <c r="BH32" s="82" t="str">
        <f>HYPERLINK("https://pbs.twimg.com/profile_banners/1663395926512107520/1686245102")</f>
        <v>https://pbs.twimg.com/profile_banners/1663395926512107520/1686245102</v>
      </c>
      <c r="BI32" s="76"/>
      <c r="BJ32" s="76" t="s">
        <v>14450</v>
      </c>
      <c r="BK32" s="76" t="b">
        <v>0</v>
      </c>
      <c r="BL32" s="76"/>
      <c r="BM32" s="76" t="s">
        <v>66</v>
      </c>
      <c r="BN32" s="76" t="s">
        <v>14452</v>
      </c>
      <c r="BO32" s="82" t="str">
        <f>HYPERLINK("https://twitter.com/alicam_mx")</f>
        <v>https://twitter.com/alicam_mx</v>
      </c>
      <c r="BP32" s="2"/>
    </row>
    <row r="33" spans="1:68" x14ac:dyDescent="0.25">
      <c r="A33" s="62" t="s">
        <v>243</v>
      </c>
      <c r="B33" s="63"/>
      <c r="C33" s="63"/>
      <c r="D33" s="64"/>
      <c r="E33" s="66"/>
      <c r="F33" s="103" t="str">
        <f>HYPERLINK("https://pbs.twimg.com/profile_images/974698967278768129/03ADUDky_normal.jpg")</f>
        <v>https://pbs.twimg.com/profile_images/974698967278768129/03ADUDky_normal.jpg</v>
      </c>
      <c r="G33" s="63"/>
      <c r="H33" s="67"/>
      <c r="I33" s="68"/>
      <c r="J33" s="68"/>
      <c r="K33" s="67" t="s">
        <v>14482</v>
      </c>
      <c r="L33" s="71"/>
      <c r="M33" s="72"/>
      <c r="N33" s="72"/>
      <c r="O33" s="73"/>
      <c r="P33" s="74"/>
      <c r="Q33" s="74"/>
      <c r="R33" s="87"/>
      <c r="S33" s="87"/>
      <c r="T33" s="87"/>
      <c r="U33" s="87"/>
      <c r="V33" s="48"/>
      <c r="W33" s="48"/>
      <c r="X33" s="48"/>
      <c r="Y33" s="48"/>
      <c r="Z33" s="47"/>
      <c r="AA33" s="69">
        <v>33</v>
      </c>
      <c r="AB33" s="69"/>
      <c r="AC33" s="70"/>
      <c r="AD33" s="76" t="s">
        <v>11778</v>
      </c>
      <c r="AE33" s="80" t="s">
        <v>12498</v>
      </c>
      <c r="AF33" s="76">
        <v>286</v>
      </c>
      <c r="AG33" s="76">
        <v>60</v>
      </c>
      <c r="AH33" s="76">
        <v>1075</v>
      </c>
      <c r="AI33" s="76">
        <v>0</v>
      </c>
      <c r="AJ33" s="76">
        <v>254</v>
      </c>
      <c r="AK33" s="76">
        <v>716</v>
      </c>
      <c r="AL33" s="76" t="b">
        <v>0</v>
      </c>
      <c r="AM33" s="78">
        <v>40800.567928240744</v>
      </c>
      <c r="AN33" s="76" t="s">
        <v>7791</v>
      </c>
      <c r="AO33" s="76" t="s">
        <v>13251</v>
      </c>
      <c r="AP33" s="82" t="str">
        <f>HYPERLINK("https://t.co/iTPj1uSBVj")</f>
        <v>https://t.co/iTPj1uSBVj</v>
      </c>
      <c r="AQ33" s="82" t="str">
        <f>HYPERLINK("https://linktr.ee/gfsasp")</f>
        <v>https://linktr.ee/gfsasp</v>
      </c>
      <c r="AR33" s="76" t="s">
        <v>13924</v>
      </c>
      <c r="AS33" s="76"/>
      <c r="AT33" s="76"/>
      <c r="AU33" s="76"/>
      <c r="AV33" s="76"/>
      <c r="AW33" s="82" t="str">
        <f>HYPERLINK("https://t.co/iTPj1uSBVj")</f>
        <v>https://t.co/iTPj1uSBVj</v>
      </c>
      <c r="AX33" s="76" t="b">
        <v>0</v>
      </c>
      <c r="AY33" s="76"/>
      <c r="AZ33" s="76"/>
      <c r="BA33" s="76" t="b">
        <v>0</v>
      </c>
      <c r="BB33" s="76" t="b">
        <v>1</v>
      </c>
      <c r="BC33" s="76" t="b">
        <v>0</v>
      </c>
      <c r="BD33" s="76" t="b">
        <v>0</v>
      </c>
      <c r="BE33" s="76" t="b">
        <v>0</v>
      </c>
      <c r="BF33" s="76" t="b">
        <v>0</v>
      </c>
      <c r="BG33" s="76" t="b">
        <v>0</v>
      </c>
      <c r="BH33" s="82" t="str">
        <f>HYPERLINK("https://pbs.twimg.com/profile_banners/373377774/1610022297")</f>
        <v>https://pbs.twimg.com/profile_banners/373377774/1610022297</v>
      </c>
      <c r="BI33" s="76"/>
      <c r="BJ33" s="76" t="s">
        <v>14450</v>
      </c>
      <c r="BK33" s="76" t="b">
        <v>0</v>
      </c>
      <c r="BL33" s="76"/>
      <c r="BM33" s="76" t="s">
        <v>66</v>
      </c>
      <c r="BN33" s="76" t="s">
        <v>14452</v>
      </c>
      <c r="BO33" s="82" t="str">
        <f>HYPERLINK("https://twitter.com/gfsaadv")</f>
        <v>https://twitter.com/gfsaadv</v>
      </c>
      <c r="BP33" s="2"/>
    </row>
    <row r="34" spans="1:68" x14ac:dyDescent="0.25">
      <c r="A34" s="62" t="s">
        <v>244</v>
      </c>
      <c r="B34" s="63"/>
      <c r="C34" s="63"/>
      <c r="D34" s="64"/>
      <c r="E34" s="66"/>
      <c r="F34" s="103" t="str">
        <f>HYPERLINK("https://pbs.twimg.com/profile_images/1618632841004306432/R69fXT-p_normal.jpg")</f>
        <v>https://pbs.twimg.com/profile_images/1618632841004306432/R69fXT-p_normal.jpg</v>
      </c>
      <c r="G34" s="63"/>
      <c r="H34" s="67"/>
      <c r="I34" s="68"/>
      <c r="J34" s="68"/>
      <c r="K34" s="67" t="s">
        <v>14483</v>
      </c>
      <c r="L34" s="71"/>
      <c r="M34" s="72"/>
      <c r="N34" s="72"/>
      <c r="O34" s="73"/>
      <c r="P34" s="74"/>
      <c r="Q34" s="74"/>
      <c r="R34" s="87"/>
      <c r="S34" s="87"/>
      <c r="T34" s="87"/>
      <c r="U34" s="87"/>
      <c r="V34" s="48"/>
      <c r="W34" s="48"/>
      <c r="X34" s="48"/>
      <c r="Y34" s="48"/>
      <c r="Z34" s="47"/>
      <c r="AA34" s="69">
        <v>34</v>
      </c>
      <c r="AB34" s="69"/>
      <c r="AC34" s="70"/>
      <c r="AD34" s="76" t="s">
        <v>11779</v>
      </c>
      <c r="AE34" s="80" t="s">
        <v>11408</v>
      </c>
      <c r="AF34" s="76">
        <v>1</v>
      </c>
      <c r="AG34" s="76">
        <v>7</v>
      </c>
      <c r="AH34" s="76">
        <v>33</v>
      </c>
      <c r="AI34" s="76">
        <v>0</v>
      </c>
      <c r="AJ34" s="76">
        <v>16</v>
      </c>
      <c r="AK34" s="76">
        <v>1</v>
      </c>
      <c r="AL34" s="76" t="b">
        <v>0</v>
      </c>
      <c r="AM34" s="78">
        <v>44952.63921296296</v>
      </c>
      <c r="AN34" s="76" t="s">
        <v>12890</v>
      </c>
      <c r="AO34" s="76" t="s">
        <v>13252</v>
      </c>
      <c r="AP34" s="76"/>
      <c r="AQ34" s="76"/>
      <c r="AR34" s="76"/>
      <c r="AS34" s="76"/>
      <c r="AT34" s="76"/>
      <c r="AU34" s="76"/>
      <c r="AV34" s="76"/>
      <c r="AW34" s="76"/>
      <c r="AX34" s="76" t="b">
        <v>0</v>
      </c>
      <c r="AY34" s="76"/>
      <c r="AZ34" s="76"/>
      <c r="BA34" s="76" t="b">
        <v>0</v>
      </c>
      <c r="BB34" s="76" t="b">
        <v>1</v>
      </c>
      <c r="BC34" s="76" t="b">
        <v>1</v>
      </c>
      <c r="BD34" s="76" t="b">
        <v>0</v>
      </c>
      <c r="BE34" s="76" t="b">
        <v>0</v>
      </c>
      <c r="BF34" s="76" t="b">
        <v>0</v>
      </c>
      <c r="BG34" s="76" t="b">
        <v>0</v>
      </c>
      <c r="BH34" s="82" t="str">
        <f>HYPERLINK("https://pbs.twimg.com/profile_banners/1618629907726192644/1674746871")</f>
        <v>https://pbs.twimg.com/profile_banners/1618629907726192644/1674746871</v>
      </c>
      <c r="BI34" s="76"/>
      <c r="BJ34" s="76" t="s">
        <v>14450</v>
      </c>
      <c r="BK34" s="76" t="b">
        <v>0</v>
      </c>
      <c r="BL34" s="76"/>
      <c r="BM34" s="76" t="s">
        <v>66</v>
      </c>
      <c r="BN34" s="76" t="s">
        <v>14452</v>
      </c>
      <c r="BO34" s="82" t="str">
        <f>HYPERLINK("https://twitter.com/se_personalize")</f>
        <v>https://twitter.com/se_personalize</v>
      </c>
      <c r="BP34" s="2"/>
    </row>
    <row r="35" spans="1:68" x14ac:dyDescent="0.25">
      <c r="A35" s="62" t="s">
        <v>245</v>
      </c>
      <c r="B35" s="63"/>
      <c r="C35" s="63"/>
      <c r="D35" s="64"/>
      <c r="E35" s="66"/>
      <c r="F35" s="103" t="str">
        <f>HYPERLINK("https://pbs.twimg.com/profile_images/763794897598025728/R5DjnKcx_normal.jpg")</f>
        <v>https://pbs.twimg.com/profile_images/763794897598025728/R5DjnKcx_normal.jpg</v>
      </c>
      <c r="G35" s="63"/>
      <c r="H35" s="67"/>
      <c r="I35" s="68"/>
      <c r="J35" s="68"/>
      <c r="K35" s="67" t="s">
        <v>14484</v>
      </c>
      <c r="L35" s="71"/>
      <c r="M35" s="72"/>
      <c r="N35" s="72"/>
      <c r="O35" s="73"/>
      <c r="P35" s="74"/>
      <c r="Q35" s="74"/>
      <c r="R35" s="87"/>
      <c r="S35" s="87"/>
      <c r="T35" s="87"/>
      <c r="U35" s="87"/>
      <c r="V35" s="48"/>
      <c r="W35" s="48"/>
      <c r="X35" s="48"/>
      <c r="Y35" s="48"/>
      <c r="Z35" s="47"/>
      <c r="AA35" s="69">
        <v>35</v>
      </c>
      <c r="AB35" s="69"/>
      <c r="AC35" s="70"/>
      <c r="AD35" s="76" t="s">
        <v>11780</v>
      </c>
      <c r="AE35" s="80" t="s">
        <v>11409</v>
      </c>
      <c r="AF35" s="76">
        <v>63</v>
      </c>
      <c r="AG35" s="76">
        <v>196</v>
      </c>
      <c r="AH35" s="76">
        <v>203</v>
      </c>
      <c r="AI35" s="76">
        <v>0</v>
      </c>
      <c r="AJ35" s="76">
        <v>82</v>
      </c>
      <c r="AK35" s="76">
        <v>17</v>
      </c>
      <c r="AL35" s="76" t="b">
        <v>0</v>
      </c>
      <c r="AM35" s="78">
        <v>42418.136736111112</v>
      </c>
      <c r="AN35" s="76"/>
      <c r="AO35" s="76" t="s">
        <v>13253</v>
      </c>
      <c r="AP35" s="82" t="str">
        <f>HYPERLINK("https://t.co/DUwPweOPx9")</f>
        <v>https://t.co/DUwPweOPx9</v>
      </c>
      <c r="AQ35" s="82" t="str">
        <f>HYPERLINK("http://www.bizupconsultora.com.ar")</f>
        <v>http://www.bizupconsultora.com.ar</v>
      </c>
      <c r="AR35" s="76" t="s">
        <v>13925</v>
      </c>
      <c r="AS35" s="76"/>
      <c r="AT35" s="76"/>
      <c r="AU35" s="76"/>
      <c r="AV35" s="76"/>
      <c r="AW35" s="82" t="str">
        <f>HYPERLINK("https://t.co/DUwPweOPx9")</f>
        <v>https://t.co/DUwPweOPx9</v>
      </c>
      <c r="AX35" s="76" t="b">
        <v>0</v>
      </c>
      <c r="AY35" s="76"/>
      <c r="AZ35" s="76"/>
      <c r="BA35" s="76" t="b">
        <v>1</v>
      </c>
      <c r="BB35" s="76" t="b">
        <v>1</v>
      </c>
      <c r="BC35" s="76" t="b">
        <v>1</v>
      </c>
      <c r="BD35" s="76" t="b">
        <v>0</v>
      </c>
      <c r="BE35" s="76" t="b">
        <v>0</v>
      </c>
      <c r="BF35" s="76" t="b">
        <v>0</v>
      </c>
      <c r="BG35" s="76" t="b">
        <v>0</v>
      </c>
      <c r="BH35" s="82" t="str">
        <f>HYPERLINK("https://pbs.twimg.com/profile_banners/700157011581923328/1456262980")</f>
        <v>https://pbs.twimg.com/profile_banners/700157011581923328/1456262980</v>
      </c>
      <c r="BI35" s="76"/>
      <c r="BJ35" s="76" t="s">
        <v>14450</v>
      </c>
      <c r="BK35" s="76" t="b">
        <v>0</v>
      </c>
      <c r="BL35" s="76"/>
      <c r="BM35" s="76" t="s">
        <v>66</v>
      </c>
      <c r="BN35" s="76" t="s">
        <v>14452</v>
      </c>
      <c r="BO35" s="82" t="str">
        <f>HYPERLINK("https://twitter.com/guidocurletto")</f>
        <v>https://twitter.com/guidocurletto</v>
      </c>
      <c r="BP35" s="2"/>
    </row>
    <row r="36" spans="1:68" x14ac:dyDescent="0.25">
      <c r="A36" s="62" t="s">
        <v>246</v>
      </c>
      <c r="B36" s="63"/>
      <c r="C36" s="63"/>
      <c r="D36" s="64"/>
      <c r="E36" s="66"/>
      <c r="F36" s="103" t="str">
        <f>HYPERLINK("https://pbs.twimg.com/profile_images/1518973995844001793/t8bsIYGg_normal.jpg")</f>
        <v>https://pbs.twimg.com/profile_images/1518973995844001793/t8bsIYGg_normal.jpg</v>
      </c>
      <c r="G36" s="63"/>
      <c r="H36" s="67"/>
      <c r="I36" s="68"/>
      <c r="J36" s="68"/>
      <c r="K36" s="67" t="s">
        <v>14485</v>
      </c>
      <c r="L36" s="71"/>
      <c r="M36" s="72"/>
      <c r="N36" s="72"/>
      <c r="O36" s="73"/>
      <c r="P36" s="74"/>
      <c r="Q36" s="74"/>
      <c r="R36" s="87"/>
      <c r="S36" s="87"/>
      <c r="T36" s="87"/>
      <c r="U36" s="87"/>
      <c r="V36" s="48"/>
      <c r="W36" s="48"/>
      <c r="X36" s="48"/>
      <c r="Y36" s="48"/>
      <c r="Z36" s="47"/>
      <c r="AA36" s="69">
        <v>36</v>
      </c>
      <c r="AB36" s="69"/>
      <c r="AC36" s="70"/>
      <c r="AD36" s="76" t="s">
        <v>11781</v>
      </c>
      <c r="AE36" s="80" t="s">
        <v>11410</v>
      </c>
      <c r="AF36" s="76">
        <v>3</v>
      </c>
      <c r="AG36" s="76">
        <v>30</v>
      </c>
      <c r="AH36" s="76">
        <v>79</v>
      </c>
      <c r="AI36" s="76">
        <v>1</v>
      </c>
      <c r="AJ36" s="76">
        <v>4</v>
      </c>
      <c r="AK36" s="76">
        <v>78</v>
      </c>
      <c r="AL36" s="76" t="b">
        <v>0</v>
      </c>
      <c r="AM36" s="78">
        <v>44677.640173611115</v>
      </c>
      <c r="AN36" s="76"/>
      <c r="AO36" s="76" t="s">
        <v>13254</v>
      </c>
      <c r="AP36" s="76"/>
      <c r="AQ36" s="76"/>
      <c r="AR36" s="76"/>
      <c r="AS36" s="76"/>
      <c r="AT36" s="76"/>
      <c r="AU36" s="76"/>
      <c r="AV36" s="76"/>
      <c r="AW36" s="76"/>
      <c r="AX36" s="76" t="b">
        <v>0</v>
      </c>
      <c r="AY36" s="76"/>
      <c r="AZ36" s="76"/>
      <c r="BA36" s="76" t="b">
        <v>0</v>
      </c>
      <c r="BB36" s="76" t="b">
        <v>1</v>
      </c>
      <c r="BC36" s="76" t="b">
        <v>1</v>
      </c>
      <c r="BD36" s="76" t="b">
        <v>0</v>
      </c>
      <c r="BE36" s="76" t="b">
        <v>0</v>
      </c>
      <c r="BF36" s="76" t="b">
        <v>0</v>
      </c>
      <c r="BG36" s="76" t="b">
        <v>0</v>
      </c>
      <c r="BH36" s="76"/>
      <c r="BI36" s="76"/>
      <c r="BJ36" s="76" t="s">
        <v>14450</v>
      </c>
      <c r="BK36" s="76" t="b">
        <v>0</v>
      </c>
      <c r="BL36" s="76"/>
      <c r="BM36" s="76" t="s">
        <v>66</v>
      </c>
      <c r="BN36" s="76" t="s">
        <v>14452</v>
      </c>
      <c r="BO36" s="82" t="str">
        <f>HYPERLINK("https://twitter.com/joaonetoupcont")</f>
        <v>https://twitter.com/joaonetoupcont</v>
      </c>
      <c r="BP36" s="2"/>
    </row>
    <row r="37" spans="1:68" x14ac:dyDescent="0.25">
      <c r="A37" s="62" t="s">
        <v>878</v>
      </c>
      <c r="B37" s="63"/>
      <c r="C37" s="63"/>
      <c r="D37" s="64"/>
      <c r="E37" s="66"/>
      <c r="F37" s="103" t="str">
        <f>HYPERLINK("https://pbs.twimg.com/profile_images/378800000545273896/d10e3fa6bff76ddfb1660a59376072d8_normal.jpeg")</f>
        <v>https://pbs.twimg.com/profile_images/378800000545273896/d10e3fa6bff76ddfb1660a59376072d8_normal.jpeg</v>
      </c>
      <c r="G37" s="63"/>
      <c r="H37" s="67"/>
      <c r="I37" s="68"/>
      <c r="J37" s="68"/>
      <c r="K37" s="67" t="s">
        <v>14486</v>
      </c>
      <c r="L37" s="71"/>
      <c r="M37" s="72"/>
      <c r="N37" s="72"/>
      <c r="O37" s="73"/>
      <c r="P37" s="74"/>
      <c r="Q37" s="74"/>
      <c r="R37" s="87"/>
      <c r="S37" s="87"/>
      <c r="T37" s="87"/>
      <c r="U37" s="87"/>
      <c r="V37" s="48"/>
      <c r="W37" s="48"/>
      <c r="X37" s="48"/>
      <c r="Y37" s="48"/>
      <c r="Z37" s="47"/>
      <c r="AA37" s="69">
        <v>37</v>
      </c>
      <c r="AB37" s="69"/>
      <c r="AC37" s="70"/>
      <c r="AD37" s="76" t="s">
        <v>11782</v>
      </c>
      <c r="AE37" s="80" t="s">
        <v>12499</v>
      </c>
      <c r="AF37" s="76">
        <v>72</v>
      </c>
      <c r="AG37" s="76">
        <v>103</v>
      </c>
      <c r="AH37" s="76">
        <v>558</v>
      </c>
      <c r="AI37" s="76">
        <v>0</v>
      </c>
      <c r="AJ37" s="76">
        <v>36</v>
      </c>
      <c r="AK37" s="76">
        <v>10</v>
      </c>
      <c r="AL37" s="76" t="b">
        <v>0</v>
      </c>
      <c r="AM37" s="78">
        <v>39850.032152777778</v>
      </c>
      <c r="AN37" s="76" t="s">
        <v>12891</v>
      </c>
      <c r="AO37" s="76"/>
      <c r="AP37" s="76"/>
      <c r="AQ37" s="76"/>
      <c r="AR37" s="76"/>
      <c r="AS37" s="76"/>
      <c r="AT37" s="76"/>
      <c r="AU37" s="76"/>
      <c r="AV37" s="76"/>
      <c r="AW37" s="76"/>
      <c r="AX37" s="76" t="b">
        <v>0</v>
      </c>
      <c r="AY37" s="76"/>
      <c r="AZ37" s="76"/>
      <c r="BA37" s="76" t="b">
        <v>0</v>
      </c>
      <c r="BB37" s="76" t="b">
        <v>1</v>
      </c>
      <c r="BC37" s="76" t="b">
        <v>1</v>
      </c>
      <c r="BD37" s="76" t="b">
        <v>0</v>
      </c>
      <c r="BE37" s="76" t="b">
        <v>0</v>
      </c>
      <c r="BF37" s="76" t="b">
        <v>0</v>
      </c>
      <c r="BG37" s="76" t="b">
        <v>0</v>
      </c>
      <c r="BH37" s="76"/>
      <c r="BI37" s="76"/>
      <c r="BJ37" s="76" t="s">
        <v>14450</v>
      </c>
      <c r="BK37" s="76" t="b">
        <v>0</v>
      </c>
      <c r="BL37" s="76"/>
      <c r="BM37" s="76" t="s">
        <v>65</v>
      </c>
      <c r="BN37" s="76" t="s">
        <v>14452</v>
      </c>
      <c r="BO37" s="82" t="str">
        <f>HYPERLINK("https://twitter.com/fernandarocha")</f>
        <v>https://twitter.com/fernandarocha</v>
      </c>
      <c r="BP37" s="2"/>
    </row>
    <row r="38" spans="1:68" x14ac:dyDescent="0.25">
      <c r="A38" s="62" t="s">
        <v>247</v>
      </c>
      <c r="B38" s="63"/>
      <c r="C38" s="63"/>
      <c r="D38" s="64"/>
      <c r="E38" s="66"/>
      <c r="F38" s="103" t="str">
        <f>HYPERLINK("https://pbs.twimg.com/profile_images/1648785929400733700/ZTC_gixA_normal.jpg")</f>
        <v>https://pbs.twimg.com/profile_images/1648785929400733700/ZTC_gixA_normal.jpg</v>
      </c>
      <c r="G38" s="63"/>
      <c r="H38" s="67"/>
      <c r="I38" s="68"/>
      <c r="J38" s="68"/>
      <c r="K38" s="67" t="s">
        <v>14487</v>
      </c>
      <c r="L38" s="71"/>
      <c r="M38" s="72"/>
      <c r="N38" s="72"/>
      <c r="O38" s="73"/>
      <c r="P38" s="74"/>
      <c r="Q38" s="74"/>
      <c r="R38" s="87"/>
      <c r="S38" s="87"/>
      <c r="T38" s="87"/>
      <c r="U38" s="87"/>
      <c r="V38" s="48"/>
      <c r="W38" s="48"/>
      <c r="X38" s="48"/>
      <c r="Y38" s="48"/>
      <c r="Z38" s="47"/>
      <c r="AA38" s="69">
        <v>38</v>
      </c>
      <c r="AB38" s="69"/>
      <c r="AC38" s="70"/>
      <c r="AD38" s="76" t="s">
        <v>11783</v>
      </c>
      <c r="AE38" s="80" t="s">
        <v>12500</v>
      </c>
      <c r="AF38" s="76">
        <v>210</v>
      </c>
      <c r="AG38" s="76">
        <v>83</v>
      </c>
      <c r="AH38" s="76">
        <v>1085</v>
      </c>
      <c r="AI38" s="76">
        <v>12</v>
      </c>
      <c r="AJ38" s="76">
        <v>69</v>
      </c>
      <c r="AK38" s="76">
        <v>496</v>
      </c>
      <c r="AL38" s="76" t="b">
        <v>0</v>
      </c>
      <c r="AM38" s="78">
        <v>41740.648402777777</v>
      </c>
      <c r="AN38" s="76" t="s">
        <v>12892</v>
      </c>
      <c r="AO38" s="76" t="s">
        <v>13255</v>
      </c>
      <c r="AP38" s="82" t="str">
        <f>HYPERLINK("https://t.co/pV9zRITq49")</f>
        <v>https://t.co/pV9zRITq49</v>
      </c>
      <c r="AQ38" s="82" t="str">
        <f>HYPERLINK("https://www.tradeviewforex.com/es")</f>
        <v>https://www.tradeviewforex.com/es</v>
      </c>
      <c r="AR38" s="76" t="s">
        <v>13926</v>
      </c>
      <c r="AS38" s="76"/>
      <c r="AT38" s="76"/>
      <c r="AU38" s="76"/>
      <c r="AV38" s="76">
        <v>1.38818197326963E+18</v>
      </c>
      <c r="AW38" s="82" t="str">
        <f>HYPERLINK("https://t.co/pV9zRITq49")</f>
        <v>https://t.co/pV9zRITq49</v>
      </c>
      <c r="AX38" s="76" t="b">
        <v>0</v>
      </c>
      <c r="AY38" s="76"/>
      <c r="AZ38" s="76"/>
      <c r="BA38" s="76" t="b">
        <v>0</v>
      </c>
      <c r="BB38" s="76" t="b">
        <v>1</v>
      </c>
      <c r="BC38" s="76" t="b">
        <v>0</v>
      </c>
      <c r="BD38" s="76" t="b">
        <v>0</v>
      </c>
      <c r="BE38" s="76" t="b">
        <v>0</v>
      </c>
      <c r="BF38" s="76" t="b">
        <v>0</v>
      </c>
      <c r="BG38" s="76" t="b">
        <v>0</v>
      </c>
      <c r="BH38" s="82" t="str">
        <f>HYPERLINK("https://pbs.twimg.com/profile_banners/2438691806/1620143104")</f>
        <v>https://pbs.twimg.com/profile_banners/2438691806/1620143104</v>
      </c>
      <c r="BI38" s="76"/>
      <c r="BJ38" s="76" t="s">
        <v>14450</v>
      </c>
      <c r="BK38" s="76" t="b">
        <v>0</v>
      </c>
      <c r="BL38" s="76"/>
      <c r="BM38" s="76" t="s">
        <v>66</v>
      </c>
      <c r="BN38" s="76" t="s">
        <v>14452</v>
      </c>
      <c r="BO38" s="82" t="str">
        <f>HYPERLINK("https://twitter.com/tradeviewes")</f>
        <v>https://twitter.com/tradeviewes</v>
      </c>
      <c r="BP38" s="2"/>
    </row>
    <row r="39" spans="1:68" x14ac:dyDescent="0.25">
      <c r="A39" s="62" t="s">
        <v>248</v>
      </c>
      <c r="B39" s="63"/>
      <c r="C39" s="63"/>
      <c r="D39" s="64"/>
      <c r="E39" s="66"/>
      <c r="F39" s="103" t="str">
        <f>HYPERLINK("https://pbs.twimg.com/profile_images/1411905018328977408/msTz2et7_normal.jpg")</f>
        <v>https://pbs.twimg.com/profile_images/1411905018328977408/msTz2et7_normal.jpg</v>
      </c>
      <c r="G39" s="63"/>
      <c r="H39" s="67"/>
      <c r="I39" s="68"/>
      <c r="J39" s="68"/>
      <c r="K39" s="67" t="s">
        <v>14488</v>
      </c>
      <c r="L39" s="71"/>
      <c r="M39" s="72"/>
      <c r="N39" s="72"/>
      <c r="O39" s="73"/>
      <c r="P39" s="74"/>
      <c r="Q39" s="74"/>
      <c r="R39" s="87"/>
      <c r="S39" s="87"/>
      <c r="T39" s="87"/>
      <c r="U39" s="87"/>
      <c r="V39" s="48"/>
      <c r="W39" s="48"/>
      <c r="X39" s="48"/>
      <c r="Y39" s="48"/>
      <c r="Z39" s="47"/>
      <c r="AA39" s="69">
        <v>39</v>
      </c>
      <c r="AB39" s="69"/>
      <c r="AC39" s="70"/>
      <c r="AD39" s="76" t="s">
        <v>11784</v>
      </c>
      <c r="AE39" s="80" t="s">
        <v>11411</v>
      </c>
      <c r="AF39" s="76">
        <v>2013</v>
      </c>
      <c r="AG39" s="76">
        <v>454</v>
      </c>
      <c r="AH39" s="76">
        <v>1455</v>
      </c>
      <c r="AI39" s="76">
        <v>9</v>
      </c>
      <c r="AJ39" s="76">
        <v>329</v>
      </c>
      <c r="AK39" s="76">
        <v>622</v>
      </c>
      <c r="AL39" s="76" t="b">
        <v>0</v>
      </c>
      <c r="AM39" s="78">
        <v>42634.658148148148</v>
      </c>
      <c r="AN39" s="76" t="s">
        <v>12893</v>
      </c>
      <c r="AO39" s="76" t="s">
        <v>13256</v>
      </c>
      <c r="AP39" s="82" t="str">
        <f>HYPERLINK("https://t.co/T3GVu1MdaX")</f>
        <v>https://t.co/T3GVu1MdaX</v>
      </c>
      <c r="AQ39" s="82" t="str">
        <f>HYPERLINK("https://www.tramicar.es")</f>
        <v>https://www.tramicar.es</v>
      </c>
      <c r="AR39" s="76" t="s">
        <v>4219</v>
      </c>
      <c r="AS39" s="76"/>
      <c r="AT39" s="76"/>
      <c r="AU39" s="76"/>
      <c r="AV39" s="76"/>
      <c r="AW39" s="82" t="str">
        <f>HYPERLINK("https://t.co/T3GVu1MdaX")</f>
        <v>https://t.co/T3GVu1MdaX</v>
      </c>
      <c r="AX39" s="76" t="b">
        <v>0</v>
      </c>
      <c r="AY39" s="76"/>
      <c r="AZ39" s="76"/>
      <c r="BA39" s="76" t="b">
        <v>1</v>
      </c>
      <c r="BB39" s="76" t="b">
        <v>1</v>
      </c>
      <c r="BC39" s="76" t="b">
        <v>1</v>
      </c>
      <c r="BD39" s="76" t="b">
        <v>0</v>
      </c>
      <c r="BE39" s="76" t="b">
        <v>0</v>
      </c>
      <c r="BF39" s="76" t="b">
        <v>0</v>
      </c>
      <c r="BG39" s="76" t="b">
        <v>0</v>
      </c>
      <c r="BH39" s="82" t="str">
        <f>HYPERLINK("https://pbs.twimg.com/profile_banners/778621741736271873/1693992275")</f>
        <v>https://pbs.twimg.com/profile_banners/778621741736271873/1693992275</v>
      </c>
      <c r="BI39" s="76"/>
      <c r="BJ39" s="76" t="s">
        <v>14450</v>
      </c>
      <c r="BK39" s="76" t="b">
        <v>0</v>
      </c>
      <c r="BL39" s="76"/>
      <c r="BM39" s="76" t="s">
        <v>66</v>
      </c>
      <c r="BN39" s="76" t="s">
        <v>14452</v>
      </c>
      <c r="BO39" s="82" t="str">
        <f>HYPERLINK("https://twitter.com/tramicares")</f>
        <v>https://twitter.com/tramicares</v>
      </c>
      <c r="BP39" s="2"/>
    </row>
    <row r="40" spans="1:68" x14ac:dyDescent="0.25">
      <c r="A40" s="62" t="s">
        <v>249</v>
      </c>
      <c r="B40" s="63"/>
      <c r="C40" s="63"/>
      <c r="D40" s="64"/>
      <c r="E40" s="66"/>
      <c r="F40" s="103" t="str">
        <f>HYPERLINK("https://pbs.twimg.com/profile_images/1674184749605109762/PLyCnyOs_normal.jpg")</f>
        <v>https://pbs.twimg.com/profile_images/1674184749605109762/PLyCnyOs_normal.jpg</v>
      </c>
      <c r="G40" s="63"/>
      <c r="H40" s="67"/>
      <c r="I40" s="68"/>
      <c r="J40" s="68"/>
      <c r="K40" s="67" t="s">
        <v>14489</v>
      </c>
      <c r="L40" s="71"/>
      <c r="M40" s="72"/>
      <c r="N40" s="72"/>
      <c r="O40" s="73"/>
      <c r="P40" s="74"/>
      <c r="Q40" s="74"/>
      <c r="R40" s="87"/>
      <c r="S40" s="87"/>
      <c r="T40" s="87"/>
      <c r="U40" s="87"/>
      <c r="V40" s="48"/>
      <c r="W40" s="48"/>
      <c r="X40" s="48"/>
      <c r="Y40" s="48"/>
      <c r="Z40" s="47"/>
      <c r="AA40" s="69">
        <v>40</v>
      </c>
      <c r="AB40" s="69"/>
      <c r="AC40" s="70"/>
      <c r="AD40" s="76" t="s">
        <v>11785</v>
      </c>
      <c r="AE40" s="80" t="s">
        <v>11412</v>
      </c>
      <c r="AF40" s="76">
        <v>0</v>
      </c>
      <c r="AG40" s="76">
        <v>5</v>
      </c>
      <c r="AH40" s="76">
        <v>66</v>
      </c>
      <c r="AI40" s="76">
        <v>0</v>
      </c>
      <c r="AJ40" s="76">
        <v>1</v>
      </c>
      <c r="AK40" s="76">
        <v>6</v>
      </c>
      <c r="AL40" s="76" t="b">
        <v>0</v>
      </c>
      <c r="AM40" s="78">
        <v>45105.767696759256</v>
      </c>
      <c r="AN40" s="76" t="s">
        <v>12894</v>
      </c>
      <c r="AO40" s="76" t="s">
        <v>13257</v>
      </c>
      <c r="AP40" s="82" t="str">
        <f>HYPERLINK("https://t.co/Qz1bgVI493")</f>
        <v>https://t.co/Qz1bgVI493</v>
      </c>
      <c r="AQ40" s="82" t="str">
        <f>HYPERLINK("https://bit.ly/geracao---milionaria")</f>
        <v>https://bit.ly/geracao---milionaria</v>
      </c>
      <c r="AR40" s="76" t="s">
        <v>13927</v>
      </c>
      <c r="AS40" s="76"/>
      <c r="AT40" s="76"/>
      <c r="AU40" s="76"/>
      <c r="AV40" s="76"/>
      <c r="AW40" s="82" t="str">
        <f>HYPERLINK("https://t.co/Qz1bgVI493")</f>
        <v>https://t.co/Qz1bgVI493</v>
      </c>
      <c r="AX40" s="76" t="b">
        <v>0</v>
      </c>
      <c r="AY40" s="76"/>
      <c r="AZ40" s="76"/>
      <c r="BA40" s="76" t="b">
        <v>0</v>
      </c>
      <c r="BB40" s="76" t="b">
        <v>1</v>
      </c>
      <c r="BC40" s="76" t="b">
        <v>1</v>
      </c>
      <c r="BD40" s="76" t="b">
        <v>0</v>
      </c>
      <c r="BE40" s="76" t="b">
        <v>0</v>
      </c>
      <c r="BF40" s="76" t="b">
        <v>0</v>
      </c>
      <c r="BG40" s="76" t="b">
        <v>0</v>
      </c>
      <c r="BH40" s="82" t="str">
        <f>HYPERLINK("https://pbs.twimg.com/profile_banners/1674119372888068123/1687992199")</f>
        <v>https://pbs.twimg.com/profile_banners/1674119372888068123/1687992199</v>
      </c>
      <c r="BI40" s="76"/>
      <c r="BJ40" s="76" t="s">
        <v>14450</v>
      </c>
      <c r="BK40" s="76" t="b">
        <v>0</v>
      </c>
      <c r="BL40" s="76"/>
      <c r="BM40" s="76" t="s">
        <v>66</v>
      </c>
      <c r="BN40" s="76" t="s">
        <v>14452</v>
      </c>
      <c r="BO40" s="82" t="str">
        <f>HYPERLINK("https://twitter.com/wandergomes33")</f>
        <v>https://twitter.com/wandergomes33</v>
      </c>
      <c r="BP40" s="2"/>
    </row>
    <row r="41" spans="1:68" x14ac:dyDescent="0.25">
      <c r="A41" s="62" t="s">
        <v>250</v>
      </c>
      <c r="B41" s="63"/>
      <c r="C41" s="63"/>
      <c r="D41" s="64"/>
      <c r="E41" s="66"/>
      <c r="F41" s="103" t="str">
        <f>HYPERLINK("https://pbs.twimg.com/profile_images/1524782295533641728/cBKLO9cT_normal.jpg")</f>
        <v>https://pbs.twimg.com/profile_images/1524782295533641728/cBKLO9cT_normal.jpg</v>
      </c>
      <c r="G41" s="63"/>
      <c r="H41" s="67"/>
      <c r="I41" s="68"/>
      <c r="J41" s="68"/>
      <c r="K41" s="67" t="s">
        <v>14490</v>
      </c>
      <c r="L41" s="71"/>
      <c r="M41" s="72"/>
      <c r="N41" s="72"/>
      <c r="O41" s="73"/>
      <c r="P41" s="74"/>
      <c r="Q41" s="74"/>
      <c r="R41" s="87"/>
      <c r="S41" s="87"/>
      <c r="T41" s="87"/>
      <c r="U41" s="87"/>
      <c r="V41" s="48"/>
      <c r="W41" s="48"/>
      <c r="X41" s="48"/>
      <c r="Y41" s="48"/>
      <c r="Z41" s="47"/>
      <c r="AA41" s="69">
        <v>41</v>
      </c>
      <c r="AB41" s="69"/>
      <c r="AC41" s="70"/>
      <c r="AD41" s="76" t="s">
        <v>11786</v>
      </c>
      <c r="AE41" s="80" t="s">
        <v>12501</v>
      </c>
      <c r="AF41" s="76">
        <v>66</v>
      </c>
      <c r="AG41" s="76">
        <v>343</v>
      </c>
      <c r="AH41" s="76">
        <v>1150</v>
      </c>
      <c r="AI41" s="76">
        <v>0</v>
      </c>
      <c r="AJ41" s="76">
        <v>1040</v>
      </c>
      <c r="AK41" s="76">
        <v>217</v>
      </c>
      <c r="AL41" s="76" t="b">
        <v>0</v>
      </c>
      <c r="AM41" s="78">
        <v>40128.758148148147</v>
      </c>
      <c r="AN41" s="76" t="s">
        <v>12895</v>
      </c>
      <c r="AO41" s="76" t="s">
        <v>13258</v>
      </c>
      <c r="AP41" s="82" t="str">
        <f>HYPERLINK("https://t.co/5dyMhQfguP")</f>
        <v>https://t.co/5dyMhQfguP</v>
      </c>
      <c r="AQ41" s="82" t="str">
        <f>HYPERLINK("http://www.modosobreviviente.com")</f>
        <v>http://www.modosobreviviente.com</v>
      </c>
      <c r="AR41" s="76" t="s">
        <v>13928</v>
      </c>
      <c r="AS41" s="76"/>
      <c r="AT41" s="76"/>
      <c r="AU41" s="76"/>
      <c r="AV41" s="76">
        <v>1.7013381737149599E+18</v>
      </c>
      <c r="AW41" s="82" t="str">
        <f>HYPERLINK("https://t.co/5dyMhQfguP")</f>
        <v>https://t.co/5dyMhQfguP</v>
      </c>
      <c r="AX41" s="76" t="b">
        <v>0</v>
      </c>
      <c r="AY41" s="76"/>
      <c r="AZ41" s="76"/>
      <c r="BA41" s="76" t="b">
        <v>0</v>
      </c>
      <c r="BB41" s="76" t="b">
        <v>1</v>
      </c>
      <c r="BC41" s="76" t="b">
        <v>1</v>
      </c>
      <c r="BD41" s="76" t="b">
        <v>0</v>
      </c>
      <c r="BE41" s="76" t="b">
        <v>0</v>
      </c>
      <c r="BF41" s="76" t="b">
        <v>0</v>
      </c>
      <c r="BG41" s="76" t="b">
        <v>0</v>
      </c>
      <c r="BH41" s="82" t="str">
        <f>HYPERLINK("https://pbs.twimg.com/profile_banners/89245396/1681165543")</f>
        <v>https://pbs.twimg.com/profile_banners/89245396/1681165543</v>
      </c>
      <c r="BI41" s="76"/>
      <c r="BJ41" s="76" t="s">
        <v>14450</v>
      </c>
      <c r="BK41" s="76" t="b">
        <v>0</v>
      </c>
      <c r="BL41" s="76"/>
      <c r="BM41" s="76" t="s">
        <v>66</v>
      </c>
      <c r="BN41" s="76" t="s">
        <v>14452</v>
      </c>
      <c r="BO41" s="82" t="str">
        <f>HYPERLINK("https://twitter.com/gilbester")</f>
        <v>https://twitter.com/gilbester</v>
      </c>
      <c r="BP41" s="2"/>
    </row>
    <row r="42" spans="1:68" x14ac:dyDescent="0.25">
      <c r="A42" s="62" t="s">
        <v>251</v>
      </c>
      <c r="B42" s="63"/>
      <c r="C42" s="63"/>
      <c r="D42" s="64"/>
      <c r="E42" s="66"/>
      <c r="F42" s="103" t="str">
        <f>HYPERLINK("https://pbs.twimg.com/profile_images/1633919342814412807/35sdQJcV_normal.jpg")</f>
        <v>https://pbs.twimg.com/profile_images/1633919342814412807/35sdQJcV_normal.jpg</v>
      </c>
      <c r="G42" s="63"/>
      <c r="H42" s="67"/>
      <c r="I42" s="68"/>
      <c r="J42" s="68"/>
      <c r="K42" s="67" t="s">
        <v>14491</v>
      </c>
      <c r="L42" s="71"/>
      <c r="M42" s="72"/>
      <c r="N42" s="72"/>
      <c r="O42" s="73"/>
      <c r="P42" s="74"/>
      <c r="Q42" s="74"/>
      <c r="R42" s="87"/>
      <c r="S42" s="87"/>
      <c r="T42" s="87"/>
      <c r="U42" s="87"/>
      <c r="V42" s="48"/>
      <c r="W42" s="48"/>
      <c r="X42" s="48"/>
      <c r="Y42" s="48"/>
      <c r="Z42" s="47"/>
      <c r="AA42" s="69">
        <v>42</v>
      </c>
      <c r="AB42" s="69"/>
      <c r="AC42" s="70"/>
      <c r="AD42" s="76" t="s">
        <v>11787</v>
      </c>
      <c r="AE42" s="80" t="s">
        <v>12502</v>
      </c>
      <c r="AF42" s="76">
        <v>853286</v>
      </c>
      <c r="AG42" s="76">
        <v>43938</v>
      </c>
      <c r="AH42" s="76">
        <v>273903</v>
      </c>
      <c r="AI42" s="76">
        <v>3646</v>
      </c>
      <c r="AJ42" s="76">
        <v>1054</v>
      </c>
      <c r="AK42" s="76">
        <v>82553</v>
      </c>
      <c r="AL42" s="76" t="b">
        <v>0</v>
      </c>
      <c r="AM42" s="78">
        <v>39999.993622685186</v>
      </c>
      <c r="AN42" s="76" t="s">
        <v>12896</v>
      </c>
      <c r="AO42" s="76" t="s">
        <v>13259</v>
      </c>
      <c r="AP42" s="82" t="str">
        <f>HYPERLINK("https://t.co/MxXJbttxRv")</f>
        <v>https://t.co/MxXJbttxRv</v>
      </c>
      <c r="AQ42" s="82" t="str">
        <f>HYPERLINK("https://telenoticias.com.do")</f>
        <v>https://telenoticias.com.do</v>
      </c>
      <c r="AR42" s="76" t="s">
        <v>13929</v>
      </c>
      <c r="AS42" s="76"/>
      <c r="AT42" s="76"/>
      <c r="AU42" s="76"/>
      <c r="AV42" s="76"/>
      <c r="AW42" s="82" t="str">
        <f>HYPERLINK("https://t.co/MxXJbttxRv")</f>
        <v>https://t.co/MxXJbttxRv</v>
      </c>
      <c r="AX42" s="76" t="b">
        <v>0</v>
      </c>
      <c r="AY42" s="76"/>
      <c r="AZ42" s="76"/>
      <c r="BA42" s="76" t="b">
        <v>1</v>
      </c>
      <c r="BB42" s="76" t="b">
        <v>1</v>
      </c>
      <c r="BC42" s="76" t="b">
        <v>0</v>
      </c>
      <c r="BD42" s="76" t="b">
        <v>0</v>
      </c>
      <c r="BE42" s="76" t="b">
        <v>1</v>
      </c>
      <c r="BF42" s="76" t="b">
        <v>0</v>
      </c>
      <c r="BG42" s="76" t="b">
        <v>0</v>
      </c>
      <c r="BH42" s="82" t="str">
        <f>HYPERLINK("https://pbs.twimg.com/profile_banners/54045693/1677682161")</f>
        <v>https://pbs.twimg.com/profile_banners/54045693/1677682161</v>
      </c>
      <c r="BI42" s="76"/>
      <c r="BJ42" s="76" t="s">
        <v>14450</v>
      </c>
      <c r="BK42" s="76" t="b">
        <v>0</v>
      </c>
      <c r="BL42" s="76"/>
      <c r="BM42" s="76" t="s">
        <v>66</v>
      </c>
      <c r="BN42" s="76" t="s">
        <v>14452</v>
      </c>
      <c r="BO42" s="82" t="str">
        <f>HYPERLINK("https://twitter.com/telenoticiasrd")</f>
        <v>https://twitter.com/telenoticiasrd</v>
      </c>
      <c r="BP42" s="2"/>
    </row>
    <row r="43" spans="1:68" x14ac:dyDescent="0.25">
      <c r="A43" s="62" t="s">
        <v>252</v>
      </c>
      <c r="B43" s="63"/>
      <c r="C43" s="63"/>
      <c r="D43" s="64"/>
      <c r="E43" s="66"/>
      <c r="F43" s="103" t="str">
        <f>HYPERLINK("https://pbs.twimg.com/profile_images/3779235378/454934f562eb5ca7785557336e31a2b6_normal.png")</f>
        <v>https://pbs.twimg.com/profile_images/3779235378/454934f562eb5ca7785557336e31a2b6_normal.png</v>
      </c>
      <c r="G43" s="63"/>
      <c r="H43" s="67"/>
      <c r="I43" s="68"/>
      <c r="J43" s="68"/>
      <c r="K43" s="67" t="s">
        <v>14492</v>
      </c>
      <c r="L43" s="71"/>
      <c r="M43" s="72"/>
      <c r="N43" s="72"/>
      <c r="O43" s="73"/>
      <c r="P43" s="74"/>
      <c r="Q43" s="74"/>
      <c r="R43" s="87"/>
      <c r="S43" s="87"/>
      <c r="T43" s="87"/>
      <c r="U43" s="87"/>
      <c r="V43" s="48"/>
      <c r="W43" s="48"/>
      <c r="X43" s="48"/>
      <c r="Y43" s="48"/>
      <c r="Z43" s="47"/>
      <c r="AA43" s="69">
        <v>43</v>
      </c>
      <c r="AB43" s="69"/>
      <c r="AC43" s="70"/>
      <c r="AD43" s="76" t="s">
        <v>11788</v>
      </c>
      <c r="AE43" s="80" t="s">
        <v>12503</v>
      </c>
      <c r="AF43" s="76">
        <v>459</v>
      </c>
      <c r="AG43" s="76">
        <v>869</v>
      </c>
      <c r="AH43" s="76">
        <v>3780</v>
      </c>
      <c r="AI43" s="76">
        <v>29</v>
      </c>
      <c r="AJ43" s="76">
        <v>486</v>
      </c>
      <c r="AK43" s="76">
        <v>394</v>
      </c>
      <c r="AL43" s="76" t="b">
        <v>0</v>
      </c>
      <c r="AM43" s="78">
        <v>39582.654664351852</v>
      </c>
      <c r="AN43" s="76" t="s">
        <v>12897</v>
      </c>
      <c r="AO43" s="76" t="s">
        <v>13260</v>
      </c>
      <c r="AP43" s="82" t="str">
        <f>HYPERLINK("https://t.co/YgObLgsMxE")</f>
        <v>https://t.co/YgObLgsMxE</v>
      </c>
      <c r="AQ43" s="82" t="str">
        <f>HYPERLINK("https://armandoperaltadiaz.blogspot.com")</f>
        <v>https://armandoperaltadiaz.blogspot.com</v>
      </c>
      <c r="AR43" s="76" t="s">
        <v>13930</v>
      </c>
      <c r="AS43" s="82" t="str">
        <f>HYPERLINK("https://t.co/4Oj07wvxT8")</f>
        <v>https://t.co/4Oj07wvxT8</v>
      </c>
      <c r="AT43" s="82" t="str">
        <f>HYPERLINK("https://open.spotify.com/show/26XPZvMWTEO1BVMLgYJkcE?si=cb6f7a1ad5d4")</f>
        <v>https://open.spotify.com/show/26XPZvMWTEO1BVMLgYJkcE?si=cb6f7a1ad5d4</v>
      </c>
      <c r="AU43" s="76" t="s">
        <v>14395</v>
      </c>
      <c r="AV43" s="76"/>
      <c r="AW43" s="82" t="str">
        <f>HYPERLINK("https://t.co/YgObLgsMxE")</f>
        <v>https://t.co/YgObLgsMxE</v>
      </c>
      <c r="AX43" s="76" t="b">
        <v>0</v>
      </c>
      <c r="AY43" s="76"/>
      <c r="AZ43" s="76"/>
      <c r="BA43" s="76" t="b">
        <v>1</v>
      </c>
      <c r="BB43" s="76" t="b">
        <v>1</v>
      </c>
      <c r="BC43" s="76" t="b">
        <v>1</v>
      </c>
      <c r="BD43" s="76" t="b">
        <v>0</v>
      </c>
      <c r="BE43" s="76" t="b">
        <v>1</v>
      </c>
      <c r="BF43" s="76" t="b">
        <v>0</v>
      </c>
      <c r="BG43" s="76" t="b">
        <v>0</v>
      </c>
      <c r="BH43" s="76"/>
      <c r="BI43" s="76"/>
      <c r="BJ43" s="76" t="s">
        <v>14450</v>
      </c>
      <c r="BK43" s="76" t="b">
        <v>0</v>
      </c>
      <c r="BL43" s="76"/>
      <c r="BM43" s="76" t="s">
        <v>66</v>
      </c>
      <c r="BN43" s="76" t="s">
        <v>14452</v>
      </c>
      <c r="BO43" s="82" t="str">
        <f>HYPERLINK("https://twitter.com/armandopdiaz")</f>
        <v>https://twitter.com/armandopdiaz</v>
      </c>
      <c r="BP43" s="2"/>
    </row>
    <row r="44" spans="1:68" x14ac:dyDescent="0.25">
      <c r="A44" s="62" t="s">
        <v>253</v>
      </c>
      <c r="B44" s="63"/>
      <c r="C44" s="63"/>
      <c r="D44" s="64"/>
      <c r="E44" s="66"/>
      <c r="F44" s="103" t="str">
        <f>HYPERLINK("https://pbs.twimg.com/profile_images/1628031069189537792/T6tu554C_normal.jpg")</f>
        <v>https://pbs.twimg.com/profile_images/1628031069189537792/T6tu554C_normal.jpg</v>
      </c>
      <c r="G44" s="63"/>
      <c r="H44" s="67"/>
      <c r="I44" s="68"/>
      <c r="J44" s="68"/>
      <c r="K44" s="67" t="s">
        <v>14493</v>
      </c>
      <c r="L44" s="71"/>
      <c r="M44" s="72"/>
      <c r="N44" s="72"/>
      <c r="O44" s="73"/>
      <c r="P44" s="74"/>
      <c r="Q44" s="74"/>
      <c r="R44" s="87"/>
      <c r="S44" s="87"/>
      <c r="T44" s="87"/>
      <c r="U44" s="87"/>
      <c r="V44" s="48"/>
      <c r="W44" s="48"/>
      <c r="X44" s="48"/>
      <c r="Y44" s="48"/>
      <c r="Z44" s="47"/>
      <c r="AA44" s="69">
        <v>44</v>
      </c>
      <c r="AB44" s="69"/>
      <c r="AC44" s="70"/>
      <c r="AD44" s="76" t="s">
        <v>11789</v>
      </c>
      <c r="AE44" s="80" t="s">
        <v>11318</v>
      </c>
      <c r="AF44" s="76">
        <v>199</v>
      </c>
      <c r="AG44" s="76">
        <v>562</v>
      </c>
      <c r="AH44" s="76">
        <v>508</v>
      </c>
      <c r="AI44" s="76">
        <v>0</v>
      </c>
      <c r="AJ44" s="76">
        <v>629</v>
      </c>
      <c r="AK44" s="76">
        <v>6</v>
      </c>
      <c r="AL44" s="76" t="b">
        <v>0</v>
      </c>
      <c r="AM44" s="78">
        <v>44978.580578703702</v>
      </c>
      <c r="AN44" s="76"/>
      <c r="AO44" s="76" t="s">
        <v>13261</v>
      </c>
      <c r="AP44" s="76"/>
      <c r="AQ44" s="76"/>
      <c r="AR44" s="76"/>
      <c r="AS44" s="76"/>
      <c r="AT44" s="76"/>
      <c r="AU44" s="76"/>
      <c r="AV44" s="76">
        <v>1.6923445936798001E+18</v>
      </c>
      <c r="AW44" s="76"/>
      <c r="AX44" s="76" t="b">
        <v>0</v>
      </c>
      <c r="AY44" s="76"/>
      <c r="AZ44" s="76"/>
      <c r="BA44" s="76" t="b">
        <v>0</v>
      </c>
      <c r="BB44" s="76" t="b">
        <v>1</v>
      </c>
      <c r="BC44" s="76" t="b">
        <v>1</v>
      </c>
      <c r="BD44" s="76" t="b">
        <v>0</v>
      </c>
      <c r="BE44" s="76" t="b">
        <v>0</v>
      </c>
      <c r="BF44" s="76" t="b">
        <v>0</v>
      </c>
      <c r="BG44" s="76" t="b">
        <v>1</v>
      </c>
      <c r="BH44" s="82" t="str">
        <f>HYPERLINK("https://pbs.twimg.com/profile_banners/1628030582377656320/1676991311")</f>
        <v>https://pbs.twimg.com/profile_banners/1628030582377656320/1676991311</v>
      </c>
      <c r="BI44" s="76"/>
      <c r="BJ44" s="76" t="s">
        <v>14450</v>
      </c>
      <c r="BK44" s="76" t="b">
        <v>0</v>
      </c>
      <c r="BL44" s="76"/>
      <c r="BM44" s="76" t="s">
        <v>66</v>
      </c>
      <c r="BN44" s="76" t="s">
        <v>14452</v>
      </c>
      <c r="BO44" s="82" t="str">
        <f>HYPERLINK("https://twitter.com/pfdoarmario")</f>
        <v>https://twitter.com/pfdoarmario</v>
      </c>
      <c r="BP44" s="2"/>
    </row>
    <row r="45" spans="1:68" x14ac:dyDescent="0.25">
      <c r="A45" s="62" t="s">
        <v>254</v>
      </c>
      <c r="B45" s="63"/>
      <c r="C45" s="63"/>
      <c r="D45" s="64"/>
      <c r="E45" s="66"/>
      <c r="F45" s="103" t="str">
        <f>HYPERLINK("https://pbs.twimg.com/profile_images/1233400285864906752/9_pLHhmS_normal.jpg")</f>
        <v>https://pbs.twimg.com/profile_images/1233400285864906752/9_pLHhmS_normal.jpg</v>
      </c>
      <c r="G45" s="63"/>
      <c r="H45" s="67"/>
      <c r="I45" s="68"/>
      <c r="J45" s="68"/>
      <c r="K45" s="67" t="s">
        <v>14494</v>
      </c>
      <c r="L45" s="71"/>
      <c r="M45" s="72"/>
      <c r="N45" s="72"/>
      <c r="O45" s="73"/>
      <c r="P45" s="74"/>
      <c r="Q45" s="74"/>
      <c r="R45" s="87"/>
      <c r="S45" s="87"/>
      <c r="T45" s="87"/>
      <c r="U45" s="87"/>
      <c r="V45" s="48"/>
      <c r="W45" s="48"/>
      <c r="X45" s="48"/>
      <c r="Y45" s="48"/>
      <c r="Z45" s="47"/>
      <c r="AA45" s="69">
        <v>45</v>
      </c>
      <c r="AB45" s="69"/>
      <c r="AC45" s="70"/>
      <c r="AD45" s="76" t="s">
        <v>11790</v>
      </c>
      <c r="AE45" s="80" t="s">
        <v>11413</v>
      </c>
      <c r="AF45" s="76">
        <v>964</v>
      </c>
      <c r="AG45" s="76">
        <v>2978</v>
      </c>
      <c r="AH45" s="76">
        <v>5122</v>
      </c>
      <c r="AI45" s="76">
        <v>0</v>
      </c>
      <c r="AJ45" s="76">
        <v>131</v>
      </c>
      <c r="AK45" s="76">
        <v>2883</v>
      </c>
      <c r="AL45" s="76" t="b">
        <v>0</v>
      </c>
      <c r="AM45" s="78">
        <v>42463.165590277778</v>
      </c>
      <c r="AN45" s="76" t="s">
        <v>12898</v>
      </c>
      <c r="AO45" s="76" t="s">
        <v>13262</v>
      </c>
      <c r="AP45" s="82" t="str">
        <f>HYPERLINK("https://t.co/0yVkjwbx1J")</f>
        <v>https://t.co/0yVkjwbx1J</v>
      </c>
      <c r="AQ45" s="82" t="str">
        <f>HYPERLINK("http://www.ticjob.co/")</f>
        <v>http://www.ticjob.co/</v>
      </c>
      <c r="AR45" s="76" t="s">
        <v>11790</v>
      </c>
      <c r="AS45" s="76"/>
      <c r="AT45" s="76"/>
      <c r="AU45" s="76"/>
      <c r="AV45" s="76"/>
      <c r="AW45" s="82" t="str">
        <f>HYPERLINK("https://t.co/0yVkjwbx1J")</f>
        <v>https://t.co/0yVkjwbx1J</v>
      </c>
      <c r="AX45" s="76" t="b">
        <v>0</v>
      </c>
      <c r="AY45" s="76"/>
      <c r="AZ45" s="76"/>
      <c r="BA45" s="76" t="b">
        <v>0</v>
      </c>
      <c r="BB45" s="76" t="b">
        <v>1</v>
      </c>
      <c r="BC45" s="76" t="b">
        <v>0</v>
      </c>
      <c r="BD45" s="76" t="b">
        <v>0</v>
      </c>
      <c r="BE45" s="76" t="b">
        <v>0</v>
      </c>
      <c r="BF45" s="76" t="b">
        <v>0</v>
      </c>
      <c r="BG45" s="76" t="b">
        <v>0</v>
      </c>
      <c r="BH45" s="82" t="str">
        <f>HYPERLINK("https://pbs.twimg.com/profile_banners/716474921233358848/1662583486")</f>
        <v>https://pbs.twimg.com/profile_banners/716474921233358848/1662583486</v>
      </c>
      <c r="BI45" s="76"/>
      <c r="BJ45" s="76" t="s">
        <v>14450</v>
      </c>
      <c r="BK45" s="76" t="b">
        <v>0</v>
      </c>
      <c r="BL45" s="76"/>
      <c r="BM45" s="76" t="s">
        <v>66</v>
      </c>
      <c r="BN45" s="76" t="s">
        <v>14452</v>
      </c>
      <c r="BO45" s="82" t="str">
        <f>HYPERLINK("https://twitter.com/ticjobco")</f>
        <v>https://twitter.com/ticjobco</v>
      </c>
      <c r="BP45" s="2"/>
    </row>
    <row r="46" spans="1:68" x14ac:dyDescent="0.25">
      <c r="A46" s="62" t="s">
        <v>255</v>
      </c>
      <c r="B46" s="63"/>
      <c r="C46" s="63"/>
      <c r="D46" s="64"/>
      <c r="E46" s="66"/>
      <c r="F46" s="103" t="str">
        <f>HYPERLINK("https://pbs.twimg.com/profile_images/1593755248333668353/zJuodeMc_normal.jpg")</f>
        <v>https://pbs.twimg.com/profile_images/1593755248333668353/zJuodeMc_normal.jpg</v>
      </c>
      <c r="G46" s="63"/>
      <c r="H46" s="67"/>
      <c r="I46" s="68"/>
      <c r="J46" s="68"/>
      <c r="K46" s="67" t="s">
        <v>14495</v>
      </c>
      <c r="L46" s="71"/>
      <c r="M46" s="72"/>
      <c r="N46" s="72"/>
      <c r="O46" s="73"/>
      <c r="P46" s="74"/>
      <c r="Q46" s="74"/>
      <c r="R46" s="87"/>
      <c r="S46" s="87"/>
      <c r="T46" s="87"/>
      <c r="U46" s="87"/>
      <c r="V46" s="48"/>
      <c r="W46" s="48"/>
      <c r="X46" s="48"/>
      <c r="Y46" s="48"/>
      <c r="Z46" s="47"/>
      <c r="AA46" s="69">
        <v>46</v>
      </c>
      <c r="AB46" s="69"/>
      <c r="AC46" s="70"/>
      <c r="AD46" s="76" t="s">
        <v>11791</v>
      </c>
      <c r="AE46" s="80" t="s">
        <v>11414</v>
      </c>
      <c r="AF46" s="76">
        <v>13</v>
      </c>
      <c r="AG46" s="76">
        <v>0</v>
      </c>
      <c r="AH46" s="76">
        <v>427</v>
      </c>
      <c r="AI46" s="76">
        <v>0</v>
      </c>
      <c r="AJ46" s="76">
        <v>0</v>
      </c>
      <c r="AK46" s="76">
        <v>426</v>
      </c>
      <c r="AL46" s="76" t="b">
        <v>0</v>
      </c>
      <c r="AM46" s="78">
        <v>43425.835960648146</v>
      </c>
      <c r="AN46" s="76" t="s">
        <v>7767</v>
      </c>
      <c r="AO46" s="76" t="s">
        <v>13263</v>
      </c>
      <c r="AP46" s="82" t="str">
        <f>HYPERLINK("https://t.co/wbCQqo81go")</f>
        <v>https://t.co/wbCQqo81go</v>
      </c>
      <c r="AQ46" s="82" t="str">
        <f>HYPERLINK("https://www.sistemasperseo.com/")</f>
        <v>https://www.sistemasperseo.com/</v>
      </c>
      <c r="AR46" s="76" t="s">
        <v>13931</v>
      </c>
      <c r="AS46" s="76"/>
      <c r="AT46" s="76"/>
      <c r="AU46" s="76"/>
      <c r="AV46" s="76"/>
      <c r="AW46" s="82" t="str">
        <f>HYPERLINK("https://t.co/wbCQqo81go")</f>
        <v>https://t.co/wbCQqo81go</v>
      </c>
      <c r="AX46" s="76" t="b">
        <v>0</v>
      </c>
      <c r="AY46" s="76"/>
      <c r="AZ46" s="76"/>
      <c r="BA46" s="76" t="b">
        <v>0</v>
      </c>
      <c r="BB46" s="76" t="b">
        <v>1</v>
      </c>
      <c r="BC46" s="76" t="b">
        <v>1</v>
      </c>
      <c r="BD46" s="76" t="b">
        <v>0</v>
      </c>
      <c r="BE46" s="76" t="b">
        <v>0</v>
      </c>
      <c r="BF46" s="76" t="b">
        <v>0</v>
      </c>
      <c r="BG46" s="76" t="b">
        <v>0</v>
      </c>
      <c r="BH46" s="82" t="str">
        <f>HYPERLINK("https://pbs.twimg.com/profile_banners/1065334984058167296/1626975360")</f>
        <v>https://pbs.twimg.com/profile_banners/1065334984058167296/1626975360</v>
      </c>
      <c r="BI46" s="76"/>
      <c r="BJ46" s="76" t="s">
        <v>14450</v>
      </c>
      <c r="BK46" s="76" t="b">
        <v>0</v>
      </c>
      <c r="BL46" s="76"/>
      <c r="BM46" s="76" t="s">
        <v>66</v>
      </c>
      <c r="BN46" s="76" t="s">
        <v>14452</v>
      </c>
      <c r="BO46" s="82" t="str">
        <f>HYPERLINK("https://twitter.com/grupoperseo")</f>
        <v>https://twitter.com/grupoperseo</v>
      </c>
      <c r="BP46" s="2"/>
    </row>
    <row r="47" spans="1:68" x14ac:dyDescent="0.25">
      <c r="A47" s="62" t="s">
        <v>256</v>
      </c>
      <c r="B47" s="63"/>
      <c r="C47" s="63"/>
      <c r="D47" s="64"/>
      <c r="E47" s="66"/>
      <c r="F47" s="103" t="str">
        <f>HYPERLINK("https://pbs.twimg.com/profile_images/1541092003202490369/wHS6Nks6_normal.jpg")</f>
        <v>https://pbs.twimg.com/profile_images/1541092003202490369/wHS6Nks6_normal.jpg</v>
      </c>
      <c r="G47" s="63"/>
      <c r="H47" s="67"/>
      <c r="I47" s="68"/>
      <c r="J47" s="68"/>
      <c r="K47" s="67" t="s">
        <v>14496</v>
      </c>
      <c r="L47" s="71"/>
      <c r="M47" s="72"/>
      <c r="N47" s="72"/>
      <c r="O47" s="73"/>
      <c r="P47" s="74"/>
      <c r="Q47" s="74"/>
      <c r="R47" s="87"/>
      <c r="S47" s="87"/>
      <c r="T47" s="87"/>
      <c r="U47" s="87"/>
      <c r="V47" s="48"/>
      <c r="W47" s="48"/>
      <c r="X47" s="48"/>
      <c r="Y47" s="48"/>
      <c r="Z47" s="47"/>
      <c r="AA47" s="69">
        <v>47</v>
      </c>
      <c r="AB47" s="69"/>
      <c r="AC47" s="70"/>
      <c r="AD47" s="76" t="s">
        <v>11792</v>
      </c>
      <c r="AE47" s="80" t="s">
        <v>11415</v>
      </c>
      <c r="AF47" s="76">
        <v>167</v>
      </c>
      <c r="AG47" s="76">
        <v>334</v>
      </c>
      <c r="AH47" s="76">
        <v>8789</v>
      </c>
      <c r="AI47" s="76">
        <v>0</v>
      </c>
      <c r="AJ47" s="76">
        <v>56603</v>
      </c>
      <c r="AK47" s="76">
        <v>1818</v>
      </c>
      <c r="AL47" s="76" t="b">
        <v>0</v>
      </c>
      <c r="AM47" s="78">
        <v>43771.074328703704</v>
      </c>
      <c r="AN47" s="76" t="s">
        <v>12899</v>
      </c>
      <c r="AO47" s="76" t="s">
        <v>13264</v>
      </c>
      <c r="AP47" s="76"/>
      <c r="AQ47" s="76"/>
      <c r="AR47" s="76"/>
      <c r="AS47" s="76"/>
      <c r="AT47" s="76"/>
      <c r="AU47" s="76"/>
      <c r="AV47" s="76">
        <v>1.55518677700642E+18</v>
      </c>
      <c r="AW47" s="76"/>
      <c r="AX47" s="76" t="b">
        <v>0</v>
      </c>
      <c r="AY47" s="76"/>
      <c r="AZ47" s="76"/>
      <c r="BA47" s="76" t="b">
        <v>0</v>
      </c>
      <c r="BB47" s="76" t="b">
        <v>1</v>
      </c>
      <c r="BC47" s="76" t="b">
        <v>1</v>
      </c>
      <c r="BD47" s="76" t="b">
        <v>0</v>
      </c>
      <c r="BE47" s="76" t="b">
        <v>1</v>
      </c>
      <c r="BF47" s="76" t="b">
        <v>0</v>
      </c>
      <c r="BG47" s="76" t="b">
        <v>0</v>
      </c>
      <c r="BH47" s="82" t="str">
        <f>HYPERLINK("https://pbs.twimg.com/profile_banners/1190445135995162625/1595811834")</f>
        <v>https://pbs.twimg.com/profile_banners/1190445135995162625/1595811834</v>
      </c>
      <c r="BI47" s="76"/>
      <c r="BJ47" s="76" t="s">
        <v>14450</v>
      </c>
      <c r="BK47" s="76" t="b">
        <v>0</v>
      </c>
      <c r="BL47" s="76"/>
      <c r="BM47" s="76" t="s">
        <v>66</v>
      </c>
      <c r="BN47" s="76" t="s">
        <v>14452</v>
      </c>
      <c r="BO47" s="82" t="str">
        <f>HYPERLINK("https://twitter.com/thesassypants70")</f>
        <v>https://twitter.com/thesassypants70</v>
      </c>
      <c r="BP47" s="2"/>
    </row>
    <row r="48" spans="1:68" x14ac:dyDescent="0.25">
      <c r="A48" s="62" t="s">
        <v>257</v>
      </c>
      <c r="B48" s="63"/>
      <c r="C48" s="63"/>
      <c r="D48" s="64"/>
      <c r="E48" s="66"/>
      <c r="F48" s="103" t="str">
        <f>HYPERLINK("https://pbs.twimg.com/profile_images/523199421358432256/DNk6jZEf_normal.jpeg")</f>
        <v>https://pbs.twimg.com/profile_images/523199421358432256/DNk6jZEf_normal.jpeg</v>
      </c>
      <c r="G48" s="63"/>
      <c r="H48" s="67"/>
      <c r="I48" s="68"/>
      <c r="J48" s="68"/>
      <c r="K48" s="67" t="s">
        <v>14497</v>
      </c>
      <c r="L48" s="71"/>
      <c r="M48" s="72"/>
      <c r="N48" s="72"/>
      <c r="O48" s="73"/>
      <c r="P48" s="74"/>
      <c r="Q48" s="74"/>
      <c r="R48" s="87"/>
      <c r="S48" s="87"/>
      <c r="T48" s="87"/>
      <c r="U48" s="87"/>
      <c r="V48" s="48"/>
      <c r="W48" s="48"/>
      <c r="X48" s="48"/>
      <c r="Y48" s="48"/>
      <c r="Z48" s="47"/>
      <c r="AA48" s="69">
        <v>48</v>
      </c>
      <c r="AB48" s="69"/>
      <c r="AC48" s="70"/>
      <c r="AD48" s="76" t="s">
        <v>11793</v>
      </c>
      <c r="AE48" s="80" t="s">
        <v>12504</v>
      </c>
      <c r="AF48" s="76">
        <v>2000</v>
      </c>
      <c r="AG48" s="76">
        <v>1327</v>
      </c>
      <c r="AH48" s="76">
        <v>1601</v>
      </c>
      <c r="AI48" s="76">
        <v>18</v>
      </c>
      <c r="AJ48" s="76">
        <v>675</v>
      </c>
      <c r="AK48" s="76">
        <v>14</v>
      </c>
      <c r="AL48" s="76" t="b">
        <v>0</v>
      </c>
      <c r="AM48" s="78">
        <v>40192.663842592592</v>
      </c>
      <c r="AN48" s="76" t="s">
        <v>12896</v>
      </c>
      <c r="AO48" s="76" t="s">
        <v>13265</v>
      </c>
      <c r="AP48" s="82" t="str">
        <f>HYPERLINK("https://t.co/NzGLmXONvr")</f>
        <v>https://t.co/NzGLmXONvr</v>
      </c>
      <c r="AQ48" s="82" t="str">
        <f>HYPERLINK("http://www.apsdr.com")</f>
        <v>http://www.apsdr.com</v>
      </c>
      <c r="AR48" s="76" t="s">
        <v>13932</v>
      </c>
      <c r="AS48" s="76"/>
      <c r="AT48" s="76"/>
      <c r="AU48" s="76"/>
      <c r="AV48" s="76"/>
      <c r="AW48" s="82" t="str">
        <f>HYPERLINK("https://t.co/NzGLmXONvr")</f>
        <v>https://t.co/NzGLmXONvr</v>
      </c>
      <c r="AX48" s="76" t="b">
        <v>0</v>
      </c>
      <c r="AY48" s="76"/>
      <c r="AZ48" s="76"/>
      <c r="BA48" s="76" t="b">
        <v>1</v>
      </c>
      <c r="BB48" s="76" t="b">
        <v>1</v>
      </c>
      <c r="BC48" s="76" t="b">
        <v>1</v>
      </c>
      <c r="BD48" s="76" t="b">
        <v>0</v>
      </c>
      <c r="BE48" s="76" t="b">
        <v>1</v>
      </c>
      <c r="BF48" s="76" t="b">
        <v>0</v>
      </c>
      <c r="BG48" s="76" t="b">
        <v>0</v>
      </c>
      <c r="BH48" s="82" t="str">
        <f>HYPERLINK("https://pbs.twimg.com/profile_banners/104849154/1413575456")</f>
        <v>https://pbs.twimg.com/profile_banners/104849154/1413575456</v>
      </c>
      <c r="BI48" s="76"/>
      <c r="BJ48" s="76" t="s">
        <v>14450</v>
      </c>
      <c r="BK48" s="76" t="b">
        <v>0</v>
      </c>
      <c r="BL48" s="76"/>
      <c r="BM48" s="76" t="s">
        <v>66</v>
      </c>
      <c r="BN48" s="76" t="s">
        <v>14452</v>
      </c>
      <c r="BO48" s="82" t="str">
        <f>HYPERLINK("https://twitter.com/vacantesaps")</f>
        <v>https://twitter.com/vacantesaps</v>
      </c>
      <c r="BP48" s="2"/>
    </row>
    <row r="49" spans="1:68" x14ac:dyDescent="0.25">
      <c r="A49" s="62" t="s">
        <v>258</v>
      </c>
      <c r="B49" s="63"/>
      <c r="C49" s="63"/>
      <c r="D49" s="64"/>
      <c r="E49" s="66"/>
      <c r="F49" s="103" t="str">
        <f>HYPERLINK("https://pbs.twimg.com/profile_images/1346158916208631809/kVvyFUL4_normal.jpg")</f>
        <v>https://pbs.twimg.com/profile_images/1346158916208631809/kVvyFUL4_normal.jpg</v>
      </c>
      <c r="G49" s="63"/>
      <c r="H49" s="67"/>
      <c r="I49" s="68"/>
      <c r="J49" s="68"/>
      <c r="K49" s="67" t="s">
        <v>14498</v>
      </c>
      <c r="L49" s="71"/>
      <c r="M49" s="72"/>
      <c r="N49" s="72"/>
      <c r="O49" s="73"/>
      <c r="P49" s="74"/>
      <c r="Q49" s="74"/>
      <c r="R49" s="87"/>
      <c r="S49" s="87"/>
      <c r="T49" s="87"/>
      <c r="U49" s="87"/>
      <c r="V49" s="48"/>
      <c r="W49" s="48"/>
      <c r="X49" s="48"/>
      <c r="Y49" s="48"/>
      <c r="Z49" s="47"/>
      <c r="AA49" s="69">
        <v>49</v>
      </c>
      <c r="AB49" s="69"/>
      <c r="AC49" s="70"/>
      <c r="AD49" s="76" t="s">
        <v>11794</v>
      </c>
      <c r="AE49" s="80" t="s">
        <v>11416</v>
      </c>
      <c r="AF49" s="76">
        <v>7</v>
      </c>
      <c r="AG49" s="76">
        <v>6</v>
      </c>
      <c r="AH49" s="76">
        <v>122</v>
      </c>
      <c r="AI49" s="76">
        <v>0</v>
      </c>
      <c r="AJ49" s="76">
        <v>96</v>
      </c>
      <c r="AK49" s="76">
        <v>97</v>
      </c>
      <c r="AL49" s="76" t="b">
        <v>0</v>
      </c>
      <c r="AM49" s="78">
        <v>44200.757662037038</v>
      </c>
      <c r="AN49" s="76" t="s">
        <v>12900</v>
      </c>
      <c r="AO49" s="76" t="s">
        <v>13266</v>
      </c>
      <c r="AP49" s="76"/>
      <c r="AQ49" s="76"/>
      <c r="AR49" s="76"/>
      <c r="AS49" s="76"/>
      <c r="AT49" s="76"/>
      <c r="AU49" s="76"/>
      <c r="AV49" s="76"/>
      <c r="AW49" s="76"/>
      <c r="AX49" s="76" t="b">
        <v>0</v>
      </c>
      <c r="AY49" s="76"/>
      <c r="AZ49" s="76"/>
      <c r="BA49" s="76" t="b">
        <v>0</v>
      </c>
      <c r="BB49" s="76" t="b">
        <v>1</v>
      </c>
      <c r="BC49" s="76" t="b">
        <v>1</v>
      </c>
      <c r="BD49" s="76" t="b">
        <v>0</v>
      </c>
      <c r="BE49" s="76" t="b">
        <v>0</v>
      </c>
      <c r="BF49" s="76" t="b">
        <v>0</v>
      </c>
      <c r="BG49" s="76" t="b">
        <v>0</v>
      </c>
      <c r="BH49" s="76"/>
      <c r="BI49" s="76"/>
      <c r="BJ49" s="76" t="s">
        <v>14450</v>
      </c>
      <c r="BK49" s="76" t="b">
        <v>0</v>
      </c>
      <c r="BL49" s="76"/>
      <c r="BM49" s="76" t="s">
        <v>66</v>
      </c>
      <c r="BN49" s="76" t="s">
        <v>14452</v>
      </c>
      <c r="BO49" s="82" t="str">
        <f>HYPERLINK("https://twitter.com/lojaelenicosta")</f>
        <v>https://twitter.com/lojaelenicosta</v>
      </c>
      <c r="BP49" s="2"/>
    </row>
    <row r="50" spans="1:68" x14ac:dyDescent="0.25">
      <c r="A50" s="62" t="s">
        <v>259</v>
      </c>
      <c r="B50" s="63"/>
      <c r="C50" s="63"/>
      <c r="D50" s="64"/>
      <c r="E50" s="66"/>
      <c r="F50" s="103" t="str">
        <f>HYPERLINK("https://pbs.twimg.com/profile_images/1649547759144321024/8d4ScL_C_normal.jpg")</f>
        <v>https://pbs.twimg.com/profile_images/1649547759144321024/8d4ScL_C_normal.jpg</v>
      </c>
      <c r="G50" s="63"/>
      <c r="H50" s="67"/>
      <c r="I50" s="68"/>
      <c r="J50" s="68"/>
      <c r="K50" s="67" t="s">
        <v>14499</v>
      </c>
      <c r="L50" s="71"/>
      <c r="M50" s="72"/>
      <c r="N50" s="72"/>
      <c r="O50" s="73"/>
      <c r="P50" s="74"/>
      <c r="Q50" s="74"/>
      <c r="R50" s="87"/>
      <c r="S50" s="87"/>
      <c r="T50" s="87"/>
      <c r="U50" s="87"/>
      <c r="V50" s="48"/>
      <c r="W50" s="48"/>
      <c r="X50" s="48"/>
      <c r="Y50" s="48"/>
      <c r="Z50" s="47"/>
      <c r="AA50" s="69">
        <v>50</v>
      </c>
      <c r="AB50" s="69"/>
      <c r="AC50" s="70"/>
      <c r="AD50" s="76" t="s">
        <v>11795</v>
      </c>
      <c r="AE50" s="80" t="s">
        <v>11417</v>
      </c>
      <c r="AF50" s="76">
        <v>10</v>
      </c>
      <c r="AG50" s="76">
        <v>42</v>
      </c>
      <c r="AH50" s="76">
        <v>293</v>
      </c>
      <c r="AI50" s="76">
        <v>1</v>
      </c>
      <c r="AJ50" s="76">
        <v>5</v>
      </c>
      <c r="AK50" s="76">
        <v>288</v>
      </c>
      <c r="AL50" s="76" t="b">
        <v>0</v>
      </c>
      <c r="AM50" s="78">
        <v>44898.829675925925</v>
      </c>
      <c r="AN50" s="76" t="s">
        <v>7791</v>
      </c>
      <c r="AO50" s="76" t="s">
        <v>13267</v>
      </c>
      <c r="AP50" s="82" t="str">
        <f>HYPERLINK("https://t.co/IB761kXx2y")</f>
        <v>https://t.co/IB761kXx2y</v>
      </c>
      <c r="AQ50" s="82" t="str">
        <f>HYPERLINK("http://www.nakahashi.com.br")</f>
        <v>http://www.nakahashi.com.br</v>
      </c>
      <c r="AR50" s="76" t="s">
        <v>13933</v>
      </c>
      <c r="AS50" s="82" t="str">
        <f>HYPERLINK("https://t.co/jdf73v7M9I")</f>
        <v>https://t.co/jdf73v7M9I</v>
      </c>
      <c r="AT50" s="82" t="str">
        <f>HYPERLINK("https://linktr.ee/advogadotrabalhista")</f>
        <v>https://linktr.ee/advogadotrabalhista</v>
      </c>
      <c r="AU50" s="76" t="s">
        <v>14396</v>
      </c>
      <c r="AV50" s="76"/>
      <c r="AW50" s="82" t="str">
        <f>HYPERLINK("https://t.co/IB761kXx2y")</f>
        <v>https://t.co/IB761kXx2y</v>
      </c>
      <c r="AX50" s="76" t="b">
        <v>0</v>
      </c>
      <c r="AY50" s="76"/>
      <c r="AZ50" s="76"/>
      <c r="BA50" s="76" t="b">
        <v>1</v>
      </c>
      <c r="BB50" s="76" t="b">
        <v>1</v>
      </c>
      <c r="BC50" s="76" t="b">
        <v>1</v>
      </c>
      <c r="BD50" s="76" t="b">
        <v>0</v>
      </c>
      <c r="BE50" s="76" t="b">
        <v>0</v>
      </c>
      <c r="BF50" s="76" t="b">
        <v>0</v>
      </c>
      <c r="BG50" s="76" t="b">
        <v>0</v>
      </c>
      <c r="BH50" s="82" t="str">
        <f>HYPERLINK("https://pbs.twimg.com/profile_banners/1599129972307886083/1690983541")</f>
        <v>https://pbs.twimg.com/profile_banners/1599129972307886083/1690983541</v>
      </c>
      <c r="BI50" s="76"/>
      <c r="BJ50" s="76" t="s">
        <v>14450</v>
      </c>
      <c r="BK50" s="76" t="b">
        <v>0</v>
      </c>
      <c r="BL50" s="76"/>
      <c r="BM50" s="76" t="s">
        <v>66</v>
      </c>
      <c r="BN50" s="76" t="s">
        <v>14452</v>
      </c>
      <c r="BO50" s="82" t="str">
        <f>HYPERLINK("https://twitter.com/nakahashiadv")</f>
        <v>https://twitter.com/nakahashiadv</v>
      </c>
      <c r="BP50" s="2"/>
    </row>
    <row r="51" spans="1:68" x14ac:dyDescent="0.25">
      <c r="A51" s="62" t="s">
        <v>260</v>
      </c>
      <c r="B51" s="63"/>
      <c r="C51" s="63"/>
      <c r="D51" s="64"/>
      <c r="E51" s="66"/>
      <c r="F51" s="103" t="str">
        <f>HYPERLINK("https://pbs.twimg.com/profile_images/1427415588939390979/cBlP9Sbl_normal.jpg")</f>
        <v>https://pbs.twimg.com/profile_images/1427415588939390979/cBlP9Sbl_normal.jpg</v>
      </c>
      <c r="G51" s="63"/>
      <c r="H51" s="67"/>
      <c r="I51" s="68"/>
      <c r="J51" s="68"/>
      <c r="K51" s="67" t="s">
        <v>14500</v>
      </c>
      <c r="L51" s="71"/>
      <c r="M51" s="72"/>
      <c r="N51" s="72"/>
      <c r="O51" s="73"/>
      <c r="P51" s="74"/>
      <c r="Q51" s="74"/>
      <c r="R51" s="87"/>
      <c r="S51" s="87"/>
      <c r="T51" s="87"/>
      <c r="U51" s="87"/>
      <c r="V51" s="48"/>
      <c r="W51" s="48"/>
      <c r="X51" s="48"/>
      <c r="Y51" s="48"/>
      <c r="Z51" s="47"/>
      <c r="AA51" s="69">
        <v>51</v>
      </c>
      <c r="AB51" s="69"/>
      <c r="AC51" s="70"/>
      <c r="AD51" s="76" t="s">
        <v>11796</v>
      </c>
      <c r="AE51" s="80" t="s">
        <v>12505</v>
      </c>
      <c r="AF51" s="76">
        <v>22</v>
      </c>
      <c r="AG51" s="76">
        <v>29</v>
      </c>
      <c r="AH51" s="76">
        <v>90</v>
      </c>
      <c r="AI51" s="76">
        <v>0</v>
      </c>
      <c r="AJ51" s="76">
        <v>12</v>
      </c>
      <c r="AK51" s="76">
        <v>6</v>
      </c>
      <c r="AL51" s="76" t="b">
        <v>0</v>
      </c>
      <c r="AM51" s="78">
        <v>41277.907824074071</v>
      </c>
      <c r="AN51" s="76" t="s">
        <v>12901</v>
      </c>
      <c r="AO51" s="76" t="s">
        <v>13268</v>
      </c>
      <c r="AP51" s="82" t="str">
        <f>HYPERLINK("https://t.co/Ta8vRIiT17")</f>
        <v>https://t.co/Ta8vRIiT17</v>
      </c>
      <c r="AQ51" s="82" t="str">
        <f>HYPERLINK("https://www.doctour.app")</f>
        <v>https://www.doctour.app</v>
      </c>
      <c r="AR51" s="76" t="s">
        <v>13934</v>
      </c>
      <c r="AS51" s="76"/>
      <c r="AT51" s="76"/>
      <c r="AU51" s="76"/>
      <c r="AV51" s="76"/>
      <c r="AW51" s="82" t="str">
        <f>HYPERLINK("https://t.co/Ta8vRIiT17")</f>
        <v>https://t.co/Ta8vRIiT17</v>
      </c>
      <c r="AX51" s="76" t="b">
        <v>0</v>
      </c>
      <c r="AY51" s="76"/>
      <c r="AZ51" s="76"/>
      <c r="BA51" s="76" t="b">
        <v>0</v>
      </c>
      <c r="BB51" s="76" t="b">
        <v>1</v>
      </c>
      <c r="BC51" s="76" t="b">
        <v>1</v>
      </c>
      <c r="BD51" s="76" t="b">
        <v>0</v>
      </c>
      <c r="BE51" s="76" t="b">
        <v>0</v>
      </c>
      <c r="BF51" s="76" t="b">
        <v>0</v>
      </c>
      <c r="BG51" s="76" t="b">
        <v>0</v>
      </c>
      <c r="BH51" s="82" t="str">
        <f>HYPERLINK("https://pbs.twimg.com/profile_banners/1058867252/1629157371")</f>
        <v>https://pbs.twimg.com/profile_banners/1058867252/1629157371</v>
      </c>
      <c r="BI51" s="76"/>
      <c r="BJ51" s="76" t="s">
        <v>14450</v>
      </c>
      <c r="BK51" s="76" t="b">
        <v>0</v>
      </c>
      <c r="BL51" s="76"/>
      <c r="BM51" s="76" t="s">
        <v>66</v>
      </c>
      <c r="BN51" s="76" t="s">
        <v>14452</v>
      </c>
      <c r="BO51" s="82" t="str">
        <f>HYPERLINK("https://twitter.com/gavrocheg")</f>
        <v>https://twitter.com/gavrocheg</v>
      </c>
      <c r="BP51" s="2"/>
    </row>
    <row r="52" spans="1:68" x14ac:dyDescent="0.25">
      <c r="A52" s="62" t="s">
        <v>261</v>
      </c>
      <c r="B52" s="63"/>
      <c r="C52" s="63"/>
      <c r="D52" s="64"/>
      <c r="E52" s="66"/>
      <c r="F52" s="103" t="str">
        <f>HYPERLINK("https://pbs.twimg.com/profile_images/1015366500755038208/fQZ4ChBQ_normal.jpg")</f>
        <v>https://pbs.twimg.com/profile_images/1015366500755038208/fQZ4ChBQ_normal.jpg</v>
      </c>
      <c r="G52" s="63"/>
      <c r="H52" s="67"/>
      <c r="I52" s="68"/>
      <c r="J52" s="68"/>
      <c r="K52" s="67" t="s">
        <v>14501</v>
      </c>
      <c r="L52" s="71"/>
      <c r="M52" s="72"/>
      <c r="N52" s="72"/>
      <c r="O52" s="73"/>
      <c r="P52" s="74"/>
      <c r="Q52" s="74"/>
      <c r="R52" s="87"/>
      <c r="S52" s="87"/>
      <c r="T52" s="87"/>
      <c r="U52" s="87"/>
      <c r="V52" s="48"/>
      <c r="W52" s="48"/>
      <c r="X52" s="48"/>
      <c r="Y52" s="48"/>
      <c r="Z52" s="47"/>
      <c r="AA52" s="69">
        <v>52</v>
      </c>
      <c r="AB52" s="69"/>
      <c r="AC52" s="70"/>
      <c r="AD52" s="76" t="s">
        <v>11797</v>
      </c>
      <c r="AE52" s="80" t="s">
        <v>12506</v>
      </c>
      <c r="AF52" s="76">
        <v>1438579</v>
      </c>
      <c r="AG52" s="76">
        <v>1465</v>
      </c>
      <c r="AH52" s="76">
        <v>221231</v>
      </c>
      <c r="AI52" s="76">
        <v>1844</v>
      </c>
      <c r="AJ52" s="76">
        <v>36201</v>
      </c>
      <c r="AK52" s="76">
        <v>54207</v>
      </c>
      <c r="AL52" s="76" t="b">
        <v>0</v>
      </c>
      <c r="AM52" s="78">
        <v>40331.787499999999</v>
      </c>
      <c r="AN52" s="76" t="s">
        <v>12902</v>
      </c>
      <c r="AO52" s="76" t="s">
        <v>13269</v>
      </c>
      <c r="AP52" s="82" t="str">
        <f>HYPERLINK("https://t.co/ET9A1TAme3")</f>
        <v>https://t.co/ET9A1TAme3</v>
      </c>
      <c r="AQ52" s="82" t="str">
        <f>HYPERLINK("http://www.chapintv.com/programa/noti-7")</f>
        <v>http://www.chapintv.com/programa/noti-7</v>
      </c>
      <c r="AR52" s="76" t="s">
        <v>13935</v>
      </c>
      <c r="AS52" s="82" t="str">
        <f>HYPERLINK("https://t.co/pqNyQa1Hsm")</f>
        <v>https://t.co/pqNyQa1Hsm</v>
      </c>
      <c r="AT52" s="82" t="str">
        <f>HYPERLINK("http://fb.me/Noti7")</f>
        <v>http://fb.me/Noti7</v>
      </c>
      <c r="AU52" s="76" t="s">
        <v>14397</v>
      </c>
      <c r="AV52" s="76"/>
      <c r="AW52" s="82" t="str">
        <f>HYPERLINK("https://t.co/ET9A1TAme3")</f>
        <v>https://t.co/ET9A1TAme3</v>
      </c>
      <c r="AX52" s="76" t="b">
        <v>1</v>
      </c>
      <c r="AY52" s="76"/>
      <c r="AZ52" s="76"/>
      <c r="BA52" s="76" t="b">
        <v>0</v>
      </c>
      <c r="BB52" s="76" t="b">
        <v>0</v>
      </c>
      <c r="BC52" s="76" t="b">
        <v>0</v>
      </c>
      <c r="BD52" s="76" t="b">
        <v>0</v>
      </c>
      <c r="BE52" s="76" t="b">
        <v>0</v>
      </c>
      <c r="BF52" s="76" t="b">
        <v>0</v>
      </c>
      <c r="BG52" s="76" t="b">
        <v>0</v>
      </c>
      <c r="BH52" s="82" t="str">
        <f>HYPERLINK("https://pbs.twimg.com/profile_banners/151154260/1689861517")</f>
        <v>https://pbs.twimg.com/profile_banners/151154260/1689861517</v>
      </c>
      <c r="BI52" s="76"/>
      <c r="BJ52" s="76" t="s">
        <v>14450</v>
      </c>
      <c r="BK52" s="76" t="b">
        <v>0</v>
      </c>
      <c r="BL52" s="76"/>
      <c r="BM52" s="76" t="s">
        <v>66</v>
      </c>
      <c r="BN52" s="76" t="s">
        <v>14452</v>
      </c>
      <c r="BO52" s="82" t="str">
        <f>HYPERLINK("https://twitter.com/noti7guatemala")</f>
        <v>https://twitter.com/noti7guatemala</v>
      </c>
      <c r="BP52" s="2"/>
    </row>
    <row r="53" spans="1:68" x14ac:dyDescent="0.25">
      <c r="A53" s="62" t="s">
        <v>262</v>
      </c>
      <c r="B53" s="63"/>
      <c r="C53" s="63"/>
      <c r="D53" s="64"/>
      <c r="E53" s="66"/>
      <c r="F53" s="103" t="str">
        <f>HYPERLINK("https://pbs.twimg.com/profile_images/1685809022601932800/AuwkIQxc_normal.jpg")</f>
        <v>https://pbs.twimg.com/profile_images/1685809022601932800/AuwkIQxc_normal.jpg</v>
      </c>
      <c r="G53" s="63"/>
      <c r="H53" s="67"/>
      <c r="I53" s="68"/>
      <c r="J53" s="68"/>
      <c r="K53" s="67" t="s">
        <v>14502</v>
      </c>
      <c r="L53" s="71"/>
      <c r="M53" s="72"/>
      <c r="N53" s="72"/>
      <c r="O53" s="73"/>
      <c r="P53" s="74"/>
      <c r="Q53" s="74"/>
      <c r="R53" s="87"/>
      <c r="S53" s="87"/>
      <c r="T53" s="87"/>
      <c r="U53" s="87"/>
      <c r="V53" s="48"/>
      <c r="W53" s="48"/>
      <c r="X53" s="48"/>
      <c r="Y53" s="48"/>
      <c r="Z53" s="47"/>
      <c r="AA53" s="69">
        <v>53</v>
      </c>
      <c r="AB53" s="69"/>
      <c r="AC53" s="70"/>
      <c r="AD53" s="76" t="s">
        <v>11798</v>
      </c>
      <c r="AE53" s="80" t="s">
        <v>11418</v>
      </c>
      <c r="AF53" s="76">
        <v>1569</v>
      </c>
      <c r="AG53" s="76">
        <v>4993</v>
      </c>
      <c r="AH53" s="76">
        <v>157692</v>
      </c>
      <c r="AI53" s="76">
        <v>12</v>
      </c>
      <c r="AJ53" s="76">
        <v>138726</v>
      </c>
      <c r="AK53" s="76">
        <v>7965</v>
      </c>
      <c r="AL53" s="76" t="b">
        <v>0</v>
      </c>
      <c r="AM53" s="78">
        <v>42890.964791666665</v>
      </c>
      <c r="AN53" s="76" t="s">
        <v>12903</v>
      </c>
      <c r="AO53" s="76" t="s">
        <v>13270</v>
      </c>
      <c r="AP53" s="76"/>
      <c r="AQ53" s="76"/>
      <c r="AR53" s="76"/>
      <c r="AS53" s="76"/>
      <c r="AT53" s="76"/>
      <c r="AU53" s="76"/>
      <c r="AV53" s="76">
        <v>1.7063414446827599E+18</v>
      </c>
      <c r="AW53" s="76"/>
      <c r="AX53" s="76" t="b">
        <v>0</v>
      </c>
      <c r="AY53" s="76"/>
      <c r="AZ53" s="76"/>
      <c r="BA53" s="76" t="b">
        <v>0</v>
      </c>
      <c r="BB53" s="76" t="b">
        <v>1</v>
      </c>
      <c r="BC53" s="76" t="b">
        <v>1</v>
      </c>
      <c r="BD53" s="76" t="b">
        <v>0</v>
      </c>
      <c r="BE53" s="76" t="b">
        <v>1</v>
      </c>
      <c r="BF53" s="76" t="b">
        <v>0</v>
      </c>
      <c r="BG53" s="76" t="b">
        <v>0</v>
      </c>
      <c r="BH53" s="82" t="str">
        <f>HYPERLINK("https://pbs.twimg.com/profile_banners/871504158964232192/1695849035")</f>
        <v>https://pbs.twimg.com/profile_banners/871504158964232192/1695849035</v>
      </c>
      <c r="BI53" s="76"/>
      <c r="BJ53" s="76" t="s">
        <v>14450</v>
      </c>
      <c r="BK53" s="76" t="b">
        <v>0</v>
      </c>
      <c r="BL53" s="76"/>
      <c r="BM53" s="76" t="s">
        <v>66</v>
      </c>
      <c r="BN53" s="76" t="s">
        <v>14452</v>
      </c>
      <c r="BO53" s="82" t="str">
        <f>HYPERLINK("https://twitter.com/carmen197713")</f>
        <v>https://twitter.com/carmen197713</v>
      </c>
      <c r="BP53" s="2"/>
    </row>
    <row r="54" spans="1:68" x14ac:dyDescent="0.25">
      <c r="A54" s="62" t="s">
        <v>263</v>
      </c>
      <c r="B54" s="63"/>
      <c r="C54" s="63"/>
      <c r="D54" s="64"/>
      <c r="E54" s="66"/>
      <c r="F54" s="103" t="str">
        <f>HYPERLINK("https://pbs.twimg.com/profile_images/1602122760838422532/TNeCByZ9_normal.jpg")</f>
        <v>https://pbs.twimg.com/profile_images/1602122760838422532/TNeCByZ9_normal.jpg</v>
      </c>
      <c r="G54" s="63"/>
      <c r="H54" s="67"/>
      <c r="I54" s="68"/>
      <c r="J54" s="68"/>
      <c r="K54" s="67" t="s">
        <v>14503</v>
      </c>
      <c r="L54" s="71"/>
      <c r="M54" s="72"/>
      <c r="N54" s="72"/>
      <c r="O54" s="73"/>
      <c r="P54" s="74"/>
      <c r="Q54" s="74"/>
      <c r="R54" s="87"/>
      <c r="S54" s="87"/>
      <c r="T54" s="87"/>
      <c r="U54" s="87"/>
      <c r="V54" s="48"/>
      <c r="W54" s="48"/>
      <c r="X54" s="48"/>
      <c r="Y54" s="48"/>
      <c r="Z54" s="47"/>
      <c r="AA54" s="69">
        <v>54</v>
      </c>
      <c r="AB54" s="69"/>
      <c r="AC54" s="70"/>
      <c r="AD54" s="76" t="s">
        <v>11799</v>
      </c>
      <c r="AE54" s="80" t="s">
        <v>11419</v>
      </c>
      <c r="AF54" s="76">
        <v>33</v>
      </c>
      <c r="AG54" s="76">
        <v>83</v>
      </c>
      <c r="AH54" s="76">
        <v>1283</v>
      </c>
      <c r="AI54" s="76">
        <v>0</v>
      </c>
      <c r="AJ54" s="76">
        <v>2</v>
      </c>
      <c r="AK54" s="76">
        <v>1244</v>
      </c>
      <c r="AL54" s="76" t="b">
        <v>0</v>
      </c>
      <c r="AM54" s="78">
        <v>44907.087870370371</v>
      </c>
      <c r="AN54" s="76" t="s">
        <v>12904</v>
      </c>
      <c r="AO54" s="76" t="s">
        <v>13271</v>
      </c>
      <c r="AP54" s="82" t="str">
        <f>HYPERLINK("https://t.co/4jlV1nlpQn")</f>
        <v>https://t.co/4jlV1nlpQn</v>
      </c>
      <c r="AQ54" s="82" t="str">
        <f>HYPERLINK("http://www.evaluacionbroker.com")</f>
        <v>http://www.evaluacionbroker.com</v>
      </c>
      <c r="AR54" s="76" t="s">
        <v>13936</v>
      </c>
      <c r="AS54" s="82" t="str">
        <f>HYPERLINK("https://t.co/LydC6mej1P")</f>
        <v>https://t.co/LydC6mej1P</v>
      </c>
      <c r="AT54" s="82" t="str">
        <f>HYPERLINK("https://t.me/evaluacionbroker")</f>
        <v>https://t.me/evaluacionbroker</v>
      </c>
      <c r="AU54" s="76" t="s">
        <v>14398</v>
      </c>
      <c r="AV54" s="76"/>
      <c r="AW54" s="82" t="str">
        <f>HYPERLINK("https://t.co/4jlV1nlpQn")</f>
        <v>https://t.co/4jlV1nlpQn</v>
      </c>
      <c r="AX54" s="76" t="b">
        <v>0</v>
      </c>
      <c r="AY54" s="76"/>
      <c r="AZ54" s="76"/>
      <c r="BA54" s="76" t="b">
        <v>0</v>
      </c>
      <c r="BB54" s="76" t="b">
        <v>1</v>
      </c>
      <c r="BC54" s="76" t="b">
        <v>1</v>
      </c>
      <c r="BD54" s="76" t="b">
        <v>0</v>
      </c>
      <c r="BE54" s="76" t="b">
        <v>0</v>
      </c>
      <c r="BF54" s="76" t="b">
        <v>0</v>
      </c>
      <c r="BG54" s="76" t="b">
        <v>0</v>
      </c>
      <c r="BH54" s="82" t="str">
        <f>HYPERLINK("https://pbs.twimg.com/profile_banners/1602122656983269379/1670811384")</f>
        <v>https://pbs.twimg.com/profile_banners/1602122656983269379/1670811384</v>
      </c>
      <c r="BI54" s="76"/>
      <c r="BJ54" s="76" t="s">
        <v>14450</v>
      </c>
      <c r="BK54" s="76" t="b">
        <v>0</v>
      </c>
      <c r="BL54" s="76"/>
      <c r="BM54" s="76" t="s">
        <v>66</v>
      </c>
      <c r="BN54" s="76" t="s">
        <v>14452</v>
      </c>
      <c r="BO54" s="82" t="str">
        <f>HYPERLINK("https://twitter.com/evaluabroker")</f>
        <v>https://twitter.com/evaluabroker</v>
      </c>
      <c r="BP54" s="2"/>
    </row>
    <row r="55" spans="1:68" x14ac:dyDescent="0.25">
      <c r="A55" s="62" t="s">
        <v>264</v>
      </c>
      <c r="B55" s="63"/>
      <c r="C55" s="63"/>
      <c r="D55" s="64"/>
      <c r="E55" s="66"/>
      <c r="F55" s="103" t="str">
        <f>HYPERLINK("https://pbs.twimg.com/profile_images/1436137087/empresa_normal.jpg")</f>
        <v>https://pbs.twimg.com/profile_images/1436137087/empresa_normal.jpg</v>
      </c>
      <c r="G55" s="63"/>
      <c r="H55" s="67"/>
      <c r="I55" s="68"/>
      <c r="J55" s="68"/>
      <c r="K55" s="67" t="s">
        <v>14504</v>
      </c>
      <c r="L55" s="71"/>
      <c r="M55" s="72"/>
      <c r="N55" s="72"/>
      <c r="O55" s="73"/>
      <c r="P55" s="74"/>
      <c r="Q55" s="74"/>
      <c r="R55" s="87"/>
      <c r="S55" s="87"/>
      <c r="T55" s="87"/>
      <c r="U55" s="87"/>
      <c r="V55" s="48"/>
      <c r="W55" s="48"/>
      <c r="X55" s="48"/>
      <c r="Y55" s="48"/>
      <c r="Z55" s="47"/>
      <c r="AA55" s="69">
        <v>55</v>
      </c>
      <c r="AB55" s="69"/>
      <c r="AC55" s="70"/>
      <c r="AD55" s="76" t="s">
        <v>11800</v>
      </c>
      <c r="AE55" s="80" t="s">
        <v>11319</v>
      </c>
      <c r="AF55" s="76">
        <v>151</v>
      </c>
      <c r="AG55" s="76">
        <v>197</v>
      </c>
      <c r="AH55" s="76">
        <v>7913</v>
      </c>
      <c r="AI55" s="76">
        <v>10</v>
      </c>
      <c r="AJ55" s="76">
        <v>2951</v>
      </c>
      <c r="AK55" s="76">
        <v>121</v>
      </c>
      <c r="AL55" s="76" t="b">
        <v>0</v>
      </c>
      <c r="AM55" s="78">
        <v>40735.091886574075</v>
      </c>
      <c r="AN55" s="76" t="s">
        <v>12905</v>
      </c>
      <c r="AO55" s="76" t="s">
        <v>13272</v>
      </c>
      <c r="AP55" s="82" t="str">
        <f>HYPERLINK("https://t.co/xvf8BpRIFt")</f>
        <v>https://t.co/xvf8BpRIFt</v>
      </c>
      <c r="AQ55" s="82" t="str">
        <f>HYPERLINK("https://linktr.ee/centralcursoss")</f>
        <v>https://linktr.ee/centralcursoss</v>
      </c>
      <c r="AR55" s="76" t="s">
        <v>13937</v>
      </c>
      <c r="AS55" s="76"/>
      <c r="AT55" s="76"/>
      <c r="AU55" s="76"/>
      <c r="AV55" s="76">
        <v>1.7017823967381499E+18</v>
      </c>
      <c r="AW55" s="82" t="str">
        <f>HYPERLINK("https://t.co/xvf8BpRIFt")</f>
        <v>https://t.co/xvf8BpRIFt</v>
      </c>
      <c r="AX55" s="76" t="b">
        <v>0</v>
      </c>
      <c r="AY55" s="76"/>
      <c r="AZ55" s="76"/>
      <c r="BA55" s="76" t="b">
        <v>0</v>
      </c>
      <c r="BB55" s="76" t="b">
        <v>1</v>
      </c>
      <c r="BC55" s="76" t="b">
        <v>1</v>
      </c>
      <c r="BD55" s="76" t="b">
        <v>0</v>
      </c>
      <c r="BE55" s="76" t="b">
        <v>0</v>
      </c>
      <c r="BF55" s="76" t="b">
        <v>0</v>
      </c>
      <c r="BG55" s="76" t="b">
        <v>0</v>
      </c>
      <c r="BH55" s="82" t="str">
        <f>HYPERLINK("https://pbs.twimg.com/profile_banners/333147653/1643738044")</f>
        <v>https://pbs.twimg.com/profile_banners/333147653/1643738044</v>
      </c>
      <c r="BI55" s="76"/>
      <c r="BJ55" s="76" t="s">
        <v>14450</v>
      </c>
      <c r="BK55" s="76" t="b">
        <v>0</v>
      </c>
      <c r="BL55" s="76"/>
      <c r="BM55" s="76" t="s">
        <v>66</v>
      </c>
      <c r="BN55" s="76" t="s">
        <v>14452</v>
      </c>
      <c r="BO55" s="82" t="str">
        <f>HYPERLINK("https://twitter.com/centralcursoss")</f>
        <v>https://twitter.com/centralcursoss</v>
      </c>
      <c r="BP55" s="2"/>
    </row>
    <row r="56" spans="1:68" x14ac:dyDescent="0.25">
      <c r="A56" s="62" t="s">
        <v>265</v>
      </c>
      <c r="B56" s="63"/>
      <c r="C56" s="63"/>
      <c r="D56" s="64"/>
      <c r="E56" s="66"/>
      <c r="F56" s="103" t="str">
        <f>HYPERLINK("https://pbs.twimg.com/profile_images/1690114950948114432/C4wPP1zR_normal.jpg")</f>
        <v>https://pbs.twimg.com/profile_images/1690114950948114432/C4wPP1zR_normal.jpg</v>
      </c>
      <c r="G56" s="63"/>
      <c r="H56" s="67"/>
      <c r="I56" s="68"/>
      <c r="J56" s="68"/>
      <c r="K56" s="67" t="s">
        <v>14505</v>
      </c>
      <c r="L56" s="71"/>
      <c r="M56" s="72"/>
      <c r="N56" s="72"/>
      <c r="O56" s="73"/>
      <c r="P56" s="74"/>
      <c r="Q56" s="74"/>
      <c r="R56" s="87"/>
      <c r="S56" s="87"/>
      <c r="T56" s="87"/>
      <c r="U56" s="87"/>
      <c r="V56" s="48"/>
      <c r="W56" s="48"/>
      <c r="X56" s="48"/>
      <c r="Y56" s="48"/>
      <c r="Z56" s="47"/>
      <c r="AA56" s="69">
        <v>56</v>
      </c>
      <c r="AB56" s="69"/>
      <c r="AC56" s="70"/>
      <c r="AD56" s="76" t="s">
        <v>11801</v>
      </c>
      <c r="AE56" s="80" t="s">
        <v>11420</v>
      </c>
      <c r="AF56" s="76">
        <v>1</v>
      </c>
      <c r="AG56" s="76">
        <v>0</v>
      </c>
      <c r="AH56" s="76">
        <v>8</v>
      </c>
      <c r="AI56" s="76">
        <v>0</v>
      </c>
      <c r="AJ56" s="76">
        <v>0</v>
      </c>
      <c r="AK56" s="76">
        <v>7</v>
      </c>
      <c r="AL56" s="76" t="b">
        <v>0</v>
      </c>
      <c r="AM56" s="78">
        <v>45148.809502314813</v>
      </c>
      <c r="AN56" s="76"/>
      <c r="AO56" s="76"/>
      <c r="AP56" s="76"/>
      <c r="AQ56" s="76"/>
      <c r="AR56" s="76"/>
      <c r="AS56" s="76"/>
      <c r="AT56" s="76"/>
      <c r="AU56" s="76"/>
      <c r="AV56" s="76"/>
      <c r="AW56" s="76"/>
      <c r="AX56" s="76" t="b">
        <v>0</v>
      </c>
      <c r="AY56" s="76"/>
      <c r="AZ56" s="76"/>
      <c r="BA56" s="76" t="b">
        <v>0</v>
      </c>
      <c r="BB56" s="76" t="b">
        <v>1</v>
      </c>
      <c r="BC56" s="76" t="b">
        <v>1</v>
      </c>
      <c r="BD56" s="76" t="b">
        <v>0</v>
      </c>
      <c r="BE56" s="76" t="b">
        <v>0</v>
      </c>
      <c r="BF56" s="76" t="b">
        <v>0</v>
      </c>
      <c r="BG56" s="76" t="b">
        <v>0</v>
      </c>
      <c r="BH56" s="76"/>
      <c r="BI56" s="76"/>
      <c r="BJ56" s="76" t="s">
        <v>14450</v>
      </c>
      <c r="BK56" s="76" t="b">
        <v>0</v>
      </c>
      <c r="BL56" s="76"/>
      <c r="BM56" s="76" t="s">
        <v>66</v>
      </c>
      <c r="BN56" s="76" t="s">
        <v>14452</v>
      </c>
      <c r="BO56" s="82" t="str">
        <f>HYPERLINK("https://twitter.com/rainmakersalesc")</f>
        <v>https://twitter.com/rainmakersalesc</v>
      </c>
      <c r="BP56" s="2"/>
    </row>
    <row r="57" spans="1:68" x14ac:dyDescent="0.25">
      <c r="A57" s="62" t="s">
        <v>266</v>
      </c>
      <c r="B57" s="63"/>
      <c r="C57" s="63"/>
      <c r="D57" s="64"/>
      <c r="E57" s="66"/>
      <c r="F57" s="103" t="str">
        <f>HYPERLINK("https://pbs.twimg.com/profile_images/1638225046916177935/lUcgTYhE_normal.jpg")</f>
        <v>https://pbs.twimg.com/profile_images/1638225046916177935/lUcgTYhE_normal.jpg</v>
      </c>
      <c r="G57" s="63"/>
      <c r="H57" s="67"/>
      <c r="I57" s="68"/>
      <c r="J57" s="68"/>
      <c r="K57" s="67" t="s">
        <v>14506</v>
      </c>
      <c r="L57" s="71"/>
      <c r="M57" s="72"/>
      <c r="N57" s="72"/>
      <c r="O57" s="73"/>
      <c r="P57" s="74"/>
      <c r="Q57" s="74"/>
      <c r="R57" s="87"/>
      <c r="S57" s="87"/>
      <c r="T57" s="87"/>
      <c r="U57" s="87"/>
      <c r="V57" s="48"/>
      <c r="W57" s="48"/>
      <c r="X57" s="48"/>
      <c r="Y57" s="48"/>
      <c r="Z57" s="47"/>
      <c r="AA57" s="69">
        <v>57</v>
      </c>
      <c r="AB57" s="69"/>
      <c r="AC57" s="70"/>
      <c r="AD57" s="76" t="s">
        <v>11802</v>
      </c>
      <c r="AE57" s="80" t="s">
        <v>11421</v>
      </c>
      <c r="AF57" s="76">
        <v>0</v>
      </c>
      <c r="AG57" s="76">
        <v>3</v>
      </c>
      <c r="AH57" s="76">
        <v>10</v>
      </c>
      <c r="AI57" s="76">
        <v>0</v>
      </c>
      <c r="AJ57" s="76">
        <v>0</v>
      </c>
      <c r="AK57" s="76">
        <v>8</v>
      </c>
      <c r="AL57" s="76" t="b">
        <v>0</v>
      </c>
      <c r="AM57" s="78">
        <v>45003.78702546296</v>
      </c>
      <c r="AN57" s="76" t="s">
        <v>12906</v>
      </c>
      <c r="AO57" s="76" t="s">
        <v>13273</v>
      </c>
      <c r="AP57" s="76"/>
      <c r="AQ57" s="76"/>
      <c r="AR57" s="76"/>
      <c r="AS57" s="76"/>
      <c r="AT57" s="76"/>
      <c r="AU57" s="76"/>
      <c r="AV57" s="76"/>
      <c r="AW57" s="76"/>
      <c r="AX57" s="76" t="b">
        <v>0</v>
      </c>
      <c r="AY57" s="76"/>
      <c r="AZ57" s="76"/>
      <c r="BA57" s="76" t="b">
        <v>0</v>
      </c>
      <c r="BB57" s="76" t="b">
        <v>1</v>
      </c>
      <c r="BC57" s="76" t="b">
        <v>1</v>
      </c>
      <c r="BD57" s="76" t="b">
        <v>0</v>
      </c>
      <c r="BE57" s="76" t="b">
        <v>0</v>
      </c>
      <c r="BF57" s="76" t="b">
        <v>0</v>
      </c>
      <c r="BG57" s="76" t="b">
        <v>0</v>
      </c>
      <c r="BH57" s="82" t="str">
        <f>HYPERLINK("https://pbs.twimg.com/profile_banners/1637165254651027459/1679422507")</f>
        <v>https://pbs.twimg.com/profile_banners/1637165254651027459/1679422507</v>
      </c>
      <c r="BI57" s="76"/>
      <c r="BJ57" s="76" t="s">
        <v>14450</v>
      </c>
      <c r="BK57" s="76" t="b">
        <v>0</v>
      </c>
      <c r="BL57" s="76"/>
      <c r="BM57" s="76" t="s">
        <v>66</v>
      </c>
      <c r="BN57" s="76" t="s">
        <v>14452</v>
      </c>
      <c r="BO57" s="82" t="str">
        <f>HYPERLINK("https://twitter.com/canalupcast")</f>
        <v>https://twitter.com/canalupcast</v>
      </c>
      <c r="BP57" s="2"/>
    </row>
    <row r="58" spans="1:68" x14ac:dyDescent="0.25">
      <c r="A58" s="62" t="s">
        <v>267</v>
      </c>
      <c r="B58" s="63"/>
      <c r="C58" s="63"/>
      <c r="D58" s="64"/>
      <c r="E58" s="66"/>
      <c r="F58" s="103" t="str">
        <f>HYPERLINK("https://pbs.twimg.com/profile_images/1385231944154329092/iDPf_KNq_normal.jpg")</f>
        <v>https://pbs.twimg.com/profile_images/1385231944154329092/iDPf_KNq_normal.jpg</v>
      </c>
      <c r="G58" s="63"/>
      <c r="H58" s="67"/>
      <c r="I58" s="68"/>
      <c r="J58" s="68"/>
      <c r="K58" s="67" t="s">
        <v>14507</v>
      </c>
      <c r="L58" s="71"/>
      <c r="M58" s="72"/>
      <c r="N58" s="72"/>
      <c r="O58" s="73"/>
      <c r="P58" s="74"/>
      <c r="Q58" s="74"/>
      <c r="R58" s="87"/>
      <c r="S58" s="87"/>
      <c r="T58" s="87"/>
      <c r="U58" s="87"/>
      <c r="V58" s="48"/>
      <c r="W58" s="48"/>
      <c r="X58" s="48"/>
      <c r="Y58" s="48"/>
      <c r="Z58" s="47"/>
      <c r="AA58" s="69">
        <v>58</v>
      </c>
      <c r="AB58" s="69"/>
      <c r="AC58" s="70"/>
      <c r="AD58" s="76" t="s">
        <v>11803</v>
      </c>
      <c r="AE58" s="80" t="s">
        <v>12507</v>
      </c>
      <c r="AF58" s="76">
        <v>405</v>
      </c>
      <c r="AG58" s="76">
        <v>270</v>
      </c>
      <c r="AH58" s="76">
        <v>1054</v>
      </c>
      <c r="AI58" s="76">
        <v>11</v>
      </c>
      <c r="AJ58" s="76">
        <v>1296</v>
      </c>
      <c r="AK58" s="76">
        <v>183</v>
      </c>
      <c r="AL58" s="76" t="b">
        <v>0</v>
      </c>
      <c r="AM58" s="78">
        <v>40775.639664351853</v>
      </c>
      <c r="AN58" s="76" t="s">
        <v>7873</v>
      </c>
      <c r="AO58" s="76" t="s">
        <v>13274</v>
      </c>
      <c r="AP58" s="82" t="str">
        <f>HYPERLINK("https://t.co/CKENqHs9DA")</f>
        <v>https://t.co/CKENqHs9DA</v>
      </c>
      <c r="AQ58" s="82" t="str">
        <f>HYPERLINK("http://www.fotocasa.com/academy")</f>
        <v>http://www.fotocasa.com/academy</v>
      </c>
      <c r="AR58" s="76" t="s">
        <v>13938</v>
      </c>
      <c r="AS58" s="76"/>
      <c r="AT58" s="76"/>
      <c r="AU58" s="76"/>
      <c r="AV58" s="76"/>
      <c r="AW58" s="82" t="str">
        <f>HYPERLINK("https://t.co/CKENqHs9DA")</f>
        <v>https://t.co/CKENqHs9DA</v>
      </c>
      <c r="AX58" s="76" t="b">
        <v>0</v>
      </c>
      <c r="AY58" s="76"/>
      <c r="AZ58" s="76"/>
      <c r="BA58" s="76" t="b">
        <v>0</v>
      </c>
      <c r="BB58" s="76" t="b">
        <v>1</v>
      </c>
      <c r="BC58" s="76" t="b">
        <v>1</v>
      </c>
      <c r="BD58" s="76" t="b">
        <v>0</v>
      </c>
      <c r="BE58" s="76" t="b">
        <v>1</v>
      </c>
      <c r="BF58" s="76" t="b">
        <v>0</v>
      </c>
      <c r="BG58" s="76" t="b">
        <v>0</v>
      </c>
      <c r="BH58" s="82" t="str">
        <f>HYPERLINK("https://pbs.twimg.com/profile_banners/358821720/1663755231")</f>
        <v>https://pbs.twimg.com/profile_banners/358821720/1663755231</v>
      </c>
      <c r="BI58" s="76"/>
      <c r="BJ58" s="76" t="s">
        <v>14450</v>
      </c>
      <c r="BK58" s="76" t="b">
        <v>0</v>
      </c>
      <c r="BL58" s="76"/>
      <c r="BM58" s="76" t="s">
        <v>66</v>
      </c>
      <c r="BN58" s="76" t="s">
        <v>14452</v>
      </c>
      <c r="BO58" s="82" t="str">
        <f>HYPERLINK("https://twitter.com/ismaelkardoudi")</f>
        <v>https://twitter.com/ismaelkardoudi</v>
      </c>
      <c r="BP58" s="2"/>
    </row>
    <row r="59" spans="1:68" x14ac:dyDescent="0.25">
      <c r="A59" s="62" t="s">
        <v>879</v>
      </c>
      <c r="B59" s="63"/>
      <c r="C59" s="63"/>
      <c r="D59" s="64"/>
      <c r="E59" s="66"/>
      <c r="F59" s="103" t="str">
        <f>HYPERLINK("https://pbs.twimg.com/profile_images/1373943133550088197/7QS5GR8Z_normal.jpg")</f>
        <v>https://pbs.twimg.com/profile_images/1373943133550088197/7QS5GR8Z_normal.jpg</v>
      </c>
      <c r="G59" s="63"/>
      <c r="H59" s="67"/>
      <c r="I59" s="68"/>
      <c r="J59" s="68"/>
      <c r="K59" s="67" t="s">
        <v>14508</v>
      </c>
      <c r="L59" s="71"/>
      <c r="M59" s="72"/>
      <c r="N59" s="72"/>
      <c r="O59" s="73"/>
      <c r="P59" s="74"/>
      <c r="Q59" s="74"/>
      <c r="R59" s="87"/>
      <c r="S59" s="87"/>
      <c r="T59" s="87"/>
      <c r="U59" s="87"/>
      <c r="V59" s="48"/>
      <c r="W59" s="48"/>
      <c r="X59" s="48"/>
      <c r="Y59" s="48"/>
      <c r="Z59" s="47"/>
      <c r="AA59" s="69">
        <v>59</v>
      </c>
      <c r="AB59" s="69"/>
      <c r="AC59" s="70"/>
      <c r="AD59" s="76" t="s">
        <v>11804</v>
      </c>
      <c r="AE59" s="80" t="s">
        <v>12508</v>
      </c>
      <c r="AF59" s="76">
        <v>8186</v>
      </c>
      <c r="AG59" s="76">
        <v>5953</v>
      </c>
      <c r="AH59" s="76">
        <v>11855</v>
      </c>
      <c r="AI59" s="76">
        <v>166</v>
      </c>
      <c r="AJ59" s="76">
        <v>1541</v>
      </c>
      <c r="AK59" s="76">
        <v>1503</v>
      </c>
      <c r="AL59" s="76" t="b">
        <v>0</v>
      </c>
      <c r="AM59" s="78">
        <v>40129.473611111112</v>
      </c>
      <c r="AN59" s="76" t="s">
        <v>12888</v>
      </c>
      <c r="AO59" s="76" t="s">
        <v>13275</v>
      </c>
      <c r="AP59" s="82" t="str">
        <f>HYPERLINK("https://t.co/VjY6UlzBlt")</f>
        <v>https://t.co/VjY6UlzBlt</v>
      </c>
      <c r="AQ59" s="82" t="str">
        <f>HYPERLINK("https://pro.fotocasa.es/")</f>
        <v>https://pro.fotocasa.es/</v>
      </c>
      <c r="AR59" s="76" t="s">
        <v>13939</v>
      </c>
      <c r="AS59" s="76"/>
      <c r="AT59" s="76"/>
      <c r="AU59" s="76"/>
      <c r="AV59" s="76">
        <v>1.70377908552301E+18</v>
      </c>
      <c r="AW59" s="82" t="str">
        <f>HYPERLINK("https://t.co/VjY6UlzBlt")</f>
        <v>https://t.co/VjY6UlzBlt</v>
      </c>
      <c r="AX59" s="76" t="b">
        <v>0</v>
      </c>
      <c r="AY59" s="76"/>
      <c r="AZ59" s="76"/>
      <c r="BA59" s="76" t="b">
        <v>1</v>
      </c>
      <c r="BB59" s="76" t="b">
        <v>1</v>
      </c>
      <c r="BC59" s="76" t="b">
        <v>0</v>
      </c>
      <c r="BD59" s="76" t="b">
        <v>0</v>
      </c>
      <c r="BE59" s="76" t="b">
        <v>1</v>
      </c>
      <c r="BF59" s="76" t="b">
        <v>0</v>
      </c>
      <c r="BG59" s="76" t="b">
        <v>0</v>
      </c>
      <c r="BH59" s="82" t="str">
        <f>HYPERLINK("https://pbs.twimg.com/profile_banners/89425272/1646906991")</f>
        <v>https://pbs.twimg.com/profile_banners/89425272/1646906991</v>
      </c>
      <c r="BI59" s="76"/>
      <c r="BJ59" s="76" t="s">
        <v>14450</v>
      </c>
      <c r="BK59" s="76" t="b">
        <v>0</v>
      </c>
      <c r="BL59" s="76"/>
      <c r="BM59" s="76" t="s">
        <v>65</v>
      </c>
      <c r="BN59" s="76" t="s">
        <v>14452</v>
      </c>
      <c r="BO59" s="82" t="str">
        <f>HYPERLINK("https://twitter.com/fotocasapro")</f>
        <v>https://twitter.com/fotocasapro</v>
      </c>
      <c r="BP59" s="2"/>
    </row>
    <row r="60" spans="1:68" x14ac:dyDescent="0.25">
      <c r="A60" s="62" t="s">
        <v>268</v>
      </c>
      <c r="B60" s="63"/>
      <c r="C60" s="63"/>
      <c r="D60" s="64"/>
      <c r="E60" s="66"/>
      <c r="F60" s="103" t="str">
        <f>HYPERLINK("https://pbs.twimg.com/profile_images/1562902493050589185/z1VPUc3h_normal.png")</f>
        <v>https://pbs.twimg.com/profile_images/1562902493050589185/z1VPUc3h_normal.png</v>
      </c>
      <c r="G60" s="63"/>
      <c r="H60" s="67"/>
      <c r="I60" s="68"/>
      <c r="J60" s="68"/>
      <c r="K60" s="67" t="s">
        <v>14509</v>
      </c>
      <c r="L60" s="71"/>
      <c r="M60" s="72"/>
      <c r="N60" s="72"/>
      <c r="O60" s="73"/>
      <c r="P60" s="74"/>
      <c r="Q60" s="74"/>
      <c r="R60" s="87"/>
      <c r="S60" s="87"/>
      <c r="T60" s="87"/>
      <c r="U60" s="87"/>
      <c r="V60" s="48"/>
      <c r="W60" s="48"/>
      <c r="X60" s="48"/>
      <c r="Y60" s="48"/>
      <c r="Z60" s="47"/>
      <c r="AA60" s="69">
        <v>60</v>
      </c>
      <c r="AB60" s="69"/>
      <c r="AC60" s="70"/>
      <c r="AD60" s="76" t="s">
        <v>11805</v>
      </c>
      <c r="AE60" s="80" t="s">
        <v>11422</v>
      </c>
      <c r="AF60" s="76">
        <v>2</v>
      </c>
      <c r="AG60" s="76">
        <v>2</v>
      </c>
      <c r="AH60" s="76">
        <v>170</v>
      </c>
      <c r="AI60" s="76">
        <v>0</v>
      </c>
      <c r="AJ60" s="76">
        <v>0</v>
      </c>
      <c r="AK60" s="76">
        <v>164</v>
      </c>
      <c r="AL60" s="76" t="b">
        <v>0</v>
      </c>
      <c r="AM60" s="78">
        <v>44798.860717592594</v>
      </c>
      <c r="AN60" s="76" t="s">
        <v>12907</v>
      </c>
      <c r="AO60" s="76" t="s">
        <v>13276</v>
      </c>
      <c r="AP60" s="82" t="str">
        <f>HYPERLINK("https://t.co/bVd4KymCTg")</f>
        <v>https://t.co/bVd4KymCTg</v>
      </c>
      <c r="AQ60" s="82" t="str">
        <f>HYPERLINK("http://www.conocimientoydesarrollo.com.co")</f>
        <v>http://www.conocimientoydesarrollo.com.co</v>
      </c>
      <c r="AR60" s="76" t="s">
        <v>13940</v>
      </c>
      <c r="AS60" s="76"/>
      <c r="AT60" s="76"/>
      <c r="AU60" s="76"/>
      <c r="AV60" s="76"/>
      <c r="AW60" s="82" t="str">
        <f>HYPERLINK("https://t.co/bVd4KymCTg")</f>
        <v>https://t.co/bVd4KymCTg</v>
      </c>
      <c r="AX60" s="76" t="b">
        <v>0</v>
      </c>
      <c r="AY60" s="76"/>
      <c r="AZ60" s="76"/>
      <c r="BA60" s="76" t="b">
        <v>0</v>
      </c>
      <c r="BB60" s="76" t="b">
        <v>1</v>
      </c>
      <c r="BC60" s="76" t="b">
        <v>1</v>
      </c>
      <c r="BD60" s="76" t="b">
        <v>0</v>
      </c>
      <c r="BE60" s="76" t="b">
        <v>0</v>
      </c>
      <c r="BF60" s="76" t="b">
        <v>0</v>
      </c>
      <c r="BG60" s="76" t="b">
        <v>0</v>
      </c>
      <c r="BH60" s="82" t="str">
        <f>HYPERLINK("https://pbs.twimg.com/profile_banners/1562902236417904640/1661461278")</f>
        <v>https://pbs.twimg.com/profile_banners/1562902236417904640/1661461278</v>
      </c>
      <c r="BI60" s="76"/>
      <c r="BJ60" s="76" t="s">
        <v>14450</v>
      </c>
      <c r="BK60" s="76" t="b">
        <v>0</v>
      </c>
      <c r="BL60" s="76"/>
      <c r="BM60" s="76" t="s">
        <v>66</v>
      </c>
      <c r="BN60" s="76" t="s">
        <v>14452</v>
      </c>
      <c r="BO60" s="82" t="str">
        <f>HYPERLINK("https://twitter.com/conocimientoyde")</f>
        <v>https://twitter.com/conocimientoyde</v>
      </c>
      <c r="BP60" s="2"/>
    </row>
    <row r="61" spans="1:68" x14ac:dyDescent="0.25">
      <c r="A61" s="62" t="s">
        <v>269</v>
      </c>
      <c r="B61" s="63"/>
      <c r="C61" s="63"/>
      <c r="D61" s="64"/>
      <c r="E61" s="66"/>
      <c r="F61" s="103" t="str">
        <f>HYPERLINK("https://pbs.twimg.com/profile_images/1610399190525280268/58orTEnn_normal.png")</f>
        <v>https://pbs.twimg.com/profile_images/1610399190525280268/58orTEnn_normal.png</v>
      </c>
      <c r="G61" s="63"/>
      <c r="H61" s="67"/>
      <c r="I61" s="68"/>
      <c r="J61" s="68"/>
      <c r="K61" s="67" t="s">
        <v>14510</v>
      </c>
      <c r="L61" s="71"/>
      <c r="M61" s="72"/>
      <c r="N61" s="72"/>
      <c r="O61" s="73"/>
      <c r="P61" s="74"/>
      <c r="Q61" s="74"/>
      <c r="R61" s="87"/>
      <c r="S61" s="87"/>
      <c r="T61" s="87"/>
      <c r="U61" s="87"/>
      <c r="V61" s="48"/>
      <c r="W61" s="48"/>
      <c r="X61" s="48"/>
      <c r="Y61" s="48"/>
      <c r="Z61" s="47"/>
      <c r="AA61" s="69">
        <v>61</v>
      </c>
      <c r="AB61" s="69"/>
      <c r="AC61" s="70"/>
      <c r="AD61" s="76" t="s">
        <v>11806</v>
      </c>
      <c r="AE61" s="80" t="s">
        <v>11320</v>
      </c>
      <c r="AF61" s="76">
        <v>0</v>
      </c>
      <c r="AG61" s="76">
        <v>1</v>
      </c>
      <c r="AH61" s="76">
        <v>2</v>
      </c>
      <c r="AI61" s="76">
        <v>0</v>
      </c>
      <c r="AJ61" s="76">
        <v>0</v>
      </c>
      <c r="AK61" s="76">
        <v>0</v>
      </c>
      <c r="AL61" s="76" t="b">
        <v>0</v>
      </c>
      <c r="AM61" s="78">
        <v>44929.926631944443</v>
      </c>
      <c r="AN61" s="76"/>
      <c r="AO61" s="76"/>
      <c r="AP61" s="76"/>
      <c r="AQ61" s="76"/>
      <c r="AR61" s="76"/>
      <c r="AS61" s="76"/>
      <c r="AT61" s="76"/>
      <c r="AU61" s="76"/>
      <c r="AV61" s="76"/>
      <c r="AW61" s="76"/>
      <c r="AX61" s="76" t="b">
        <v>0</v>
      </c>
      <c r="AY61" s="76"/>
      <c r="AZ61" s="76"/>
      <c r="BA61" s="76" t="b">
        <v>0</v>
      </c>
      <c r="BB61" s="76" t="b">
        <v>1</v>
      </c>
      <c r="BC61" s="76" t="b">
        <v>1</v>
      </c>
      <c r="BD61" s="76" t="b">
        <v>0</v>
      </c>
      <c r="BE61" s="76" t="b">
        <v>0</v>
      </c>
      <c r="BF61" s="76" t="b">
        <v>0</v>
      </c>
      <c r="BG61" s="76" t="b">
        <v>0</v>
      </c>
      <c r="BH61" s="76"/>
      <c r="BI61" s="76"/>
      <c r="BJ61" s="76" t="s">
        <v>14450</v>
      </c>
      <c r="BK61" s="76" t="b">
        <v>0</v>
      </c>
      <c r="BL61" s="76"/>
      <c r="BM61" s="76" t="s">
        <v>66</v>
      </c>
      <c r="BN61" s="76" t="s">
        <v>14452</v>
      </c>
      <c r="BO61" s="82" t="str">
        <f>HYPERLINK("https://twitter.com/nienna_26")</f>
        <v>https://twitter.com/nienna_26</v>
      </c>
      <c r="BP61" s="2"/>
    </row>
    <row r="62" spans="1:68" x14ac:dyDescent="0.25">
      <c r="A62" s="62" t="s">
        <v>880</v>
      </c>
      <c r="B62" s="63"/>
      <c r="C62" s="63"/>
      <c r="D62" s="64"/>
      <c r="E62" s="66"/>
      <c r="F62" s="103" t="str">
        <f>HYPERLINK("https://pbs.twimg.com/profile_images/1650547150827421696/A3yPh0r8_normal.jpg")</f>
        <v>https://pbs.twimg.com/profile_images/1650547150827421696/A3yPh0r8_normal.jpg</v>
      </c>
      <c r="G62" s="63"/>
      <c r="H62" s="67"/>
      <c r="I62" s="68"/>
      <c r="J62" s="68"/>
      <c r="K62" s="67" t="s">
        <v>14511</v>
      </c>
      <c r="L62" s="71"/>
      <c r="M62" s="72"/>
      <c r="N62" s="72"/>
      <c r="O62" s="73"/>
      <c r="P62" s="74"/>
      <c r="Q62" s="74"/>
      <c r="R62" s="87"/>
      <c r="S62" s="87"/>
      <c r="T62" s="87"/>
      <c r="U62" s="87"/>
      <c r="V62" s="48"/>
      <c r="W62" s="48"/>
      <c r="X62" s="48"/>
      <c r="Y62" s="48"/>
      <c r="Z62" s="47"/>
      <c r="AA62" s="69">
        <v>62</v>
      </c>
      <c r="AB62" s="69"/>
      <c r="AC62" s="70"/>
      <c r="AD62" s="76" t="s">
        <v>11807</v>
      </c>
      <c r="AE62" s="80" t="s">
        <v>12509</v>
      </c>
      <c r="AF62" s="76">
        <v>72584</v>
      </c>
      <c r="AG62" s="76">
        <v>15</v>
      </c>
      <c r="AH62" s="76">
        <v>8113</v>
      </c>
      <c r="AI62" s="76">
        <v>95</v>
      </c>
      <c r="AJ62" s="76">
        <v>1336</v>
      </c>
      <c r="AK62" s="76">
        <v>1770</v>
      </c>
      <c r="AL62" s="76" t="b">
        <v>0</v>
      </c>
      <c r="AM62" s="78">
        <v>41115.89266203704</v>
      </c>
      <c r="AN62" s="76" t="s">
        <v>7767</v>
      </c>
      <c r="AO62" s="76" t="s">
        <v>13277</v>
      </c>
      <c r="AP62" s="82" t="str">
        <f>HYPERLINK("https://t.co/DHjEn8R3w8")</f>
        <v>https://t.co/DHjEn8R3w8</v>
      </c>
      <c r="AQ62" s="82" t="str">
        <f>HYPERLINK("https://www.mercadolibre.com.mx/")</f>
        <v>https://www.mercadolibre.com.mx/</v>
      </c>
      <c r="AR62" s="76" t="s">
        <v>13941</v>
      </c>
      <c r="AS62" s="82" t="str">
        <f>HYPERLINK("https://t.co/N9Ttu7jIWI")</f>
        <v>https://t.co/N9Ttu7jIWI</v>
      </c>
      <c r="AT62" s="82" t="str">
        <f>HYPERLINK("http://meli.la/2vo9ypg")</f>
        <v>http://meli.la/2vo9ypg</v>
      </c>
      <c r="AU62" s="76" t="s">
        <v>14399</v>
      </c>
      <c r="AV62" s="76"/>
      <c r="AW62" s="82" t="str">
        <f>HYPERLINK("https://t.co/DHjEn8R3w8")</f>
        <v>https://t.co/DHjEn8R3w8</v>
      </c>
      <c r="AX62" s="76" t="b">
        <v>0</v>
      </c>
      <c r="AY62" s="76"/>
      <c r="AZ62" s="76"/>
      <c r="BA62" s="76" t="b">
        <v>1</v>
      </c>
      <c r="BB62" s="76" t="b">
        <v>1</v>
      </c>
      <c r="BC62" s="76" t="b">
        <v>0</v>
      </c>
      <c r="BD62" s="76" t="b">
        <v>0</v>
      </c>
      <c r="BE62" s="76" t="b">
        <v>1</v>
      </c>
      <c r="BF62" s="76" t="b">
        <v>0</v>
      </c>
      <c r="BG62" s="76" t="b">
        <v>0</v>
      </c>
      <c r="BH62" s="82" t="str">
        <f>HYPERLINK("https://pbs.twimg.com/profile_banners/716794968/1689883159")</f>
        <v>https://pbs.twimg.com/profile_banners/716794968/1689883159</v>
      </c>
      <c r="BI62" s="76"/>
      <c r="BJ62" s="76" t="s">
        <v>14450</v>
      </c>
      <c r="BK62" s="76" t="b">
        <v>0</v>
      </c>
      <c r="BL62" s="76"/>
      <c r="BM62" s="76" t="s">
        <v>65</v>
      </c>
      <c r="BN62" s="76" t="s">
        <v>14452</v>
      </c>
      <c r="BO62" s="82" t="str">
        <f>HYPERLINK("https://twitter.com/ml_mexico")</f>
        <v>https://twitter.com/ml_mexico</v>
      </c>
      <c r="BP62" s="2"/>
    </row>
    <row r="63" spans="1:68" x14ac:dyDescent="0.25">
      <c r="A63" s="62" t="s">
        <v>881</v>
      </c>
      <c r="B63" s="63"/>
      <c r="C63" s="63"/>
      <c r="D63" s="64"/>
      <c r="E63" s="66"/>
      <c r="F63" s="103" t="str">
        <f>HYPERLINK("https://pbs.twimg.com/profile_images/1467822737200762881/Tn6_qLkF_normal.jpg")</f>
        <v>https://pbs.twimg.com/profile_images/1467822737200762881/Tn6_qLkF_normal.jpg</v>
      </c>
      <c r="G63" s="63"/>
      <c r="H63" s="67"/>
      <c r="I63" s="68"/>
      <c r="J63" s="68"/>
      <c r="K63" s="67" t="s">
        <v>14512</v>
      </c>
      <c r="L63" s="71"/>
      <c r="M63" s="72"/>
      <c r="N63" s="72"/>
      <c r="O63" s="73"/>
      <c r="P63" s="74"/>
      <c r="Q63" s="74"/>
      <c r="R63" s="87"/>
      <c r="S63" s="87"/>
      <c r="T63" s="87"/>
      <c r="U63" s="87"/>
      <c r="V63" s="48"/>
      <c r="W63" s="48"/>
      <c r="X63" s="48"/>
      <c r="Y63" s="48"/>
      <c r="Z63" s="47"/>
      <c r="AA63" s="69">
        <v>63</v>
      </c>
      <c r="AB63" s="69"/>
      <c r="AC63" s="70"/>
      <c r="AD63" s="76" t="s">
        <v>11808</v>
      </c>
      <c r="AE63" s="80" t="s">
        <v>12510</v>
      </c>
      <c r="AF63" s="76">
        <v>215036</v>
      </c>
      <c r="AG63" s="76">
        <v>15</v>
      </c>
      <c r="AH63" s="76">
        <v>13271</v>
      </c>
      <c r="AI63" s="76">
        <v>642</v>
      </c>
      <c r="AJ63" s="76">
        <v>1270</v>
      </c>
      <c r="AK63" s="76">
        <v>461</v>
      </c>
      <c r="AL63" s="76" t="b">
        <v>0</v>
      </c>
      <c r="AM63" s="78">
        <v>39616.11550925926</v>
      </c>
      <c r="AN63" s="76"/>
      <c r="AO63" s="76" t="s">
        <v>13278</v>
      </c>
      <c r="AP63" s="82" t="str">
        <f>HYPERLINK("https://t.co/ZQo1ZHAfR1")</f>
        <v>https://t.co/ZQo1ZHAfR1</v>
      </c>
      <c r="AQ63" s="82" t="str">
        <f>HYPERLINK("https://www.mercadolibre.com/")</f>
        <v>https://www.mercadolibre.com/</v>
      </c>
      <c r="AR63" s="76" t="s">
        <v>13920</v>
      </c>
      <c r="AS63" s="76"/>
      <c r="AT63" s="76"/>
      <c r="AU63" s="76"/>
      <c r="AV63" s="76"/>
      <c r="AW63" s="82" t="str">
        <f>HYPERLINK("https://t.co/ZQo1ZHAfR1")</f>
        <v>https://t.co/ZQo1ZHAfR1</v>
      </c>
      <c r="AX63" s="76" t="b">
        <v>0</v>
      </c>
      <c r="AY63" s="76"/>
      <c r="AZ63" s="76"/>
      <c r="BA63" s="76" t="b">
        <v>1</v>
      </c>
      <c r="BB63" s="76" t="b">
        <v>1</v>
      </c>
      <c r="BC63" s="76" t="b">
        <v>0</v>
      </c>
      <c r="BD63" s="76" t="b">
        <v>0</v>
      </c>
      <c r="BE63" s="76" t="b">
        <v>1</v>
      </c>
      <c r="BF63" s="76" t="b">
        <v>0</v>
      </c>
      <c r="BG63" s="76" t="b">
        <v>0</v>
      </c>
      <c r="BH63" s="82" t="str">
        <f>HYPERLINK("https://pbs.twimg.com/profile_banners/15141406/1641909425")</f>
        <v>https://pbs.twimg.com/profile_banners/15141406/1641909425</v>
      </c>
      <c r="BI63" s="76"/>
      <c r="BJ63" s="76" t="s">
        <v>14450</v>
      </c>
      <c r="BK63" s="76" t="b">
        <v>0</v>
      </c>
      <c r="BL63" s="76"/>
      <c r="BM63" s="76" t="s">
        <v>65</v>
      </c>
      <c r="BN63" s="76" t="s">
        <v>14452</v>
      </c>
      <c r="BO63" s="82" t="str">
        <f>HYPERLINK("https://twitter.com/mercadolibre")</f>
        <v>https://twitter.com/mercadolibre</v>
      </c>
      <c r="BP63" s="2"/>
    </row>
    <row r="64" spans="1:68" x14ac:dyDescent="0.25">
      <c r="A64" s="62" t="s">
        <v>270</v>
      </c>
      <c r="B64" s="63"/>
      <c r="C64" s="63"/>
      <c r="D64" s="64"/>
      <c r="E64" s="66"/>
      <c r="F64" s="103" t="str">
        <f>HYPERLINK("https://pbs.twimg.com/profile_images/1247315032477700096/TTXRp4dm_normal.jpg")</f>
        <v>https://pbs.twimg.com/profile_images/1247315032477700096/TTXRp4dm_normal.jpg</v>
      </c>
      <c r="G64" s="63"/>
      <c r="H64" s="67"/>
      <c r="I64" s="68"/>
      <c r="J64" s="68"/>
      <c r="K64" s="67" t="s">
        <v>14513</v>
      </c>
      <c r="L64" s="71"/>
      <c r="M64" s="72"/>
      <c r="N64" s="72"/>
      <c r="O64" s="73"/>
      <c r="P64" s="74"/>
      <c r="Q64" s="74"/>
      <c r="R64" s="87"/>
      <c r="S64" s="87"/>
      <c r="T64" s="87"/>
      <c r="U64" s="87"/>
      <c r="V64" s="48"/>
      <c r="W64" s="48"/>
      <c r="X64" s="48"/>
      <c r="Y64" s="48"/>
      <c r="Z64" s="47"/>
      <c r="AA64" s="69">
        <v>64</v>
      </c>
      <c r="AB64" s="69"/>
      <c r="AC64" s="70"/>
      <c r="AD64" s="76" t="s">
        <v>11809</v>
      </c>
      <c r="AE64" s="80" t="s">
        <v>11423</v>
      </c>
      <c r="AF64" s="76">
        <v>66</v>
      </c>
      <c r="AG64" s="76">
        <v>243</v>
      </c>
      <c r="AH64" s="76">
        <v>874</v>
      </c>
      <c r="AI64" s="76">
        <v>0</v>
      </c>
      <c r="AJ64" s="76">
        <v>73</v>
      </c>
      <c r="AK64" s="76">
        <v>851</v>
      </c>
      <c r="AL64" s="76" t="b">
        <v>0</v>
      </c>
      <c r="AM64" s="78">
        <v>43928.004733796297</v>
      </c>
      <c r="AN64" s="76"/>
      <c r="AO64" s="76" t="s">
        <v>13279</v>
      </c>
      <c r="AP64" s="82" t="str">
        <f>HYPERLINK("https://t.co/vZbphkfBPp")</f>
        <v>https://t.co/vZbphkfBPp</v>
      </c>
      <c r="AQ64" s="82" t="str">
        <f>HYPERLINK("https://tnoa.com.ar/")</f>
        <v>https://tnoa.com.ar/</v>
      </c>
      <c r="AR64" s="76" t="s">
        <v>13942</v>
      </c>
      <c r="AS64" s="76"/>
      <c r="AT64" s="76"/>
      <c r="AU64" s="76"/>
      <c r="AV64" s="76"/>
      <c r="AW64" s="82" t="str">
        <f>HYPERLINK("https://t.co/vZbphkfBPp")</f>
        <v>https://t.co/vZbphkfBPp</v>
      </c>
      <c r="AX64" s="76" t="b">
        <v>0</v>
      </c>
      <c r="AY64" s="76"/>
      <c r="AZ64" s="76"/>
      <c r="BA64" s="76" t="b">
        <v>0</v>
      </c>
      <c r="BB64" s="76" t="b">
        <v>1</v>
      </c>
      <c r="BC64" s="76" t="b">
        <v>1</v>
      </c>
      <c r="BD64" s="76" t="b">
        <v>0</v>
      </c>
      <c r="BE64" s="76" t="b">
        <v>0</v>
      </c>
      <c r="BF64" s="76" t="b">
        <v>0</v>
      </c>
      <c r="BG64" s="76" t="b">
        <v>0</v>
      </c>
      <c r="BH64" s="82" t="str">
        <f>HYPERLINK("https://pbs.twimg.com/profile_banners/1247314773064192001/1633060102")</f>
        <v>https://pbs.twimg.com/profile_banners/1247314773064192001/1633060102</v>
      </c>
      <c r="BI64" s="76"/>
      <c r="BJ64" s="76" t="s">
        <v>14450</v>
      </c>
      <c r="BK64" s="76" t="b">
        <v>0</v>
      </c>
      <c r="BL64" s="76"/>
      <c r="BM64" s="76" t="s">
        <v>66</v>
      </c>
      <c r="BN64" s="76" t="s">
        <v>14452</v>
      </c>
      <c r="BO64" s="82" t="str">
        <f>HYPERLINK("https://twitter.com/trabajoenelnoa")</f>
        <v>https://twitter.com/trabajoenelnoa</v>
      </c>
      <c r="BP64" s="2"/>
    </row>
    <row r="65" spans="1:68" x14ac:dyDescent="0.25">
      <c r="A65" s="62" t="s">
        <v>271</v>
      </c>
      <c r="B65" s="63"/>
      <c r="C65" s="63"/>
      <c r="D65" s="64"/>
      <c r="E65" s="66"/>
      <c r="F65" s="103" t="str">
        <f>HYPERLINK("https://pbs.twimg.com/profile_images/1650264573344088064/OabGrI3z_normal.jpg")</f>
        <v>https://pbs.twimg.com/profile_images/1650264573344088064/OabGrI3z_normal.jpg</v>
      </c>
      <c r="G65" s="63"/>
      <c r="H65" s="67"/>
      <c r="I65" s="68"/>
      <c r="J65" s="68"/>
      <c r="K65" s="67" t="s">
        <v>14514</v>
      </c>
      <c r="L65" s="71"/>
      <c r="M65" s="72"/>
      <c r="N65" s="72"/>
      <c r="O65" s="73"/>
      <c r="P65" s="74"/>
      <c r="Q65" s="74"/>
      <c r="R65" s="87"/>
      <c r="S65" s="87"/>
      <c r="T65" s="87"/>
      <c r="U65" s="87"/>
      <c r="V65" s="48"/>
      <c r="W65" s="48"/>
      <c r="X65" s="48"/>
      <c r="Y65" s="48"/>
      <c r="Z65" s="47"/>
      <c r="AA65" s="69">
        <v>65</v>
      </c>
      <c r="AB65" s="69"/>
      <c r="AC65" s="70"/>
      <c r="AD65" s="76" t="s">
        <v>11810</v>
      </c>
      <c r="AE65" s="80" t="s">
        <v>11424</v>
      </c>
      <c r="AF65" s="76">
        <v>9</v>
      </c>
      <c r="AG65" s="76">
        <v>1</v>
      </c>
      <c r="AH65" s="76">
        <v>416</v>
      </c>
      <c r="AI65" s="76">
        <v>0</v>
      </c>
      <c r="AJ65" s="76">
        <v>12</v>
      </c>
      <c r="AK65" s="76">
        <v>395</v>
      </c>
      <c r="AL65" s="76" t="b">
        <v>0</v>
      </c>
      <c r="AM65" s="78">
        <v>42753.666747685187</v>
      </c>
      <c r="AN65" s="76" t="s">
        <v>12908</v>
      </c>
      <c r="AO65" s="76" t="s">
        <v>13280</v>
      </c>
      <c r="AP65" s="82" t="str">
        <f>HYPERLINK("https://t.co/zbXqyd61S8")</f>
        <v>https://t.co/zbXqyd61S8</v>
      </c>
      <c r="AQ65" s="82" t="str">
        <f>HYPERLINK("https://timbralofacil.com")</f>
        <v>https://timbralofacil.com</v>
      </c>
      <c r="AR65" s="76" t="s">
        <v>13943</v>
      </c>
      <c r="AS65" s="76"/>
      <c r="AT65" s="76"/>
      <c r="AU65" s="76"/>
      <c r="AV65" s="76"/>
      <c r="AW65" s="82" t="str">
        <f>HYPERLINK("https://t.co/zbXqyd61S8")</f>
        <v>https://t.co/zbXqyd61S8</v>
      </c>
      <c r="AX65" s="76" t="b">
        <v>0</v>
      </c>
      <c r="AY65" s="76"/>
      <c r="AZ65" s="76"/>
      <c r="BA65" s="76" t="b">
        <v>1</v>
      </c>
      <c r="BB65" s="76" t="b">
        <v>1</v>
      </c>
      <c r="BC65" s="76" t="b">
        <v>1</v>
      </c>
      <c r="BD65" s="76" t="b">
        <v>0</v>
      </c>
      <c r="BE65" s="76" t="b">
        <v>0</v>
      </c>
      <c r="BF65" s="76" t="b">
        <v>0</v>
      </c>
      <c r="BG65" s="76" t="b">
        <v>0</v>
      </c>
      <c r="BH65" s="82" t="str">
        <f>HYPERLINK("https://pbs.twimg.com/profile_banners/821749014005710848/1663996679")</f>
        <v>https://pbs.twimg.com/profile_banners/821749014005710848/1663996679</v>
      </c>
      <c r="BI65" s="76"/>
      <c r="BJ65" s="76" t="s">
        <v>14450</v>
      </c>
      <c r="BK65" s="76" t="b">
        <v>0</v>
      </c>
      <c r="BL65" s="76"/>
      <c r="BM65" s="76" t="s">
        <v>66</v>
      </c>
      <c r="BN65" s="76" t="s">
        <v>14452</v>
      </c>
      <c r="BO65" s="82" t="str">
        <f>HYPERLINK("https://twitter.com/timbralofacil")</f>
        <v>https://twitter.com/timbralofacil</v>
      </c>
      <c r="BP65" s="2"/>
    </row>
    <row r="66" spans="1:68" x14ac:dyDescent="0.25">
      <c r="A66" s="62" t="s">
        <v>272</v>
      </c>
      <c r="B66" s="63"/>
      <c r="C66" s="63"/>
      <c r="D66" s="64"/>
      <c r="E66" s="66"/>
      <c r="F66" s="103" t="str">
        <f>HYPERLINK("https://pbs.twimg.com/profile_images/1469623883695366150/fglSayzd_normal.jpg")</f>
        <v>https://pbs.twimg.com/profile_images/1469623883695366150/fglSayzd_normal.jpg</v>
      </c>
      <c r="G66" s="63"/>
      <c r="H66" s="67"/>
      <c r="I66" s="68"/>
      <c r="J66" s="68"/>
      <c r="K66" s="67" t="s">
        <v>14515</v>
      </c>
      <c r="L66" s="71"/>
      <c r="M66" s="72"/>
      <c r="N66" s="72"/>
      <c r="O66" s="73"/>
      <c r="P66" s="74"/>
      <c r="Q66" s="74"/>
      <c r="R66" s="87"/>
      <c r="S66" s="87"/>
      <c r="T66" s="87"/>
      <c r="U66" s="87"/>
      <c r="V66" s="48"/>
      <c r="W66" s="48"/>
      <c r="X66" s="48"/>
      <c r="Y66" s="48"/>
      <c r="Z66" s="47"/>
      <c r="AA66" s="69">
        <v>66</v>
      </c>
      <c r="AB66" s="69"/>
      <c r="AC66" s="70"/>
      <c r="AD66" s="76" t="s">
        <v>11811</v>
      </c>
      <c r="AE66" s="80" t="s">
        <v>12511</v>
      </c>
      <c r="AF66" s="76">
        <v>396</v>
      </c>
      <c r="AG66" s="76">
        <v>231</v>
      </c>
      <c r="AH66" s="76">
        <v>822</v>
      </c>
      <c r="AI66" s="76">
        <v>9</v>
      </c>
      <c r="AJ66" s="76">
        <v>22</v>
      </c>
      <c r="AK66" s="76">
        <v>307</v>
      </c>
      <c r="AL66" s="76" t="b">
        <v>0</v>
      </c>
      <c r="AM66" s="78">
        <v>39996.944305555553</v>
      </c>
      <c r="AN66" s="76" t="s">
        <v>12909</v>
      </c>
      <c r="AO66" s="76" t="s">
        <v>13281</v>
      </c>
      <c r="AP66" s="82" t="str">
        <f>HYPERLINK("https://t.co/cgDA1Q3NAf")</f>
        <v>https://t.co/cgDA1Q3NAf</v>
      </c>
      <c r="AQ66" s="82" t="str">
        <f>HYPERLINK("http://www.rocketmentoring.com.br")</f>
        <v>http://www.rocketmentoring.com.br</v>
      </c>
      <c r="AR66" s="76" t="s">
        <v>13944</v>
      </c>
      <c r="AS66" s="76"/>
      <c r="AT66" s="76"/>
      <c r="AU66" s="76"/>
      <c r="AV66" s="76"/>
      <c r="AW66" s="82" t="str">
        <f>HYPERLINK("https://t.co/cgDA1Q3NAf")</f>
        <v>https://t.co/cgDA1Q3NAf</v>
      </c>
      <c r="AX66" s="76" t="b">
        <v>0</v>
      </c>
      <c r="AY66" s="76"/>
      <c r="AZ66" s="76"/>
      <c r="BA66" s="76" t="b">
        <v>0</v>
      </c>
      <c r="BB66" s="76" t="b">
        <v>1</v>
      </c>
      <c r="BC66" s="76" t="b">
        <v>0</v>
      </c>
      <c r="BD66" s="76" t="b">
        <v>0</v>
      </c>
      <c r="BE66" s="76" t="b">
        <v>0</v>
      </c>
      <c r="BF66" s="76" t="b">
        <v>0</v>
      </c>
      <c r="BG66" s="76" t="b">
        <v>0</v>
      </c>
      <c r="BH66" s="82" t="str">
        <f>HYPERLINK("https://pbs.twimg.com/profile_banners/53212118/1461068203")</f>
        <v>https://pbs.twimg.com/profile_banners/53212118/1461068203</v>
      </c>
      <c r="BI66" s="76"/>
      <c r="BJ66" s="76" t="s">
        <v>14450</v>
      </c>
      <c r="BK66" s="76" t="b">
        <v>0</v>
      </c>
      <c r="BL66" s="76"/>
      <c r="BM66" s="76" t="s">
        <v>66</v>
      </c>
      <c r="BN66" s="76" t="s">
        <v>14452</v>
      </c>
      <c r="BO66" s="82" t="str">
        <f>HYPERLINK("https://twitter.com/geraimpacto")</f>
        <v>https://twitter.com/geraimpacto</v>
      </c>
      <c r="BP66" s="2"/>
    </row>
    <row r="67" spans="1:68" x14ac:dyDescent="0.25">
      <c r="A67" s="62" t="s">
        <v>273</v>
      </c>
      <c r="B67" s="63"/>
      <c r="C67" s="63"/>
      <c r="D67" s="64"/>
      <c r="E67" s="66"/>
      <c r="F67" s="103" t="str">
        <f>HYPERLINK("https://pbs.twimg.com/profile_images/1554483764465750020/kENiaBV1_normal.jpg")</f>
        <v>https://pbs.twimg.com/profile_images/1554483764465750020/kENiaBV1_normal.jpg</v>
      </c>
      <c r="G67" s="63"/>
      <c r="H67" s="67"/>
      <c r="I67" s="68"/>
      <c r="J67" s="68"/>
      <c r="K67" s="67" t="s">
        <v>14516</v>
      </c>
      <c r="L67" s="71"/>
      <c r="M67" s="72"/>
      <c r="N67" s="72"/>
      <c r="O67" s="73"/>
      <c r="P67" s="74"/>
      <c r="Q67" s="74"/>
      <c r="R67" s="87"/>
      <c r="S67" s="87"/>
      <c r="T67" s="87"/>
      <c r="U67" s="87"/>
      <c r="V67" s="48"/>
      <c r="W67" s="48"/>
      <c r="X67" s="48"/>
      <c r="Y67" s="48"/>
      <c r="Z67" s="47"/>
      <c r="AA67" s="69">
        <v>67</v>
      </c>
      <c r="AB67" s="69"/>
      <c r="AC67" s="70"/>
      <c r="AD67" s="76" t="s">
        <v>11812</v>
      </c>
      <c r="AE67" s="80" t="s">
        <v>12512</v>
      </c>
      <c r="AF67" s="76">
        <v>56</v>
      </c>
      <c r="AG67" s="76">
        <v>7</v>
      </c>
      <c r="AH67" s="76">
        <v>3375</v>
      </c>
      <c r="AI67" s="76">
        <v>0</v>
      </c>
      <c r="AJ67" s="76">
        <v>54</v>
      </c>
      <c r="AK67" s="76">
        <v>3361</v>
      </c>
      <c r="AL67" s="76" t="b">
        <v>0</v>
      </c>
      <c r="AM67" s="78">
        <v>42306.670347222222</v>
      </c>
      <c r="AN67" s="76" t="s">
        <v>12910</v>
      </c>
      <c r="AO67" s="76" t="s">
        <v>13282</v>
      </c>
      <c r="AP67" s="82" t="str">
        <f>HYPERLINK("https://t.co/l91PRLmzVt")</f>
        <v>https://t.co/l91PRLmzVt</v>
      </c>
      <c r="AQ67" s="82" t="str">
        <f>HYPERLINK("http://www.shugardeli.com")</f>
        <v>http://www.shugardeli.com</v>
      </c>
      <c r="AR67" s="76" t="s">
        <v>13945</v>
      </c>
      <c r="AS67" s="76"/>
      <c r="AT67" s="76"/>
      <c r="AU67" s="76"/>
      <c r="AV67" s="76"/>
      <c r="AW67" s="82" t="str">
        <f>HYPERLINK("https://t.co/l91PRLmzVt")</f>
        <v>https://t.co/l91PRLmzVt</v>
      </c>
      <c r="AX67" s="76" t="b">
        <v>0</v>
      </c>
      <c r="AY67" s="76"/>
      <c r="AZ67" s="76"/>
      <c r="BA67" s="76" t="b">
        <v>1</v>
      </c>
      <c r="BB67" s="76" t="b">
        <v>1</v>
      </c>
      <c r="BC67" s="76" t="b">
        <v>0</v>
      </c>
      <c r="BD67" s="76" t="b">
        <v>0</v>
      </c>
      <c r="BE67" s="76" t="b">
        <v>0</v>
      </c>
      <c r="BF67" s="76" t="b">
        <v>0</v>
      </c>
      <c r="BG67" s="76" t="b">
        <v>0</v>
      </c>
      <c r="BH67" s="82" t="str">
        <f>HYPERLINK("https://pbs.twimg.com/profile_banners/4059092172/1677318003")</f>
        <v>https://pbs.twimg.com/profile_banners/4059092172/1677318003</v>
      </c>
      <c r="BI67" s="76"/>
      <c r="BJ67" s="76" t="s">
        <v>14450</v>
      </c>
      <c r="BK67" s="76" t="b">
        <v>0</v>
      </c>
      <c r="BL67" s="76"/>
      <c r="BM67" s="76" t="s">
        <v>66</v>
      </c>
      <c r="BN67" s="76" t="s">
        <v>14452</v>
      </c>
      <c r="BO67" s="82" t="str">
        <f>HYPERLINK("https://twitter.com/shugardeli1")</f>
        <v>https://twitter.com/shugardeli1</v>
      </c>
      <c r="BP67" s="2"/>
    </row>
    <row r="68" spans="1:68" x14ac:dyDescent="0.25">
      <c r="A68" s="62" t="s">
        <v>274</v>
      </c>
      <c r="B68" s="63"/>
      <c r="C68" s="63"/>
      <c r="D68" s="64"/>
      <c r="E68" s="66"/>
      <c r="F68" s="103" t="str">
        <f>HYPERLINK("https://pbs.twimg.com/profile_images/1106132897688440832/v-_2eQuH_normal.png")</f>
        <v>https://pbs.twimg.com/profile_images/1106132897688440832/v-_2eQuH_normal.png</v>
      </c>
      <c r="G68" s="63"/>
      <c r="H68" s="67"/>
      <c r="I68" s="68"/>
      <c r="J68" s="68"/>
      <c r="K68" s="67" t="s">
        <v>14517</v>
      </c>
      <c r="L68" s="71"/>
      <c r="M68" s="72"/>
      <c r="N68" s="72"/>
      <c r="O68" s="73"/>
      <c r="P68" s="74"/>
      <c r="Q68" s="74"/>
      <c r="R68" s="87"/>
      <c r="S68" s="87"/>
      <c r="T68" s="87"/>
      <c r="U68" s="87"/>
      <c r="V68" s="48"/>
      <c r="W68" s="48"/>
      <c r="X68" s="48"/>
      <c r="Y68" s="48"/>
      <c r="Z68" s="47"/>
      <c r="AA68" s="69">
        <v>68</v>
      </c>
      <c r="AB68" s="69"/>
      <c r="AC68" s="70"/>
      <c r="AD68" s="76" t="s">
        <v>11813</v>
      </c>
      <c r="AE68" s="80" t="s">
        <v>12513</v>
      </c>
      <c r="AF68" s="76">
        <v>1244</v>
      </c>
      <c r="AG68" s="76">
        <v>552</v>
      </c>
      <c r="AH68" s="76">
        <v>2957</v>
      </c>
      <c r="AI68" s="76">
        <v>0</v>
      </c>
      <c r="AJ68" s="76">
        <v>610</v>
      </c>
      <c r="AK68" s="76">
        <v>647</v>
      </c>
      <c r="AL68" s="76" t="b">
        <v>0</v>
      </c>
      <c r="AM68" s="78">
        <v>40871.789699074077</v>
      </c>
      <c r="AN68" s="76" t="s">
        <v>12911</v>
      </c>
      <c r="AO68" s="76" t="s">
        <v>13283</v>
      </c>
      <c r="AP68" s="82" t="str">
        <f>HYPERLINK("http://t.co/zR4qu4Z5Gh")</f>
        <v>http://t.co/zR4qu4Z5Gh</v>
      </c>
      <c r="AQ68" s="82" t="str">
        <f>HYPERLINK("http://www.vivendex.com")</f>
        <v>http://www.vivendex.com</v>
      </c>
      <c r="AR68" s="76" t="s">
        <v>4227</v>
      </c>
      <c r="AS68" s="76"/>
      <c r="AT68" s="76"/>
      <c r="AU68" s="76"/>
      <c r="AV68" s="76"/>
      <c r="AW68" s="82" t="str">
        <f>HYPERLINK("http://t.co/zR4qu4Z5Gh")</f>
        <v>http://t.co/zR4qu4Z5Gh</v>
      </c>
      <c r="AX68" s="76" t="b">
        <v>0</v>
      </c>
      <c r="AY68" s="76"/>
      <c r="AZ68" s="76"/>
      <c r="BA68" s="76" t="b">
        <v>0</v>
      </c>
      <c r="BB68" s="76" t="b">
        <v>1</v>
      </c>
      <c r="BC68" s="76" t="b">
        <v>0</v>
      </c>
      <c r="BD68" s="76" t="b">
        <v>0</v>
      </c>
      <c r="BE68" s="76" t="b">
        <v>0</v>
      </c>
      <c r="BF68" s="76" t="b">
        <v>0</v>
      </c>
      <c r="BG68" s="76" t="b">
        <v>0</v>
      </c>
      <c r="BH68" s="82" t="str">
        <f>HYPERLINK("https://pbs.twimg.com/profile_banners/420522863/1615568120")</f>
        <v>https://pbs.twimg.com/profile_banners/420522863/1615568120</v>
      </c>
      <c r="BI68" s="76"/>
      <c r="BJ68" s="76" t="s">
        <v>14450</v>
      </c>
      <c r="BK68" s="76" t="b">
        <v>0</v>
      </c>
      <c r="BL68" s="76"/>
      <c r="BM68" s="76" t="s">
        <v>66</v>
      </c>
      <c r="BN68" s="76" t="s">
        <v>14452</v>
      </c>
      <c r="BO68" s="82" t="str">
        <f>HYPERLINK("https://twitter.com/vivendex")</f>
        <v>https://twitter.com/vivendex</v>
      </c>
      <c r="BP68" s="2"/>
    </row>
    <row r="69" spans="1:68" x14ac:dyDescent="0.25">
      <c r="A69" s="62" t="s">
        <v>275</v>
      </c>
      <c r="B69" s="63"/>
      <c r="C69" s="63"/>
      <c r="D69" s="64"/>
      <c r="E69" s="66"/>
      <c r="F69" s="103" t="str">
        <f>HYPERLINK("https://pbs.twimg.com/profile_images/1453464781868969993/Z-GK7S8m_normal.jpg")</f>
        <v>https://pbs.twimg.com/profile_images/1453464781868969993/Z-GK7S8m_normal.jpg</v>
      </c>
      <c r="G69" s="63"/>
      <c r="H69" s="67"/>
      <c r="I69" s="68"/>
      <c r="J69" s="68"/>
      <c r="K69" s="67" t="s">
        <v>14518</v>
      </c>
      <c r="L69" s="71"/>
      <c r="M69" s="72"/>
      <c r="N69" s="72"/>
      <c r="O69" s="73"/>
      <c r="P69" s="74"/>
      <c r="Q69" s="74"/>
      <c r="R69" s="87"/>
      <c r="S69" s="87"/>
      <c r="T69" s="87"/>
      <c r="U69" s="87"/>
      <c r="V69" s="48"/>
      <c r="W69" s="48"/>
      <c r="X69" s="48"/>
      <c r="Y69" s="48"/>
      <c r="Z69" s="47"/>
      <c r="AA69" s="69">
        <v>69</v>
      </c>
      <c r="AB69" s="69"/>
      <c r="AC69" s="70"/>
      <c r="AD69" s="76" t="s">
        <v>11814</v>
      </c>
      <c r="AE69" s="80" t="s">
        <v>11425</v>
      </c>
      <c r="AF69" s="76">
        <v>2332</v>
      </c>
      <c r="AG69" s="76">
        <v>205</v>
      </c>
      <c r="AH69" s="76">
        <v>19429</v>
      </c>
      <c r="AI69" s="76">
        <v>13</v>
      </c>
      <c r="AJ69" s="76">
        <v>54</v>
      </c>
      <c r="AK69" s="76">
        <v>5543</v>
      </c>
      <c r="AL69" s="76" t="b">
        <v>0</v>
      </c>
      <c r="AM69" s="78">
        <v>44496.132835648146</v>
      </c>
      <c r="AN69" s="76" t="s">
        <v>12912</v>
      </c>
      <c r="AO69" s="76" t="s">
        <v>13284</v>
      </c>
      <c r="AP69" s="82" t="str">
        <f>HYPERLINK("https://t.co/bqxbDeSuMI")</f>
        <v>https://t.co/bqxbDeSuMI</v>
      </c>
      <c r="AQ69" s="82" t="str">
        <f>HYPERLINK("http://www.elbonaerense.news")</f>
        <v>http://www.elbonaerense.news</v>
      </c>
      <c r="AR69" s="76" t="s">
        <v>4228</v>
      </c>
      <c r="AS69" s="76"/>
      <c r="AT69" s="76"/>
      <c r="AU69" s="76"/>
      <c r="AV69" s="76">
        <v>1.6571481311825101E+18</v>
      </c>
      <c r="AW69" s="82" t="str">
        <f>HYPERLINK("https://t.co/bqxbDeSuMI")</f>
        <v>https://t.co/bqxbDeSuMI</v>
      </c>
      <c r="AX69" s="76" t="b">
        <v>0</v>
      </c>
      <c r="AY69" s="76"/>
      <c r="AZ69" s="76"/>
      <c r="BA69" s="76" t="b">
        <v>0</v>
      </c>
      <c r="BB69" s="76" t="b">
        <v>1</v>
      </c>
      <c r="BC69" s="76" t="b">
        <v>1</v>
      </c>
      <c r="BD69" s="76" t="b">
        <v>0</v>
      </c>
      <c r="BE69" s="76" t="b">
        <v>0</v>
      </c>
      <c r="BF69" s="76" t="b">
        <v>0</v>
      </c>
      <c r="BG69" s="76" t="b">
        <v>0</v>
      </c>
      <c r="BH69" s="82" t="str">
        <f>HYPERLINK("https://pbs.twimg.com/profile_banners/1453197538543083521/1676392482")</f>
        <v>https://pbs.twimg.com/profile_banners/1453197538543083521/1676392482</v>
      </c>
      <c r="BI69" s="76"/>
      <c r="BJ69" s="76" t="s">
        <v>14450</v>
      </c>
      <c r="BK69" s="76" t="b">
        <v>0</v>
      </c>
      <c r="BL69" s="76"/>
      <c r="BM69" s="76" t="s">
        <v>66</v>
      </c>
      <c r="BN69" s="76" t="s">
        <v>14452</v>
      </c>
      <c r="BO69" s="82" t="str">
        <f>HYPERLINK("https://twitter.com/elbonanews")</f>
        <v>https://twitter.com/elbonanews</v>
      </c>
      <c r="BP69" s="2"/>
    </row>
    <row r="70" spans="1:68" x14ac:dyDescent="0.25">
      <c r="A70" s="62" t="s">
        <v>276</v>
      </c>
      <c r="B70" s="63"/>
      <c r="C70" s="63"/>
      <c r="D70" s="64"/>
      <c r="E70" s="66"/>
      <c r="F70" s="103" t="str">
        <f>HYPERLINK("https://pbs.twimg.com/profile_images/1230943001779822594/J-N-Dc2S_normal.jpg")</f>
        <v>https://pbs.twimg.com/profile_images/1230943001779822594/J-N-Dc2S_normal.jpg</v>
      </c>
      <c r="G70" s="63"/>
      <c r="H70" s="67"/>
      <c r="I70" s="68"/>
      <c r="J70" s="68"/>
      <c r="K70" s="67" t="s">
        <v>14519</v>
      </c>
      <c r="L70" s="71"/>
      <c r="M70" s="72"/>
      <c r="N70" s="72"/>
      <c r="O70" s="73"/>
      <c r="P70" s="74"/>
      <c r="Q70" s="74"/>
      <c r="R70" s="87"/>
      <c r="S70" s="87"/>
      <c r="T70" s="87"/>
      <c r="U70" s="87"/>
      <c r="V70" s="48"/>
      <c r="W70" s="48"/>
      <c r="X70" s="48"/>
      <c r="Y70" s="48"/>
      <c r="Z70" s="47"/>
      <c r="AA70" s="69">
        <v>70</v>
      </c>
      <c r="AB70" s="69"/>
      <c r="AC70" s="70"/>
      <c r="AD70" s="76" t="s">
        <v>11815</v>
      </c>
      <c r="AE70" s="80" t="s">
        <v>12514</v>
      </c>
      <c r="AF70" s="76">
        <v>131</v>
      </c>
      <c r="AG70" s="76">
        <v>218</v>
      </c>
      <c r="AH70" s="76">
        <v>5586</v>
      </c>
      <c r="AI70" s="76">
        <v>0</v>
      </c>
      <c r="AJ70" s="76">
        <v>267</v>
      </c>
      <c r="AK70" s="76">
        <v>5028</v>
      </c>
      <c r="AL70" s="76" t="b">
        <v>0</v>
      </c>
      <c r="AM70" s="78">
        <v>40192.721226851849</v>
      </c>
      <c r="AN70" s="76" t="s">
        <v>12913</v>
      </c>
      <c r="AO70" s="76" t="s">
        <v>13285</v>
      </c>
      <c r="AP70" s="82" t="str">
        <f>HYPERLINK("https://t.co/7FrzCZg3KP")</f>
        <v>https://t.co/7FrzCZg3KP</v>
      </c>
      <c r="AQ70" s="82" t="str">
        <f>HYPERLINK("https://itsmy.bio/EliteWebTechnology")</f>
        <v>https://itsmy.bio/EliteWebTechnology</v>
      </c>
      <c r="AR70" s="76" t="s">
        <v>13946</v>
      </c>
      <c r="AS70" s="76"/>
      <c r="AT70" s="76"/>
      <c r="AU70" s="76"/>
      <c r="AV70" s="76">
        <v>1.0657594101344399E+18</v>
      </c>
      <c r="AW70" s="82" t="str">
        <f>HYPERLINK("https://t.co/7FrzCZg3KP")</f>
        <v>https://t.co/7FrzCZg3KP</v>
      </c>
      <c r="AX70" s="76" t="b">
        <v>0</v>
      </c>
      <c r="AY70" s="76"/>
      <c r="AZ70" s="76"/>
      <c r="BA70" s="76" t="b">
        <v>0</v>
      </c>
      <c r="BB70" s="76" t="b">
        <v>1</v>
      </c>
      <c r="BC70" s="76" t="b">
        <v>0</v>
      </c>
      <c r="BD70" s="76" t="b">
        <v>0</v>
      </c>
      <c r="BE70" s="76" t="b">
        <v>0</v>
      </c>
      <c r="BF70" s="76" t="b">
        <v>0</v>
      </c>
      <c r="BG70" s="76" t="b">
        <v>0</v>
      </c>
      <c r="BH70" s="82" t="str">
        <f>HYPERLINK("https://pbs.twimg.com/profile_banners/104871338/1583340902")</f>
        <v>https://pbs.twimg.com/profile_banners/104871338/1583340902</v>
      </c>
      <c r="BI70" s="76"/>
      <c r="BJ70" s="76" t="s">
        <v>14450</v>
      </c>
      <c r="BK70" s="76" t="b">
        <v>0</v>
      </c>
      <c r="BL70" s="76"/>
      <c r="BM70" s="76" t="s">
        <v>66</v>
      </c>
      <c r="BN70" s="76" t="s">
        <v>14452</v>
      </c>
      <c r="BO70" s="82" t="str">
        <f>HYPERLINK("https://twitter.com/merchantsguider")</f>
        <v>https://twitter.com/merchantsguider</v>
      </c>
      <c r="BP70" s="2"/>
    </row>
    <row r="71" spans="1:68" x14ac:dyDescent="0.25">
      <c r="A71" s="62" t="s">
        <v>277</v>
      </c>
      <c r="B71" s="63"/>
      <c r="C71" s="63"/>
      <c r="D71" s="64"/>
      <c r="E71" s="66"/>
      <c r="F71" s="103" t="str">
        <f>HYPERLINK("https://pbs.twimg.com/profile_images/1569363990303621130/TLd9i2PL_normal.png")</f>
        <v>https://pbs.twimg.com/profile_images/1569363990303621130/TLd9i2PL_normal.png</v>
      </c>
      <c r="G71" s="63"/>
      <c r="H71" s="67"/>
      <c r="I71" s="68"/>
      <c r="J71" s="68"/>
      <c r="K71" s="67" t="s">
        <v>14520</v>
      </c>
      <c r="L71" s="71"/>
      <c r="M71" s="72"/>
      <c r="N71" s="72"/>
      <c r="O71" s="73"/>
      <c r="P71" s="74"/>
      <c r="Q71" s="74"/>
      <c r="R71" s="87"/>
      <c r="S71" s="87"/>
      <c r="T71" s="87"/>
      <c r="U71" s="87"/>
      <c r="V71" s="48"/>
      <c r="W71" s="48"/>
      <c r="X71" s="48"/>
      <c r="Y71" s="48"/>
      <c r="Z71" s="47"/>
      <c r="AA71" s="69">
        <v>71</v>
      </c>
      <c r="AB71" s="69"/>
      <c r="AC71" s="70"/>
      <c r="AD71" s="76" t="s">
        <v>11816</v>
      </c>
      <c r="AE71" s="80" t="s">
        <v>11426</v>
      </c>
      <c r="AF71" s="76">
        <v>7</v>
      </c>
      <c r="AG71" s="76">
        <v>12</v>
      </c>
      <c r="AH71" s="76">
        <v>249</v>
      </c>
      <c r="AI71" s="76">
        <v>2</v>
      </c>
      <c r="AJ71" s="76">
        <v>29</v>
      </c>
      <c r="AK71" s="76">
        <v>235</v>
      </c>
      <c r="AL71" s="76" t="b">
        <v>0</v>
      </c>
      <c r="AM71" s="78">
        <v>44740.028356481482</v>
      </c>
      <c r="AN71" s="76" t="s">
        <v>12914</v>
      </c>
      <c r="AO71" s="76" t="s">
        <v>13286</v>
      </c>
      <c r="AP71" s="82" t="str">
        <f>HYPERLINK("https://t.co/jfIjsPz46b")</f>
        <v>https://t.co/jfIjsPz46b</v>
      </c>
      <c r="AQ71" s="82" t="str">
        <f>HYPERLINK("http://centro.rjguase.com.br")</f>
        <v>http://centro.rjguase.com.br</v>
      </c>
      <c r="AR71" s="76" t="s">
        <v>13947</v>
      </c>
      <c r="AS71" s="76"/>
      <c r="AT71" s="76"/>
      <c r="AU71" s="76"/>
      <c r="AV71" s="76"/>
      <c r="AW71" s="82" t="str">
        <f>HYPERLINK("https://t.co/jfIjsPz46b")</f>
        <v>https://t.co/jfIjsPz46b</v>
      </c>
      <c r="AX71" s="76" t="b">
        <v>0</v>
      </c>
      <c r="AY71" s="76"/>
      <c r="AZ71" s="76"/>
      <c r="BA71" s="76" t="b">
        <v>0</v>
      </c>
      <c r="BB71" s="76" t="b">
        <v>1</v>
      </c>
      <c r="BC71" s="76" t="b">
        <v>1</v>
      </c>
      <c r="BD71" s="76" t="b">
        <v>0</v>
      </c>
      <c r="BE71" s="76" t="b">
        <v>0</v>
      </c>
      <c r="BF71" s="76" t="b">
        <v>0</v>
      </c>
      <c r="BG71" s="76" t="b">
        <v>0</v>
      </c>
      <c r="BH71" s="82" t="str">
        <f>HYPERLINK("https://pbs.twimg.com/profile_banners/1541582135462699008/1663000508")</f>
        <v>https://pbs.twimg.com/profile_banners/1541582135462699008/1663000508</v>
      </c>
      <c r="BI71" s="76"/>
      <c r="BJ71" s="76" t="s">
        <v>14450</v>
      </c>
      <c r="BK71" s="76" t="b">
        <v>0</v>
      </c>
      <c r="BL71" s="76"/>
      <c r="BM71" s="76" t="s">
        <v>66</v>
      </c>
      <c r="BN71" s="76" t="s">
        <v>14452</v>
      </c>
      <c r="BO71" s="82" t="str">
        <f>HYPERLINK("https://twitter.com/guiaserjcentro")</f>
        <v>https://twitter.com/guiaserjcentro</v>
      </c>
      <c r="BP71" s="2"/>
    </row>
    <row r="72" spans="1:68" x14ac:dyDescent="0.25">
      <c r="A72" s="62" t="s">
        <v>278</v>
      </c>
      <c r="B72" s="63"/>
      <c r="C72" s="63"/>
      <c r="D72" s="64"/>
      <c r="E72" s="66"/>
      <c r="F72" s="103" t="str">
        <f>HYPERLINK("https://pbs.twimg.com/profile_images/1701359746454781952/qv6k--WC_normal.jpg")</f>
        <v>https://pbs.twimg.com/profile_images/1701359746454781952/qv6k--WC_normal.jpg</v>
      </c>
      <c r="G72" s="63"/>
      <c r="H72" s="67"/>
      <c r="I72" s="68"/>
      <c r="J72" s="68"/>
      <c r="K72" s="67" t="s">
        <v>14521</v>
      </c>
      <c r="L72" s="71"/>
      <c r="M72" s="72"/>
      <c r="N72" s="72"/>
      <c r="O72" s="73"/>
      <c r="P72" s="74"/>
      <c r="Q72" s="74"/>
      <c r="R72" s="87"/>
      <c r="S72" s="87"/>
      <c r="T72" s="87"/>
      <c r="U72" s="87"/>
      <c r="V72" s="48"/>
      <c r="W72" s="48"/>
      <c r="X72" s="48"/>
      <c r="Y72" s="48"/>
      <c r="Z72" s="47"/>
      <c r="AA72" s="69">
        <v>72</v>
      </c>
      <c r="AB72" s="69"/>
      <c r="AC72" s="70"/>
      <c r="AD72" s="76" t="s">
        <v>11817</v>
      </c>
      <c r="AE72" s="80" t="s">
        <v>12515</v>
      </c>
      <c r="AF72" s="76">
        <v>2759</v>
      </c>
      <c r="AG72" s="76">
        <v>875</v>
      </c>
      <c r="AH72" s="76">
        <v>3193</v>
      </c>
      <c r="AI72" s="76">
        <v>6</v>
      </c>
      <c r="AJ72" s="76">
        <v>3280</v>
      </c>
      <c r="AK72" s="76">
        <v>2057</v>
      </c>
      <c r="AL72" s="76" t="b">
        <v>0</v>
      </c>
      <c r="AM72" s="78">
        <v>40997.121550925927</v>
      </c>
      <c r="AN72" s="76"/>
      <c r="AO72" s="76" t="s">
        <v>13287</v>
      </c>
      <c r="AP72" s="82" t="str">
        <f>HYPERLINK("https://t.co/wuM1dzvQMT")</f>
        <v>https://t.co/wuM1dzvQMT</v>
      </c>
      <c r="AQ72" s="82" t="str">
        <f>HYPERLINK("https://www.youtube.com/@cintiaxis")</f>
        <v>https://www.youtube.com/@cintiaxis</v>
      </c>
      <c r="AR72" s="76" t="s">
        <v>13948</v>
      </c>
      <c r="AS72" s="76"/>
      <c r="AT72" s="76"/>
      <c r="AU72" s="76"/>
      <c r="AV72" s="76">
        <v>1.4783986974738601E+18</v>
      </c>
      <c r="AW72" s="82" t="str">
        <f>HYPERLINK("https://t.co/wuM1dzvQMT")</f>
        <v>https://t.co/wuM1dzvQMT</v>
      </c>
      <c r="AX72" s="76" t="b">
        <v>0</v>
      </c>
      <c r="AY72" s="76"/>
      <c r="AZ72" s="76"/>
      <c r="BA72" s="76" t="b">
        <v>1</v>
      </c>
      <c r="BB72" s="76" t="b">
        <v>1</v>
      </c>
      <c r="BC72" s="76" t="b">
        <v>0</v>
      </c>
      <c r="BD72" s="76" t="b">
        <v>0</v>
      </c>
      <c r="BE72" s="76" t="b">
        <v>1</v>
      </c>
      <c r="BF72" s="76" t="b">
        <v>0</v>
      </c>
      <c r="BG72" s="76" t="b">
        <v>0</v>
      </c>
      <c r="BH72" s="82" t="str">
        <f>HYPERLINK("https://pbs.twimg.com/profile_banners/539604404/1597415921")</f>
        <v>https://pbs.twimg.com/profile_banners/539604404/1597415921</v>
      </c>
      <c r="BI72" s="76"/>
      <c r="BJ72" s="76" t="s">
        <v>14450</v>
      </c>
      <c r="BK72" s="76" t="b">
        <v>0</v>
      </c>
      <c r="BL72" s="76"/>
      <c r="BM72" s="76" t="s">
        <v>66</v>
      </c>
      <c r="BN72" s="76" t="s">
        <v>14452</v>
      </c>
      <c r="BO72" s="82" t="str">
        <f>HYPERLINK("https://twitter.com/cintiaxis")</f>
        <v>https://twitter.com/cintiaxis</v>
      </c>
      <c r="BP72" s="2"/>
    </row>
    <row r="73" spans="1:68" x14ac:dyDescent="0.25">
      <c r="A73" s="62" t="s">
        <v>279</v>
      </c>
      <c r="B73" s="63"/>
      <c r="C73" s="63"/>
      <c r="D73" s="64"/>
      <c r="E73" s="66"/>
      <c r="F73" s="103" t="str">
        <f>HYPERLINK("https://pbs.twimg.com/profile_images/1592265444660072450/1dhj_jfz_normal.jpg")</f>
        <v>https://pbs.twimg.com/profile_images/1592265444660072450/1dhj_jfz_normal.jpg</v>
      </c>
      <c r="G73" s="63"/>
      <c r="H73" s="67"/>
      <c r="I73" s="68"/>
      <c r="J73" s="68"/>
      <c r="K73" s="67" t="s">
        <v>14522</v>
      </c>
      <c r="L73" s="71"/>
      <c r="M73" s="72"/>
      <c r="N73" s="72"/>
      <c r="O73" s="73"/>
      <c r="P73" s="74"/>
      <c r="Q73" s="74"/>
      <c r="R73" s="87"/>
      <c r="S73" s="87"/>
      <c r="T73" s="87"/>
      <c r="U73" s="87"/>
      <c r="V73" s="48"/>
      <c r="W73" s="48"/>
      <c r="X73" s="48"/>
      <c r="Y73" s="48"/>
      <c r="Z73" s="47"/>
      <c r="AA73" s="69">
        <v>73</v>
      </c>
      <c r="AB73" s="69"/>
      <c r="AC73" s="70"/>
      <c r="AD73" s="76" t="s">
        <v>11818</v>
      </c>
      <c r="AE73" s="80" t="s">
        <v>11427</v>
      </c>
      <c r="AF73" s="76">
        <v>159</v>
      </c>
      <c r="AG73" s="76">
        <v>221</v>
      </c>
      <c r="AH73" s="76">
        <v>5976</v>
      </c>
      <c r="AI73" s="76">
        <v>1</v>
      </c>
      <c r="AJ73" s="76">
        <v>1914</v>
      </c>
      <c r="AK73" s="76">
        <v>781</v>
      </c>
      <c r="AL73" s="76" t="b">
        <v>0</v>
      </c>
      <c r="AM73" s="78">
        <v>43024.148078703707</v>
      </c>
      <c r="AN73" s="76" t="s">
        <v>12915</v>
      </c>
      <c r="AO73" s="76" t="s">
        <v>13288</v>
      </c>
      <c r="AP73" s="82" t="str">
        <f>HYPERLINK("https://t.co/wxZGwNKjUI")</f>
        <v>https://t.co/wxZGwNKjUI</v>
      </c>
      <c r="AQ73" s="82" t="str">
        <f>HYPERLINK("https://beacons.ai/dnrconsultor")</f>
        <v>https://beacons.ai/dnrconsultor</v>
      </c>
      <c r="AR73" s="76" t="s">
        <v>13949</v>
      </c>
      <c r="AS73" s="76"/>
      <c r="AT73" s="76"/>
      <c r="AU73" s="76"/>
      <c r="AV73" s="76">
        <v>1.6965891983528399E+18</v>
      </c>
      <c r="AW73" s="82" t="str">
        <f>HYPERLINK("https://t.co/wxZGwNKjUI")</f>
        <v>https://t.co/wxZGwNKjUI</v>
      </c>
      <c r="AX73" s="76" t="b">
        <v>0</v>
      </c>
      <c r="AY73" s="76"/>
      <c r="AZ73" s="76"/>
      <c r="BA73" s="76" t="b">
        <v>0</v>
      </c>
      <c r="BB73" s="76" t="b">
        <v>1</v>
      </c>
      <c r="BC73" s="76" t="b">
        <v>0</v>
      </c>
      <c r="BD73" s="76" t="b">
        <v>0</v>
      </c>
      <c r="BE73" s="76" t="b">
        <v>1</v>
      </c>
      <c r="BF73" s="76" t="b">
        <v>0</v>
      </c>
      <c r="BG73" s="76" t="b">
        <v>0</v>
      </c>
      <c r="BH73" s="82" t="str">
        <f>HYPERLINK("https://pbs.twimg.com/profile_banners/919768168897359872/1661150206")</f>
        <v>https://pbs.twimg.com/profile_banners/919768168897359872/1661150206</v>
      </c>
      <c r="BI73" s="76"/>
      <c r="BJ73" s="76" t="s">
        <v>14450</v>
      </c>
      <c r="BK73" s="76" t="b">
        <v>0</v>
      </c>
      <c r="BL73" s="76"/>
      <c r="BM73" s="76" t="s">
        <v>66</v>
      </c>
      <c r="BN73" s="76" t="s">
        <v>14452</v>
      </c>
      <c r="BO73" s="82" t="str">
        <f>HYPERLINK("https://twitter.com/dnrconsultor")</f>
        <v>https://twitter.com/dnrconsultor</v>
      </c>
      <c r="BP73" s="2"/>
    </row>
    <row r="74" spans="1:68" x14ac:dyDescent="0.25">
      <c r="A74" s="62" t="s">
        <v>280</v>
      </c>
      <c r="B74" s="63"/>
      <c r="C74" s="63"/>
      <c r="D74" s="64"/>
      <c r="E74" s="66"/>
      <c r="F74" s="103" t="str">
        <f>HYPERLINK("https://pbs.twimg.com/profile_images/1687127639465644032/l01zXRmZ_normal.jpg")</f>
        <v>https://pbs.twimg.com/profile_images/1687127639465644032/l01zXRmZ_normal.jpg</v>
      </c>
      <c r="G74" s="63"/>
      <c r="H74" s="67"/>
      <c r="I74" s="68"/>
      <c r="J74" s="68"/>
      <c r="K74" s="67" t="s">
        <v>14523</v>
      </c>
      <c r="L74" s="71"/>
      <c r="M74" s="72"/>
      <c r="N74" s="72"/>
      <c r="O74" s="73"/>
      <c r="P74" s="74"/>
      <c r="Q74" s="74"/>
      <c r="R74" s="87"/>
      <c r="S74" s="87"/>
      <c r="T74" s="87"/>
      <c r="U74" s="87"/>
      <c r="V74" s="48"/>
      <c r="W74" s="48"/>
      <c r="X74" s="48"/>
      <c r="Y74" s="48"/>
      <c r="Z74" s="47"/>
      <c r="AA74" s="69">
        <v>74</v>
      </c>
      <c r="AB74" s="69"/>
      <c r="AC74" s="70"/>
      <c r="AD74" s="76" t="s">
        <v>11819</v>
      </c>
      <c r="AE74" s="80" t="s">
        <v>12516</v>
      </c>
      <c r="AF74" s="76">
        <v>3884</v>
      </c>
      <c r="AG74" s="76">
        <v>3100</v>
      </c>
      <c r="AH74" s="76">
        <v>1469</v>
      </c>
      <c r="AI74" s="76">
        <v>18</v>
      </c>
      <c r="AJ74" s="76">
        <v>833</v>
      </c>
      <c r="AK74" s="76">
        <v>3</v>
      </c>
      <c r="AL74" s="76" t="b">
        <v>0</v>
      </c>
      <c r="AM74" s="78">
        <v>41214.035787037035</v>
      </c>
      <c r="AN74" s="76"/>
      <c r="AO74" s="76" t="s">
        <v>13289</v>
      </c>
      <c r="AP74" s="82" t="str">
        <f>HYPERLINK("https://t.co/r8euYxkSfX")</f>
        <v>https://t.co/r8euYxkSfX</v>
      </c>
      <c r="AQ74" s="82" t="str">
        <f>HYPERLINK("https://linktr.ee/amaneciendomx")</f>
        <v>https://linktr.ee/amaneciendomx</v>
      </c>
      <c r="AR74" s="76" t="s">
        <v>13950</v>
      </c>
      <c r="AS74" s="82" t="str">
        <f>HYPERLINK("https://t.co/OsJIbwXUdJ")</f>
        <v>https://t.co/OsJIbwXUdJ</v>
      </c>
      <c r="AT74" s="82" t="str">
        <f>HYPERLINK("https://www.amaneciendo.com.mx")</f>
        <v>https://www.amaneciendo.com.mx</v>
      </c>
      <c r="AU74" s="76" t="s">
        <v>14400</v>
      </c>
      <c r="AV74" s="76"/>
      <c r="AW74" s="82" t="str">
        <f>HYPERLINK("https://t.co/r8euYxkSfX")</f>
        <v>https://t.co/r8euYxkSfX</v>
      </c>
      <c r="AX74" s="76" t="b">
        <v>0</v>
      </c>
      <c r="AY74" s="76"/>
      <c r="AZ74" s="76"/>
      <c r="BA74" s="76" t="b">
        <v>0</v>
      </c>
      <c r="BB74" s="76" t="b">
        <v>1</v>
      </c>
      <c r="BC74" s="76" t="b">
        <v>1</v>
      </c>
      <c r="BD74" s="76" t="b">
        <v>0</v>
      </c>
      <c r="BE74" s="76" t="b">
        <v>0</v>
      </c>
      <c r="BF74" s="76" t="b">
        <v>0</v>
      </c>
      <c r="BG74" s="76" t="b">
        <v>0</v>
      </c>
      <c r="BH74" s="82" t="str">
        <f>HYPERLINK("https://pbs.twimg.com/profile_banners/917969348/1691077597")</f>
        <v>https://pbs.twimg.com/profile_banners/917969348/1691077597</v>
      </c>
      <c r="BI74" s="76"/>
      <c r="BJ74" s="76" t="s">
        <v>14450</v>
      </c>
      <c r="BK74" s="76" t="b">
        <v>0</v>
      </c>
      <c r="BL74" s="76"/>
      <c r="BM74" s="76" t="s">
        <v>66</v>
      </c>
      <c r="BN74" s="76" t="s">
        <v>14452</v>
      </c>
      <c r="BO74" s="82" t="str">
        <f>HYPERLINK("https://twitter.com/amaneciendomx")</f>
        <v>https://twitter.com/amaneciendomx</v>
      </c>
      <c r="BP74" s="2"/>
    </row>
    <row r="75" spans="1:68" x14ac:dyDescent="0.25">
      <c r="A75" s="62" t="s">
        <v>281</v>
      </c>
      <c r="B75" s="63"/>
      <c r="C75" s="63"/>
      <c r="D75" s="64"/>
      <c r="E75" s="66"/>
      <c r="F75" s="103" t="str">
        <f>HYPERLINK("https://pbs.twimg.com/profile_images/1621593988842262528/Kt4sQyHL_normal.jpg")</f>
        <v>https://pbs.twimg.com/profile_images/1621593988842262528/Kt4sQyHL_normal.jpg</v>
      </c>
      <c r="G75" s="63"/>
      <c r="H75" s="67"/>
      <c r="I75" s="68"/>
      <c r="J75" s="68"/>
      <c r="K75" s="67" t="s">
        <v>14524</v>
      </c>
      <c r="L75" s="71"/>
      <c r="M75" s="72"/>
      <c r="N75" s="72"/>
      <c r="O75" s="73"/>
      <c r="P75" s="74"/>
      <c r="Q75" s="74"/>
      <c r="R75" s="87"/>
      <c r="S75" s="87"/>
      <c r="T75" s="87"/>
      <c r="U75" s="87"/>
      <c r="V75" s="48"/>
      <c r="W75" s="48"/>
      <c r="X75" s="48"/>
      <c r="Y75" s="48"/>
      <c r="Z75" s="47"/>
      <c r="AA75" s="69">
        <v>75</v>
      </c>
      <c r="AB75" s="69"/>
      <c r="AC75" s="70"/>
      <c r="AD75" s="76" t="s">
        <v>11820</v>
      </c>
      <c r="AE75" s="80" t="s">
        <v>11428</v>
      </c>
      <c r="AF75" s="76">
        <v>0</v>
      </c>
      <c r="AG75" s="76">
        <v>9</v>
      </c>
      <c r="AH75" s="76">
        <v>8</v>
      </c>
      <c r="AI75" s="76">
        <v>0</v>
      </c>
      <c r="AJ75" s="76">
        <v>1</v>
      </c>
      <c r="AK75" s="76">
        <v>7</v>
      </c>
      <c r="AL75" s="76" t="b">
        <v>0</v>
      </c>
      <c r="AM75" s="78">
        <v>44952.782604166663</v>
      </c>
      <c r="AN75" s="76"/>
      <c r="AO75" s="76"/>
      <c r="AP75" s="76"/>
      <c r="AQ75" s="76"/>
      <c r="AR75" s="76"/>
      <c r="AS75" s="76"/>
      <c r="AT75" s="76"/>
      <c r="AU75" s="76"/>
      <c r="AV75" s="76"/>
      <c r="AW75" s="76"/>
      <c r="AX75" s="76" t="b">
        <v>0</v>
      </c>
      <c r="AY75" s="76"/>
      <c r="AZ75" s="76"/>
      <c r="BA75" s="76" t="b">
        <v>0</v>
      </c>
      <c r="BB75" s="76" t="b">
        <v>1</v>
      </c>
      <c r="BC75" s="76" t="b">
        <v>1</v>
      </c>
      <c r="BD75" s="76" t="b">
        <v>0</v>
      </c>
      <c r="BE75" s="76" t="b">
        <v>0</v>
      </c>
      <c r="BF75" s="76" t="b">
        <v>0</v>
      </c>
      <c r="BG75" s="76" t="b">
        <v>0</v>
      </c>
      <c r="BH75" s="76"/>
      <c r="BI75" s="76"/>
      <c r="BJ75" s="76" t="s">
        <v>14450</v>
      </c>
      <c r="BK75" s="76" t="b">
        <v>0</v>
      </c>
      <c r="BL75" s="76"/>
      <c r="BM75" s="76" t="s">
        <v>66</v>
      </c>
      <c r="BN75" s="76" t="s">
        <v>14452</v>
      </c>
      <c r="BO75" s="82" t="str">
        <f>HYPERLINK("https://twitter.com/abigaildelolmo1")</f>
        <v>https://twitter.com/abigaildelolmo1</v>
      </c>
      <c r="BP75" s="2"/>
    </row>
    <row r="76" spans="1:68" x14ac:dyDescent="0.25">
      <c r="A76" s="62" t="s">
        <v>282</v>
      </c>
      <c r="B76" s="63"/>
      <c r="C76" s="63"/>
      <c r="D76" s="64"/>
      <c r="E76" s="66"/>
      <c r="F76" s="103" t="str">
        <f>HYPERLINK("https://pbs.twimg.com/profile_images/1503847244881145856/dy2FPsj6_normal.jpg")</f>
        <v>https://pbs.twimg.com/profile_images/1503847244881145856/dy2FPsj6_normal.jpg</v>
      </c>
      <c r="G76" s="63"/>
      <c r="H76" s="67"/>
      <c r="I76" s="68"/>
      <c r="J76" s="68"/>
      <c r="K76" s="67" t="s">
        <v>14525</v>
      </c>
      <c r="L76" s="71"/>
      <c r="M76" s="72"/>
      <c r="N76" s="72"/>
      <c r="O76" s="73"/>
      <c r="P76" s="74"/>
      <c r="Q76" s="74"/>
      <c r="R76" s="87"/>
      <c r="S76" s="87"/>
      <c r="T76" s="87"/>
      <c r="U76" s="87"/>
      <c r="V76" s="48"/>
      <c r="W76" s="48"/>
      <c r="X76" s="48"/>
      <c r="Y76" s="48"/>
      <c r="Z76" s="47"/>
      <c r="AA76" s="69">
        <v>76</v>
      </c>
      <c r="AB76" s="69"/>
      <c r="AC76" s="70"/>
      <c r="AD76" s="76" t="s">
        <v>11821</v>
      </c>
      <c r="AE76" s="80" t="s">
        <v>12517</v>
      </c>
      <c r="AF76" s="76">
        <v>120391</v>
      </c>
      <c r="AG76" s="76">
        <v>16245</v>
      </c>
      <c r="AH76" s="76">
        <v>299704</v>
      </c>
      <c r="AI76" s="76">
        <v>419</v>
      </c>
      <c r="AJ76" s="76">
        <v>1118</v>
      </c>
      <c r="AK76" s="76">
        <v>170371</v>
      </c>
      <c r="AL76" s="76" t="b">
        <v>0</v>
      </c>
      <c r="AM76" s="78">
        <v>40420.657650462963</v>
      </c>
      <c r="AN76" s="76" t="s">
        <v>12916</v>
      </c>
      <c r="AO76" s="76" t="s">
        <v>13290</v>
      </c>
      <c r="AP76" s="82" t="str">
        <f>HYPERLINK("https://t.co/neK6KOr5es")</f>
        <v>https://t.co/neK6KOr5es</v>
      </c>
      <c r="AQ76" s="82" t="str">
        <f>HYPERLINK("https://www.antenasanluis.mx")</f>
        <v>https://www.antenasanluis.mx</v>
      </c>
      <c r="AR76" s="76" t="s">
        <v>4229</v>
      </c>
      <c r="AS76" s="76"/>
      <c r="AT76" s="76"/>
      <c r="AU76" s="76"/>
      <c r="AV76" s="76"/>
      <c r="AW76" s="82" t="str">
        <f>HYPERLINK("https://t.co/neK6KOr5es")</f>
        <v>https://t.co/neK6KOr5es</v>
      </c>
      <c r="AX76" s="76" t="b">
        <v>1</v>
      </c>
      <c r="AY76" s="76"/>
      <c r="AZ76" s="76"/>
      <c r="BA76" s="76" t="b">
        <v>0</v>
      </c>
      <c r="BB76" s="76" t="b">
        <v>1</v>
      </c>
      <c r="BC76" s="76" t="b">
        <v>0</v>
      </c>
      <c r="BD76" s="76" t="b">
        <v>0</v>
      </c>
      <c r="BE76" s="76" t="b">
        <v>1</v>
      </c>
      <c r="BF76" s="76" t="b">
        <v>0</v>
      </c>
      <c r="BG76" s="76" t="b">
        <v>0</v>
      </c>
      <c r="BH76" s="82" t="str">
        <f>HYPERLINK("https://pbs.twimg.com/profile_banners/184827671/1675179085")</f>
        <v>https://pbs.twimg.com/profile_banners/184827671/1675179085</v>
      </c>
      <c r="BI76" s="76"/>
      <c r="BJ76" s="76" t="s">
        <v>14451</v>
      </c>
      <c r="BK76" s="76" t="b">
        <v>0</v>
      </c>
      <c r="BL76" s="76"/>
      <c r="BM76" s="76" t="s">
        <v>66</v>
      </c>
      <c r="BN76" s="76" t="s">
        <v>14452</v>
      </c>
      <c r="BO76" s="82" t="str">
        <f>HYPERLINK("https://twitter.com/antenasanluis")</f>
        <v>https://twitter.com/antenasanluis</v>
      </c>
      <c r="BP76" s="2"/>
    </row>
    <row r="77" spans="1:68" x14ac:dyDescent="0.25">
      <c r="A77" s="62" t="s">
        <v>283</v>
      </c>
      <c r="B77" s="63"/>
      <c r="C77" s="63"/>
      <c r="D77" s="64"/>
      <c r="E77" s="66"/>
      <c r="F77" s="103" t="str">
        <f>HYPERLINK("https://pbs.twimg.com/profile_images/1627473533101133825/ShnnsLK5_normal.jpg")</f>
        <v>https://pbs.twimg.com/profile_images/1627473533101133825/ShnnsLK5_normal.jpg</v>
      </c>
      <c r="G77" s="63"/>
      <c r="H77" s="67"/>
      <c r="I77" s="68"/>
      <c r="J77" s="68"/>
      <c r="K77" s="67" t="s">
        <v>14526</v>
      </c>
      <c r="L77" s="71"/>
      <c r="M77" s="72"/>
      <c r="N77" s="72"/>
      <c r="O77" s="73"/>
      <c r="P77" s="74"/>
      <c r="Q77" s="74"/>
      <c r="R77" s="87"/>
      <c r="S77" s="87"/>
      <c r="T77" s="87"/>
      <c r="U77" s="87"/>
      <c r="V77" s="48"/>
      <c r="W77" s="48"/>
      <c r="X77" s="48"/>
      <c r="Y77" s="48"/>
      <c r="Z77" s="47"/>
      <c r="AA77" s="69">
        <v>77</v>
      </c>
      <c r="AB77" s="69"/>
      <c r="AC77" s="70"/>
      <c r="AD77" s="76" t="s">
        <v>11822</v>
      </c>
      <c r="AE77" s="80" t="s">
        <v>11429</v>
      </c>
      <c r="AF77" s="76">
        <v>18</v>
      </c>
      <c r="AG77" s="76">
        <v>44</v>
      </c>
      <c r="AH77" s="76">
        <v>354</v>
      </c>
      <c r="AI77" s="76">
        <v>0</v>
      </c>
      <c r="AJ77" s="76">
        <v>341</v>
      </c>
      <c r="AK77" s="76">
        <v>247</v>
      </c>
      <c r="AL77" s="76" t="b">
        <v>0</v>
      </c>
      <c r="AM77" s="78">
        <v>43882.670347222222</v>
      </c>
      <c r="AN77" s="76" t="s">
        <v>12917</v>
      </c>
      <c r="AO77" s="76" t="s">
        <v>13291</v>
      </c>
      <c r="AP77" s="82" t="str">
        <f>HYPERLINK("https://t.co/2tKW6XYG5s")</f>
        <v>https://t.co/2tKW6XYG5s</v>
      </c>
      <c r="AQ77" s="82" t="str">
        <f>HYPERLINK("http://www.elenicosta.com")</f>
        <v>http://www.elenicosta.com</v>
      </c>
      <c r="AR77" s="76" t="s">
        <v>13951</v>
      </c>
      <c r="AS77" s="76"/>
      <c r="AT77" s="76"/>
      <c r="AU77" s="76"/>
      <c r="AV77" s="76"/>
      <c r="AW77" s="82" t="str">
        <f>HYPERLINK("https://t.co/2tKW6XYG5s")</f>
        <v>https://t.co/2tKW6XYG5s</v>
      </c>
      <c r="AX77" s="76" t="b">
        <v>0</v>
      </c>
      <c r="AY77" s="76"/>
      <c r="AZ77" s="76"/>
      <c r="BA77" s="76" t="b">
        <v>1</v>
      </c>
      <c r="BB77" s="76" t="b">
        <v>0</v>
      </c>
      <c r="BC77" s="76" t="b">
        <v>1</v>
      </c>
      <c r="BD77" s="76" t="b">
        <v>0</v>
      </c>
      <c r="BE77" s="76" t="b">
        <v>1</v>
      </c>
      <c r="BF77" s="76" t="b">
        <v>0</v>
      </c>
      <c r="BG77" s="76" t="b">
        <v>0</v>
      </c>
      <c r="BH77" s="82" t="str">
        <f>HYPERLINK("https://pbs.twimg.com/profile_banners/1230886133829185538/1607005817")</f>
        <v>https://pbs.twimg.com/profile_banners/1230886133829185538/1607005817</v>
      </c>
      <c r="BI77" s="76"/>
      <c r="BJ77" s="76" t="s">
        <v>14450</v>
      </c>
      <c r="BK77" s="76" t="b">
        <v>0</v>
      </c>
      <c r="BL77" s="76"/>
      <c r="BM77" s="76" t="s">
        <v>66</v>
      </c>
      <c r="BN77" s="76" t="s">
        <v>14452</v>
      </c>
      <c r="BO77" s="82" t="str">
        <f>HYPERLINK("https://twitter.com/elenicostadf")</f>
        <v>https://twitter.com/elenicostadf</v>
      </c>
      <c r="BP77" s="2"/>
    </row>
    <row r="78" spans="1:68" x14ac:dyDescent="0.25">
      <c r="A78" s="62" t="s">
        <v>284</v>
      </c>
      <c r="B78" s="63"/>
      <c r="C78" s="63"/>
      <c r="D78" s="64"/>
      <c r="E78" s="66"/>
      <c r="F78" s="103" t="str">
        <f>HYPERLINK("https://pbs.twimg.com/profile_images/1697074932889288704/Cz9Bozsp_normal.jpg")</f>
        <v>https://pbs.twimg.com/profile_images/1697074932889288704/Cz9Bozsp_normal.jpg</v>
      </c>
      <c r="G78" s="63"/>
      <c r="H78" s="67"/>
      <c r="I78" s="68"/>
      <c r="J78" s="68"/>
      <c r="K78" s="67" t="s">
        <v>14527</v>
      </c>
      <c r="L78" s="71"/>
      <c r="M78" s="72"/>
      <c r="N78" s="72"/>
      <c r="O78" s="73"/>
      <c r="P78" s="74"/>
      <c r="Q78" s="74"/>
      <c r="R78" s="87"/>
      <c r="S78" s="87"/>
      <c r="T78" s="87"/>
      <c r="U78" s="87"/>
      <c r="V78" s="48"/>
      <c r="W78" s="48"/>
      <c r="X78" s="48"/>
      <c r="Y78" s="48"/>
      <c r="Z78" s="47"/>
      <c r="AA78" s="69">
        <v>78</v>
      </c>
      <c r="AB78" s="69"/>
      <c r="AC78" s="70"/>
      <c r="AD78" s="76" t="s">
        <v>11823</v>
      </c>
      <c r="AE78" s="80" t="s">
        <v>11430</v>
      </c>
      <c r="AF78" s="76">
        <v>1</v>
      </c>
      <c r="AG78" s="76">
        <v>1</v>
      </c>
      <c r="AH78" s="76">
        <v>5</v>
      </c>
      <c r="AI78" s="76">
        <v>0</v>
      </c>
      <c r="AJ78" s="76">
        <v>0</v>
      </c>
      <c r="AK78" s="76">
        <v>5</v>
      </c>
      <c r="AL78" s="76" t="b">
        <v>0</v>
      </c>
      <c r="AM78" s="78">
        <v>45169.09578703704</v>
      </c>
      <c r="AN78" s="76"/>
      <c r="AO78" s="76" t="s">
        <v>13292</v>
      </c>
      <c r="AP78" s="76"/>
      <c r="AQ78" s="76"/>
      <c r="AR78" s="76"/>
      <c r="AS78" s="76"/>
      <c r="AT78" s="76"/>
      <c r="AU78" s="76"/>
      <c r="AV78" s="76"/>
      <c r="AW78" s="76"/>
      <c r="AX78" s="76" t="b">
        <v>0</v>
      </c>
      <c r="AY78" s="76"/>
      <c r="AZ78" s="76"/>
      <c r="BA78" s="76" t="b">
        <v>0</v>
      </c>
      <c r="BB78" s="76" t="b">
        <v>1</v>
      </c>
      <c r="BC78" s="76" t="b">
        <v>1</v>
      </c>
      <c r="BD78" s="76" t="b">
        <v>0</v>
      </c>
      <c r="BE78" s="76" t="b">
        <v>0</v>
      </c>
      <c r="BF78" s="76" t="b">
        <v>0</v>
      </c>
      <c r="BG78" s="76" t="b">
        <v>0</v>
      </c>
      <c r="BH78" s="82" t="str">
        <f>HYPERLINK("https://pbs.twimg.com/profile_banners/1697071086335086592/1693449170")</f>
        <v>https://pbs.twimg.com/profile_banners/1697071086335086592/1693449170</v>
      </c>
      <c r="BI78" s="76"/>
      <c r="BJ78" s="76" t="s">
        <v>14450</v>
      </c>
      <c r="BK78" s="76" t="b">
        <v>0</v>
      </c>
      <c r="BL78" s="76"/>
      <c r="BM78" s="76" t="s">
        <v>66</v>
      </c>
      <c r="BN78" s="76" t="s">
        <v>14452</v>
      </c>
      <c r="BO78" s="82" t="str">
        <f>HYPERLINK("https://twitter.com/vendes_o_ayudas")</f>
        <v>https://twitter.com/vendes_o_ayudas</v>
      </c>
      <c r="BP78" s="2"/>
    </row>
    <row r="79" spans="1:68" x14ac:dyDescent="0.25">
      <c r="A79" s="62" t="s">
        <v>285</v>
      </c>
      <c r="B79" s="63"/>
      <c r="C79" s="63"/>
      <c r="D79" s="64"/>
      <c r="E79" s="66"/>
      <c r="F79" s="103" t="str">
        <f>HYPERLINK("https://pbs.twimg.com/profile_images/1423325598768844802/k_7EudDS_normal.png")</f>
        <v>https://pbs.twimg.com/profile_images/1423325598768844802/k_7EudDS_normal.png</v>
      </c>
      <c r="G79" s="63"/>
      <c r="H79" s="67"/>
      <c r="I79" s="68"/>
      <c r="J79" s="68"/>
      <c r="K79" s="67" t="s">
        <v>14528</v>
      </c>
      <c r="L79" s="71"/>
      <c r="M79" s="72"/>
      <c r="N79" s="72"/>
      <c r="O79" s="73"/>
      <c r="P79" s="74"/>
      <c r="Q79" s="74"/>
      <c r="R79" s="87"/>
      <c r="S79" s="87"/>
      <c r="T79" s="87"/>
      <c r="U79" s="87"/>
      <c r="V79" s="48"/>
      <c r="W79" s="48"/>
      <c r="X79" s="48"/>
      <c r="Y79" s="48"/>
      <c r="Z79" s="47"/>
      <c r="AA79" s="69">
        <v>79</v>
      </c>
      <c r="AB79" s="69"/>
      <c r="AC79" s="70"/>
      <c r="AD79" s="76" t="s">
        <v>11824</v>
      </c>
      <c r="AE79" s="80" t="s">
        <v>11431</v>
      </c>
      <c r="AF79" s="76">
        <v>9</v>
      </c>
      <c r="AG79" s="76">
        <v>14</v>
      </c>
      <c r="AH79" s="76">
        <v>1099</v>
      </c>
      <c r="AI79" s="76">
        <v>0</v>
      </c>
      <c r="AJ79" s="76">
        <v>18</v>
      </c>
      <c r="AK79" s="76">
        <v>391</v>
      </c>
      <c r="AL79" s="76" t="b">
        <v>0</v>
      </c>
      <c r="AM79" s="78">
        <v>44413.701562499999</v>
      </c>
      <c r="AN79" s="76" t="s">
        <v>7863</v>
      </c>
      <c r="AO79" s="76" t="s">
        <v>13293</v>
      </c>
      <c r="AP79" s="82" t="str">
        <f>HYPERLINK("https://t.co/mDqGw8VUAA")</f>
        <v>https://t.co/mDqGw8VUAA</v>
      </c>
      <c r="AQ79" s="82" t="str">
        <f>HYPERLINK("http://www.ief.com.br")</f>
        <v>http://www.ief.com.br</v>
      </c>
      <c r="AR79" s="76" t="s">
        <v>13952</v>
      </c>
      <c r="AS79" s="76"/>
      <c r="AT79" s="76"/>
      <c r="AU79" s="76"/>
      <c r="AV79" s="76"/>
      <c r="AW79" s="82" t="str">
        <f>HYPERLINK("https://t.co/mDqGw8VUAA")</f>
        <v>https://t.co/mDqGw8VUAA</v>
      </c>
      <c r="AX79" s="76" t="b">
        <v>0</v>
      </c>
      <c r="AY79" s="76"/>
      <c r="AZ79" s="76"/>
      <c r="BA79" s="76" t="b">
        <v>0</v>
      </c>
      <c r="BB79" s="76" t="b">
        <v>1</v>
      </c>
      <c r="BC79" s="76" t="b">
        <v>1</v>
      </c>
      <c r="BD79" s="76" t="b">
        <v>0</v>
      </c>
      <c r="BE79" s="76" t="b">
        <v>0</v>
      </c>
      <c r="BF79" s="76" t="b">
        <v>0</v>
      </c>
      <c r="BG79" s="76" t="b">
        <v>0</v>
      </c>
      <c r="BH79" s="82" t="str">
        <f>HYPERLINK("https://pbs.twimg.com/profile_banners/1423325433467129860/1628188037")</f>
        <v>https://pbs.twimg.com/profile_banners/1423325433467129860/1628188037</v>
      </c>
      <c r="BI79" s="76"/>
      <c r="BJ79" s="76" t="s">
        <v>14450</v>
      </c>
      <c r="BK79" s="76" t="b">
        <v>0</v>
      </c>
      <c r="BL79" s="76"/>
      <c r="BM79" s="76" t="s">
        <v>66</v>
      </c>
      <c r="BN79" s="76" t="s">
        <v>14452</v>
      </c>
      <c r="BO79" s="82" t="str">
        <f>HYPERLINK("https://twitter.com/informacaoief")</f>
        <v>https://twitter.com/informacaoief</v>
      </c>
      <c r="BP79" s="2"/>
    </row>
    <row r="80" spans="1:68" x14ac:dyDescent="0.25">
      <c r="A80" s="62" t="s">
        <v>286</v>
      </c>
      <c r="B80" s="63"/>
      <c r="C80" s="63"/>
      <c r="D80" s="64"/>
      <c r="E80" s="66"/>
      <c r="F80" s="103" t="str">
        <f>HYPERLINK("https://pbs.twimg.com/profile_images/1637695663017463809/3j3TpujE_normal.jpg")</f>
        <v>https://pbs.twimg.com/profile_images/1637695663017463809/3j3TpujE_normal.jpg</v>
      </c>
      <c r="G80" s="63"/>
      <c r="H80" s="67"/>
      <c r="I80" s="68"/>
      <c r="J80" s="68"/>
      <c r="K80" s="67" t="s">
        <v>14529</v>
      </c>
      <c r="L80" s="71"/>
      <c r="M80" s="72"/>
      <c r="N80" s="72"/>
      <c r="O80" s="73"/>
      <c r="P80" s="74"/>
      <c r="Q80" s="74"/>
      <c r="R80" s="87"/>
      <c r="S80" s="87"/>
      <c r="T80" s="87"/>
      <c r="U80" s="87"/>
      <c r="V80" s="48"/>
      <c r="W80" s="48"/>
      <c r="X80" s="48"/>
      <c r="Y80" s="48"/>
      <c r="Z80" s="47"/>
      <c r="AA80" s="69">
        <v>80</v>
      </c>
      <c r="AB80" s="69"/>
      <c r="AC80" s="70"/>
      <c r="AD80" s="76" t="s">
        <v>11825</v>
      </c>
      <c r="AE80" s="80" t="s">
        <v>11432</v>
      </c>
      <c r="AF80" s="76">
        <v>9</v>
      </c>
      <c r="AG80" s="76">
        <v>28</v>
      </c>
      <c r="AH80" s="76">
        <v>69</v>
      </c>
      <c r="AI80" s="76">
        <v>0</v>
      </c>
      <c r="AJ80" s="76">
        <v>0</v>
      </c>
      <c r="AK80" s="76">
        <v>69</v>
      </c>
      <c r="AL80" s="76" t="b">
        <v>0</v>
      </c>
      <c r="AM80" s="78">
        <v>45005.250439814816</v>
      </c>
      <c r="AN80" s="76" t="s">
        <v>12918</v>
      </c>
      <c r="AO80" s="76" t="s">
        <v>13294</v>
      </c>
      <c r="AP80" s="82" t="str">
        <f>HYPERLINK("https://t.co/fuEcaeGo7H")</f>
        <v>https://t.co/fuEcaeGo7H</v>
      </c>
      <c r="AQ80" s="82" t="str">
        <f>HYPERLINK("https://www.vendolite.com/index.html")</f>
        <v>https://www.vendolite.com/index.html</v>
      </c>
      <c r="AR80" s="76" t="s">
        <v>13953</v>
      </c>
      <c r="AS80" s="76"/>
      <c r="AT80" s="76"/>
      <c r="AU80" s="76"/>
      <c r="AV80" s="76"/>
      <c r="AW80" s="82" t="str">
        <f>HYPERLINK("https://t.co/fuEcaeGo7H")</f>
        <v>https://t.co/fuEcaeGo7H</v>
      </c>
      <c r="AX80" s="76" t="b">
        <v>0</v>
      </c>
      <c r="AY80" s="76"/>
      <c r="AZ80" s="76"/>
      <c r="BA80" s="76" t="b">
        <v>0</v>
      </c>
      <c r="BB80" s="76" t="b">
        <v>1</v>
      </c>
      <c r="BC80" s="76" t="b">
        <v>1</v>
      </c>
      <c r="BD80" s="76" t="b">
        <v>0</v>
      </c>
      <c r="BE80" s="76" t="b">
        <v>0</v>
      </c>
      <c r="BF80" s="76" t="b">
        <v>0</v>
      </c>
      <c r="BG80" s="76" t="b">
        <v>0</v>
      </c>
      <c r="BH80" s="82" t="str">
        <f>HYPERLINK("https://pbs.twimg.com/profile_banners/1637695523435196416/1691473123")</f>
        <v>https://pbs.twimg.com/profile_banners/1637695523435196416/1691473123</v>
      </c>
      <c r="BI80" s="76"/>
      <c r="BJ80" s="76" t="s">
        <v>14450</v>
      </c>
      <c r="BK80" s="76" t="b">
        <v>0</v>
      </c>
      <c r="BL80" s="76"/>
      <c r="BM80" s="76" t="s">
        <v>66</v>
      </c>
      <c r="BN80" s="76" t="s">
        <v>14452</v>
      </c>
      <c r="BO80" s="82" t="str">
        <f>HYPERLINK("https://twitter.com/vendolite")</f>
        <v>https://twitter.com/vendolite</v>
      </c>
      <c r="BP80" s="2"/>
    </row>
    <row r="81" spans="1:68" x14ac:dyDescent="0.25">
      <c r="A81" s="62" t="s">
        <v>287</v>
      </c>
      <c r="B81" s="63"/>
      <c r="C81" s="63"/>
      <c r="D81" s="64"/>
      <c r="E81" s="66"/>
      <c r="F81" s="103" t="str">
        <f>HYPERLINK("https://pbs.twimg.com/profile_images/1682098475989716993/OirhE7-K_normal.jpg")</f>
        <v>https://pbs.twimg.com/profile_images/1682098475989716993/OirhE7-K_normal.jpg</v>
      </c>
      <c r="G81" s="63"/>
      <c r="H81" s="67"/>
      <c r="I81" s="68"/>
      <c r="J81" s="68"/>
      <c r="K81" s="67" t="s">
        <v>14530</v>
      </c>
      <c r="L81" s="71"/>
      <c r="M81" s="72"/>
      <c r="N81" s="72"/>
      <c r="O81" s="73"/>
      <c r="P81" s="74"/>
      <c r="Q81" s="74"/>
      <c r="R81" s="87"/>
      <c r="S81" s="87"/>
      <c r="T81" s="87"/>
      <c r="U81" s="87"/>
      <c r="V81" s="48"/>
      <c r="W81" s="48"/>
      <c r="X81" s="48"/>
      <c r="Y81" s="48"/>
      <c r="Z81" s="47"/>
      <c r="AA81" s="69">
        <v>81</v>
      </c>
      <c r="AB81" s="69"/>
      <c r="AC81" s="70"/>
      <c r="AD81" s="76" t="s">
        <v>11826</v>
      </c>
      <c r="AE81" s="80" t="s">
        <v>12518</v>
      </c>
      <c r="AF81" s="76">
        <v>1054</v>
      </c>
      <c r="AG81" s="76">
        <v>81</v>
      </c>
      <c r="AH81" s="76">
        <v>3355</v>
      </c>
      <c r="AI81" s="76">
        <v>6</v>
      </c>
      <c r="AJ81" s="76">
        <v>8</v>
      </c>
      <c r="AK81" s="76">
        <v>2155</v>
      </c>
      <c r="AL81" s="76" t="b">
        <v>0</v>
      </c>
      <c r="AM81" s="78">
        <v>40973.612268518518</v>
      </c>
      <c r="AN81" s="76" t="s">
        <v>12919</v>
      </c>
      <c r="AO81" s="76" t="s">
        <v>13295</v>
      </c>
      <c r="AP81" s="82" t="str">
        <f>HYPERLINK("https://t.co/E81wTA7IuH")</f>
        <v>https://t.co/E81wTA7IuH</v>
      </c>
      <c r="AQ81" s="82" t="str">
        <f>HYPERLINK("http://www.bavaronews.com")</f>
        <v>http://www.bavaronews.com</v>
      </c>
      <c r="AR81" s="76" t="s">
        <v>4230</v>
      </c>
      <c r="AS81" s="76"/>
      <c r="AT81" s="76"/>
      <c r="AU81" s="76"/>
      <c r="AV81" s="76"/>
      <c r="AW81" s="82" t="str">
        <f>HYPERLINK("https://t.co/E81wTA7IuH")</f>
        <v>https://t.co/E81wTA7IuH</v>
      </c>
      <c r="AX81" s="76" t="b">
        <v>0</v>
      </c>
      <c r="AY81" s="76"/>
      <c r="AZ81" s="76"/>
      <c r="BA81" s="76" t="b">
        <v>0</v>
      </c>
      <c r="BB81" s="76" t="b">
        <v>1</v>
      </c>
      <c r="BC81" s="76" t="b">
        <v>1</v>
      </c>
      <c r="BD81" s="76" t="b">
        <v>0</v>
      </c>
      <c r="BE81" s="76" t="b">
        <v>0</v>
      </c>
      <c r="BF81" s="76" t="b">
        <v>0</v>
      </c>
      <c r="BG81" s="76" t="b">
        <v>0</v>
      </c>
      <c r="BH81" s="82" t="str">
        <f>HYPERLINK("https://pbs.twimg.com/profile_banners/515532764/1655222068")</f>
        <v>https://pbs.twimg.com/profile_banners/515532764/1655222068</v>
      </c>
      <c r="BI81" s="76"/>
      <c r="BJ81" s="76" t="s">
        <v>14450</v>
      </c>
      <c r="BK81" s="76" t="b">
        <v>0</v>
      </c>
      <c r="BL81" s="76"/>
      <c r="BM81" s="76" t="s">
        <v>66</v>
      </c>
      <c r="BN81" s="76" t="s">
        <v>14452</v>
      </c>
      <c r="BO81" s="82" t="str">
        <f>HYPERLINK("https://twitter.com/bavaronews")</f>
        <v>https://twitter.com/bavaronews</v>
      </c>
      <c r="BP81" s="2"/>
    </row>
    <row r="82" spans="1:68" x14ac:dyDescent="0.25">
      <c r="A82" s="62" t="s">
        <v>288</v>
      </c>
      <c r="B82" s="63"/>
      <c r="C82" s="63"/>
      <c r="D82" s="64"/>
      <c r="E82" s="66"/>
      <c r="F82" s="103" t="str">
        <f>HYPERLINK("https://pbs.twimg.com/profile_images/1631646833901461506/I9qdjJqj_normal.jpg")</f>
        <v>https://pbs.twimg.com/profile_images/1631646833901461506/I9qdjJqj_normal.jpg</v>
      </c>
      <c r="G82" s="63"/>
      <c r="H82" s="67"/>
      <c r="I82" s="68"/>
      <c r="J82" s="68"/>
      <c r="K82" s="67" t="s">
        <v>14531</v>
      </c>
      <c r="L82" s="71"/>
      <c r="M82" s="72"/>
      <c r="N82" s="72"/>
      <c r="O82" s="73"/>
      <c r="P82" s="74"/>
      <c r="Q82" s="74"/>
      <c r="R82" s="87"/>
      <c r="S82" s="87"/>
      <c r="T82" s="87"/>
      <c r="U82" s="87"/>
      <c r="V82" s="48"/>
      <c r="W82" s="48"/>
      <c r="X82" s="48"/>
      <c r="Y82" s="48"/>
      <c r="Z82" s="47"/>
      <c r="AA82" s="69">
        <v>82</v>
      </c>
      <c r="AB82" s="69"/>
      <c r="AC82" s="70"/>
      <c r="AD82" s="76" t="s">
        <v>11827</v>
      </c>
      <c r="AE82" s="80" t="s">
        <v>11321</v>
      </c>
      <c r="AF82" s="76">
        <v>5</v>
      </c>
      <c r="AG82" s="76">
        <v>118</v>
      </c>
      <c r="AH82" s="76">
        <v>22</v>
      </c>
      <c r="AI82" s="76">
        <v>0</v>
      </c>
      <c r="AJ82" s="76">
        <v>3</v>
      </c>
      <c r="AK82" s="76">
        <v>6</v>
      </c>
      <c r="AL82" s="76" t="b">
        <v>0</v>
      </c>
      <c r="AM82" s="78">
        <v>44959.700671296298</v>
      </c>
      <c r="AN82" s="76"/>
      <c r="AO82" s="76" t="s">
        <v>13296</v>
      </c>
      <c r="AP82" s="82" t="str">
        <f>HYPERLINK("https://t.co/xdgvpnCeie")</f>
        <v>https://t.co/xdgvpnCeie</v>
      </c>
      <c r="AQ82" s="82" t="str">
        <f>HYPERLINK("https://bio.link/netgen")</f>
        <v>https://bio.link/netgen</v>
      </c>
      <c r="AR82" s="76" t="s">
        <v>13954</v>
      </c>
      <c r="AS82" s="76"/>
      <c r="AT82" s="76"/>
      <c r="AU82" s="76"/>
      <c r="AV82" s="76"/>
      <c r="AW82" s="82" t="str">
        <f>HYPERLINK("https://t.co/xdgvpnCeie")</f>
        <v>https://t.co/xdgvpnCeie</v>
      </c>
      <c r="AX82" s="76" t="b">
        <v>0</v>
      </c>
      <c r="AY82" s="76"/>
      <c r="AZ82" s="76"/>
      <c r="BA82" s="76" t="b">
        <v>0</v>
      </c>
      <c r="BB82" s="76" t="b">
        <v>1</v>
      </c>
      <c r="BC82" s="76" t="b">
        <v>1</v>
      </c>
      <c r="BD82" s="76" t="b">
        <v>0</v>
      </c>
      <c r="BE82" s="76" t="b">
        <v>0</v>
      </c>
      <c r="BF82" s="76" t="b">
        <v>0</v>
      </c>
      <c r="BG82" s="76" t="b">
        <v>0</v>
      </c>
      <c r="BH82" s="82" t="str">
        <f>HYPERLINK("https://pbs.twimg.com/profile_banners/1621188869579309057/1677254470")</f>
        <v>https://pbs.twimg.com/profile_banners/1621188869579309057/1677254470</v>
      </c>
      <c r="BI82" s="76"/>
      <c r="BJ82" s="76" t="s">
        <v>14450</v>
      </c>
      <c r="BK82" s="76" t="b">
        <v>0</v>
      </c>
      <c r="BL82" s="76"/>
      <c r="BM82" s="76" t="s">
        <v>66</v>
      </c>
      <c r="BN82" s="76" t="s">
        <v>14452</v>
      </c>
      <c r="BO82" s="82" t="str">
        <f>HYPERLINK("https://twitter.com/netgen_al")</f>
        <v>https://twitter.com/netgen_al</v>
      </c>
      <c r="BP82" s="2"/>
    </row>
    <row r="83" spans="1:68" x14ac:dyDescent="0.25">
      <c r="A83" s="62" t="s">
        <v>289</v>
      </c>
      <c r="B83" s="63"/>
      <c r="C83" s="63"/>
      <c r="D83" s="64"/>
      <c r="E83" s="66"/>
      <c r="F83" s="103" t="str">
        <f>HYPERLINK("https://pbs.twimg.com/profile_images/1262456904623816710/SoxAjANL_normal.jpg")</f>
        <v>https://pbs.twimg.com/profile_images/1262456904623816710/SoxAjANL_normal.jpg</v>
      </c>
      <c r="G83" s="63"/>
      <c r="H83" s="67"/>
      <c r="I83" s="68"/>
      <c r="J83" s="68"/>
      <c r="K83" s="67" t="s">
        <v>14532</v>
      </c>
      <c r="L83" s="71"/>
      <c r="M83" s="72"/>
      <c r="N83" s="72"/>
      <c r="O83" s="73"/>
      <c r="P83" s="74"/>
      <c r="Q83" s="74"/>
      <c r="R83" s="87"/>
      <c r="S83" s="87"/>
      <c r="T83" s="87"/>
      <c r="U83" s="87"/>
      <c r="V83" s="48"/>
      <c r="W83" s="48"/>
      <c r="X83" s="48"/>
      <c r="Y83" s="48"/>
      <c r="Z83" s="47"/>
      <c r="AA83" s="69">
        <v>83</v>
      </c>
      <c r="AB83" s="69"/>
      <c r="AC83" s="70"/>
      <c r="AD83" s="76" t="s">
        <v>11828</v>
      </c>
      <c r="AE83" s="80" t="s">
        <v>11433</v>
      </c>
      <c r="AF83" s="76">
        <v>509</v>
      </c>
      <c r="AG83" s="76">
        <v>1803</v>
      </c>
      <c r="AH83" s="76">
        <v>662</v>
      </c>
      <c r="AI83" s="76">
        <v>3</v>
      </c>
      <c r="AJ83" s="76">
        <v>36</v>
      </c>
      <c r="AK83" s="76">
        <v>642</v>
      </c>
      <c r="AL83" s="76" t="b">
        <v>0</v>
      </c>
      <c r="AM83" s="78">
        <v>42760.645335648151</v>
      </c>
      <c r="AN83" s="76" t="s">
        <v>12920</v>
      </c>
      <c r="AO83" s="76" t="s">
        <v>13297</v>
      </c>
      <c r="AP83" s="82" t="str">
        <f>HYPERLINK("https://t.co/lBzVGfMFVQ")</f>
        <v>https://t.co/lBzVGfMFVQ</v>
      </c>
      <c r="AQ83" s="82" t="str">
        <f>HYPERLINK("http://www.clicktimepage.com.ar")</f>
        <v>http://www.clicktimepage.com.ar</v>
      </c>
      <c r="AR83" s="76" t="s">
        <v>13955</v>
      </c>
      <c r="AS83" s="76"/>
      <c r="AT83" s="76"/>
      <c r="AU83" s="76"/>
      <c r="AV83" s="76"/>
      <c r="AW83" s="82" t="str">
        <f>HYPERLINK("https://t.co/lBzVGfMFVQ")</f>
        <v>https://t.co/lBzVGfMFVQ</v>
      </c>
      <c r="AX83" s="76" t="b">
        <v>0</v>
      </c>
      <c r="AY83" s="76"/>
      <c r="AZ83" s="76"/>
      <c r="BA83" s="76" t="b">
        <v>0</v>
      </c>
      <c r="BB83" s="76" t="b">
        <v>1</v>
      </c>
      <c r="BC83" s="76" t="b">
        <v>1</v>
      </c>
      <c r="BD83" s="76" t="b">
        <v>0</v>
      </c>
      <c r="BE83" s="76" t="b">
        <v>1</v>
      </c>
      <c r="BF83" s="76" t="b">
        <v>0</v>
      </c>
      <c r="BG83" s="76" t="b">
        <v>0</v>
      </c>
      <c r="BH83" s="82" t="str">
        <f>HYPERLINK("https://pbs.twimg.com/profile_banners/824277970676236290/1657570920")</f>
        <v>https://pbs.twimg.com/profile_banners/824277970676236290/1657570920</v>
      </c>
      <c r="BI83" s="76"/>
      <c r="BJ83" s="76" t="s">
        <v>14450</v>
      </c>
      <c r="BK83" s="76" t="b">
        <v>0</v>
      </c>
      <c r="BL83" s="76"/>
      <c r="BM83" s="76" t="s">
        <v>66</v>
      </c>
      <c r="BN83" s="76" t="s">
        <v>14452</v>
      </c>
      <c r="BO83" s="82" t="str">
        <f>HYPERLINK("https://twitter.com/info_clicktime")</f>
        <v>https://twitter.com/info_clicktime</v>
      </c>
      <c r="BP83" s="2"/>
    </row>
    <row r="84" spans="1:68" x14ac:dyDescent="0.25">
      <c r="A84" s="62" t="s">
        <v>290</v>
      </c>
      <c r="B84" s="63"/>
      <c r="C84" s="63"/>
      <c r="D84" s="64"/>
      <c r="E84" s="66"/>
      <c r="F84" s="103" t="str">
        <f>HYPERLINK("https://abs.twimg.com/sticky/default_profile_images/default_profile_normal.png")</f>
        <v>https://abs.twimg.com/sticky/default_profile_images/default_profile_normal.png</v>
      </c>
      <c r="G84" s="63"/>
      <c r="H84" s="67"/>
      <c r="I84" s="68"/>
      <c r="J84" s="68"/>
      <c r="K84" s="67" t="s">
        <v>14533</v>
      </c>
      <c r="L84" s="71"/>
      <c r="M84" s="72"/>
      <c r="N84" s="72"/>
      <c r="O84" s="73"/>
      <c r="P84" s="74"/>
      <c r="Q84" s="74"/>
      <c r="R84" s="87"/>
      <c r="S84" s="87"/>
      <c r="T84" s="87"/>
      <c r="U84" s="87"/>
      <c r="V84" s="48"/>
      <c r="W84" s="48"/>
      <c r="X84" s="48"/>
      <c r="Y84" s="48"/>
      <c r="Z84" s="47"/>
      <c r="AA84" s="69">
        <v>84</v>
      </c>
      <c r="AB84" s="69"/>
      <c r="AC84" s="70"/>
      <c r="AD84" s="76" t="s">
        <v>11829</v>
      </c>
      <c r="AE84" s="80" t="s">
        <v>11434</v>
      </c>
      <c r="AF84" s="76">
        <v>0</v>
      </c>
      <c r="AG84" s="76">
        <v>1</v>
      </c>
      <c r="AH84" s="76">
        <v>1</v>
      </c>
      <c r="AI84" s="76">
        <v>0</v>
      </c>
      <c r="AJ84" s="76">
        <v>0</v>
      </c>
      <c r="AK84" s="76">
        <v>0</v>
      </c>
      <c r="AL84" s="76" t="b">
        <v>0</v>
      </c>
      <c r="AM84" s="78">
        <v>45042.722314814811</v>
      </c>
      <c r="AN84" s="76"/>
      <c r="AO84" s="76"/>
      <c r="AP84" s="76"/>
      <c r="AQ84" s="76"/>
      <c r="AR84" s="76"/>
      <c r="AS84" s="76"/>
      <c r="AT84" s="76"/>
      <c r="AU84" s="76"/>
      <c r="AV84" s="76"/>
      <c r="AW84" s="76"/>
      <c r="AX84" s="76" t="b">
        <v>0</v>
      </c>
      <c r="AY84" s="76"/>
      <c r="AZ84" s="76"/>
      <c r="BA84" s="76" t="b">
        <v>0</v>
      </c>
      <c r="BB84" s="76" t="b">
        <v>1</v>
      </c>
      <c r="BC84" s="76" t="b">
        <v>1</v>
      </c>
      <c r="BD84" s="76" t="b">
        <v>1</v>
      </c>
      <c r="BE84" s="76" t="b">
        <v>0</v>
      </c>
      <c r="BF84" s="76" t="b">
        <v>0</v>
      </c>
      <c r="BG84" s="76" t="b">
        <v>0</v>
      </c>
      <c r="BH84" s="76"/>
      <c r="BI84" s="76"/>
      <c r="BJ84" s="76" t="s">
        <v>14450</v>
      </c>
      <c r="BK84" s="76" t="b">
        <v>0</v>
      </c>
      <c r="BL84" s="76"/>
      <c r="BM84" s="76" t="s">
        <v>66</v>
      </c>
      <c r="BN84" s="76" t="s">
        <v>14452</v>
      </c>
      <c r="BO84" s="82" t="str">
        <f>HYPERLINK("https://twitter.com/esther260420")</f>
        <v>https://twitter.com/esther260420</v>
      </c>
      <c r="BP84" s="2"/>
    </row>
    <row r="85" spans="1:68" x14ac:dyDescent="0.25">
      <c r="A85" s="62" t="s">
        <v>882</v>
      </c>
      <c r="B85" s="63"/>
      <c r="C85" s="63"/>
      <c r="D85" s="64"/>
      <c r="E85" s="66"/>
      <c r="F85" s="103" t="str">
        <f>HYPERLINK("https://pbs.twimg.com/profile_images/1575509822606348292/iee7FiiP_normal.jpg")</f>
        <v>https://pbs.twimg.com/profile_images/1575509822606348292/iee7FiiP_normal.jpg</v>
      </c>
      <c r="G85" s="63"/>
      <c r="H85" s="67"/>
      <c r="I85" s="68"/>
      <c r="J85" s="68"/>
      <c r="K85" s="67" t="s">
        <v>14534</v>
      </c>
      <c r="L85" s="71"/>
      <c r="M85" s="72"/>
      <c r="N85" s="72"/>
      <c r="O85" s="73"/>
      <c r="P85" s="74"/>
      <c r="Q85" s="74"/>
      <c r="R85" s="87"/>
      <c r="S85" s="87"/>
      <c r="T85" s="87"/>
      <c r="U85" s="87"/>
      <c r="V85" s="48"/>
      <c r="W85" s="48"/>
      <c r="X85" s="48"/>
      <c r="Y85" s="48"/>
      <c r="Z85" s="47"/>
      <c r="AA85" s="69">
        <v>85</v>
      </c>
      <c r="AB85" s="69"/>
      <c r="AC85" s="70"/>
      <c r="AD85" s="76" t="s">
        <v>11830</v>
      </c>
      <c r="AE85" s="80" t="s">
        <v>11322</v>
      </c>
      <c r="AF85" s="76">
        <v>74598</v>
      </c>
      <c r="AG85" s="76">
        <v>104</v>
      </c>
      <c r="AH85" s="76">
        <v>77911</v>
      </c>
      <c r="AI85" s="76">
        <v>156</v>
      </c>
      <c r="AJ85" s="76">
        <v>24604</v>
      </c>
      <c r="AK85" s="76">
        <v>2810</v>
      </c>
      <c r="AL85" s="76" t="b">
        <v>0</v>
      </c>
      <c r="AM85" s="78">
        <v>41470.625520833331</v>
      </c>
      <c r="AN85" s="76"/>
      <c r="AO85" s="76" t="s">
        <v>13298</v>
      </c>
      <c r="AP85" s="82" t="str">
        <f>HYPERLINK("https://t.co/rHn9xv4r61")</f>
        <v>https://t.co/rHn9xv4r61</v>
      </c>
      <c r="AQ85" s="82" t="str">
        <f>HYPERLINK("http://linktr.ee/wallapop")</f>
        <v>http://linktr.ee/wallapop</v>
      </c>
      <c r="AR85" s="76" t="s">
        <v>13956</v>
      </c>
      <c r="AS85" s="82" t="str">
        <f>HYPERLINK("https://t.co/rHn9xv4r61")</f>
        <v>https://t.co/rHn9xv4r61</v>
      </c>
      <c r="AT85" s="82" t="str">
        <f>HYPERLINK("http://linktr.ee/wallapop")</f>
        <v>http://linktr.ee/wallapop</v>
      </c>
      <c r="AU85" s="76" t="s">
        <v>13956</v>
      </c>
      <c r="AV85" s="76"/>
      <c r="AW85" s="82" t="str">
        <f>HYPERLINK("https://t.co/rHn9xv4r61")</f>
        <v>https://t.co/rHn9xv4r61</v>
      </c>
      <c r="AX85" s="76" t="b">
        <v>0</v>
      </c>
      <c r="AY85" s="76"/>
      <c r="AZ85" s="76"/>
      <c r="BA85" s="76" t="b">
        <v>1</v>
      </c>
      <c r="BB85" s="76" t="b">
        <v>1</v>
      </c>
      <c r="BC85" s="76" t="b">
        <v>0</v>
      </c>
      <c r="BD85" s="76" t="b">
        <v>0</v>
      </c>
      <c r="BE85" s="76" t="b">
        <v>1</v>
      </c>
      <c r="BF85" s="76" t="b">
        <v>0</v>
      </c>
      <c r="BG85" s="76" t="b">
        <v>0</v>
      </c>
      <c r="BH85" s="82" t="str">
        <f>HYPERLINK("https://pbs.twimg.com/profile_banners/1596045068/1690464384")</f>
        <v>https://pbs.twimg.com/profile_banners/1596045068/1690464384</v>
      </c>
      <c r="BI85" s="76"/>
      <c r="BJ85" s="76" t="s">
        <v>14450</v>
      </c>
      <c r="BK85" s="76" t="b">
        <v>0</v>
      </c>
      <c r="BL85" s="76"/>
      <c r="BM85" s="76" t="s">
        <v>65</v>
      </c>
      <c r="BN85" s="76" t="s">
        <v>14452</v>
      </c>
      <c r="BO85" s="82" t="str">
        <f>HYPERLINK("https://twitter.com/wallapop")</f>
        <v>https://twitter.com/wallapop</v>
      </c>
      <c r="BP85" s="2"/>
    </row>
    <row r="86" spans="1:68" x14ac:dyDescent="0.25">
      <c r="A86" s="62" t="s">
        <v>291</v>
      </c>
      <c r="B86" s="63"/>
      <c r="C86" s="63"/>
      <c r="D86" s="64"/>
      <c r="E86" s="66"/>
      <c r="F86" s="103" t="str">
        <f>HYPERLINK("https://pbs.twimg.com/profile_images/1332887216125829127/cZNpivNr_normal.jpg")</f>
        <v>https://pbs.twimg.com/profile_images/1332887216125829127/cZNpivNr_normal.jpg</v>
      </c>
      <c r="G86" s="63"/>
      <c r="H86" s="67"/>
      <c r="I86" s="68"/>
      <c r="J86" s="68"/>
      <c r="K86" s="67" t="s">
        <v>14535</v>
      </c>
      <c r="L86" s="71"/>
      <c r="M86" s="72"/>
      <c r="N86" s="72"/>
      <c r="O86" s="73"/>
      <c r="P86" s="74"/>
      <c r="Q86" s="74"/>
      <c r="R86" s="87"/>
      <c r="S86" s="87"/>
      <c r="T86" s="87"/>
      <c r="U86" s="87"/>
      <c r="V86" s="48"/>
      <c r="W86" s="48"/>
      <c r="X86" s="48"/>
      <c r="Y86" s="48"/>
      <c r="Z86" s="47"/>
      <c r="AA86" s="69">
        <v>86</v>
      </c>
      <c r="AB86" s="69"/>
      <c r="AC86" s="70"/>
      <c r="AD86" s="76" t="s">
        <v>11831</v>
      </c>
      <c r="AE86" s="80" t="s">
        <v>11435</v>
      </c>
      <c r="AF86" s="76">
        <v>15</v>
      </c>
      <c r="AG86" s="76">
        <v>122</v>
      </c>
      <c r="AH86" s="76">
        <v>294</v>
      </c>
      <c r="AI86" s="76">
        <v>0</v>
      </c>
      <c r="AJ86" s="76">
        <v>11</v>
      </c>
      <c r="AK86" s="76">
        <v>198</v>
      </c>
      <c r="AL86" s="76" t="b">
        <v>0</v>
      </c>
      <c r="AM86" s="78">
        <v>44164.138773148145</v>
      </c>
      <c r="AN86" s="76"/>
      <c r="AO86" s="76" t="s">
        <v>13299</v>
      </c>
      <c r="AP86" s="76"/>
      <c r="AQ86" s="76"/>
      <c r="AR86" s="76"/>
      <c r="AS86" s="76"/>
      <c r="AT86" s="76"/>
      <c r="AU86" s="76"/>
      <c r="AV86" s="76"/>
      <c r="AW86" s="76"/>
      <c r="AX86" s="76" t="b">
        <v>0</v>
      </c>
      <c r="AY86" s="76"/>
      <c r="AZ86" s="76"/>
      <c r="BA86" s="76" t="b">
        <v>0</v>
      </c>
      <c r="BB86" s="76" t="b">
        <v>1</v>
      </c>
      <c r="BC86" s="76" t="b">
        <v>1</v>
      </c>
      <c r="BD86" s="76" t="b">
        <v>0</v>
      </c>
      <c r="BE86" s="76" t="b">
        <v>0</v>
      </c>
      <c r="BF86" s="76" t="b">
        <v>0</v>
      </c>
      <c r="BG86" s="76" t="b">
        <v>0</v>
      </c>
      <c r="BH86" s="76"/>
      <c r="BI86" s="76"/>
      <c r="BJ86" s="76" t="s">
        <v>14450</v>
      </c>
      <c r="BK86" s="76" t="b">
        <v>0</v>
      </c>
      <c r="BL86" s="76"/>
      <c r="BM86" s="76" t="s">
        <v>66</v>
      </c>
      <c r="BN86" s="76" t="s">
        <v>14452</v>
      </c>
      <c r="BO86" s="82" t="str">
        <f>HYPERLINK("https://twitter.com/prcticasempres1")</f>
        <v>https://twitter.com/prcticasempres1</v>
      </c>
      <c r="BP86" s="2"/>
    </row>
    <row r="87" spans="1:68" x14ac:dyDescent="0.25">
      <c r="A87" s="62" t="s">
        <v>292</v>
      </c>
      <c r="B87" s="63"/>
      <c r="C87" s="63"/>
      <c r="D87" s="64"/>
      <c r="E87" s="66"/>
      <c r="F87" s="103" t="str">
        <f>HYPERLINK("https://pbs.twimg.com/profile_images/1669690944533278724/FcK9DAhU_normal.jpg")</f>
        <v>https://pbs.twimg.com/profile_images/1669690944533278724/FcK9DAhU_normal.jpg</v>
      </c>
      <c r="G87" s="63"/>
      <c r="H87" s="67"/>
      <c r="I87" s="68"/>
      <c r="J87" s="68"/>
      <c r="K87" s="67" t="s">
        <v>14536</v>
      </c>
      <c r="L87" s="71"/>
      <c r="M87" s="72"/>
      <c r="N87" s="72"/>
      <c r="O87" s="73"/>
      <c r="P87" s="74"/>
      <c r="Q87" s="74"/>
      <c r="R87" s="87"/>
      <c r="S87" s="87"/>
      <c r="T87" s="87"/>
      <c r="U87" s="87"/>
      <c r="V87" s="48"/>
      <c r="W87" s="48"/>
      <c r="X87" s="48"/>
      <c r="Y87" s="48"/>
      <c r="Z87" s="47"/>
      <c r="AA87" s="69">
        <v>87</v>
      </c>
      <c r="AB87" s="69"/>
      <c r="AC87" s="70"/>
      <c r="AD87" s="76" t="s">
        <v>11832</v>
      </c>
      <c r="AE87" s="80" t="s">
        <v>11436</v>
      </c>
      <c r="AF87" s="76">
        <v>28</v>
      </c>
      <c r="AG87" s="76">
        <v>40</v>
      </c>
      <c r="AH87" s="76">
        <v>47</v>
      </c>
      <c r="AI87" s="76">
        <v>2</v>
      </c>
      <c r="AJ87" s="76">
        <v>16</v>
      </c>
      <c r="AK87" s="76">
        <v>26</v>
      </c>
      <c r="AL87" s="76" t="b">
        <v>0</v>
      </c>
      <c r="AM87" s="78">
        <v>44506.803738425922</v>
      </c>
      <c r="AN87" s="76" t="s">
        <v>7763</v>
      </c>
      <c r="AO87" s="76" t="s">
        <v>13300</v>
      </c>
      <c r="AP87" s="82" t="str">
        <f>HYPERLINK("https://t.co/mzv6BnGivt")</f>
        <v>https://t.co/mzv6BnGivt</v>
      </c>
      <c r="AQ87" s="82" t="str">
        <f>HYPERLINK("https://www.jonnyviccari.com/links")</f>
        <v>https://www.jonnyviccari.com/links</v>
      </c>
      <c r="AR87" s="76" t="s">
        <v>13957</v>
      </c>
      <c r="AS87" s="76"/>
      <c r="AT87" s="76"/>
      <c r="AU87" s="76"/>
      <c r="AV87" s="76"/>
      <c r="AW87" s="82" t="str">
        <f>HYPERLINK("https://t.co/mzv6BnGivt")</f>
        <v>https://t.co/mzv6BnGivt</v>
      </c>
      <c r="AX87" s="76" t="b">
        <v>0</v>
      </c>
      <c r="AY87" s="76"/>
      <c r="AZ87" s="76"/>
      <c r="BA87" s="76" t="b">
        <v>1</v>
      </c>
      <c r="BB87" s="76" t="b">
        <v>1</v>
      </c>
      <c r="BC87" s="76" t="b">
        <v>1</v>
      </c>
      <c r="BD87" s="76" t="b">
        <v>0</v>
      </c>
      <c r="BE87" s="76" t="b">
        <v>0</v>
      </c>
      <c r="BF87" s="76" t="b">
        <v>0</v>
      </c>
      <c r="BG87" s="76" t="b">
        <v>0</v>
      </c>
      <c r="BH87" s="82" t="str">
        <f>HYPERLINK("https://pbs.twimg.com/profile_banners/1457064501803724800/1686919469")</f>
        <v>https://pbs.twimg.com/profile_banners/1457064501803724800/1686919469</v>
      </c>
      <c r="BI87" s="76"/>
      <c r="BJ87" s="76" t="s">
        <v>14450</v>
      </c>
      <c r="BK87" s="76" t="b">
        <v>0</v>
      </c>
      <c r="BL87" s="76"/>
      <c r="BM87" s="76" t="s">
        <v>66</v>
      </c>
      <c r="BN87" s="76" t="s">
        <v>14452</v>
      </c>
      <c r="BO87" s="82" t="str">
        <f>HYPERLINK("https://twitter.com/viccarijonny")</f>
        <v>https://twitter.com/viccarijonny</v>
      </c>
      <c r="BP87" s="2"/>
    </row>
    <row r="88" spans="1:68" x14ac:dyDescent="0.25">
      <c r="A88" s="62" t="s">
        <v>293</v>
      </c>
      <c r="B88" s="63"/>
      <c r="C88" s="63"/>
      <c r="D88" s="64"/>
      <c r="E88" s="66"/>
      <c r="F88" s="103" t="str">
        <f>HYPERLINK("https://pbs.twimg.com/profile_images/1211108842655961089/z0k-TjM0_normal.jpg")</f>
        <v>https://pbs.twimg.com/profile_images/1211108842655961089/z0k-TjM0_normal.jpg</v>
      </c>
      <c r="G88" s="63"/>
      <c r="H88" s="67"/>
      <c r="I88" s="68"/>
      <c r="J88" s="68"/>
      <c r="K88" s="67" t="s">
        <v>14537</v>
      </c>
      <c r="L88" s="71"/>
      <c r="M88" s="72"/>
      <c r="N88" s="72"/>
      <c r="O88" s="73"/>
      <c r="P88" s="74"/>
      <c r="Q88" s="74"/>
      <c r="R88" s="87"/>
      <c r="S88" s="87"/>
      <c r="T88" s="87"/>
      <c r="U88" s="87"/>
      <c r="V88" s="48"/>
      <c r="W88" s="48"/>
      <c r="X88" s="48"/>
      <c r="Y88" s="48"/>
      <c r="Z88" s="47"/>
      <c r="AA88" s="69">
        <v>88</v>
      </c>
      <c r="AB88" s="69"/>
      <c r="AC88" s="70"/>
      <c r="AD88" s="76" t="s">
        <v>11833</v>
      </c>
      <c r="AE88" s="80" t="s">
        <v>12519</v>
      </c>
      <c r="AF88" s="76">
        <v>31</v>
      </c>
      <c r="AG88" s="76">
        <v>35</v>
      </c>
      <c r="AH88" s="76">
        <v>118</v>
      </c>
      <c r="AI88" s="76">
        <v>0</v>
      </c>
      <c r="AJ88" s="76">
        <v>41</v>
      </c>
      <c r="AK88" s="76">
        <v>5</v>
      </c>
      <c r="AL88" s="76" t="b">
        <v>0</v>
      </c>
      <c r="AM88" s="78">
        <v>40719.811226851853</v>
      </c>
      <c r="AN88" s="76"/>
      <c r="AO88" s="76" t="s">
        <v>13301</v>
      </c>
      <c r="AP88" s="82" t="str">
        <f>HYPERLINK("https://t.co/pu7Tso1uH0")</f>
        <v>https://t.co/pu7Tso1uH0</v>
      </c>
      <c r="AQ88" s="82" t="str">
        <f>HYPERLINK("http://prefiroconsorcio.com.br")</f>
        <v>http://prefiroconsorcio.com.br</v>
      </c>
      <c r="AR88" s="76" t="s">
        <v>13958</v>
      </c>
      <c r="AS88" s="76"/>
      <c r="AT88" s="76"/>
      <c r="AU88" s="76"/>
      <c r="AV88" s="76">
        <v>1.21110993264225E+18</v>
      </c>
      <c r="AW88" s="82" t="str">
        <f>HYPERLINK("https://t.co/pu7Tso1uH0")</f>
        <v>https://t.co/pu7Tso1uH0</v>
      </c>
      <c r="AX88" s="76" t="b">
        <v>0</v>
      </c>
      <c r="AY88" s="76"/>
      <c r="AZ88" s="76"/>
      <c r="BA88" s="76" t="b">
        <v>0</v>
      </c>
      <c r="BB88" s="76" t="b">
        <v>1</v>
      </c>
      <c r="BC88" s="76" t="b">
        <v>0</v>
      </c>
      <c r="BD88" s="76" t="b">
        <v>0</v>
      </c>
      <c r="BE88" s="76" t="b">
        <v>0</v>
      </c>
      <c r="BF88" s="76" t="b">
        <v>0</v>
      </c>
      <c r="BG88" s="76" t="b">
        <v>0</v>
      </c>
      <c r="BH88" s="82" t="str">
        <f>HYPERLINK("https://pbs.twimg.com/profile_banners/323976567/1643235062")</f>
        <v>https://pbs.twimg.com/profile_banners/323976567/1643235062</v>
      </c>
      <c r="BI88" s="76"/>
      <c r="BJ88" s="76" t="s">
        <v>14450</v>
      </c>
      <c r="BK88" s="76" t="b">
        <v>0</v>
      </c>
      <c r="BL88" s="76"/>
      <c r="BM88" s="76" t="s">
        <v>66</v>
      </c>
      <c r="BN88" s="76" t="s">
        <v>14452</v>
      </c>
      <c r="BO88" s="82" t="str">
        <f>HYPERLINK("https://twitter.com/dancarlossilva")</f>
        <v>https://twitter.com/dancarlossilva</v>
      </c>
      <c r="BP88" s="2"/>
    </row>
    <row r="89" spans="1:68" x14ac:dyDescent="0.25">
      <c r="A89" s="62" t="s">
        <v>294</v>
      </c>
      <c r="B89" s="63"/>
      <c r="C89" s="63"/>
      <c r="D89" s="64"/>
      <c r="E89" s="66"/>
      <c r="F89" s="103" t="str">
        <f>HYPERLINK("https://pbs.twimg.com/profile_images/1568209463651319808/_XYao22t_normal.jpg")</f>
        <v>https://pbs.twimg.com/profile_images/1568209463651319808/_XYao22t_normal.jpg</v>
      </c>
      <c r="G89" s="63"/>
      <c r="H89" s="67"/>
      <c r="I89" s="68"/>
      <c r="J89" s="68"/>
      <c r="K89" s="67" t="s">
        <v>14538</v>
      </c>
      <c r="L89" s="71"/>
      <c r="M89" s="72"/>
      <c r="N89" s="72"/>
      <c r="O89" s="73"/>
      <c r="P89" s="74"/>
      <c r="Q89" s="74"/>
      <c r="R89" s="87"/>
      <c r="S89" s="87"/>
      <c r="T89" s="87"/>
      <c r="U89" s="87"/>
      <c r="V89" s="48"/>
      <c r="W89" s="48"/>
      <c r="X89" s="48"/>
      <c r="Y89" s="48"/>
      <c r="Z89" s="47"/>
      <c r="AA89" s="69">
        <v>89</v>
      </c>
      <c r="AB89" s="69"/>
      <c r="AC89" s="70"/>
      <c r="AD89" s="76" t="s">
        <v>11834</v>
      </c>
      <c r="AE89" s="80" t="s">
        <v>12520</v>
      </c>
      <c r="AF89" s="76">
        <v>251</v>
      </c>
      <c r="AG89" s="76">
        <v>569</v>
      </c>
      <c r="AH89" s="76">
        <v>1497</v>
      </c>
      <c r="AI89" s="76">
        <v>0</v>
      </c>
      <c r="AJ89" s="76">
        <v>572</v>
      </c>
      <c r="AK89" s="76">
        <v>674</v>
      </c>
      <c r="AL89" s="76" t="b">
        <v>0</v>
      </c>
      <c r="AM89" s="78">
        <v>41353.8908912037</v>
      </c>
      <c r="AN89" s="76" t="s">
        <v>12888</v>
      </c>
      <c r="AO89" s="76" t="s">
        <v>13302</v>
      </c>
      <c r="AP89" s="82" t="str">
        <f>HYPERLINK("https://t.co/qKDgGRDQPX")</f>
        <v>https://t.co/qKDgGRDQPX</v>
      </c>
      <c r="AQ89" s="82" t="str">
        <f>HYPERLINK("https://www.aliqindoi.com/")</f>
        <v>https://www.aliqindoi.com/</v>
      </c>
      <c r="AR89" s="76" t="s">
        <v>13959</v>
      </c>
      <c r="AS89" s="76"/>
      <c r="AT89" s="76"/>
      <c r="AU89" s="76"/>
      <c r="AV89" s="76"/>
      <c r="AW89" s="82" t="str">
        <f>HYPERLINK("https://t.co/qKDgGRDQPX")</f>
        <v>https://t.co/qKDgGRDQPX</v>
      </c>
      <c r="AX89" s="76" t="b">
        <v>0</v>
      </c>
      <c r="AY89" s="76"/>
      <c r="AZ89" s="76"/>
      <c r="BA89" s="76" t="b">
        <v>0</v>
      </c>
      <c r="BB89" s="76" t="b">
        <v>1</v>
      </c>
      <c r="BC89" s="76" t="b">
        <v>0</v>
      </c>
      <c r="BD89" s="76" t="b">
        <v>0</v>
      </c>
      <c r="BE89" s="76" t="b">
        <v>0</v>
      </c>
      <c r="BF89" s="76" t="b">
        <v>0</v>
      </c>
      <c r="BG89" s="76" t="b">
        <v>0</v>
      </c>
      <c r="BH89" s="82" t="str">
        <f>HYPERLINK("https://pbs.twimg.com/profile_banners/1284318817/1670835495")</f>
        <v>https://pbs.twimg.com/profile_banners/1284318817/1670835495</v>
      </c>
      <c r="BI89" s="76"/>
      <c r="BJ89" s="76" t="s">
        <v>14450</v>
      </c>
      <c r="BK89" s="76" t="b">
        <v>0</v>
      </c>
      <c r="BL89" s="76"/>
      <c r="BM89" s="76" t="s">
        <v>66</v>
      </c>
      <c r="BN89" s="76" t="s">
        <v>14452</v>
      </c>
      <c r="BO89" s="82" t="str">
        <f>HYPERLINK("https://twitter.com/aliqindoi")</f>
        <v>https://twitter.com/aliqindoi</v>
      </c>
      <c r="BP89" s="2"/>
    </row>
    <row r="90" spans="1:68" x14ac:dyDescent="0.25">
      <c r="A90" s="62" t="s">
        <v>295</v>
      </c>
      <c r="B90" s="63"/>
      <c r="C90" s="63"/>
      <c r="D90" s="64"/>
      <c r="E90" s="66"/>
      <c r="F90" s="103" t="str">
        <f>HYPERLINK("https://pbs.twimg.com/profile_images/885767551485190145/e_J2RvHU_normal.jpg")</f>
        <v>https://pbs.twimg.com/profile_images/885767551485190145/e_J2RvHU_normal.jpg</v>
      </c>
      <c r="G90" s="63"/>
      <c r="H90" s="67"/>
      <c r="I90" s="68"/>
      <c r="J90" s="68"/>
      <c r="K90" s="67" t="s">
        <v>14539</v>
      </c>
      <c r="L90" s="71"/>
      <c r="M90" s="72"/>
      <c r="N90" s="72"/>
      <c r="O90" s="73"/>
      <c r="P90" s="74"/>
      <c r="Q90" s="74"/>
      <c r="R90" s="87"/>
      <c r="S90" s="87"/>
      <c r="T90" s="87"/>
      <c r="U90" s="87"/>
      <c r="V90" s="48"/>
      <c r="W90" s="48"/>
      <c r="X90" s="48"/>
      <c r="Y90" s="48"/>
      <c r="Z90" s="47"/>
      <c r="AA90" s="69">
        <v>90</v>
      </c>
      <c r="AB90" s="69"/>
      <c r="AC90" s="70"/>
      <c r="AD90" s="76" t="s">
        <v>11835</v>
      </c>
      <c r="AE90" s="80" t="s">
        <v>11437</v>
      </c>
      <c r="AF90" s="76">
        <v>9116</v>
      </c>
      <c r="AG90" s="76">
        <v>325</v>
      </c>
      <c r="AH90" s="76">
        <v>5701</v>
      </c>
      <c r="AI90" s="76">
        <v>47</v>
      </c>
      <c r="AJ90" s="76">
        <v>1030</v>
      </c>
      <c r="AK90" s="76">
        <v>1054</v>
      </c>
      <c r="AL90" s="76" t="b">
        <v>0</v>
      </c>
      <c r="AM90" s="78">
        <v>42930.31795138889</v>
      </c>
      <c r="AN90" s="76"/>
      <c r="AO90" s="76" t="s">
        <v>13303</v>
      </c>
      <c r="AP90" s="82" t="str">
        <f>HYPERLINK("https://t.co/4HTlvMbPZS")</f>
        <v>https://t.co/4HTlvMbPZS</v>
      </c>
      <c r="AQ90" s="82" t="str">
        <f>HYPERLINK("http://www.civil-mercantil.com/")</f>
        <v>http://www.civil-mercantil.com/</v>
      </c>
      <c r="AR90" s="76" t="s">
        <v>4232</v>
      </c>
      <c r="AS90" s="76"/>
      <c r="AT90" s="76"/>
      <c r="AU90" s="76"/>
      <c r="AV90" s="76"/>
      <c r="AW90" s="82" t="str">
        <f>HYPERLINK("https://t.co/4HTlvMbPZS")</f>
        <v>https://t.co/4HTlvMbPZS</v>
      </c>
      <c r="AX90" s="76" t="b">
        <v>0</v>
      </c>
      <c r="AY90" s="76"/>
      <c r="AZ90" s="76"/>
      <c r="BA90" s="76" t="b">
        <v>0</v>
      </c>
      <c r="BB90" s="76" t="b">
        <v>0</v>
      </c>
      <c r="BC90" s="76" t="b">
        <v>0</v>
      </c>
      <c r="BD90" s="76" t="b">
        <v>0</v>
      </c>
      <c r="BE90" s="76" t="b">
        <v>0</v>
      </c>
      <c r="BF90" s="76" t="b">
        <v>0</v>
      </c>
      <c r="BG90" s="76" t="b">
        <v>0</v>
      </c>
      <c r="BH90" s="82" t="str">
        <f>HYPERLINK("https://pbs.twimg.com/profile_banners/885765268290646016/1500018429")</f>
        <v>https://pbs.twimg.com/profile_banners/885765268290646016/1500018429</v>
      </c>
      <c r="BI90" s="76"/>
      <c r="BJ90" s="76" t="s">
        <v>14450</v>
      </c>
      <c r="BK90" s="76" t="b">
        <v>0</v>
      </c>
      <c r="BL90" s="76"/>
      <c r="BM90" s="76" t="s">
        <v>66</v>
      </c>
      <c r="BN90" s="76" t="s">
        <v>14452</v>
      </c>
      <c r="BO90" s="82" t="str">
        <f>HYPERLINK("https://twitter.com/civilmercantil")</f>
        <v>https://twitter.com/civilmercantil</v>
      </c>
      <c r="BP90" s="2"/>
    </row>
    <row r="91" spans="1:68" x14ac:dyDescent="0.25">
      <c r="A91" s="62" t="s">
        <v>296</v>
      </c>
      <c r="B91" s="63"/>
      <c r="C91" s="63"/>
      <c r="D91" s="64"/>
      <c r="E91" s="66"/>
      <c r="F91" s="103" t="str">
        <f>HYPERLINK("https://pbs.twimg.com/profile_images/1707222862770114560/YCn_fEaj_normal.jpg")</f>
        <v>https://pbs.twimg.com/profile_images/1707222862770114560/YCn_fEaj_normal.jpg</v>
      </c>
      <c r="G91" s="63"/>
      <c r="H91" s="67"/>
      <c r="I91" s="68"/>
      <c r="J91" s="68"/>
      <c r="K91" s="67" t="s">
        <v>14540</v>
      </c>
      <c r="L91" s="71"/>
      <c r="M91" s="72"/>
      <c r="N91" s="72"/>
      <c r="O91" s="73"/>
      <c r="P91" s="74"/>
      <c r="Q91" s="74"/>
      <c r="R91" s="87"/>
      <c r="S91" s="87"/>
      <c r="T91" s="87"/>
      <c r="U91" s="87"/>
      <c r="V91" s="48"/>
      <c r="W91" s="48"/>
      <c r="X91" s="48"/>
      <c r="Y91" s="48"/>
      <c r="Z91" s="47"/>
      <c r="AA91" s="69">
        <v>91</v>
      </c>
      <c r="AB91" s="69"/>
      <c r="AC91" s="70"/>
      <c r="AD91" s="76" t="s">
        <v>11836</v>
      </c>
      <c r="AE91" s="80" t="s">
        <v>11438</v>
      </c>
      <c r="AF91" s="76">
        <v>988</v>
      </c>
      <c r="AG91" s="76">
        <v>4942</v>
      </c>
      <c r="AH91" s="76">
        <v>18099</v>
      </c>
      <c r="AI91" s="76">
        <v>1</v>
      </c>
      <c r="AJ91" s="76">
        <v>16556</v>
      </c>
      <c r="AK91" s="76">
        <v>277</v>
      </c>
      <c r="AL91" s="76" t="b">
        <v>0</v>
      </c>
      <c r="AM91" s="78">
        <v>43605.101400462961</v>
      </c>
      <c r="AN91" s="76" t="s">
        <v>12921</v>
      </c>
      <c r="AO91" s="76" t="s">
        <v>13304</v>
      </c>
      <c r="AP91" s="76"/>
      <c r="AQ91" s="76"/>
      <c r="AR91" s="76"/>
      <c r="AS91" s="76"/>
      <c r="AT91" s="76"/>
      <c r="AU91" s="76"/>
      <c r="AV91" s="76">
        <v>1.3233531110298099E+18</v>
      </c>
      <c r="AW91" s="76"/>
      <c r="AX91" s="76" t="b">
        <v>0</v>
      </c>
      <c r="AY91" s="76"/>
      <c r="AZ91" s="76"/>
      <c r="BA91" s="76" t="b">
        <v>1</v>
      </c>
      <c r="BB91" s="76" t="b">
        <v>1</v>
      </c>
      <c r="BC91" s="76" t="b">
        <v>1</v>
      </c>
      <c r="BD91" s="76" t="b">
        <v>0</v>
      </c>
      <c r="BE91" s="76" t="b">
        <v>1</v>
      </c>
      <c r="BF91" s="76" t="b">
        <v>0</v>
      </c>
      <c r="BG91" s="76" t="b">
        <v>0</v>
      </c>
      <c r="BH91" s="82" t="str">
        <f>HYPERLINK("https://pbs.twimg.com/profile_banners/1130298603619127306/1676986589")</f>
        <v>https://pbs.twimg.com/profile_banners/1130298603619127306/1676986589</v>
      </c>
      <c r="BI91" s="76"/>
      <c r="BJ91" s="76" t="s">
        <v>14450</v>
      </c>
      <c r="BK91" s="76" t="b">
        <v>0</v>
      </c>
      <c r="BL91" s="76"/>
      <c r="BM91" s="76" t="s">
        <v>66</v>
      </c>
      <c r="BN91" s="76" t="s">
        <v>14452</v>
      </c>
      <c r="BO91" s="82" t="str">
        <f>HYPERLINK("https://twitter.com/rodrigo90818252")</f>
        <v>https://twitter.com/rodrigo90818252</v>
      </c>
      <c r="BP91" s="2"/>
    </row>
    <row r="92" spans="1:68" x14ac:dyDescent="0.25">
      <c r="A92" s="62" t="s">
        <v>297</v>
      </c>
      <c r="B92" s="63"/>
      <c r="C92" s="63"/>
      <c r="D92" s="64"/>
      <c r="E92" s="66"/>
      <c r="F92" s="103" t="str">
        <f>HYPERLINK("https://pbs.twimg.com/profile_images/1223325549713666049/kwTfXPyQ_normal.jpg")</f>
        <v>https://pbs.twimg.com/profile_images/1223325549713666049/kwTfXPyQ_normal.jpg</v>
      </c>
      <c r="G92" s="63"/>
      <c r="H92" s="67"/>
      <c r="I92" s="68"/>
      <c r="J92" s="68"/>
      <c r="K92" s="67" t="s">
        <v>14541</v>
      </c>
      <c r="L92" s="71"/>
      <c r="M92" s="72"/>
      <c r="N92" s="72"/>
      <c r="O92" s="73"/>
      <c r="P92" s="74"/>
      <c r="Q92" s="74"/>
      <c r="R92" s="87"/>
      <c r="S92" s="87"/>
      <c r="T92" s="87"/>
      <c r="U92" s="87"/>
      <c r="V92" s="48"/>
      <c r="W92" s="48"/>
      <c r="X92" s="48"/>
      <c r="Y92" s="48"/>
      <c r="Z92" s="47"/>
      <c r="AA92" s="69">
        <v>92</v>
      </c>
      <c r="AB92" s="69"/>
      <c r="AC92" s="70"/>
      <c r="AD92" s="76" t="s">
        <v>11837</v>
      </c>
      <c r="AE92" s="80" t="s">
        <v>11323</v>
      </c>
      <c r="AF92" s="76">
        <v>28</v>
      </c>
      <c r="AG92" s="76">
        <v>40</v>
      </c>
      <c r="AH92" s="76">
        <v>425</v>
      </c>
      <c r="AI92" s="76">
        <v>0</v>
      </c>
      <c r="AJ92" s="76">
        <v>7</v>
      </c>
      <c r="AK92" s="76">
        <v>227</v>
      </c>
      <c r="AL92" s="76" t="b">
        <v>0</v>
      </c>
      <c r="AM92" s="78">
        <v>42044.699872685182</v>
      </c>
      <c r="AN92" s="76"/>
      <c r="AO92" s="76" t="s">
        <v>13305</v>
      </c>
      <c r="AP92" s="76"/>
      <c r="AQ92" s="76"/>
      <c r="AR92" s="76"/>
      <c r="AS92" s="76"/>
      <c r="AT92" s="76"/>
      <c r="AU92" s="76"/>
      <c r="AV92" s="76"/>
      <c r="AW92" s="76"/>
      <c r="AX92" s="76" t="b">
        <v>0</v>
      </c>
      <c r="AY92" s="76"/>
      <c r="AZ92" s="76"/>
      <c r="BA92" s="76" t="b">
        <v>0</v>
      </c>
      <c r="BB92" s="76" t="b">
        <v>1</v>
      </c>
      <c r="BC92" s="76" t="b">
        <v>1</v>
      </c>
      <c r="BD92" s="76" t="b">
        <v>0</v>
      </c>
      <c r="BE92" s="76" t="b">
        <v>0</v>
      </c>
      <c r="BF92" s="76" t="b">
        <v>0</v>
      </c>
      <c r="BG92" s="76" t="b">
        <v>0</v>
      </c>
      <c r="BH92" s="82" t="str">
        <f>HYPERLINK("https://pbs.twimg.com/profile_banners/3026656611/1477709566")</f>
        <v>https://pbs.twimg.com/profile_banners/3026656611/1477709566</v>
      </c>
      <c r="BI92" s="76"/>
      <c r="BJ92" s="76" t="s">
        <v>14450</v>
      </c>
      <c r="BK92" s="76" t="b">
        <v>0</v>
      </c>
      <c r="BL92" s="76"/>
      <c r="BM92" s="76" t="s">
        <v>66</v>
      </c>
      <c r="BN92" s="76" t="s">
        <v>14452</v>
      </c>
      <c r="BO92" s="82" t="str">
        <f>HYPERLINK("https://twitter.com/lausalda0115")</f>
        <v>https://twitter.com/lausalda0115</v>
      </c>
      <c r="BP92" s="2"/>
    </row>
    <row r="93" spans="1:68" x14ac:dyDescent="0.25">
      <c r="A93" s="62" t="s">
        <v>298</v>
      </c>
      <c r="B93" s="63"/>
      <c r="C93" s="63"/>
      <c r="D93" s="64"/>
      <c r="E93" s="66"/>
      <c r="F93" s="103" t="str">
        <f>HYPERLINK("https://pbs.twimg.com/profile_images/1375852768523616258/00Ngr3RZ_normal.jpg")</f>
        <v>https://pbs.twimg.com/profile_images/1375852768523616258/00Ngr3RZ_normal.jpg</v>
      </c>
      <c r="G93" s="63"/>
      <c r="H93" s="67"/>
      <c r="I93" s="68"/>
      <c r="J93" s="68"/>
      <c r="K93" s="67" t="s">
        <v>14542</v>
      </c>
      <c r="L93" s="71"/>
      <c r="M93" s="72"/>
      <c r="N93" s="72"/>
      <c r="O93" s="73"/>
      <c r="P93" s="74"/>
      <c r="Q93" s="74"/>
      <c r="R93" s="87"/>
      <c r="S93" s="87"/>
      <c r="T93" s="87"/>
      <c r="U93" s="87"/>
      <c r="V93" s="48"/>
      <c r="W93" s="48"/>
      <c r="X93" s="48"/>
      <c r="Y93" s="48"/>
      <c r="Z93" s="47"/>
      <c r="AA93" s="69">
        <v>93</v>
      </c>
      <c r="AB93" s="69"/>
      <c r="AC93" s="70"/>
      <c r="AD93" s="76" t="s">
        <v>11838</v>
      </c>
      <c r="AE93" s="80" t="s">
        <v>12521</v>
      </c>
      <c r="AF93" s="76">
        <v>94</v>
      </c>
      <c r="AG93" s="76">
        <v>48</v>
      </c>
      <c r="AH93" s="76">
        <v>5620</v>
      </c>
      <c r="AI93" s="76">
        <v>4</v>
      </c>
      <c r="AJ93" s="76">
        <v>7</v>
      </c>
      <c r="AK93" s="76">
        <v>87</v>
      </c>
      <c r="AL93" s="76" t="b">
        <v>0</v>
      </c>
      <c r="AM93" s="78">
        <v>40086.720092592594</v>
      </c>
      <c r="AN93" s="76" t="s">
        <v>7863</v>
      </c>
      <c r="AO93" s="76" t="s">
        <v>13306</v>
      </c>
      <c r="AP93" s="82" t="str">
        <f>HYPERLINK("https://t.co/wENGu9u7oh")</f>
        <v>https://t.co/wENGu9u7oh</v>
      </c>
      <c r="AQ93" s="82" t="str">
        <f>HYPERLINK("http://www.revolucaoconsig.com.br")</f>
        <v>http://www.revolucaoconsig.com.br</v>
      </c>
      <c r="AR93" s="76" t="s">
        <v>13960</v>
      </c>
      <c r="AS93" s="76"/>
      <c r="AT93" s="76"/>
      <c r="AU93" s="76"/>
      <c r="AV93" s="76"/>
      <c r="AW93" s="82" t="str">
        <f>HYPERLINK("https://t.co/wENGu9u7oh")</f>
        <v>https://t.co/wENGu9u7oh</v>
      </c>
      <c r="AX93" s="76" t="b">
        <v>0</v>
      </c>
      <c r="AY93" s="76"/>
      <c r="AZ93" s="76"/>
      <c r="BA93" s="76" t="b">
        <v>0</v>
      </c>
      <c r="BB93" s="76" t="b">
        <v>1</v>
      </c>
      <c r="BC93" s="76" t="b">
        <v>0</v>
      </c>
      <c r="BD93" s="76" t="b">
        <v>0</v>
      </c>
      <c r="BE93" s="76" t="b">
        <v>0</v>
      </c>
      <c r="BF93" s="76" t="b">
        <v>0</v>
      </c>
      <c r="BG93" s="76" t="b">
        <v>0</v>
      </c>
      <c r="BH93" s="82" t="str">
        <f>HYPERLINK("https://pbs.twimg.com/profile_banners/78655984/1616864036")</f>
        <v>https://pbs.twimg.com/profile_banners/78655984/1616864036</v>
      </c>
      <c r="BI93" s="76"/>
      <c r="BJ93" s="76" t="s">
        <v>14450</v>
      </c>
      <c r="BK93" s="76" t="b">
        <v>0</v>
      </c>
      <c r="BL93" s="76"/>
      <c r="BM93" s="76" t="s">
        <v>66</v>
      </c>
      <c r="BN93" s="76" t="s">
        <v>14452</v>
      </c>
      <c r="BO93" s="82" t="str">
        <f>HYPERLINK("https://twitter.com/daniel_consig")</f>
        <v>https://twitter.com/daniel_consig</v>
      </c>
      <c r="BP93" s="2"/>
    </row>
    <row r="94" spans="1:68" x14ac:dyDescent="0.25">
      <c r="A94" s="62" t="s">
        <v>299</v>
      </c>
      <c r="B94" s="63"/>
      <c r="C94" s="63"/>
      <c r="D94" s="64"/>
      <c r="E94" s="66"/>
      <c r="F94" s="103" t="str">
        <f>HYPERLINK("https://pbs.twimg.com/profile_images/1612623753145421826/MG1Y1O32_normal.jpg")</f>
        <v>https://pbs.twimg.com/profile_images/1612623753145421826/MG1Y1O32_normal.jpg</v>
      </c>
      <c r="G94" s="63"/>
      <c r="H94" s="67"/>
      <c r="I94" s="68"/>
      <c r="J94" s="68"/>
      <c r="K94" s="67" t="s">
        <v>14543</v>
      </c>
      <c r="L94" s="71"/>
      <c r="M94" s="72"/>
      <c r="N94" s="72"/>
      <c r="O94" s="73"/>
      <c r="P94" s="74"/>
      <c r="Q94" s="74"/>
      <c r="R94" s="87"/>
      <c r="S94" s="87"/>
      <c r="T94" s="87"/>
      <c r="U94" s="87"/>
      <c r="V94" s="48"/>
      <c r="W94" s="48"/>
      <c r="X94" s="48"/>
      <c r="Y94" s="48"/>
      <c r="Z94" s="47"/>
      <c r="AA94" s="69">
        <v>94</v>
      </c>
      <c r="AB94" s="69"/>
      <c r="AC94" s="70"/>
      <c r="AD94" s="76" t="s">
        <v>11839</v>
      </c>
      <c r="AE94" s="80" t="s">
        <v>12522</v>
      </c>
      <c r="AF94" s="76">
        <v>3624</v>
      </c>
      <c r="AG94" s="76">
        <v>286</v>
      </c>
      <c r="AH94" s="76">
        <v>26682</v>
      </c>
      <c r="AI94" s="76">
        <v>5</v>
      </c>
      <c r="AJ94" s="76">
        <v>574</v>
      </c>
      <c r="AK94" s="76">
        <v>8242</v>
      </c>
      <c r="AL94" s="76" t="b">
        <v>0</v>
      </c>
      <c r="AM94" s="78">
        <v>41038.787986111114</v>
      </c>
      <c r="AN94" s="76" t="s">
        <v>12896</v>
      </c>
      <c r="AO94" s="76" t="s">
        <v>13307</v>
      </c>
      <c r="AP94" s="82" t="str">
        <f>HYPERLINK("https://t.co/apghoXd7hW")</f>
        <v>https://t.co/apghoXd7hW</v>
      </c>
      <c r="AQ94" s="82" t="str">
        <f>HYPERLINK("https://linkin.bio/sumundotv")</f>
        <v>https://linkin.bio/sumundotv</v>
      </c>
      <c r="AR94" s="76" t="s">
        <v>13961</v>
      </c>
      <c r="AS94" s="76"/>
      <c r="AT94" s="76"/>
      <c r="AU94" s="76"/>
      <c r="AV94" s="76">
        <v>1.70680832437149E+18</v>
      </c>
      <c r="AW94" s="82" t="str">
        <f>HYPERLINK("https://t.co/apghoXd7hW")</f>
        <v>https://t.co/apghoXd7hW</v>
      </c>
      <c r="AX94" s="76" t="b">
        <v>0</v>
      </c>
      <c r="AY94" s="76"/>
      <c r="AZ94" s="76"/>
      <c r="BA94" s="76" t="b">
        <v>0</v>
      </c>
      <c r="BB94" s="76" t="b">
        <v>1</v>
      </c>
      <c r="BC94" s="76" t="b">
        <v>0</v>
      </c>
      <c r="BD94" s="76" t="b">
        <v>0</v>
      </c>
      <c r="BE94" s="76" t="b">
        <v>0</v>
      </c>
      <c r="BF94" s="76" t="b">
        <v>0</v>
      </c>
      <c r="BG94" s="76" t="b">
        <v>0</v>
      </c>
      <c r="BH94" s="82" t="str">
        <f>HYPERLINK("https://pbs.twimg.com/profile_banners/575591153/1665600015")</f>
        <v>https://pbs.twimg.com/profile_banners/575591153/1665600015</v>
      </c>
      <c r="BI94" s="76"/>
      <c r="BJ94" s="76" t="s">
        <v>14450</v>
      </c>
      <c r="BK94" s="76" t="b">
        <v>0</v>
      </c>
      <c r="BL94" s="76"/>
      <c r="BM94" s="76" t="s">
        <v>66</v>
      </c>
      <c r="BN94" s="76" t="s">
        <v>14452</v>
      </c>
      <c r="BO94" s="82" t="str">
        <f>HYPERLINK("https://twitter.com/sumundotv")</f>
        <v>https://twitter.com/sumundotv</v>
      </c>
      <c r="BP94" s="2"/>
    </row>
    <row r="95" spans="1:68" x14ac:dyDescent="0.25">
      <c r="A95" s="62" t="s">
        <v>300</v>
      </c>
      <c r="B95" s="63"/>
      <c r="C95" s="63"/>
      <c r="D95" s="64"/>
      <c r="E95" s="66"/>
      <c r="F95" s="103" t="str">
        <f>HYPERLINK("https://pbs.twimg.com/profile_images/1658509868683214849/fZRy1cfX_normal.jpg")</f>
        <v>https://pbs.twimg.com/profile_images/1658509868683214849/fZRy1cfX_normal.jpg</v>
      </c>
      <c r="G95" s="63"/>
      <c r="H95" s="67"/>
      <c r="I95" s="68"/>
      <c r="J95" s="68"/>
      <c r="K95" s="67" t="s">
        <v>14544</v>
      </c>
      <c r="L95" s="71"/>
      <c r="M95" s="72"/>
      <c r="N95" s="72"/>
      <c r="O95" s="73"/>
      <c r="P95" s="74"/>
      <c r="Q95" s="74"/>
      <c r="R95" s="87"/>
      <c r="S95" s="87"/>
      <c r="T95" s="87"/>
      <c r="U95" s="87"/>
      <c r="V95" s="48"/>
      <c r="W95" s="48"/>
      <c r="X95" s="48"/>
      <c r="Y95" s="48"/>
      <c r="Z95" s="47"/>
      <c r="AA95" s="69">
        <v>95</v>
      </c>
      <c r="AB95" s="69"/>
      <c r="AC95" s="70"/>
      <c r="AD95" s="76" t="s">
        <v>11840</v>
      </c>
      <c r="AE95" s="80" t="s">
        <v>11439</v>
      </c>
      <c r="AF95" s="76">
        <v>93</v>
      </c>
      <c r="AG95" s="76">
        <v>469</v>
      </c>
      <c r="AH95" s="76">
        <v>2994</v>
      </c>
      <c r="AI95" s="76">
        <v>0</v>
      </c>
      <c r="AJ95" s="76">
        <v>852</v>
      </c>
      <c r="AK95" s="76">
        <v>1056</v>
      </c>
      <c r="AL95" s="76" t="b">
        <v>0</v>
      </c>
      <c r="AM95" s="78">
        <v>43852.810127314813</v>
      </c>
      <c r="AN95" s="76" t="s">
        <v>12922</v>
      </c>
      <c r="AO95" s="76" t="s">
        <v>13308</v>
      </c>
      <c r="AP95" s="82" t="str">
        <f>HYPERLINK("https://t.co/tDkR2PaVTU")</f>
        <v>https://t.co/tDkR2PaVTU</v>
      </c>
      <c r="AQ95" s="82" t="str">
        <f>HYPERLINK("https://konfio.mx/mi/solicitud/registro?utm_source=offline&amp;utm_medium=kam&amp;utm_campaign=kam_cdmx_lhcs")</f>
        <v>https://konfio.mx/mi/solicitud/registro?utm_source=offline&amp;utm_medium=kam&amp;utm_campaign=kam_cdmx_lhcs</v>
      </c>
      <c r="AR95" s="76" t="s">
        <v>13962</v>
      </c>
      <c r="AS95" s="76"/>
      <c r="AT95" s="76"/>
      <c r="AU95" s="76"/>
      <c r="AV95" s="76"/>
      <c r="AW95" s="82" t="str">
        <f>HYPERLINK("https://t.co/tDkR2PaVTU")</f>
        <v>https://t.co/tDkR2PaVTU</v>
      </c>
      <c r="AX95" s="76" t="b">
        <v>0</v>
      </c>
      <c r="AY95" s="76"/>
      <c r="AZ95" s="76"/>
      <c r="BA95" s="76" t="b">
        <v>0</v>
      </c>
      <c r="BB95" s="76" t="b">
        <v>0</v>
      </c>
      <c r="BC95" s="76" t="b">
        <v>1</v>
      </c>
      <c r="BD95" s="76" t="b">
        <v>0</v>
      </c>
      <c r="BE95" s="76" t="b">
        <v>0</v>
      </c>
      <c r="BF95" s="76" t="b">
        <v>0</v>
      </c>
      <c r="BG95" s="76" t="b">
        <v>0</v>
      </c>
      <c r="BH95" s="82" t="str">
        <f>HYPERLINK("https://pbs.twimg.com/profile_banners/1220064506929467400/1684254544")</f>
        <v>https://pbs.twimg.com/profile_banners/1220064506929467400/1684254544</v>
      </c>
      <c r="BI95" s="76"/>
      <c r="BJ95" s="76" t="s">
        <v>14450</v>
      </c>
      <c r="BK95" s="76" t="b">
        <v>0</v>
      </c>
      <c r="BL95" s="76"/>
      <c r="BM95" s="76" t="s">
        <v>66</v>
      </c>
      <c r="BN95" s="76" t="s">
        <v>14452</v>
      </c>
      <c r="BO95" s="82" t="str">
        <f>HYPERLINK("https://twitter.com/luchoveracruz")</f>
        <v>https://twitter.com/luchoveracruz</v>
      </c>
      <c r="BP95" s="2"/>
    </row>
    <row r="96" spans="1:68" x14ac:dyDescent="0.25">
      <c r="A96" s="62" t="s">
        <v>301</v>
      </c>
      <c r="B96" s="63"/>
      <c r="C96" s="63"/>
      <c r="D96" s="64"/>
      <c r="E96" s="66"/>
      <c r="F96" s="103" t="str">
        <f>HYPERLINK("https://pbs.twimg.com/profile_images/1629049685536133120/IPs61nlo_normal.jpg")</f>
        <v>https://pbs.twimg.com/profile_images/1629049685536133120/IPs61nlo_normal.jpg</v>
      </c>
      <c r="G96" s="63"/>
      <c r="H96" s="67"/>
      <c r="I96" s="68"/>
      <c r="J96" s="68"/>
      <c r="K96" s="67" t="s">
        <v>14545</v>
      </c>
      <c r="L96" s="71"/>
      <c r="M96" s="72"/>
      <c r="N96" s="72"/>
      <c r="O96" s="73"/>
      <c r="P96" s="74"/>
      <c r="Q96" s="74"/>
      <c r="R96" s="87"/>
      <c r="S96" s="87"/>
      <c r="T96" s="87"/>
      <c r="U96" s="87"/>
      <c r="V96" s="48"/>
      <c r="W96" s="48"/>
      <c r="X96" s="48"/>
      <c r="Y96" s="48"/>
      <c r="Z96" s="47"/>
      <c r="AA96" s="69">
        <v>96</v>
      </c>
      <c r="AB96" s="69"/>
      <c r="AC96" s="70"/>
      <c r="AD96" s="76" t="s">
        <v>11841</v>
      </c>
      <c r="AE96" s="80" t="s">
        <v>11440</v>
      </c>
      <c r="AF96" s="76">
        <v>0</v>
      </c>
      <c r="AG96" s="76">
        <v>4</v>
      </c>
      <c r="AH96" s="76">
        <v>24</v>
      </c>
      <c r="AI96" s="76">
        <v>0</v>
      </c>
      <c r="AJ96" s="76">
        <v>3</v>
      </c>
      <c r="AK96" s="76">
        <v>6</v>
      </c>
      <c r="AL96" s="76" t="b">
        <v>0</v>
      </c>
      <c r="AM96" s="78">
        <v>44981.382314814815</v>
      </c>
      <c r="AN96" s="76" t="s">
        <v>7806</v>
      </c>
      <c r="AO96" s="76" t="s">
        <v>13309</v>
      </c>
      <c r="AP96" s="82" t="str">
        <f>HYPERLINK("https://t.co/GOFbrZok6B")</f>
        <v>https://t.co/GOFbrZok6B</v>
      </c>
      <c r="AQ96" s="82" t="str">
        <f>HYPERLINK("https://agsmaquinas.com")</f>
        <v>https://agsmaquinas.com</v>
      </c>
      <c r="AR96" s="76" t="s">
        <v>13963</v>
      </c>
      <c r="AS96" s="76"/>
      <c r="AT96" s="76"/>
      <c r="AU96" s="76"/>
      <c r="AV96" s="76"/>
      <c r="AW96" s="82" t="str">
        <f>HYPERLINK("https://t.co/GOFbrZok6B")</f>
        <v>https://t.co/GOFbrZok6B</v>
      </c>
      <c r="AX96" s="76" t="b">
        <v>0</v>
      </c>
      <c r="AY96" s="76"/>
      <c r="AZ96" s="76"/>
      <c r="BA96" s="76" t="b">
        <v>1</v>
      </c>
      <c r="BB96" s="76" t="b">
        <v>1</v>
      </c>
      <c r="BC96" s="76" t="b">
        <v>1</v>
      </c>
      <c r="BD96" s="76" t="b">
        <v>0</v>
      </c>
      <c r="BE96" s="76" t="b">
        <v>0</v>
      </c>
      <c r="BF96" s="76" t="b">
        <v>0</v>
      </c>
      <c r="BG96" s="76" t="b">
        <v>0</v>
      </c>
      <c r="BH96" s="82" t="str">
        <f>HYPERLINK("https://pbs.twimg.com/profile_banners/1629046043592597504/1677262104")</f>
        <v>https://pbs.twimg.com/profile_banners/1629046043592597504/1677262104</v>
      </c>
      <c r="BI96" s="76"/>
      <c r="BJ96" s="76" t="s">
        <v>14450</v>
      </c>
      <c r="BK96" s="76" t="b">
        <v>0</v>
      </c>
      <c r="BL96" s="76"/>
      <c r="BM96" s="76" t="s">
        <v>66</v>
      </c>
      <c r="BN96" s="76" t="s">
        <v>14452</v>
      </c>
      <c r="BO96" s="82" t="str">
        <f>HYPERLINK("https://twitter.com/luizrocca_")</f>
        <v>https://twitter.com/luizrocca_</v>
      </c>
      <c r="BP96" s="2"/>
    </row>
    <row r="97" spans="1:68" x14ac:dyDescent="0.25">
      <c r="A97" s="62" t="s">
        <v>302</v>
      </c>
      <c r="B97" s="63"/>
      <c r="C97" s="63"/>
      <c r="D97" s="64"/>
      <c r="E97" s="66"/>
      <c r="F97" s="103" t="str">
        <f>HYPERLINK("https://pbs.twimg.com/profile_images/1607433526156181507/dFZ8cWcP_normal.jpg")</f>
        <v>https://pbs.twimg.com/profile_images/1607433526156181507/dFZ8cWcP_normal.jpg</v>
      </c>
      <c r="G97" s="63"/>
      <c r="H97" s="67"/>
      <c r="I97" s="68"/>
      <c r="J97" s="68"/>
      <c r="K97" s="67" t="s">
        <v>14546</v>
      </c>
      <c r="L97" s="71"/>
      <c r="M97" s="72"/>
      <c r="N97" s="72"/>
      <c r="O97" s="73"/>
      <c r="P97" s="74"/>
      <c r="Q97" s="74"/>
      <c r="R97" s="87"/>
      <c r="S97" s="87"/>
      <c r="T97" s="87"/>
      <c r="U97" s="87"/>
      <c r="V97" s="48"/>
      <c r="W97" s="48"/>
      <c r="X97" s="48"/>
      <c r="Y97" s="48"/>
      <c r="Z97" s="47"/>
      <c r="AA97" s="69">
        <v>97</v>
      </c>
      <c r="AB97" s="69"/>
      <c r="AC97" s="70"/>
      <c r="AD97" s="76" t="s">
        <v>11842</v>
      </c>
      <c r="AE97" s="80" t="s">
        <v>11441</v>
      </c>
      <c r="AF97" s="76">
        <v>36</v>
      </c>
      <c r="AG97" s="76">
        <v>177</v>
      </c>
      <c r="AH97" s="76">
        <v>1235</v>
      </c>
      <c r="AI97" s="76">
        <v>0</v>
      </c>
      <c r="AJ97" s="76">
        <v>14</v>
      </c>
      <c r="AK97" s="76">
        <v>828</v>
      </c>
      <c r="AL97" s="76" t="b">
        <v>0</v>
      </c>
      <c r="AM97" s="78">
        <v>42521.983854166669</v>
      </c>
      <c r="AN97" s="76" t="s">
        <v>12923</v>
      </c>
      <c r="AO97" s="76" t="s">
        <v>13310</v>
      </c>
      <c r="AP97" s="82" t="str">
        <f>HYPERLINK("https://t.co/VN5DRcnNN1")</f>
        <v>https://t.co/VN5DRcnNN1</v>
      </c>
      <c r="AQ97" s="82" t="str">
        <f>HYPERLINK("https://www.novaeraestrategia.com")</f>
        <v>https://www.novaeraestrategia.com</v>
      </c>
      <c r="AR97" s="76" t="s">
        <v>13964</v>
      </c>
      <c r="AS97" s="82" t="str">
        <f>HYPERLINK("https://t.co/2ydm8IusEk")</f>
        <v>https://t.co/2ydm8IusEk</v>
      </c>
      <c r="AT97" s="82" t="str">
        <f>HYPERLINK("https://wa.me/551732316976")</f>
        <v>https://wa.me/551732316976</v>
      </c>
      <c r="AU97" s="76" t="s">
        <v>14401</v>
      </c>
      <c r="AV97" s="76"/>
      <c r="AW97" s="82" t="str">
        <f>HYPERLINK("https://t.co/VN5DRcnNN1")</f>
        <v>https://t.co/VN5DRcnNN1</v>
      </c>
      <c r="AX97" s="76" t="b">
        <v>0</v>
      </c>
      <c r="AY97" s="76"/>
      <c r="AZ97" s="76"/>
      <c r="BA97" s="76" t="b">
        <v>0</v>
      </c>
      <c r="BB97" s="76" t="b">
        <v>1</v>
      </c>
      <c r="BC97" s="76" t="b">
        <v>0</v>
      </c>
      <c r="BD97" s="76" t="b">
        <v>0</v>
      </c>
      <c r="BE97" s="76" t="b">
        <v>0</v>
      </c>
      <c r="BF97" s="76" t="b">
        <v>0</v>
      </c>
      <c r="BG97" s="76" t="b">
        <v>0</v>
      </c>
      <c r="BH97" s="82" t="str">
        <f>HYPERLINK("https://pbs.twimg.com/profile_banners/737789944488448000/1672076993")</f>
        <v>https://pbs.twimg.com/profile_banners/737789944488448000/1672076993</v>
      </c>
      <c r="BI97" s="76"/>
      <c r="BJ97" s="76" t="s">
        <v>14450</v>
      </c>
      <c r="BK97" s="76" t="b">
        <v>0</v>
      </c>
      <c r="BL97" s="76"/>
      <c r="BM97" s="76" t="s">
        <v>66</v>
      </c>
      <c r="BN97" s="76" t="s">
        <v>14452</v>
      </c>
      <c r="BO97" s="82" t="str">
        <f>HYPERLINK("https://twitter.com/novaeraestrateg")</f>
        <v>https://twitter.com/novaeraestrateg</v>
      </c>
      <c r="BP97" s="2"/>
    </row>
    <row r="98" spans="1:68" x14ac:dyDescent="0.25">
      <c r="A98" s="62" t="s">
        <v>883</v>
      </c>
      <c r="B98" s="63"/>
      <c r="C98" s="63"/>
      <c r="D98" s="64"/>
      <c r="E98" s="66"/>
      <c r="F98" s="103" t="str">
        <f>HYPERLINK("https://pbs.twimg.com/profile_images/1412003782192472066/-I2a8aCs_normal.jpg")</f>
        <v>https://pbs.twimg.com/profile_images/1412003782192472066/-I2a8aCs_normal.jpg</v>
      </c>
      <c r="G98" s="63"/>
      <c r="H98" s="67"/>
      <c r="I98" s="68"/>
      <c r="J98" s="68"/>
      <c r="K98" s="67" t="s">
        <v>14547</v>
      </c>
      <c r="L98" s="71"/>
      <c r="M98" s="72"/>
      <c r="N98" s="72"/>
      <c r="O98" s="73"/>
      <c r="P98" s="74"/>
      <c r="Q98" s="74"/>
      <c r="R98" s="87"/>
      <c r="S98" s="87"/>
      <c r="T98" s="87"/>
      <c r="U98" s="87"/>
      <c r="V98" s="48"/>
      <c r="W98" s="48"/>
      <c r="X98" s="48"/>
      <c r="Y98" s="48"/>
      <c r="Z98" s="47"/>
      <c r="AA98" s="69">
        <v>98</v>
      </c>
      <c r="AB98" s="69"/>
      <c r="AC98" s="70"/>
      <c r="AD98" s="76" t="s">
        <v>5817</v>
      </c>
      <c r="AE98" s="80" t="s">
        <v>12523</v>
      </c>
      <c r="AF98" s="76">
        <v>49504</v>
      </c>
      <c r="AG98" s="76">
        <v>3866</v>
      </c>
      <c r="AH98" s="76">
        <v>20560</v>
      </c>
      <c r="AI98" s="76">
        <v>0</v>
      </c>
      <c r="AJ98" s="76">
        <v>6588</v>
      </c>
      <c r="AK98" s="76">
        <v>2325</v>
      </c>
      <c r="AL98" s="76" t="b">
        <v>0</v>
      </c>
      <c r="AM98" s="78">
        <v>39997.7966087963</v>
      </c>
      <c r="AN98" s="76" t="s">
        <v>12924</v>
      </c>
      <c r="AO98" s="76" t="s">
        <v>13311</v>
      </c>
      <c r="AP98" s="82" t="str">
        <f>HYPERLINK("https://t.co/dxhtyZ6j55")</f>
        <v>https://t.co/dxhtyZ6j55</v>
      </c>
      <c r="AQ98" s="82" t="str">
        <f>HYPERLINK("https://linktr.ee/spreaker")</f>
        <v>https://linktr.ee/spreaker</v>
      </c>
      <c r="AR98" s="76" t="s">
        <v>13965</v>
      </c>
      <c r="AS98" s="76"/>
      <c r="AT98" s="76"/>
      <c r="AU98" s="76"/>
      <c r="AV98" s="76"/>
      <c r="AW98" s="82" t="str">
        <f>HYPERLINK("https://t.co/dxhtyZ6j55")</f>
        <v>https://t.co/dxhtyZ6j55</v>
      </c>
      <c r="AX98" s="76" t="b">
        <v>0</v>
      </c>
      <c r="AY98" s="76"/>
      <c r="AZ98" s="76"/>
      <c r="BA98" s="76" t="b">
        <v>0</v>
      </c>
      <c r="BB98" s="76" t="b">
        <v>1</v>
      </c>
      <c r="BC98" s="76" t="b">
        <v>0</v>
      </c>
      <c r="BD98" s="76" t="b">
        <v>0</v>
      </c>
      <c r="BE98" s="76" t="b">
        <v>0</v>
      </c>
      <c r="BF98" s="76" t="b">
        <v>0</v>
      </c>
      <c r="BG98" s="76" t="b">
        <v>0</v>
      </c>
      <c r="BH98" s="82" t="str">
        <f>HYPERLINK("https://pbs.twimg.com/profile_banners/53469538/1656604190")</f>
        <v>https://pbs.twimg.com/profile_banners/53469538/1656604190</v>
      </c>
      <c r="BI98" s="76"/>
      <c r="BJ98" s="76" t="s">
        <v>14450</v>
      </c>
      <c r="BK98" s="76" t="b">
        <v>0</v>
      </c>
      <c r="BL98" s="76"/>
      <c r="BM98" s="76" t="s">
        <v>65</v>
      </c>
      <c r="BN98" s="76" t="s">
        <v>14452</v>
      </c>
      <c r="BO98" s="82" t="str">
        <f>HYPERLINK("https://twitter.com/spreaker")</f>
        <v>https://twitter.com/spreaker</v>
      </c>
      <c r="BP98" s="2"/>
    </row>
    <row r="99" spans="1:68" x14ac:dyDescent="0.25">
      <c r="A99" s="62" t="s">
        <v>303</v>
      </c>
      <c r="B99" s="63"/>
      <c r="C99" s="63"/>
      <c r="D99" s="64"/>
      <c r="E99" s="66"/>
      <c r="F99" s="103" t="str">
        <f>HYPERLINK("https://pbs.twimg.com/profile_images/1611398198232227842/47buRxE4_normal.jpg")</f>
        <v>https://pbs.twimg.com/profile_images/1611398198232227842/47buRxE4_normal.jpg</v>
      </c>
      <c r="G99" s="63"/>
      <c r="H99" s="67"/>
      <c r="I99" s="68"/>
      <c r="J99" s="68"/>
      <c r="K99" s="67" t="s">
        <v>14548</v>
      </c>
      <c r="L99" s="71"/>
      <c r="M99" s="72"/>
      <c r="N99" s="72"/>
      <c r="O99" s="73"/>
      <c r="P99" s="74"/>
      <c r="Q99" s="74"/>
      <c r="R99" s="87"/>
      <c r="S99" s="87"/>
      <c r="T99" s="87"/>
      <c r="U99" s="87"/>
      <c r="V99" s="48"/>
      <c r="W99" s="48"/>
      <c r="X99" s="48"/>
      <c r="Y99" s="48"/>
      <c r="Z99" s="47"/>
      <c r="AA99" s="69">
        <v>99</v>
      </c>
      <c r="AB99" s="69"/>
      <c r="AC99" s="70"/>
      <c r="AD99" s="76" t="s">
        <v>11843</v>
      </c>
      <c r="AE99" s="80" t="s">
        <v>11442</v>
      </c>
      <c r="AF99" s="76">
        <v>52</v>
      </c>
      <c r="AG99" s="76">
        <v>121</v>
      </c>
      <c r="AH99" s="76">
        <v>424</v>
      </c>
      <c r="AI99" s="76">
        <v>0</v>
      </c>
      <c r="AJ99" s="76">
        <v>958</v>
      </c>
      <c r="AK99" s="76">
        <v>22</v>
      </c>
      <c r="AL99" s="76" t="b">
        <v>0</v>
      </c>
      <c r="AM99" s="78">
        <v>44718.720277777778</v>
      </c>
      <c r="AN99" s="76" t="s">
        <v>7763</v>
      </c>
      <c r="AO99" s="76" t="s">
        <v>13312</v>
      </c>
      <c r="AP99" s="76"/>
      <c r="AQ99" s="76"/>
      <c r="AR99" s="76"/>
      <c r="AS99" s="76"/>
      <c r="AT99" s="76"/>
      <c r="AU99" s="76"/>
      <c r="AV99" s="76"/>
      <c r="AW99" s="76"/>
      <c r="AX99" s="76" t="b">
        <v>0</v>
      </c>
      <c r="AY99" s="76"/>
      <c r="AZ99" s="76"/>
      <c r="BA99" s="76" t="b">
        <v>0</v>
      </c>
      <c r="BB99" s="76" t="b">
        <v>0</v>
      </c>
      <c r="BC99" s="76" t="b">
        <v>1</v>
      </c>
      <c r="BD99" s="76" t="b">
        <v>0</v>
      </c>
      <c r="BE99" s="76" t="b">
        <v>0</v>
      </c>
      <c r="BF99" s="76" t="b">
        <v>0</v>
      </c>
      <c r="BG99" s="76" t="b">
        <v>0</v>
      </c>
      <c r="BH99" s="82" t="str">
        <f>HYPERLINK("https://pbs.twimg.com/profile_banners/1533860376265334784/1654536683")</f>
        <v>https://pbs.twimg.com/profile_banners/1533860376265334784/1654536683</v>
      </c>
      <c r="BI99" s="76"/>
      <c r="BJ99" s="76" t="s">
        <v>14450</v>
      </c>
      <c r="BK99" s="76" t="b">
        <v>0</v>
      </c>
      <c r="BL99" s="76"/>
      <c r="BM99" s="76" t="s">
        <v>66</v>
      </c>
      <c r="BN99" s="76" t="s">
        <v>14452</v>
      </c>
      <c r="BO99" s="82" t="str">
        <f>HYPERLINK("https://twitter.com/andreassaallan")</f>
        <v>https://twitter.com/andreassaallan</v>
      </c>
      <c r="BP99" s="2"/>
    </row>
    <row r="100" spans="1:68" x14ac:dyDescent="0.25">
      <c r="A100" s="62" t="s">
        <v>304</v>
      </c>
      <c r="B100" s="63"/>
      <c r="C100" s="63"/>
      <c r="D100" s="64"/>
      <c r="E100" s="66"/>
      <c r="F100" s="103" t="str">
        <f>HYPERLINK("https://pbs.twimg.com/profile_images/981906789838016513/iuFn0WzC_normal.jpg")</f>
        <v>https://pbs.twimg.com/profile_images/981906789838016513/iuFn0WzC_normal.jpg</v>
      </c>
      <c r="G100" s="63"/>
      <c r="H100" s="67"/>
      <c r="I100" s="68"/>
      <c r="J100" s="68"/>
      <c r="K100" s="67" t="s">
        <v>14549</v>
      </c>
      <c r="L100" s="71"/>
      <c r="M100" s="72"/>
      <c r="N100" s="72"/>
      <c r="O100" s="73"/>
      <c r="P100" s="74"/>
      <c r="Q100" s="74"/>
      <c r="R100" s="87"/>
      <c r="S100" s="87"/>
      <c r="T100" s="87"/>
      <c r="U100" s="87"/>
      <c r="V100" s="48"/>
      <c r="W100" s="48"/>
      <c r="X100" s="48"/>
      <c r="Y100" s="48"/>
      <c r="Z100" s="47"/>
      <c r="AA100" s="69">
        <v>100</v>
      </c>
      <c r="AB100" s="69"/>
      <c r="AC100" s="70"/>
      <c r="AD100" s="76" t="s">
        <v>11844</v>
      </c>
      <c r="AE100" s="80" t="s">
        <v>11443</v>
      </c>
      <c r="AF100" s="76">
        <v>5857</v>
      </c>
      <c r="AG100" s="76">
        <v>266</v>
      </c>
      <c r="AH100" s="76">
        <v>12355</v>
      </c>
      <c r="AI100" s="76">
        <v>14</v>
      </c>
      <c r="AJ100" s="76">
        <v>51</v>
      </c>
      <c r="AK100" s="76">
        <v>43</v>
      </c>
      <c r="AL100" s="76" t="b">
        <v>0</v>
      </c>
      <c r="AM100" s="78">
        <v>43195.608298611114</v>
      </c>
      <c r="AN100" s="76" t="s">
        <v>12925</v>
      </c>
      <c r="AO100" s="76" t="s">
        <v>13313</v>
      </c>
      <c r="AP100" s="76"/>
      <c r="AQ100" s="76"/>
      <c r="AR100" s="76"/>
      <c r="AS100" s="82" t="str">
        <f>HYPERLINK("https://t.co/6MTgsxMD8v")</f>
        <v>https://t.co/6MTgsxMD8v</v>
      </c>
      <c r="AT100" s="82" t="str">
        <f>HYPERLINK("http://www.diariodeuberlandia.com.br")</f>
        <v>http://www.diariodeuberlandia.com.br</v>
      </c>
      <c r="AU100" s="76" t="s">
        <v>14402</v>
      </c>
      <c r="AV100" s="76"/>
      <c r="AW100" s="76"/>
      <c r="AX100" s="76" t="b">
        <v>0</v>
      </c>
      <c r="AY100" s="76"/>
      <c r="AZ100" s="76"/>
      <c r="BA100" s="76" t="b">
        <v>0</v>
      </c>
      <c r="BB100" s="76" t="b">
        <v>1</v>
      </c>
      <c r="BC100" s="76" t="b">
        <v>1</v>
      </c>
      <c r="BD100" s="76" t="b">
        <v>0</v>
      </c>
      <c r="BE100" s="76" t="b">
        <v>1</v>
      </c>
      <c r="BF100" s="76" t="b">
        <v>0</v>
      </c>
      <c r="BG100" s="76" t="b">
        <v>0</v>
      </c>
      <c r="BH100" s="82" t="str">
        <f>HYPERLINK("https://pbs.twimg.com/profile_banners/981903271408349184/1568123684")</f>
        <v>https://pbs.twimg.com/profile_banners/981903271408349184/1568123684</v>
      </c>
      <c r="BI100" s="76"/>
      <c r="BJ100" s="76" t="s">
        <v>14450</v>
      </c>
      <c r="BK100" s="76" t="b">
        <v>0</v>
      </c>
      <c r="BL100" s="76"/>
      <c r="BM100" s="76" t="s">
        <v>66</v>
      </c>
      <c r="BN100" s="76" t="s">
        <v>14452</v>
      </c>
      <c r="BO100" s="82" t="str">
        <f>HYPERLINK("https://twitter.com/diarioudi")</f>
        <v>https://twitter.com/diarioudi</v>
      </c>
      <c r="BP100" s="2"/>
    </row>
    <row r="101" spans="1:68" x14ac:dyDescent="0.25">
      <c r="A101" s="62" t="s">
        <v>305</v>
      </c>
      <c r="B101" s="63"/>
      <c r="C101" s="63"/>
      <c r="D101" s="64"/>
      <c r="E101" s="66"/>
      <c r="F101" s="103" t="str">
        <f>HYPERLINK("https://pbs.twimg.com/profile_images/1614827504321134592/UP-DOd4E_normal.jpg")</f>
        <v>https://pbs.twimg.com/profile_images/1614827504321134592/UP-DOd4E_normal.jpg</v>
      </c>
      <c r="G101" s="63"/>
      <c r="H101" s="67"/>
      <c r="I101" s="68"/>
      <c r="J101" s="68"/>
      <c r="K101" s="67" t="s">
        <v>14550</v>
      </c>
      <c r="L101" s="71"/>
      <c r="M101" s="72"/>
      <c r="N101" s="72"/>
      <c r="O101" s="73"/>
      <c r="P101" s="74"/>
      <c r="Q101" s="74"/>
      <c r="R101" s="87"/>
      <c r="S101" s="87"/>
      <c r="T101" s="87"/>
      <c r="U101" s="87"/>
      <c r="V101" s="48"/>
      <c r="W101" s="48"/>
      <c r="X101" s="48"/>
      <c r="Y101" s="48"/>
      <c r="Z101" s="47"/>
      <c r="AA101" s="69">
        <v>101</v>
      </c>
      <c r="AB101" s="69"/>
      <c r="AC101" s="70"/>
      <c r="AD101" s="76" t="s">
        <v>11845</v>
      </c>
      <c r="AE101" s="80" t="s">
        <v>12524</v>
      </c>
      <c r="AF101" s="76">
        <v>1290</v>
      </c>
      <c r="AG101" s="76">
        <v>424</v>
      </c>
      <c r="AH101" s="76">
        <v>89870</v>
      </c>
      <c r="AI101" s="76">
        <v>10</v>
      </c>
      <c r="AJ101" s="76">
        <v>105</v>
      </c>
      <c r="AK101" s="76">
        <v>106</v>
      </c>
      <c r="AL101" s="76" t="b">
        <v>0</v>
      </c>
      <c r="AM101" s="78">
        <v>40309.079780092594</v>
      </c>
      <c r="AN101" s="76"/>
      <c r="AO101" s="76" t="s">
        <v>13314</v>
      </c>
      <c r="AP101" s="82" t="str">
        <f>HYPERLINK("https://t.co/4flXuwpTFk")</f>
        <v>https://t.co/4flXuwpTFk</v>
      </c>
      <c r="AQ101" s="82" t="str">
        <f>HYPERLINK("http://www.focoinformativo.com/")</f>
        <v>http://www.focoinformativo.com/</v>
      </c>
      <c r="AR101" s="76" t="s">
        <v>4236</v>
      </c>
      <c r="AS101" s="76" t="s">
        <v>14369</v>
      </c>
      <c r="AT101" s="76" t="s">
        <v>14380</v>
      </c>
      <c r="AU101" s="76" t="s">
        <v>14403</v>
      </c>
      <c r="AV101" s="76">
        <v>1.5677296833487401E+18</v>
      </c>
      <c r="AW101" s="82" t="str">
        <f>HYPERLINK("https://t.co/4flXuwpTFk")</f>
        <v>https://t.co/4flXuwpTFk</v>
      </c>
      <c r="AX101" s="76" t="b">
        <v>0</v>
      </c>
      <c r="AY101" s="76"/>
      <c r="AZ101" s="76"/>
      <c r="BA101" s="76" t="b">
        <v>0</v>
      </c>
      <c r="BB101" s="76" t="b">
        <v>0</v>
      </c>
      <c r="BC101" s="76" t="b">
        <v>0</v>
      </c>
      <c r="BD101" s="76" t="b">
        <v>0</v>
      </c>
      <c r="BE101" s="76" t="b">
        <v>0</v>
      </c>
      <c r="BF101" s="76" t="b">
        <v>0</v>
      </c>
      <c r="BG101" s="76" t="b">
        <v>0</v>
      </c>
      <c r="BH101" s="82" t="str">
        <f>HYPERLINK("https://pbs.twimg.com/profile_banners/142503243/1673839856")</f>
        <v>https://pbs.twimg.com/profile_banners/142503243/1673839856</v>
      </c>
      <c r="BI101" s="76"/>
      <c r="BJ101" s="76" t="s">
        <v>14450</v>
      </c>
      <c r="BK101" s="76" t="b">
        <v>0</v>
      </c>
      <c r="BL101" s="76"/>
      <c r="BM101" s="76" t="s">
        <v>66</v>
      </c>
      <c r="BN101" s="76" t="s">
        <v>14452</v>
      </c>
      <c r="BO101" s="82" t="str">
        <f>HYPERLINK("https://twitter.com/elfocoinforma")</f>
        <v>https://twitter.com/elfocoinforma</v>
      </c>
      <c r="BP101" s="2"/>
    </row>
    <row r="102" spans="1:68" x14ac:dyDescent="0.25">
      <c r="A102" s="62" t="s">
        <v>306</v>
      </c>
      <c r="B102" s="63"/>
      <c r="C102" s="63"/>
      <c r="D102" s="64"/>
      <c r="E102" s="66"/>
      <c r="F102" s="103" t="str">
        <f>HYPERLINK("https://pbs.twimg.com/profile_images/1681033062241402882/uICGPtpd_normal.png")</f>
        <v>https://pbs.twimg.com/profile_images/1681033062241402882/uICGPtpd_normal.png</v>
      </c>
      <c r="G102" s="63"/>
      <c r="H102" s="67"/>
      <c r="I102" s="68"/>
      <c r="J102" s="68"/>
      <c r="K102" s="67" t="s">
        <v>14551</v>
      </c>
      <c r="L102" s="71"/>
      <c r="M102" s="72"/>
      <c r="N102" s="72"/>
      <c r="O102" s="73"/>
      <c r="P102" s="74"/>
      <c r="Q102" s="74"/>
      <c r="R102" s="87"/>
      <c r="S102" s="87"/>
      <c r="T102" s="87"/>
      <c r="U102" s="87"/>
      <c r="V102" s="48"/>
      <c r="W102" s="48"/>
      <c r="X102" s="48"/>
      <c r="Y102" s="48"/>
      <c r="Z102" s="47"/>
      <c r="AA102" s="69">
        <v>102</v>
      </c>
      <c r="AB102" s="69"/>
      <c r="AC102" s="70"/>
      <c r="AD102" s="76" t="s">
        <v>11846</v>
      </c>
      <c r="AE102" s="80" t="s">
        <v>11444</v>
      </c>
      <c r="AF102" s="76">
        <v>1</v>
      </c>
      <c r="AG102" s="76">
        <v>14</v>
      </c>
      <c r="AH102" s="76">
        <v>25</v>
      </c>
      <c r="AI102" s="76">
        <v>0</v>
      </c>
      <c r="AJ102" s="76">
        <v>164</v>
      </c>
      <c r="AK102" s="76">
        <v>0</v>
      </c>
      <c r="AL102" s="76" t="b">
        <v>0</v>
      </c>
      <c r="AM102" s="78">
        <v>45124.83898148148</v>
      </c>
      <c r="AN102" s="76"/>
      <c r="AO102" s="76"/>
      <c r="AP102" s="76"/>
      <c r="AQ102" s="76"/>
      <c r="AR102" s="76"/>
      <c r="AS102" s="76"/>
      <c r="AT102" s="76"/>
      <c r="AU102" s="76"/>
      <c r="AV102" s="76"/>
      <c r="AW102" s="76"/>
      <c r="AX102" s="76" t="b">
        <v>0</v>
      </c>
      <c r="AY102" s="76"/>
      <c r="AZ102" s="76"/>
      <c r="BA102" s="76" t="b">
        <v>0</v>
      </c>
      <c r="BB102" s="76" t="b">
        <v>1</v>
      </c>
      <c r="BC102" s="76" t="b">
        <v>1</v>
      </c>
      <c r="BD102" s="76" t="b">
        <v>0</v>
      </c>
      <c r="BE102" s="76" t="b">
        <v>0</v>
      </c>
      <c r="BF102" s="76" t="b">
        <v>0</v>
      </c>
      <c r="BG102" s="76" t="b">
        <v>0</v>
      </c>
      <c r="BH102" s="76"/>
      <c r="BI102" s="76"/>
      <c r="BJ102" s="76" t="s">
        <v>14450</v>
      </c>
      <c r="BK102" s="76" t="b">
        <v>0</v>
      </c>
      <c r="BL102" s="76"/>
      <c r="BM102" s="76" t="s">
        <v>66</v>
      </c>
      <c r="BN102" s="76" t="s">
        <v>14452</v>
      </c>
      <c r="BO102" s="82" t="str">
        <f>HYPERLINK("https://twitter.com/juan41195")</f>
        <v>https://twitter.com/juan41195</v>
      </c>
      <c r="BP102" s="2"/>
    </row>
    <row r="103" spans="1:68" x14ac:dyDescent="0.25">
      <c r="A103" s="62" t="s">
        <v>786</v>
      </c>
      <c r="B103" s="63"/>
      <c r="C103" s="63"/>
      <c r="D103" s="64"/>
      <c r="E103" s="66"/>
      <c r="F103" s="103" t="str">
        <f>HYPERLINK("https://pbs.twimg.com/profile_images/1507309906055118848/F0BwRHVQ_normal.jpg")</f>
        <v>https://pbs.twimg.com/profile_images/1507309906055118848/F0BwRHVQ_normal.jpg</v>
      </c>
      <c r="G103" s="63"/>
      <c r="H103" s="67"/>
      <c r="I103" s="68"/>
      <c r="J103" s="68"/>
      <c r="K103" s="67" t="s">
        <v>14552</v>
      </c>
      <c r="L103" s="71"/>
      <c r="M103" s="72"/>
      <c r="N103" s="72"/>
      <c r="O103" s="73"/>
      <c r="P103" s="74"/>
      <c r="Q103" s="74"/>
      <c r="R103" s="87"/>
      <c r="S103" s="87"/>
      <c r="T103" s="87"/>
      <c r="U103" s="87"/>
      <c r="V103" s="48"/>
      <c r="W103" s="48"/>
      <c r="X103" s="48"/>
      <c r="Y103" s="48"/>
      <c r="Z103" s="47"/>
      <c r="AA103" s="69">
        <v>103</v>
      </c>
      <c r="AB103" s="69"/>
      <c r="AC103" s="70"/>
      <c r="AD103" s="76" t="s">
        <v>11847</v>
      </c>
      <c r="AE103" s="80" t="s">
        <v>12525</v>
      </c>
      <c r="AF103" s="76">
        <v>164</v>
      </c>
      <c r="AG103" s="76">
        <v>314</v>
      </c>
      <c r="AH103" s="76">
        <v>266</v>
      </c>
      <c r="AI103" s="76">
        <v>1</v>
      </c>
      <c r="AJ103" s="76">
        <v>82</v>
      </c>
      <c r="AK103" s="76">
        <v>225</v>
      </c>
      <c r="AL103" s="76" t="b">
        <v>0</v>
      </c>
      <c r="AM103" s="78">
        <v>41085.480023148149</v>
      </c>
      <c r="AN103" s="76"/>
      <c r="AO103" s="76" t="s">
        <v>13315</v>
      </c>
      <c r="AP103" s="76"/>
      <c r="AQ103" s="76"/>
      <c r="AR103" s="76"/>
      <c r="AS103" s="82" t="str">
        <f>HYPERLINK("https://t.co/KL10WK8KsX")</f>
        <v>https://t.co/KL10WK8KsX</v>
      </c>
      <c r="AT103" s="82" t="str">
        <f>HYPERLINK("http://torcadul.com")</f>
        <v>http://torcadul.com</v>
      </c>
      <c r="AU103" s="76" t="s">
        <v>14404</v>
      </c>
      <c r="AV103" s="76"/>
      <c r="AW103" s="76"/>
      <c r="AX103" s="76" t="b">
        <v>0</v>
      </c>
      <c r="AY103" s="76"/>
      <c r="AZ103" s="76"/>
      <c r="BA103" s="76" t="b">
        <v>1</v>
      </c>
      <c r="BB103" s="76" t="b">
        <v>1</v>
      </c>
      <c r="BC103" s="76" t="b">
        <v>1</v>
      </c>
      <c r="BD103" s="76" t="b">
        <v>0</v>
      </c>
      <c r="BE103" s="76" t="b">
        <v>0</v>
      </c>
      <c r="BF103" s="76" t="b">
        <v>0</v>
      </c>
      <c r="BG103" s="76" t="b">
        <v>0</v>
      </c>
      <c r="BH103" s="82" t="str">
        <f>HYPERLINK("https://pbs.twimg.com/profile_banners/618016478/1651567188")</f>
        <v>https://pbs.twimg.com/profile_banners/618016478/1651567188</v>
      </c>
      <c r="BI103" s="76"/>
      <c r="BJ103" s="76" t="s">
        <v>14450</v>
      </c>
      <c r="BK103" s="76" t="b">
        <v>0</v>
      </c>
      <c r="BL103" s="76"/>
      <c r="BM103" s="76" t="s">
        <v>66</v>
      </c>
      <c r="BN103" s="76" t="s">
        <v>14452</v>
      </c>
      <c r="BO103" s="82" t="str">
        <f>HYPERLINK("https://twitter.com/torcadul")</f>
        <v>https://twitter.com/torcadul</v>
      </c>
      <c r="BP103" s="2"/>
    </row>
    <row r="104" spans="1:68" x14ac:dyDescent="0.25">
      <c r="A104" s="62" t="s">
        <v>307</v>
      </c>
      <c r="B104" s="63"/>
      <c r="C104" s="63"/>
      <c r="D104" s="64"/>
      <c r="E104" s="66"/>
      <c r="F104" s="103" t="str">
        <f>HYPERLINK("https://pbs.twimg.com/profile_images/1618608043352096769/yo50G2gI_normal.jpg")</f>
        <v>https://pbs.twimg.com/profile_images/1618608043352096769/yo50G2gI_normal.jpg</v>
      </c>
      <c r="G104" s="63"/>
      <c r="H104" s="67"/>
      <c r="I104" s="68"/>
      <c r="J104" s="68"/>
      <c r="K104" s="67" t="s">
        <v>14553</v>
      </c>
      <c r="L104" s="71"/>
      <c r="M104" s="72"/>
      <c r="N104" s="72"/>
      <c r="O104" s="73"/>
      <c r="P104" s="74"/>
      <c r="Q104" s="74"/>
      <c r="R104" s="87"/>
      <c r="S104" s="87"/>
      <c r="T104" s="87"/>
      <c r="U104" s="87"/>
      <c r="V104" s="48"/>
      <c r="W104" s="48"/>
      <c r="X104" s="48"/>
      <c r="Y104" s="48"/>
      <c r="Z104" s="47"/>
      <c r="AA104" s="69">
        <v>104</v>
      </c>
      <c r="AB104" s="69"/>
      <c r="AC104" s="70"/>
      <c r="AD104" s="76" t="s">
        <v>11848</v>
      </c>
      <c r="AE104" s="80" t="s">
        <v>12526</v>
      </c>
      <c r="AF104" s="76">
        <v>988</v>
      </c>
      <c r="AG104" s="76">
        <v>4560</v>
      </c>
      <c r="AH104" s="76">
        <v>4246</v>
      </c>
      <c r="AI104" s="76">
        <v>0</v>
      </c>
      <c r="AJ104" s="76">
        <v>784</v>
      </c>
      <c r="AK104" s="76">
        <v>166</v>
      </c>
      <c r="AL104" s="76" t="b">
        <v>0</v>
      </c>
      <c r="AM104" s="78">
        <v>41046.749201388891</v>
      </c>
      <c r="AN104" s="76" t="s">
        <v>12926</v>
      </c>
      <c r="AO104" s="76" t="s">
        <v>13316</v>
      </c>
      <c r="AP104" s="76"/>
      <c r="AQ104" s="76"/>
      <c r="AR104" s="76"/>
      <c r="AS104" s="76"/>
      <c r="AT104" s="76"/>
      <c r="AU104" s="76"/>
      <c r="AV104" s="76">
        <v>1.6186312132536399E+18</v>
      </c>
      <c r="AW104" s="76"/>
      <c r="AX104" s="76" t="b">
        <v>0</v>
      </c>
      <c r="AY104" s="76"/>
      <c r="AZ104" s="76"/>
      <c r="BA104" s="76" t="b">
        <v>1</v>
      </c>
      <c r="BB104" s="76" t="b">
        <v>0</v>
      </c>
      <c r="BC104" s="76" t="b">
        <v>0</v>
      </c>
      <c r="BD104" s="76" t="b">
        <v>0</v>
      </c>
      <c r="BE104" s="76" t="b">
        <v>0</v>
      </c>
      <c r="BF104" s="76" t="b">
        <v>0</v>
      </c>
      <c r="BG104" s="76" t="b">
        <v>0</v>
      </c>
      <c r="BH104" s="82" t="str">
        <f>HYPERLINK("https://pbs.twimg.com/profile_banners/582994607/1683219267")</f>
        <v>https://pbs.twimg.com/profile_banners/582994607/1683219267</v>
      </c>
      <c r="BI104" s="76"/>
      <c r="BJ104" s="76" t="s">
        <v>14450</v>
      </c>
      <c r="BK104" s="76" t="b">
        <v>0</v>
      </c>
      <c r="BL104" s="76"/>
      <c r="BM104" s="76" t="s">
        <v>66</v>
      </c>
      <c r="BN104" s="76" t="s">
        <v>14452</v>
      </c>
      <c r="BO104" s="82" t="str">
        <f>HYPERLINK("https://twitter.com/ivangzg")</f>
        <v>https://twitter.com/ivangzg</v>
      </c>
      <c r="BP104" s="2"/>
    </row>
    <row r="105" spans="1:68" x14ac:dyDescent="0.25">
      <c r="A105" s="62" t="s">
        <v>308</v>
      </c>
      <c r="B105" s="63"/>
      <c r="C105" s="63"/>
      <c r="D105" s="64"/>
      <c r="E105" s="66"/>
      <c r="F105" s="103" t="str">
        <f>HYPERLINK("https://pbs.twimg.com/profile_images/1513523361988726790/sYOYLkZK_normal.jpg")</f>
        <v>https://pbs.twimg.com/profile_images/1513523361988726790/sYOYLkZK_normal.jpg</v>
      </c>
      <c r="G105" s="63"/>
      <c r="H105" s="67"/>
      <c r="I105" s="68"/>
      <c r="J105" s="68"/>
      <c r="K105" s="67" t="s">
        <v>14554</v>
      </c>
      <c r="L105" s="71"/>
      <c r="M105" s="72"/>
      <c r="N105" s="72"/>
      <c r="O105" s="73"/>
      <c r="P105" s="74"/>
      <c r="Q105" s="74"/>
      <c r="R105" s="87"/>
      <c r="S105" s="87"/>
      <c r="T105" s="87"/>
      <c r="U105" s="87"/>
      <c r="V105" s="48"/>
      <c r="W105" s="48"/>
      <c r="X105" s="48"/>
      <c r="Y105" s="48"/>
      <c r="Z105" s="47"/>
      <c r="AA105" s="69">
        <v>105</v>
      </c>
      <c r="AB105" s="69"/>
      <c r="AC105" s="70"/>
      <c r="AD105" s="76" t="s">
        <v>11849</v>
      </c>
      <c r="AE105" s="80" t="s">
        <v>11445</v>
      </c>
      <c r="AF105" s="76">
        <v>5461</v>
      </c>
      <c r="AG105" s="76">
        <v>107</v>
      </c>
      <c r="AH105" s="76">
        <v>5527</v>
      </c>
      <c r="AI105" s="76">
        <v>14</v>
      </c>
      <c r="AJ105" s="76">
        <v>961</v>
      </c>
      <c r="AK105" s="76">
        <v>4637</v>
      </c>
      <c r="AL105" s="76" t="b">
        <v>0</v>
      </c>
      <c r="AM105" s="78">
        <v>42558.76321759259</v>
      </c>
      <c r="AN105" s="76" t="s">
        <v>12927</v>
      </c>
      <c r="AO105" s="76" t="s">
        <v>13317</v>
      </c>
      <c r="AP105" s="82" t="str">
        <f>HYPERLINK("https://t.co/bCcU6plZfr")</f>
        <v>https://t.co/bCcU6plZfr</v>
      </c>
      <c r="AQ105" s="82" t="str">
        <f>HYPERLINK("https://www.facebook.com/SNEPueblaOfi")</f>
        <v>https://www.facebook.com/SNEPueblaOfi</v>
      </c>
      <c r="AR105" s="76" t="s">
        <v>13966</v>
      </c>
      <c r="AS105" s="76"/>
      <c r="AT105" s="76"/>
      <c r="AU105" s="76"/>
      <c r="AV105" s="76"/>
      <c r="AW105" s="82" t="str">
        <f>HYPERLINK("https://t.co/bCcU6plZfr")</f>
        <v>https://t.co/bCcU6plZfr</v>
      </c>
      <c r="AX105" s="76" t="b">
        <v>0</v>
      </c>
      <c r="AY105" s="76"/>
      <c r="AZ105" s="76"/>
      <c r="BA105" s="76" t="b">
        <v>1</v>
      </c>
      <c r="BB105" s="76" t="b">
        <v>1</v>
      </c>
      <c r="BC105" s="76" t="b">
        <v>1</v>
      </c>
      <c r="BD105" s="76" t="b">
        <v>0</v>
      </c>
      <c r="BE105" s="76" t="b">
        <v>1</v>
      </c>
      <c r="BF105" s="76" t="b">
        <v>0</v>
      </c>
      <c r="BG105" s="76" t="b">
        <v>0</v>
      </c>
      <c r="BH105" s="82" t="str">
        <f>HYPERLINK("https://pbs.twimg.com/profile_banners/751118342447099904/1694796135")</f>
        <v>https://pbs.twimg.com/profile_banners/751118342447099904/1694796135</v>
      </c>
      <c r="BI105" s="76"/>
      <c r="BJ105" s="76" t="s">
        <v>14450</v>
      </c>
      <c r="BK105" s="76" t="b">
        <v>0</v>
      </c>
      <c r="BL105" s="76"/>
      <c r="BM105" s="76" t="s">
        <v>66</v>
      </c>
      <c r="BN105" s="76" t="s">
        <v>14452</v>
      </c>
      <c r="BO105" s="82" t="str">
        <f>HYPERLINK("https://twitter.com/snepueblaofi")</f>
        <v>https://twitter.com/snepueblaofi</v>
      </c>
      <c r="BP105" s="2"/>
    </row>
    <row r="106" spans="1:68" x14ac:dyDescent="0.25">
      <c r="A106" s="62" t="s">
        <v>309</v>
      </c>
      <c r="B106" s="63"/>
      <c r="C106" s="63"/>
      <c r="D106" s="64"/>
      <c r="E106" s="66"/>
      <c r="F106" s="103" t="str">
        <f>HYPERLINK("https://pbs.twimg.com/profile_images/2703175559/94c843b00cbd9900f1422d8940bea6b3_normal.png")</f>
        <v>https://pbs.twimg.com/profile_images/2703175559/94c843b00cbd9900f1422d8940bea6b3_normal.png</v>
      </c>
      <c r="G106" s="63"/>
      <c r="H106" s="67"/>
      <c r="I106" s="68"/>
      <c r="J106" s="68"/>
      <c r="K106" s="67" t="s">
        <v>14555</v>
      </c>
      <c r="L106" s="71"/>
      <c r="M106" s="72"/>
      <c r="N106" s="72"/>
      <c r="O106" s="73"/>
      <c r="P106" s="74"/>
      <c r="Q106" s="74"/>
      <c r="R106" s="87"/>
      <c r="S106" s="87"/>
      <c r="T106" s="87"/>
      <c r="U106" s="87"/>
      <c r="V106" s="48"/>
      <c r="W106" s="48"/>
      <c r="X106" s="48"/>
      <c r="Y106" s="48"/>
      <c r="Z106" s="47"/>
      <c r="AA106" s="69">
        <v>106</v>
      </c>
      <c r="AB106" s="69"/>
      <c r="AC106" s="70"/>
      <c r="AD106" s="76" t="s">
        <v>11850</v>
      </c>
      <c r="AE106" s="80" t="s">
        <v>12527</v>
      </c>
      <c r="AF106" s="76">
        <v>3592</v>
      </c>
      <c r="AG106" s="76">
        <v>2743</v>
      </c>
      <c r="AH106" s="76">
        <v>24964</v>
      </c>
      <c r="AI106" s="76">
        <v>57</v>
      </c>
      <c r="AJ106" s="76">
        <v>1095</v>
      </c>
      <c r="AK106" s="76">
        <v>839</v>
      </c>
      <c r="AL106" s="76" t="b">
        <v>0</v>
      </c>
      <c r="AM106" s="78">
        <v>41192.8981712963</v>
      </c>
      <c r="AN106" s="76" t="s">
        <v>12928</v>
      </c>
      <c r="AO106" s="76" t="s">
        <v>13318</v>
      </c>
      <c r="AP106" s="82" t="str">
        <f>HYPERLINK("https://t.co/ofUia8qvun")</f>
        <v>https://t.co/ofUia8qvun</v>
      </c>
      <c r="AQ106" s="82" t="str">
        <f>HYPERLINK("http://paredonpaterna.es")</f>
        <v>http://paredonpaterna.es</v>
      </c>
      <c r="AR106" s="76" t="s">
        <v>13967</v>
      </c>
      <c r="AS106" s="76"/>
      <c r="AT106" s="76"/>
      <c r="AU106" s="76"/>
      <c r="AV106" s="76">
        <v>7.7574713679750694E+17</v>
      </c>
      <c r="AW106" s="82" t="str">
        <f>HYPERLINK("https://t.co/ofUia8qvun")</f>
        <v>https://t.co/ofUia8qvun</v>
      </c>
      <c r="AX106" s="76" t="b">
        <v>0</v>
      </c>
      <c r="AY106" s="76"/>
      <c r="AZ106" s="76"/>
      <c r="BA106" s="76" t="b">
        <v>0</v>
      </c>
      <c r="BB106" s="76" t="b">
        <v>1</v>
      </c>
      <c r="BC106" s="76" t="b">
        <v>0</v>
      </c>
      <c r="BD106" s="76" t="b">
        <v>0</v>
      </c>
      <c r="BE106" s="76" t="b">
        <v>0</v>
      </c>
      <c r="BF106" s="76" t="b">
        <v>0</v>
      </c>
      <c r="BG106" s="76" t="b">
        <v>0</v>
      </c>
      <c r="BH106" s="82" t="str">
        <f>HYPERLINK("https://pbs.twimg.com/profile_banners/872529876/1398709882")</f>
        <v>https://pbs.twimg.com/profile_banners/872529876/1398709882</v>
      </c>
      <c r="BI106" s="76"/>
      <c r="BJ106" s="76" t="s">
        <v>14450</v>
      </c>
      <c r="BK106" s="76" t="b">
        <v>0</v>
      </c>
      <c r="BL106" s="76"/>
      <c r="BM106" s="76" t="s">
        <v>66</v>
      </c>
      <c r="BN106" s="76" t="s">
        <v>14452</v>
      </c>
      <c r="BO106" s="82" t="str">
        <f>HYPERLINK("https://twitter.com/paredonpaterna")</f>
        <v>https://twitter.com/paredonpaterna</v>
      </c>
      <c r="BP106" s="2"/>
    </row>
    <row r="107" spans="1:68" x14ac:dyDescent="0.25">
      <c r="A107" s="62" t="s">
        <v>310</v>
      </c>
      <c r="B107" s="63"/>
      <c r="C107" s="63"/>
      <c r="D107" s="64"/>
      <c r="E107" s="66"/>
      <c r="F107" s="103" t="str">
        <f>HYPERLINK("https://pbs.twimg.com/profile_images/1459857065539686401/3nhbfGvN_normal.jpg")</f>
        <v>https://pbs.twimg.com/profile_images/1459857065539686401/3nhbfGvN_normal.jpg</v>
      </c>
      <c r="G107" s="63"/>
      <c r="H107" s="67"/>
      <c r="I107" s="68"/>
      <c r="J107" s="68"/>
      <c r="K107" s="67" t="s">
        <v>14556</v>
      </c>
      <c r="L107" s="71"/>
      <c r="M107" s="72"/>
      <c r="N107" s="72"/>
      <c r="O107" s="73"/>
      <c r="P107" s="74"/>
      <c r="Q107" s="74"/>
      <c r="R107" s="87"/>
      <c r="S107" s="87"/>
      <c r="T107" s="87"/>
      <c r="U107" s="87"/>
      <c r="V107" s="48"/>
      <c r="W107" s="48"/>
      <c r="X107" s="48"/>
      <c r="Y107" s="48"/>
      <c r="Z107" s="47"/>
      <c r="AA107" s="69">
        <v>107</v>
      </c>
      <c r="AB107" s="69"/>
      <c r="AC107" s="70"/>
      <c r="AD107" s="76" t="s">
        <v>11851</v>
      </c>
      <c r="AE107" s="80" t="s">
        <v>12528</v>
      </c>
      <c r="AF107" s="76">
        <v>586</v>
      </c>
      <c r="AG107" s="76">
        <v>468</v>
      </c>
      <c r="AH107" s="76">
        <v>3965</v>
      </c>
      <c r="AI107" s="76">
        <v>10</v>
      </c>
      <c r="AJ107" s="76">
        <v>1019</v>
      </c>
      <c r="AK107" s="76">
        <v>437</v>
      </c>
      <c r="AL107" s="76" t="b">
        <v>0</v>
      </c>
      <c r="AM107" s="78">
        <v>40231.844907407409</v>
      </c>
      <c r="AN107" s="76" t="s">
        <v>12929</v>
      </c>
      <c r="AO107" s="76" t="s">
        <v>13319</v>
      </c>
      <c r="AP107" s="82" t="str">
        <f>HYPERLINK("https://t.co/3PCxXVQ5mT")</f>
        <v>https://t.co/3PCxXVQ5mT</v>
      </c>
      <c r="AQ107" s="82" t="str">
        <f>HYPERLINK("http://www.vivirensalamanca.com")</f>
        <v>http://www.vivirensalamanca.com</v>
      </c>
      <c r="AR107" s="76" t="s">
        <v>13968</v>
      </c>
      <c r="AS107" s="76"/>
      <c r="AT107" s="76"/>
      <c r="AU107" s="76"/>
      <c r="AV107" s="76"/>
      <c r="AW107" s="82" t="str">
        <f>HYPERLINK("https://t.co/3PCxXVQ5mT")</f>
        <v>https://t.co/3PCxXVQ5mT</v>
      </c>
      <c r="AX107" s="76" t="b">
        <v>0</v>
      </c>
      <c r="AY107" s="76"/>
      <c r="AZ107" s="76"/>
      <c r="BA107" s="76" t="b">
        <v>0</v>
      </c>
      <c r="BB107" s="76" t="b">
        <v>1</v>
      </c>
      <c r="BC107" s="76" t="b">
        <v>0</v>
      </c>
      <c r="BD107" s="76" t="b">
        <v>0</v>
      </c>
      <c r="BE107" s="76" t="b">
        <v>0</v>
      </c>
      <c r="BF107" s="76" t="b">
        <v>0</v>
      </c>
      <c r="BG107" s="76" t="b">
        <v>0</v>
      </c>
      <c r="BH107" s="82" t="str">
        <f>HYPERLINK("https://pbs.twimg.com/profile_banners/116532718/1570985419")</f>
        <v>https://pbs.twimg.com/profile_banners/116532718/1570985419</v>
      </c>
      <c r="BI107" s="76"/>
      <c r="BJ107" s="76" t="s">
        <v>14450</v>
      </c>
      <c r="BK107" s="76" t="b">
        <v>0</v>
      </c>
      <c r="BL107" s="76"/>
      <c r="BM107" s="76" t="s">
        <v>66</v>
      </c>
      <c r="BN107" s="76" t="s">
        <v>14452</v>
      </c>
      <c r="BO107" s="82" t="str">
        <f>HYPERLINK("https://twitter.com/manuarias_c")</f>
        <v>https://twitter.com/manuarias_c</v>
      </c>
      <c r="BP107" s="2"/>
    </row>
    <row r="108" spans="1:68" x14ac:dyDescent="0.25">
      <c r="A108" s="62" t="s">
        <v>311</v>
      </c>
      <c r="B108" s="63"/>
      <c r="C108" s="63"/>
      <c r="D108" s="64"/>
      <c r="E108" s="66"/>
      <c r="F108" s="103" t="str">
        <f>HYPERLINK("https://pbs.twimg.com/profile_images/1325286871321161735/A1B-g_rq_normal.jpg")</f>
        <v>https://pbs.twimg.com/profile_images/1325286871321161735/A1B-g_rq_normal.jpg</v>
      </c>
      <c r="G108" s="63"/>
      <c r="H108" s="67"/>
      <c r="I108" s="68"/>
      <c r="J108" s="68"/>
      <c r="K108" s="67" t="s">
        <v>14557</v>
      </c>
      <c r="L108" s="71"/>
      <c r="M108" s="72"/>
      <c r="N108" s="72"/>
      <c r="O108" s="73"/>
      <c r="P108" s="74"/>
      <c r="Q108" s="74"/>
      <c r="R108" s="87"/>
      <c r="S108" s="87"/>
      <c r="T108" s="87"/>
      <c r="U108" s="87"/>
      <c r="V108" s="48"/>
      <c r="W108" s="48"/>
      <c r="X108" s="48"/>
      <c r="Y108" s="48"/>
      <c r="Z108" s="47"/>
      <c r="AA108" s="69">
        <v>108</v>
      </c>
      <c r="AB108" s="69"/>
      <c r="AC108" s="70"/>
      <c r="AD108" s="76" t="s">
        <v>11852</v>
      </c>
      <c r="AE108" s="80" t="s">
        <v>12529</v>
      </c>
      <c r="AF108" s="76">
        <v>229</v>
      </c>
      <c r="AG108" s="76">
        <v>224</v>
      </c>
      <c r="AH108" s="76">
        <v>915</v>
      </c>
      <c r="AI108" s="76">
        <v>3</v>
      </c>
      <c r="AJ108" s="76">
        <v>118</v>
      </c>
      <c r="AK108" s="76">
        <v>26</v>
      </c>
      <c r="AL108" s="76" t="b">
        <v>0</v>
      </c>
      <c r="AM108" s="78">
        <v>41387.119363425925</v>
      </c>
      <c r="AN108" s="76" t="s">
        <v>12930</v>
      </c>
      <c r="AO108" s="76" t="s">
        <v>13320</v>
      </c>
      <c r="AP108" s="82" t="str">
        <f>HYPERLINK("https://t.co/tmQNweoOg6")</f>
        <v>https://t.co/tmQNweoOg6</v>
      </c>
      <c r="AQ108" s="82" t="str">
        <f>HYPERLINK("http://www.alavepro.com")</f>
        <v>http://www.alavepro.com</v>
      </c>
      <c r="AR108" s="76" t="s">
        <v>13969</v>
      </c>
      <c r="AS108" s="76"/>
      <c r="AT108" s="76"/>
      <c r="AU108" s="76"/>
      <c r="AV108" s="76">
        <v>1.38590365807693E+18</v>
      </c>
      <c r="AW108" s="82" t="str">
        <f>HYPERLINK("https://t.co/tmQNweoOg6")</f>
        <v>https://t.co/tmQNweoOg6</v>
      </c>
      <c r="AX108" s="76" t="b">
        <v>0</v>
      </c>
      <c r="AY108" s="76"/>
      <c r="AZ108" s="76"/>
      <c r="BA108" s="76" t="b">
        <v>0</v>
      </c>
      <c r="BB108" s="76" t="b">
        <v>1</v>
      </c>
      <c r="BC108" s="76" t="b">
        <v>0</v>
      </c>
      <c r="BD108" s="76" t="b">
        <v>0</v>
      </c>
      <c r="BE108" s="76" t="b">
        <v>0</v>
      </c>
      <c r="BF108" s="76" t="b">
        <v>0</v>
      </c>
      <c r="BG108" s="76" t="b">
        <v>0</v>
      </c>
      <c r="BH108" s="82" t="str">
        <f>HYPERLINK("https://pbs.twimg.com/profile_banners/1373645792/1377453125")</f>
        <v>https://pbs.twimg.com/profile_banners/1373645792/1377453125</v>
      </c>
      <c r="BI108" s="76"/>
      <c r="BJ108" s="76" t="s">
        <v>14450</v>
      </c>
      <c r="BK108" s="76" t="b">
        <v>0</v>
      </c>
      <c r="BL108" s="76"/>
      <c r="BM108" s="76" t="s">
        <v>66</v>
      </c>
      <c r="BN108" s="76" t="s">
        <v>14452</v>
      </c>
      <c r="BO108" s="82" t="str">
        <f>HYPERLINK("https://twitter.com/danielnobregao")</f>
        <v>https://twitter.com/danielnobregao</v>
      </c>
      <c r="BP108" s="2"/>
    </row>
    <row r="109" spans="1:68" x14ac:dyDescent="0.25">
      <c r="A109" s="62" t="s">
        <v>312</v>
      </c>
      <c r="B109" s="63"/>
      <c r="C109" s="63"/>
      <c r="D109" s="64"/>
      <c r="E109" s="66"/>
      <c r="F109" s="103" t="str">
        <f>HYPERLINK("https://pbs.twimg.com/profile_images/588503723002834944/95acWEsy_normal.jpg")</f>
        <v>https://pbs.twimg.com/profile_images/588503723002834944/95acWEsy_normal.jpg</v>
      </c>
      <c r="G109" s="63"/>
      <c r="H109" s="67"/>
      <c r="I109" s="68"/>
      <c r="J109" s="68"/>
      <c r="K109" s="67" t="s">
        <v>14558</v>
      </c>
      <c r="L109" s="71"/>
      <c r="M109" s="72"/>
      <c r="N109" s="72"/>
      <c r="O109" s="73"/>
      <c r="P109" s="74"/>
      <c r="Q109" s="74"/>
      <c r="R109" s="87"/>
      <c r="S109" s="87"/>
      <c r="T109" s="87"/>
      <c r="U109" s="87"/>
      <c r="V109" s="48"/>
      <c r="W109" s="48"/>
      <c r="X109" s="48"/>
      <c r="Y109" s="48"/>
      <c r="Z109" s="47"/>
      <c r="AA109" s="69">
        <v>109</v>
      </c>
      <c r="AB109" s="69"/>
      <c r="AC109" s="70"/>
      <c r="AD109" s="76" t="s">
        <v>11853</v>
      </c>
      <c r="AE109" s="80" t="s">
        <v>12530</v>
      </c>
      <c r="AF109" s="76">
        <v>2815137</v>
      </c>
      <c r="AG109" s="76">
        <v>305</v>
      </c>
      <c r="AH109" s="76">
        <v>389099</v>
      </c>
      <c r="AI109" s="76">
        <v>11829</v>
      </c>
      <c r="AJ109" s="76">
        <v>210</v>
      </c>
      <c r="AK109" s="76">
        <v>201100</v>
      </c>
      <c r="AL109" s="76" t="b">
        <v>0</v>
      </c>
      <c r="AM109" s="78">
        <v>39931.153275462966</v>
      </c>
      <c r="AN109" s="76" t="s">
        <v>7767</v>
      </c>
      <c r="AO109" s="76" t="s">
        <v>13321</v>
      </c>
      <c r="AP109" s="82" t="str">
        <f>HYPERLINK("https://t.co/7PUEbuNK9c")</f>
        <v>https://t.co/7PUEbuNK9c</v>
      </c>
      <c r="AQ109" s="82" t="str">
        <f>HYPERLINK("https://www.jornada.com.mx/")</f>
        <v>https://www.jornada.com.mx/</v>
      </c>
      <c r="AR109" s="76" t="s">
        <v>13970</v>
      </c>
      <c r="AS109" s="76"/>
      <c r="AT109" s="76"/>
      <c r="AU109" s="76"/>
      <c r="AV109" s="76"/>
      <c r="AW109" s="82" t="str">
        <f>HYPERLINK("https://t.co/7PUEbuNK9c")</f>
        <v>https://t.co/7PUEbuNK9c</v>
      </c>
      <c r="AX109" s="76" t="b">
        <v>1</v>
      </c>
      <c r="AY109" s="76"/>
      <c r="AZ109" s="76"/>
      <c r="BA109" s="76" t="b">
        <v>0</v>
      </c>
      <c r="BB109" s="76" t="b">
        <v>1</v>
      </c>
      <c r="BC109" s="76" t="b">
        <v>0</v>
      </c>
      <c r="BD109" s="76" t="b">
        <v>0</v>
      </c>
      <c r="BE109" s="76" t="b">
        <v>1</v>
      </c>
      <c r="BF109" s="76" t="b">
        <v>0</v>
      </c>
      <c r="BG109" s="76" t="b">
        <v>0</v>
      </c>
      <c r="BH109" s="82" t="str">
        <f>HYPERLINK("https://pbs.twimg.com/profile_banners/35977487/1693329382")</f>
        <v>https://pbs.twimg.com/profile_banners/35977487/1693329382</v>
      </c>
      <c r="BI109" s="76"/>
      <c r="BJ109" s="76" t="s">
        <v>14450</v>
      </c>
      <c r="BK109" s="76" t="b">
        <v>0</v>
      </c>
      <c r="BL109" s="76"/>
      <c r="BM109" s="76" t="s">
        <v>66</v>
      </c>
      <c r="BN109" s="76" t="s">
        <v>14452</v>
      </c>
      <c r="BO109" s="82" t="str">
        <f>HYPERLINK("https://twitter.com/lajornadaonline")</f>
        <v>https://twitter.com/lajornadaonline</v>
      </c>
      <c r="BP109" s="2"/>
    </row>
    <row r="110" spans="1:68" x14ac:dyDescent="0.25">
      <c r="A110" s="62" t="s">
        <v>313</v>
      </c>
      <c r="B110" s="63"/>
      <c r="C110" s="63"/>
      <c r="D110" s="64"/>
      <c r="E110" s="66"/>
      <c r="F110" s="103" t="str">
        <f>HYPERLINK("https://pbs.twimg.com/profile_images/1387581601379389445/gW5um07S_normal.jpg")</f>
        <v>https://pbs.twimg.com/profile_images/1387581601379389445/gW5um07S_normal.jpg</v>
      </c>
      <c r="G110" s="63"/>
      <c r="H110" s="67"/>
      <c r="I110" s="68"/>
      <c r="J110" s="68"/>
      <c r="K110" s="67" t="s">
        <v>14559</v>
      </c>
      <c r="L110" s="71"/>
      <c r="M110" s="72"/>
      <c r="N110" s="72"/>
      <c r="O110" s="73"/>
      <c r="P110" s="74"/>
      <c r="Q110" s="74"/>
      <c r="R110" s="87"/>
      <c r="S110" s="87"/>
      <c r="T110" s="87"/>
      <c r="U110" s="87"/>
      <c r="V110" s="48"/>
      <c r="W110" s="48"/>
      <c r="X110" s="48"/>
      <c r="Y110" s="48"/>
      <c r="Z110" s="47"/>
      <c r="AA110" s="69">
        <v>110</v>
      </c>
      <c r="AB110" s="69"/>
      <c r="AC110" s="70"/>
      <c r="AD110" s="76" t="s">
        <v>11854</v>
      </c>
      <c r="AE110" s="80" t="s">
        <v>11446</v>
      </c>
      <c r="AF110" s="76">
        <v>62</v>
      </c>
      <c r="AG110" s="76">
        <v>2</v>
      </c>
      <c r="AH110" s="76">
        <v>550</v>
      </c>
      <c r="AI110" s="76">
        <v>0</v>
      </c>
      <c r="AJ110" s="76">
        <v>98</v>
      </c>
      <c r="AK110" s="76">
        <v>463</v>
      </c>
      <c r="AL110" s="76" t="b">
        <v>0</v>
      </c>
      <c r="AM110" s="78">
        <v>43748.818460648145</v>
      </c>
      <c r="AN110" s="76" t="s">
        <v>7856</v>
      </c>
      <c r="AO110" s="76" t="s">
        <v>13322</v>
      </c>
      <c r="AP110" s="82" t="str">
        <f>HYPERLINK("https://t.co/CZMKUtSzzT")</f>
        <v>https://t.co/CZMKUtSzzT</v>
      </c>
      <c r="AQ110" s="82" t="str">
        <f>HYPERLINK("http://www.palmaparafusos.com.br")</f>
        <v>http://www.palmaparafusos.com.br</v>
      </c>
      <c r="AR110" s="76" t="s">
        <v>13971</v>
      </c>
      <c r="AS110" s="76"/>
      <c r="AT110" s="76"/>
      <c r="AU110" s="76"/>
      <c r="AV110" s="76">
        <v>1.1924269984985001E+18</v>
      </c>
      <c r="AW110" s="82" t="str">
        <f>HYPERLINK("https://t.co/CZMKUtSzzT")</f>
        <v>https://t.co/CZMKUtSzzT</v>
      </c>
      <c r="AX110" s="76" t="b">
        <v>0</v>
      </c>
      <c r="AY110" s="76"/>
      <c r="AZ110" s="76"/>
      <c r="BA110" s="76" t="b">
        <v>0</v>
      </c>
      <c r="BB110" s="76" t="b">
        <v>1</v>
      </c>
      <c r="BC110" s="76" t="b">
        <v>1</v>
      </c>
      <c r="BD110" s="76" t="b">
        <v>0</v>
      </c>
      <c r="BE110" s="76" t="b">
        <v>0</v>
      </c>
      <c r="BF110" s="76" t="b">
        <v>0</v>
      </c>
      <c r="BG110" s="76" t="b">
        <v>0</v>
      </c>
      <c r="BH110" s="82" t="str">
        <f>HYPERLINK("https://pbs.twimg.com/profile_banners/1182379870065778689/1571165203")</f>
        <v>https://pbs.twimg.com/profile_banners/1182379870065778689/1571165203</v>
      </c>
      <c r="BI110" s="76"/>
      <c r="BJ110" s="76" t="s">
        <v>14450</v>
      </c>
      <c r="BK110" s="76" t="b">
        <v>0</v>
      </c>
      <c r="BL110" s="76"/>
      <c r="BM110" s="76" t="s">
        <v>66</v>
      </c>
      <c r="BN110" s="76" t="s">
        <v>14452</v>
      </c>
      <c r="BO110" s="82" t="str">
        <f>HYPERLINK("https://twitter.com/palmaparafusos")</f>
        <v>https://twitter.com/palmaparafusos</v>
      </c>
      <c r="BP110" s="2"/>
    </row>
    <row r="111" spans="1:68" x14ac:dyDescent="0.25">
      <c r="A111" s="62" t="s">
        <v>314</v>
      </c>
      <c r="B111" s="63"/>
      <c r="C111" s="63"/>
      <c r="D111" s="64"/>
      <c r="E111" s="66"/>
      <c r="F111" s="103" t="str">
        <f>HYPERLINK("https://pbs.twimg.com/profile_images/597622972145397760/oL-1sIWM_normal.jpg")</f>
        <v>https://pbs.twimg.com/profile_images/597622972145397760/oL-1sIWM_normal.jpg</v>
      </c>
      <c r="G111" s="63"/>
      <c r="H111" s="67"/>
      <c r="I111" s="68"/>
      <c r="J111" s="68"/>
      <c r="K111" s="67" t="s">
        <v>14560</v>
      </c>
      <c r="L111" s="71"/>
      <c r="M111" s="72"/>
      <c r="N111" s="72"/>
      <c r="O111" s="73"/>
      <c r="P111" s="74"/>
      <c r="Q111" s="74"/>
      <c r="R111" s="87"/>
      <c r="S111" s="87"/>
      <c r="T111" s="87"/>
      <c r="U111" s="87"/>
      <c r="V111" s="48"/>
      <c r="W111" s="48"/>
      <c r="X111" s="48"/>
      <c r="Y111" s="48"/>
      <c r="Z111" s="47"/>
      <c r="AA111" s="69">
        <v>111</v>
      </c>
      <c r="AB111" s="69"/>
      <c r="AC111" s="70"/>
      <c r="AD111" s="76" t="s">
        <v>11855</v>
      </c>
      <c r="AE111" s="80" t="s">
        <v>12531</v>
      </c>
      <c r="AF111" s="76">
        <v>174</v>
      </c>
      <c r="AG111" s="76">
        <v>207</v>
      </c>
      <c r="AH111" s="76">
        <v>11565</v>
      </c>
      <c r="AI111" s="76">
        <v>0</v>
      </c>
      <c r="AJ111" s="76">
        <v>9286</v>
      </c>
      <c r="AK111" s="76">
        <v>737</v>
      </c>
      <c r="AL111" s="76" t="b">
        <v>0</v>
      </c>
      <c r="AM111" s="78">
        <v>41987.114861111113</v>
      </c>
      <c r="AN111" s="76"/>
      <c r="AO111" s="76" t="s">
        <v>13323</v>
      </c>
      <c r="AP111" s="76"/>
      <c r="AQ111" s="76"/>
      <c r="AR111" s="76"/>
      <c r="AS111" s="76"/>
      <c r="AT111" s="76"/>
      <c r="AU111" s="76"/>
      <c r="AV111" s="76"/>
      <c r="AW111" s="76"/>
      <c r="AX111" s="76" t="b">
        <v>0</v>
      </c>
      <c r="AY111" s="76"/>
      <c r="AZ111" s="76"/>
      <c r="BA111" s="76" t="b">
        <v>0</v>
      </c>
      <c r="BB111" s="76" t="b">
        <v>1</v>
      </c>
      <c r="BC111" s="76" t="b">
        <v>1</v>
      </c>
      <c r="BD111" s="76" t="b">
        <v>0</v>
      </c>
      <c r="BE111" s="76" t="b">
        <v>1</v>
      </c>
      <c r="BF111" s="76" t="b">
        <v>0</v>
      </c>
      <c r="BG111" s="76" t="b">
        <v>0</v>
      </c>
      <c r="BH111" s="76"/>
      <c r="BI111" s="76"/>
      <c r="BJ111" s="76" t="s">
        <v>14450</v>
      </c>
      <c r="BK111" s="76" t="b">
        <v>0</v>
      </c>
      <c r="BL111" s="76"/>
      <c r="BM111" s="76" t="s">
        <v>66</v>
      </c>
      <c r="BN111" s="76" t="s">
        <v>14452</v>
      </c>
      <c r="BO111" s="82" t="str">
        <f>HYPERLINK("https://twitter.com/noemi_12mmo")</f>
        <v>https://twitter.com/noemi_12mmo</v>
      </c>
      <c r="BP111" s="2"/>
    </row>
    <row r="112" spans="1:68" x14ac:dyDescent="0.25">
      <c r="A112" s="62" t="s">
        <v>884</v>
      </c>
      <c r="B112" s="63"/>
      <c r="C112" s="63"/>
      <c r="D112" s="64"/>
      <c r="E112" s="66"/>
      <c r="F112" s="103" t="str">
        <f>HYPERLINK("https://pbs.twimg.com/profile_images/712635018007461888/tuJjVBrV_normal.jpg")</f>
        <v>https://pbs.twimg.com/profile_images/712635018007461888/tuJjVBrV_normal.jpg</v>
      </c>
      <c r="G112" s="63"/>
      <c r="H112" s="67"/>
      <c r="I112" s="68"/>
      <c r="J112" s="68"/>
      <c r="K112" s="67" t="s">
        <v>14561</v>
      </c>
      <c r="L112" s="71"/>
      <c r="M112" s="72"/>
      <c r="N112" s="72"/>
      <c r="O112" s="73"/>
      <c r="P112" s="74"/>
      <c r="Q112" s="74"/>
      <c r="R112" s="87"/>
      <c r="S112" s="87"/>
      <c r="T112" s="87"/>
      <c r="U112" s="87"/>
      <c r="V112" s="48"/>
      <c r="W112" s="48"/>
      <c r="X112" s="48"/>
      <c r="Y112" s="48"/>
      <c r="Z112" s="47"/>
      <c r="AA112" s="69">
        <v>112</v>
      </c>
      <c r="AB112" s="69"/>
      <c r="AC112" s="70"/>
      <c r="AD112" s="76" t="s">
        <v>11856</v>
      </c>
      <c r="AE112" s="80" t="s">
        <v>12532</v>
      </c>
      <c r="AF112" s="76">
        <v>3460</v>
      </c>
      <c r="AG112" s="76">
        <v>514</v>
      </c>
      <c r="AH112" s="76">
        <v>5688</v>
      </c>
      <c r="AI112" s="76">
        <v>23</v>
      </c>
      <c r="AJ112" s="76">
        <v>245</v>
      </c>
      <c r="AK112" s="76">
        <v>2182</v>
      </c>
      <c r="AL112" s="76" t="b">
        <v>0</v>
      </c>
      <c r="AM112" s="78">
        <v>40878.51290509259</v>
      </c>
      <c r="AN112" s="76" t="s">
        <v>7811</v>
      </c>
      <c r="AO112" s="76" t="s">
        <v>13324</v>
      </c>
      <c r="AP112" s="82" t="str">
        <f>HYPERLINK("http://t.co/Ut4a9sg95E")</f>
        <v>http://t.co/Ut4a9sg95E</v>
      </c>
      <c r="AQ112" s="82" t="str">
        <f>HYPERLINK("http://www.radionacional.com.ar")</f>
        <v>http://www.radionacional.com.ar</v>
      </c>
      <c r="AR112" s="76" t="s">
        <v>13972</v>
      </c>
      <c r="AS112" s="82" t="str">
        <f>HYPERLINK("https://t.co/UVdNBVBEWw")</f>
        <v>https://t.co/UVdNBVBEWw</v>
      </c>
      <c r="AT112" s="82" t="str">
        <f>HYPERLINK("http://player.dcarsat.com.ar/rn_sc_rad4/")</f>
        <v>http://player.dcarsat.com.ar/rn_sc_rad4/</v>
      </c>
      <c r="AU112" s="76" t="s">
        <v>14405</v>
      </c>
      <c r="AV112" s="76"/>
      <c r="AW112" s="82" t="str">
        <f>HYPERLINK("http://t.co/Ut4a9sg95E")</f>
        <v>http://t.co/Ut4a9sg95E</v>
      </c>
      <c r="AX112" s="76" t="b">
        <v>0</v>
      </c>
      <c r="AY112" s="76"/>
      <c r="AZ112" s="76"/>
      <c r="BA112" s="76" t="b">
        <v>0</v>
      </c>
      <c r="BB112" s="76" t="b">
        <v>1</v>
      </c>
      <c r="BC112" s="76" t="b">
        <v>0</v>
      </c>
      <c r="BD112" s="76" t="b">
        <v>0</v>
      </c>
      <c r="BE112" s="76" t="b">
        <v>1</v>
      </c>
      <c r="BF112" s="76" t="b">
        <v>0</v>
      </c>
      <c r="BG112" s="76" t="b">
        <v>0</v>
      </c>
      <c r="BH112" s="82" t="str">
        <f>HYPERLINK("https://pbs.twimg.com/profile_banners/425775741/1473081029")</f>
        <v>https://pbs.twimg.com/profile_banners/425775741/1473081029</v>
      </c>
      <c r="BI112" s="76"/>
      <c r="BJ112" s="76" t="s">
        <v>14450</v>
      </c>
      <c r="BK112" s="76" t="b">
        <v>0</v>
      </c>
      <c r="BL112" s="76"/>
      <c r="BM112" s="76" t="s">
        <v>65</v>
      </c>
      <c r="BN112" s="76" t="s">
        <v>14452</v>
      </c>
      <c r="BO112" s="82" t="str">
        <f>HYPERLINK("https://twitter.com/nacionalsalta")</f>
        <v>https://twitter.com/nacionalsalta</v>
      </c>
      <c r="BP112" s="2"/>
    </row>
    <row r="113" spans="1:68" x14ac:dyDescent="0.25">
      <c r="A113" s="62" t="s">
        <v>885</v>
      </c>
      <c r="B113" s="63"/>
      <c r="C113" s="63"/>
      <c r="D113" s="64"/>
      <c r="E113" s="66"/>
      <c r="F113" s="103" t="str">
        <f>HYPERLINK("https://pbs.twimg.com/profile_images/1360388505202003972/WyTLdGCs_normal.jpg")</f>
        <v>https://pbs.twimg.com/profile_images/1360388505202003972/WyTLdGCs_normal.jpg</v>
      </c>
      <c r="G113" s="63"/>
      <c r="H113" s="67"/>
      <c r="I113" s="68"/>
      <c r="J113" s="68"/>
      <c r="K113" s="67" t="s">
        <v>14562</v>
      </c>
      <c r="L113" s="71"/>
      <c r="M113" s="72"/>
      <c r="N113" s="72"/>
      <c r="O113" s="73"/>
      <c r="P113" s="74"/>
      <c r="Q113" s="74"/>
      <c r="R113" s="87"/>
      <c r="S113" s="87"/>
      <c r="T113" s="87"/>
      <c r="U113" s="87"/>
      <c r="V113" s="48"/>
      <c r="W113" s="48"/>
      <c r="X113" s="48"/>
      <c r="Y113" s="48"/>
      <c r="Z113" s="47"/>
      <c r="AA113" s="69">
        <v>113</v>
      </c>
      <c r="AB113" s="69"/>
      <c r="AC113" s="70"/>
      <c r="AD113" s="76" t="s">
        <v>11857</v>
      </c>
      <c r="AE113" s="80" t="s">
        <v>11324</v>
      </c>
      <c r="AF113" s="76">
        <v>11839</v>
      </c>
      <c r="AG113" s="76">
        <v>2186</v>
      </c>
      <c r="AH113" s="76">
        <v>17746</v>
      </c>
      <c r="AI113" s="76">
        <v>107</v>
      </c>
      <c r="AJ113" s="76">
        <v>12322</v>
      </c>
      <c r="AK113" s="76">
        <v>4891</v>
      </c>
      <c r="AL113" s="76" t="b">
        <v>0</v>
      </c>
      <c r="AM113" s="78">
        <v>40615.688599537039</v>
      </c>
      <c r="AN113" s="76" t="s">
        <v>12931</v>
      </c>
      <c r="AO113" s="76" t="s">
        <v>13325</v>
      </c>
      <c r="AP113" s="82" t="str">
        <f>HYPERLINK("https://t.co/r7gBEDTVLO")</f>
        <v>https://t.co/r7gBEDTVLO</v>
      </c>
      <c r="AQ113" s="82" t="str">
        <f>HYPERLINK("http://pablokosiner.com.ar")</f>
        <v>http://pablokosiner.com.ar</v>
      </c>
      <c r="AR113" s="76" t="s">
        <v>13973</v>
      </c>
      <c r="AS113" s="76"/>
      <c r="AT113" s="76"/>
      <c r="AU113" s="76"/>
      <c r="AV113" s="76"/>
      <c r="AW113" s="82" t="str">
        <f>HYPERLINK("https://t.co/r7gBEDTVLO")</f>
        <v>https://t.co/r7gBEDTVLO</v>
      </c>
      <c r="AX113" s="76" t="b">
        <v>0</v>
      </c>
      <c r="AY113" s="76"/>
      <c r="AZ113" s="76"/>
      <c r="BA113" s="76" t="b">
        <v>0</v>
      </c>
      <c r="BB113" s="76" t="b">
        <v>1</v>
      </c>
      <c r="BC113" s="76" t="b">
        <v>0</v>
      </c>
      <c r="BD113" s="76" t="b">
        <v>0</v>
      </c>
      <c r="BE113" s="76" t="b">
        <v>1</v>
      </c>
      <c r="BF113" s="76" t="b">
        <v>0</v>
      </c>
      <c r="BG113" s="76" t="b">
        <v>0</v>
      </c>
      <c r="BH113" s="82" t="str">
        <f>HYPERLINK("https://pbs.twimg.com/profile_banners/265484620/1572291035")</f>
        <v>https://pbs.twimg.com/profile_banners/265484620/1572291035</v>
      </c>
      <c r="BI113" s="76"/>
      <c r="BJ113" s="76" t="s">
        <v>14450</v>
      </c>
      <c r="BK113" s="76" t="b">
        <v>0</v>
      </c>
      <c r="BL113" s="76"/>
      <c r="BM113" s="76" t="s">
        <v>65</v>
      </c>
      <c r="BN113" s="76" t="s">
        <v>14452</v>
      </c>
      <c r="BO113" s="82" t="str">
        <f>HYPERLINK("https://twitter.com/pablokosiner")</f>
        <v>https://twitter.com/pablokosiner</v>
      </c>
      <c r="BP113" s="2"/>
    </row>
    <row r="114" spans="1:68" x14ac:dyDescent="0.25">
      <c r="A114" s="62" t="s">
        <v>315</v>
      </c>
      <c r="B114" s="63"/>
      <c r="C114" s="63"/>
      <c r="D114" s="64"/>
      <c r="E114" s="66"/>
      <c r="F114" s="103" t="str">
        <f>HYPERLINK("https://pbs.twimg.com/profile_images/1538630509873479682/WQRMLefD_normal.jpg")</f>
        <v>https://pbs.twimg.com/profile_images/1538630509873479682/WQRMLefD_normal.jpg</v>
      </c>
      <c r="G114" s="63"/>
      <c r="H114" s="67"/>
      <c r="I114" s="68"/>
      <c r="J114" s="68"/>
      <c r="K114" s="67" t="s">
        <v>14563</v>
      </c>
      <c r="L114" s="71"/>
      <c r="M114" s="72"/>
      <c r="N114" s="72"/>
      <c r="O114" s="73"/>
      <c r="P114" s="74"/>
      <c r="Q114" s="74"/>
      <c r="R114" s="87"/>
      <c r="S114" s="87"/>
      <c r="T114" s="87"/>
      <c r="U114" s="87"/>
      <c r="V114" s="48"/>
      <c r="W114" s="48"/>
      <c r="X114" s="48"/>
      <c r="Y114" s="48"/>
      <c r="Z114" s="47"/>
      <c r="AA114" s="69">
        <v>114</v>
      </c>
      <c r="AB114" s="69"/>
      <c r="AC114" s="70"/>
      <c r="AD114" s="76" t="s">
        <v>11858</v>
      </c>
      <c r="AE114" s="80" t="s">
        <v>12533</v>
      </c>
      <c r="AF114" s="76">
        <v>86</v>
      </c>
      <c r="AG114" s="76">
        <v>169</v>
      </c>
      <c r="AH114" s="76">
        <v>1399</v>
      </c>
      <c r="AI114" s="76">
        <v>0</v>
      </c>
      <c r="AJ114" s="76">
        <v>5492</v>
      </c>
      <c r="AK114" s="76">
        <v>57</v>
      </c>
      <c r="AL114" s="76" t="b">
        <v>0</v>
      </c>
      <c r="AM114" s="78">
        <v>40697.604884259257</v>
      </c>
      <c r="AN114" s="76"/>
      <c r="AO114" s="76" t="s">
        <v>13326</v>
      </c>
      <c r="AP114" s="76"/>
      <c r="AQ114" s="76"/>
      <c r="AR114" s="76"/>
      <c r="AS114" s="76"/>
      <c r="AT114" s="76"/>
      <c r="AU114" s="76"/>
      <c r="AV114" s="76"/>
      <c r="AW114" s="76"/>
      <c r="AX114" s="76" t="b">
        <v>0</v>
      </c>
      <c r="AY114" s="76"/>
      <c r="AZ114" s="76"/>
      <c r="BA114" s="76" t="b">
        <v>0</v>
      </c>
      <c r="BB114" s="76" t="b">
        <v>1</v>
      </c>
      <c r="BC114" s="76" t="b">
        <v>0</v>
      </c>
      <c r="BD114" s="76" t="b">
        <v>0</v>
      </c>
      <c r="BE114" s="76" t="b">
        <v>1</v>
      </c>
      <c r="BF114" s="76" t="b">
        <v>0</v>
      </c>
      <c r="BG114" s="76" t="b">
        <v>0</v>
      </c>
      <c r="BH114" s="82" t="str">
        <f>HYPERLINK("https://pbs.twimg.com/profile_banners/310300954/1646493213")</f>
        <v>https://pbs.twimg.com/profile_banners/310300954/1646493213</v>
      </c>
      <c r="BI114" s="76"/>
      <c r="BJ114" s="76" t="s">
        <v>14450</v>
      </c>
      <c r="BK114" s="76" t="b">
        <v>0</v>
      </c>
      <c r="BL114" s="76"/>
      <c r="BM114" s="76" t="s">
        <v>66</v>
      </c>
      <c r="BN114" s="76" t="s">
        <v>14452</v>
      </c>
      <c r="BO114" s="82" t="str">
        <f>HYPERLINK("https://twitter.com/empleadorserial")</f>
        <v>https://twitter.com/empleadorserial</v>
      </c>
      <c r="BP114" s="2"/>
    </row>
    <row r="115" spans="1:68" x14ac:dyDescent="0.25">
      <c r="A115" s="62" t="s">
        <v>886</v>
      </c>
      <c r="B115" s="63"/>
      <c r="C115" s="63"/>
      <c r="D115" s="64"/>
      <c r="E115" s="66"/>
      <c r="F115" s="103" t="str">
        <f>HYPERLINK("https://pbs.twimg.com/profile_images/1834380166/Reinaldo-Mostaza-Merlo_normal.jpg")</f>
        <v>https://pbs.twimg.com/profile_images/1834380166/Reinaldo-Mostaza-Merlo_normal.jpg</v>
      </c>
      <c r="G115" s="63"/>
      <c r="H115" s="67"/>
      <c r="I115" s="68"/>
      <c r="J115" s="68"/>
      <c r="K115" s="67" t="s">
        <v>14564</v>
      </c>
      <c r="L115" s="71"/>
      <c r="M115" s="72"/>
      <c r="N115" s="72"/>
      <c r="O115" s="73"/>
      <c r="P115" s="74"/>
      <c r="Q115" s="74"/>
      <c r="R115" s="87"/>
      <c r="S115" s="87"/>
      <c r="T115" s="87"/>
      <c r="U115" s="87"/>
      <c r="V115" s="48"/>
      <c r="W115" s="48"/>
      <c r="X115" s="48"/>
      <c r="Y115" s="48"/>
      <c r="Z115" s="47"/>
      <c r="AA115" s="69">
        <v>115</v>
      </c>
      <c r="AB115" s="69"/>
      <c r="AC115" s="70"/>
      <c r="AD115" s="76" t="s">
        <v>11859</v>
      </c>
      <c r="AE115" s="80" t="s">
        <v>12534</v>
      </c>
      <c r="AF115" s="76">
        <v>233</v>
      </c>
      <c r="AG115" s="76">
        <v>46</v>
      </c>
      <c r="AH115" s="76">
        <v>39</v>
      </c>
      <c r="AI115" s="76">
        <v>0</v>
      </c>
      <c r="AJ115" s="76">
        <v>0</v>
      </c>
      <c r="AK115" s="76">
        <v>0</v>
      </c>
      <c r="AL115" s="76" t="b">
        <v>0</v>
      </c>
      <c r="AM115" s="78">
        <v>40956.85837962963</v>
      </c>
      <c r="AN115" s="76"/>
      <c r="AO115" s="76" t="s">
        <v>13327</v>
      </c>
      <c r="AP115" s="76"/>
      <c r="AQ115" s="76"/>
      <c r="AR115" s="76"/>
      <c r="AS115" s="76"/>
      <c r="AT115" s="76"/>
      <c r="AU115" s="76"/>
      <c r="AV115" s="76"/>
      <c r="AW115" s="76"/>
      <c r="AX115" s="76" t="b">
        <v>0</v>
      </c>
      <c r="AY115" s="76"/>
      <c r="AZ115" s="76"/>
      <c r="BA115" s="76" t="b">
        <v>0</v>
      </c>
      <c r="BB115" s="76" t="b">
        <v>1</v>
      </c>
      <c r="BC115" s="76" t="b">
        <v>1</v>
      </c>
      <c r="BD115" s="76" t="b">
        <v>0</v>
      </c>
      <c r="BE115" s="76" t="b">
        <v>0</v>
      </c>
      <c r="BF115" s="76" t="b">
        <v>0</v>
      </c>
      <c r="BG115" s="76" t="b">
        <v>0</v>
      </c>
      <c r="BH115" s="76"/>
      <c r="BI115" s="76"/>
      <c r="BJ115" s="76" t="s">
        <v>14450</v>
      </c>
      <c r="BK115" s="76" t="b">
        <v>0</v>
      </c>
      <c r="BL115" s="76"/>
      <c r="BM115" s="76" t="s">
        <v>65</v>
      </c>
      <c r="BN115" s="76" t="s">
        <v>14452</v>
      </c>
      <c r="BO115" s="82" t="str">
        <f>HYPERLINK("https://twitter.com/mostazaok")</f>
        <v>https://twitter.com/mostazaok</v>
      </c>
      <c r="BP115" s="2"/>
    </row>
    <row r="116" spans="1:68" x14ac:dyDescent="0.25">
      <c r="A116" s="62" t="s">
        <v>316</v>
      </c>
      <c r="B116" s="63"/>
      <c r="C116" s="63"/>
      <c r="D116" s="64"/>
      <c r="E116" s="66"/>
      <c r="F116" s="103" t="str">
        <f>HYPERLINK("https://pbs.twimg.com/profile_images/792884935904333824/MPjRX60b_normal.jpg")</f>
        <v>https://pbs.twimg.com/profile_images/792884935904333824/MPjRX60b_normal.jpg</v>
      </c>
      <c r="G116" s="63"/>
      <c r="H116" s="67"/>
      <c r="I116" s="68"/>
      <c r="J116" s="68"/>
      <c r="K116" s="67" t="s">
        <v>14565</v>
      </c>
      <c r="L116" s="71"/>
      <c r="M116" s="72"/>
      <c r="N116" s="72"/>
      <c r="O116" s="73"/>
      <c r="P116" s="74"/>
      <c r="Q116" s="74"/>
      <c r="R116" s="87"/>
      <c r="S116" s="87"/>
      <c r="T116" s="87"/>
      <c r="U116" s="87"/>
      <c r="V116" s="48"/>
      <c r="W116" s="48"/>
      <c r="X116" s="48"/>
      <c r="Y116" s="48"/>
      <c r="Z116" s="47"/>
      <c r="AA116" s="69">
        <v>116</v>
      </c>
      <c r="AB116" s="69"/>
      <c r="AC116" s="70"/>
      <c r="AD116" s="76" t="s">
        <v>11860</v>
      </c>
      <c r="AE116" s="80" t="s">
        <v>12535</v>
      </c>
      <c r="AF116" s="76">
        <v>1142</v>
      </c>
      <c r="AG116" s="76">
        <v>295</v>
      </c>
      <c r="AH116" s="76">
        <v>55779</v>
      </c>
      <c r="AI116" s="76">
        <v>3</v>
      </c>
      <c r="AJ116" s="76">
        <v>1903</v>
      </c>
      <c r="AK116" s="76">
        <v>55532</v>
      </c>
      <c r="AL116" s="76" t="b">
        <v>0</v>
      </c>
      <c r="AM116" s="78">
        <v>39949.776238425926</v>
      </c>
      <c r="AN116" s="76" t="s">
        <v>12902</v>
      </c>
      <c r="AO116" s="76" t="s">
        <v>13328</v>
      </c>
      <c r="AP116" s="82" t="str">
        <f>HYPERLINK("https://t.co/9iv2FWi3tq")</f>
        <v>https://t.co/9iv2FWi3tq</v>
      </c>
      <c r="AQ116" s="82" t="str">
        <f>HYPERLINK("http://www.transdoc.com")</f>
        <v>http://www.transdoc.com</v>
      </c>
      <c r="AR116" s="76" t="s">
        <v>13974</v>
      </c>
      <c r="AS116" s="76"/>
      <c r="AT116" s="76"/>
      <c r="AU116" s="76"/>
      <c r="AV116" s="76"/>
      <c r="AW116" s="82" t="str">
        <f>HYPERLINK("https://t.co/9iv2FWi3tq")</f>
        <v>https://t.co/9iv2FWi3tq</v>
      </c>
      <c r="AX116" s="76" t="b">
        <v>0</v>
      </c>
      <c r="AY116" s="76"/>
      <c r="AZ116" s="76"/>
      <c r="BA116" s="76" t="b">
        <v>0</v>
      </c>
      <c r="BB116" s="76" t="b">
        <v>1</v>
      </c>
      <c r="BC116" s="76" t="b">
        <v>1</v>
      </c>
      <c r="BD116" s="76" t="b">
        <v>0</v>
      </c>
      <c r="BE116" s="76" t="b">
        <v>1</v>
      </c>
      <c r="BF116" s="76" t="b">
        <v>0</v>
      </c>
      <c r="BG116" s="76" t="b">
        <v>0</v>
      </c>
      <c r="BH116" s="82" t="str">
        <f>HYPERLINK("https://pbs.twimg.com/profile_banners/40516850/1477872466")</f>
        <v>https://pbs.twimg.com/profile_banners/40516850/1477872466</v>
      </c>
      <c r="BI116" s="76"/>
      <c r="BJ116" s="76" t="s">
        <v>14450</v>
      </c>
      <c r="BK116" s="76" t="b">
        <v>0</v>
      </c>
      <c r="BL116" s="76"/>
      <c r="BM116" s="76" t="s">
        <v>66</v>
      </c>
      <c r="BN116" s="76" t="s">
        <v>14452</v>
      </c>
      <c r="BO116" s="82" t="str">
        <f>HYPERLINK("https://twitter.com/transdoctrabajo")</f>
        <v>https://twitter.com/transdoctrabajo</v>
      </c>
      <c r="BP116" s="2"/>
    </row>
    <row r="117" spans="1:68" x14ac:dyDescent="0.25">
      <c r="A117" s="62" t="s">
        <v>317</v>
      </c>
      <c r="B117" s="63"/>
      <c r="C117" s="63"/>
      <c r="D117" s="64"/>
      <c r="E117" s="66"/>
      <c r="F117" s="103" t="str">
        <f>HYPERLINK("https://pbs.twimg.com/profile_images/1612940916150394892/8vihF-AC_normal.jpg")</f>
        <v>https://pbs.twimg.com/profile_images/1612940916150394892/8vihF-AC_normal.jpg</v>
      </c>
      <c r="G117" s="63"/>
      <c r="H117" s="67"/>
      <c r="I117" s="68"/>
      <c r="J117" s="68"/>
      <c r="K117" s="67" t="s">
        <v>14566</v>
      </c>
      <c r="L117" s="71"/>
      <c r="M117" s="72"/>
      <c r="N117" s="72"/>
      <c r="O117" s="73"/>
      <c r="P117" s="74"/>
      <c r="Q117" s="74"/>
      <c r="R117" s="87"/>
      <c r="S117" s="87"/>
      <c r="T117" s="87"/>
      <c r="U117" s="87"/>
      <c r="V117" s="48"/>
      <c r="W117" s="48"/>
      <c r="X117" s="48"/>
      <c r="Y117" s="48"/>
      <c r="Z117" s="47"/>
      <c r="AA117" s="69">
        <v>117</v>
      </c>
      <c r="AB117" s="69"/>
      <c r="AC117" s="70"/>
      <c r="AD117" s="76" t="s">
        <v>11861</v>
      </c>
      <c r="AE117" s="80" t="s">
        <v>11447</v>
      </c>
      <c r="AF117" s="76">
        <v>0</v>
      </c>
      <c r="AG117" s="76">
        <v>72</v>
      </c>
      <c r="AH117" s="76">
        <v>29</v>
      </c>
      <c r="AI117" s="76">
        <v>0</v>
      </c>
      <c r="AJ117" s="76">
        <v>55</v>
      </c>
      <c r="AK117" s="76">
        <v>0</v>
      </c>
      <c r="AL117" s="76" t="b">
        <v>0</v>
      </c>
      <c r="AM117" s="78">
        <v>44936.92114583333</v>
      </c>
      <c r="AN117" s="76"/>
      <c r="AO117" s="76"/>
      <c r="AP117" s="76"/>
      <c r="AQ117" s="76"/>
      <c r="AR117" s="76"/>
      <c r="AS117" s="76"/>
      <c r="AT117" s="76"/>
      <c r="AU117" s="76"/>
      <c r="AV117" s="76"/>
      <c r="AW117" s="76"/>
      <c r="AX117" s="76" t="b">
        <v>0</v>
      </c>
      <c r="AY117" s="76"/>
      <c r="AZ117" s="76"/>
      <c r="BA117" s="76" t="b">
        <v>0</v>
      </c>
      <c r="BB117" s="76" t="b">
        <v>1</v>
      </c>
      <c r="BC117" s="76" t="b">
        <v>1</v>
      </c>
      <c r="BD117" s="76" t="b">
        <v>0</v>
      </c>
      <c r="BE117" s="76" t="b">
        <v>0</v>
      </c>
      <c r="BF117" s="76" t="b">
        <v>0</v>
      </c>
      <c r="BG117" s="76" t="b">
        <v>0</v>
      </c>
      <c r="BH117" s="76"/>
      <c r="BI117" s="76"/>
      <c r="BJ117" s="76" t="s">
        <v>14450</v>
      </c>
      <c r="BK117" s="76" t="b">
        <v>0</v>
      </c>
      <c r="BL117" s="76"/>
      <c r="BM117" s="76" t="s">
        <v>66</v>
      </c>
      <c r="BN117" s="76" t="s">
        <v>14452</v>
      </c>
      <c r="BO117" s="82" t="str">
        <f>HYPERLINK("https://twitter.com/azojca")</f>
        <v>https://twitter.com/azojca</v>
      </c>
      <c r="BP117" s="2"/>
    </row>
    <row r="118" spans="1:68" x14ac:dyDescent="0.25">
      <c r="A118" s="62" t="s">
        <v>318</v>
      </c>
      <c r="B118" s="63"/>
      <c r="C118" s="63"/>
      <c r="D118" s="64"/>
      <c r="E118" s="66"/>
      <c r="F118" s="103" t="str">
        <f>HYPERLINK("https://pbs.twimg.com/profile_images/1483886797088346122/ZqtSmkxK_normal.jpg")</f>
        <v>https://pbs.twimg.com/profile_images/1483886797088346122/ZqtSmkxK_normal.jpg</v>
      </c>
      <c r="G118" s="63"/>
      <c r="H118" s="67"/>
      <c r="I118" s="68"/>
      <c r="J118" s="68"/>
      <c r="K118" s="67" t="s">
        <v>14567</v>
      </c>
      <c r="L118" s="71"/>
      <c r="M118" s="72"/>
      <c r="N118" s="72"/>
      <c r="O118" s="73"/>
      <c r="P118" s="74"/>
      <c r="Q118" s="74"/>
      <c r="R118" s="87"/>
      <c r="S118" s="87"/>
      <c r="T118" s="87"/>
      <c r="U118" s="87"/>
      <c r="V118" s="48"/>
      <c r="W118" s="48"/>
      <c r="X118" s="48"/>
      <c r="Y118" s="48"/>
      <c r="Z118" s="47"/>
      <c r="AA118" s="69">
        <v>118</v>
      </c>
      <c r="AB118" s="69"/>
      <c r="AC118" s="70"/>
      <c r="AD118" s="76" t="s">
        <v>11862</v>
      </c>
      <c r="AE118" s="80" t="s">
        <v>11448</v>
      </c>
      <c r="AF118" s="76">
        <v>26</v>
      </c>
      <c r="AG118" s="76">
        <v>212</v>
      </c>
      <c r="AH118" s="76">
        <v>509</v>
      </c>
      <c r="AI118" s="76">
        <v>1</v>
      </c>
      <c r="AJ118" s="76">
        <v>74</v>
      </c>
      <c r="AK118" s="76">
        <v>428</v>
      </c>
      <c r="AL118" s="76" t="b">
        <v>0</v>
      </c>
      <c r="AM118" s="78">
        <v>44216.907881944448</v>
      </c>
      <c r="AN118" s="76" t="s">
        <v>12932</v>
      </c>
      <c r="AO118" s="76" t="s">
        <v>13329</v>
      </c>
      <c r="AP118" s="82" t="str">
        <f>HYPERLINK("https://t.co/0W3nGjxY4A")</f>
        <v>https://t.co/0W3nGjxY4A</v>
      </c>
      <c r="AQ118" s="82" t="str">
        <f>HYPERLINK("http://erpsol.com.mx")</f>
        <v>http://erpsol.com.mx</v>
      </c>
      <c r="AR118" s="76" t="s">
        <v>13975</v>
      </c>
      <c r="AS118" s="76"/>
      <c r="AT118" s="76"/>
      <c r="AU118" s="76"/>
      <c r="AV118" s="76">
        <v>1.69657119400128E+18</v>
      </c>
      <c r="AW118" s="82" t="str">
        <f>HYPERLINK("https://t.co/0W3nGjxY4A")</f>
        <v>https://t.co/0W3nGjxY4A</v>
      </c>
      <c r="AX118" s="76" t="b">
        <v>0</v>
      </c>
      <c r="AY118" s="76"/>
      <c r="AZ118" s="76"/>
      <c r="BA118" s="76" t="b">
        <v>0</v>
      </c>
      <c r="BB118" s="76" t="b">
        <v>1</v>
      </c>
      <c r="BC118" s="76" t="b">
        <v>1</v>
      </c>
      <c r="BD118" s="76" t="b">
        <v>0</v>
      </c>
      <c r="BE118" s="76" t="b">
        <v>0</v>
      </c>
      <c r="BF118" s="76" t="b">
        <v>0</v>
      </c>
      <c r="BG118" s="76" t="b">
        <v>0</v>
      </c>
      <c r="BH118" s="82" t="str">
        <f>HYPERLINK("https://pbs.twimg.com/profile_banners/1352009744387551233/1642619856")</f>
        <v>https://pbs.twimg.com/profile_banners/1352009744387551233/1642619856</v>
      </c>
      <c r="BI118" s="76"/>
      <c r="BJ118" s="76" t="s">
        <v>14450</v>
      </c>
      <c r="BK118" s="76" t="b">
        <v>0</v>
      </c>
      <c r="BL118" s="76"/>
      <c r="BM118" s="76" t="s">
        <v>66</v>
      </c>
      <c r="BN118" s="76" t="s">
        <v>14452</v>
      </c>
      <c r="BO118" s="82" t="str">
        <f>HYPERLINK("https://twitter.com/erpsolmex")</f>
        <v>https://twitter.com/erpsolmex</v>
      </c>
      <c r="BP118" s="2"/>
    </row>
    <row r="119" spans="1:68" x14ac:dyDescent="0.25">
      <c r="A119" s="62" t="s">
        <v>319</v>
      </c>
      <c r="B119" s="63"/>
      <c r="C119" s="63"/>
      <c r="D119" s="64"/>
      <c r="E119" s="66"/>
      <c r="F119" s="103" t="str">
        <f>HYPERLINK("https://pbs.twimg.com/profile_images/1098680335989129217/hq2QDm1g_normal.jpg")</f>
        <v>https://pbs.twimg.com/profile_images/1098680335989129217/hq2QDm1g_normal.jpg</v>
      </c>
      <c r="G119" s="63"/>
      <c r="H119" s="67"/>
      <c r="I119" s="68"/>
      <c r="J119" s="68"/>
      <c r="K119" s="67" t="s">
        <v>14568</v>
      </c>
      <c r="L119" s="71"/>
      <c r="M119" s="72"/>
      <c r="N119" s="72"/>
      <c r="O119" s="73"/>
      <c r="P119" s="74"/>
      <c r="Q119" s="74"/>
      <c r="R119" s="87"/>
      <c r="S119" s="87"/>
      <c r="T119" s="87"/>
      <c r="U119" s="87"/>
      <c r="V119" s="48"/>
      <c r="W119" s="48"/>
      <c r="X119" s="48"/>
      <c r="Y119" s="48"/>
      <c r="Z119" s="47"/>
      <c r="AA119" s="69">
        <v>119</v>
      </c>
      <c r="AB119" s="69"/>
      <c r="AC119" s="70"/>
      <c r="AD119" s="76" t="s">
        <v>11863</v>
      </c>
      <c r="AE119" s="80" t="s">
        <v>11449</v>
      </c>
      <c r="AF119" s="76">
        <v>122</v>
      </c>
      <c r="AG119" s="76">
        <v>122</v>
      </c>
      <c r="AH119" s="76">
        <v>1484</v>
      </c>
      <c r="AI119" s="76">
        <v>1</v>
      </c>
      <c r="AJ119" s="76">
        <v>2101</v>
      </c>
      <c r="AK119" s="76">
        <v>62</v>
      </c>
      <c r="AL119" s="76" t="b">
        <v>0</v>
      </c>
      <c r="AM119" s="78">
        <v>43400.675694444442</v>
      </c>
      <c r="AN119" s="76" t="s">
        <v>12933</v>
      </c>
      <c r="AO119" s="76"/>
      <c r="AP119" s="76"/>
      <c r="AQ119" s="76"/>
      <c r="AR119" s="76"/>
      <c r="AS119" s="76"/>
      <c r="AT119" s="76"/>
      <c r="AU119" s="76"/>
      <c r="AV119" s="76"/>
      <c r="AW119" s="76"/>
      <c r="AX119" s="76" t="b">
        <v>0</v>
      </c>
      <c r="AY119" s="76"/>
      <c r="AZ119" s="76"/>
      <c r="BA119" s="76" t="b">
        <v>0</v>
      </c>
      <c r="BB119" s="76" t="b">
        <v>0</v>
      </c>
      <c r="BC119" s="76" t="b">
        <v>1</v>
      </c>
      <c r="BD119" s="76" t="b">
        <v>0</v>
      </c>
      <c r="BE119" s="76" t="b">
        <v>1</v>
      </c>
      <c r="BF119" s="76" t="b">
        <v>0</v>
      </c>
      <c r="BG119" s="76" t="b">
        <v>0</v>
      </c>
      <c r="BH119" s="76"/>
      <c r="BI119" s="76"/>
      <c r="BJ119" s="76" t="s">
        <v>14450</v>
      </c>
      <c r="BK119" s="76" t="b">
        <v>0</v>
      </c>
      <c r="BL119" s="76"/>
      <c r="BM119" s="76" t="s">
        <v>66</v>
      </c>
      <c r="BN119" s="76" t="s">
        <v>14452</v>
      </c>
      <c r="BO119" s="82" t="str">
        <f>HYPERLINK("https://twitter.com/mercedesnuru")</f>
        <v>https://twitter.com/mercedesnuru</v>
      </c>
      <c r="BP119" s="2"/>
    </row>
    <row r="120" spans="1:68" x14ac:dyDescent="0.25">
      <c r="A120" s="62" t="s">
        <v>320</v>
      </c>
      <c r="B120" s="63"/>
      <c r="C120" s="63"/>
      <c r="D120" s="64"/>
      <c r="E120" s="66"/>
      <c r="F120" s="103" t="str">
        <f>HYPERLINK("https://pbs.twimg.com/profile_images/1686062775133487110/dIaslz74_normal.jpg")</f>
        <v>https://pbs.twimg.com/profile_images/1686062775133487110/dIaslz74_normal.jpg</v>
      </c>
      <c r="G120" s="63"/>
      <c r="H120" s="67"/>
      <c r="I120" s="68"/>
      <c r="J120" s="68"/>
      <c r="K120" s="67" t="s">
        <v>14569</v>
      </c>
      <c r="L120" s="71"/>
      <c r="M120" s="72"/>
      <c r="N120" s="72"/>
      <c r="O120" s="73"/>
      <c r="P120" s="74"/>
      <c r="Q120" s="74"/>
      <c r="R120" s="87"/>
      <c r="S120" s="87"/>
      <c r="T120" s="87"/>
      <c r="U120" s="87"/>
      <c r="V120" s="48"/>
      <c r="W120" s="48"/>
      <c r="X120" s="48"/>
      <c r="Y120" s="48"/>
      <c r="Z120" s="47"/>
      <c r="AA120" s="69">
        <v>120</v>
      </c>
      <c r="AB120" s="69"/>
      <c r="AC120" s="70"/>
      <c r="AD120" s="76" t="s">
        <v>11864</v>
      </c>
      <c r="AE120" s="80" t="s">
        <v>11450</v>
      </c>
      <c r="AF120" s="76">
        <v>11</v>
      </c>
      <c r="AG120" s="76">
        <v>27</v>
      </c>
      <c r="AH120" s="76">
        <v>71</v>
      </c>
      <c r="AI120" s="76">
        <v>0</v>
      </c>
      <c r="AJ120" s="76">
        <v>78</v>
      </c>
      <c r="AK120" s="76">
        <v>24</v>
      </c>
      <c r="AL120" s="76" t="b">
        <v>0</v>
      </c>
      <c r="AM120" s="78">
        <v>43550.766516203701</v>
      </c>
      <c r="AN120" s="76" t="s">
        <v>12934</v>
      </c>
      <c r="AO120" s="76" t="s">
        <v>13330</v>
      </c>
      <c r="AP120" s="82" t="str">
        <f>HYPERLINK("https://t.co/YJ2ohH7mAA")</f>
        <v>https://t.co/YJ2ohH7mAA</v>
      </c>
      <c r="AQ120" s="82" t="str">
        <f>HYPERLINK("http://www.frameticket.com.br")</f>
        <v>http://www.frameticket.com.br</v>
      </c>
      <c r="AR120" s="76" t="s">
        <v>13976</v>
      </c>
      <c r="AS120" s="76"/>
      <c r="AT120" s="76"/>
      <c r="AU120" s="76"/>
      <c r="AV120" s="76"/>
      <c r="AW120" s="82" t="str">
        <f>HYPERLINK("https://t.co/YJ2ohH7mAA")</f>
        <v>https://t.co/YJ2ohH7mAA</v>
      </c>
      <c r="AX120" s="76" t="b">
        <v>0</v>
      </c>
      <c r="AY120" s="76"/>
      <c r="AZ120" s="76"/>
      <c r="BA120" s="76" t="b">
        <v>0</v>
      </c>
      <c r="BB120" s="76" t="b">
        <v>1</v>
      </c>
      <c r="BC120" s="76" t="b">
        <v>0</v>
      </c>
      <c r="BD120" s="76" t="b">
        <v>0</v>
      </c>
      <c r="BE120" s="76" t="b">
        <v>0</v>
      </c>
      <c r="BF120" s="76" t="b">
        <v>0</v>
      </c>
      <c r="BG120" s="76" t="b">
        <v>0</v>
      </c>
      <c r="BH120" s="82" t="str">
        <f>HYPERLINK("https://pbs.twimg.com/profile_banners/1110608299152551937/1690823667")</f>
        <v>https://pbs.twimg.com/profile_banners/1110608299152551937/1690823667</v>
      </c>
      <c r="BI120" s="76"/>
      <c r="BJ120" s="76" t="s">
        <v>14450</v>
      </c>
      <c r="BK120" s="76" t="b">
        <v>0</v>
      </c>
      <c r="BL120" s="76"/>
      <c r="BM120" s="76" t="s">
        <v>66</v>
      </c>
      <c r="BN120" s="76" t="s">
        <v>14452</v>
      </c>
      <c r="BO120" s="82" t="str">
        <f>HYPERLINK("https://twitter.com/frameticket")</f>
        <v>https://twitter.com/frameticket</v>
      </c>
      <c r="BP120" s="2"/>
    </row>
    <row r="121" spans="1:68" x14ac:dyDescent="0.25">
      <c r="A121" s="62" t="s">
        <v>321</v>
      </c>
      <c r="B121" s="63"/>
      <c r="C121" s="63"/>
      <c r="D121" s="64"/>
      <c r="E121" s="66"/>
      <c r="F121" s="103" t="str">
        <f>HYPERLINK("https://pbs.twimg.com/profile_images/1606408146922217494/vuMZbFbZ_normal.jpg")</f>
        <v>https://pbs.twimg.com/profile_images/1606408146922217494/vuMZbFbZ_normal.jpg</v>
      </c>
      <c r="G121" s="63"/>
      <c r="H121" s="67"/>
      <c r="I121" s="68"/>
      <c r="J121" s="68"/>
      <c r="K121" s="67" t="s">
        <v>14570</v>
      </c>
      <c r="L121" s="71"/>
      <c r="M121" s="72"/>
      <c r="N121" s="72"/>
      <c r="O121" s="73"/>
      <c r="P121" s="74"/>
      <c r="Q121" s="74"/>
      <c r="R121" s="87"/>
      <c r="S121" s="87"/>
      <c r="T121" s="87"/>
      <c r="U121" s="87"/>
      <c r="V121" s="48"/>
      <c r="W121" s="48"/>
      <c r="X121" s="48"/>
      <c r="Y121" s="48"/>
      <c r="Z121" s="47"/>
      <c r="AA121" s="69">
        <v>121</v>
      </c>
      <c r="AB121" s="69"/>
      <c r="AC121" s="70"/>
      <c r="AD121" s="76" t="s">
        <v>11865</v>
      </c>
      <c r="AE121" s="80" t="s">
        <v>11451</v>
      </c>
      <c r="AF121" s="76">
        <v>21</v>
      </c>
      <c r="AG121" s="76">
        <v>170</v>
      </c>
      <c r="AH121" s="76">
        <v>467</v>
      </c>
      <c r="AI121" s="76">
        <v>0</v>
      </c>
      <c r="AJ121" s="76">
        <v>2</v>
      </c>
      <c r="AK121" s="76">
        <v>464</v>
      </c>
      <c r="AL121" s="76" t="b">
        <v>0</v>
      </c>
      <c r="AM121" s="78">
        <v>42809.957465277781</v>
      </c>
      <c r="AN121" s="76" t="s">
        <v>12935</v>
      </c>
      <c r="AO121" s="76" t="s">
        <v>13331</v>
      </c>
      <c r="AP121" s="76"/>
      <c r="AQ121" s="76"/>
      <c r="AR121" s="76"/>
      <c r="AS121" s="76"/>
      <c r="AT121" s="76"/>
      <c r="AU121" s="76"/>
      <c r="AV121" s="76"/>
      <c r="AW121" s="76"/>
      <c r="AX121" s="76" t="b">
        <v>0</v>
      </c>
      <c r="AY121" s="76"/>
      <c r="AZ121" s="76"/>
      <c r="BA121" s="76" t="b">
        <v>0</v>
      </c>
      <c r="BB121" s="76" t="b">
        <v>1</v>
      </c>
      <c r="BC121" s="76" t="b">
        <v>0</v>
      </c>
      <c r="BD121" s="76" t="b">
        <v>0</v>
      </c>
      <c r="BE121" s="76" t="b">
        <v>0</v>
      </c>
      <c r="BF121" s="76" t="b">
        <v>0</v>
      </c>
      <c r="BG121" s="76" t="b">
        <v>0</v>
      </c>
      <c r="BH121" s="82" t="str">
        <f>HYPERLINK("https://pbs.twimg.com/profile_banners/842148090131955714/1619826393")</f>
        <v>https://pbs.twimg.com/profile_banners/842148090131955714/1619826393</v>
      </c>
      <c r="BI121" s="76"/>
      <c r="BJ121" s="76" t="s">
        <v>14450</v>
      </c>
      <c r="BK121" s="76" t="b">
        <v>0</v>
      </c>
      <c r="BL121" s="76"/>
      <c r="BM121" s="76" t="s">
        <v>66</v>
      </c>
      <c r="BN121" s="76" t="s">
        <v>14452</v>
      </c>
      <c r="BO121" s="82" t="str">
        <f>HYPERLINK("https://twitter.com/calzatodos")</f>
        <v>https://twitter.com/calzatodos</v>
      </c>
      <c r="BP121" s="2"/>
    </row>
    <row r="122" spans="1:68" x14ac:dyDescent="0.25">
      <c r="A122" s="62" t="s">
        <v>322</v>
      </c>
      <c r="B122" s="63"/>
      <c r="C122" s="63"/>
      <c r="D122" s="64"/>
      <c r="E122" s="66"/>
      <c r="F122" s="103" t="str">
        <f>HYPERLINK("https://pbs.twimg.com/profile_images/1516561709263200256/StJe-hp2_normal.jpg")</f>
        <v>https://pbs.twimg.com/profile_images/1516561709263200256/StJe-hp2_normal.jpg</v>
      </c>
      <c r="G122" s="63"/>
      <c r="H122" s="67"/>
      <c r="I122" s="68"/>
      <c r="J122" s="68"/>
      <c r="K122" s="67" t="s">
        <v>14571</v>
      </c>
      <c r="L122" s="71"/>
      <c r="M122" s="72"/>
      <c r="N122" s="72"/>
      <c r="O122" s="73"/>
      <c r="P122" s="74"/>
      <c r="Q122" s="74"/>
      <c r="R122" s="87"/>
      <c r="S122" s="87"/>
      <c r="T122" s="87"/>
      <c r="U122" s="87"/>
      <c r="V122" s="48"/>
      <c r="W122" s="48"/>
      <c r="X122" s="48"/>
      <c r="Y122" s="48"/>
      <c r="Z122" s="47"/>
      <c r="AA122" s="69">
        <v>122</v>
      </c>
      <c r="AB122" s="69"/>
      <c r="AC122" s="70"/>
      <c r="AD122" s="76" t="s">
        <v>11866</v>
      </c>
      <c r="AE122" s="80" t="s">
        <v>11325</v>
      </c>
      <c r="AF122" s="76">
        <v>262</v>
      </c>
      <c r="AG122" s="76">
        <v>228</v>
      </c>
      <c r="AH122" s="76">
        <v>1137</v>
      </c>
      <c r="AI122" s="76">
        <v>0</v>
      </c>
      <c r="AJ122" s="76">
        <v>3053</v>
      </c>
      <c r="AK122" s="76">
        <v>302</v>
      </c>
      <c r="AL122" s="76" t="b">
        <v>0</v>
      </c>
      <c r="AM122" s="78">
        <v>43873.98505787037</v>
      </c>
      <c r="AN122" s="76" t="s">
        <v>12936</v>
      </c>
      <c r="AO122" s="76" t="s">
        <v>13332</v>
      </c>
      <c r="AP122" s="82" t="str">
        <f>HYPERLINK("https://t.co/aM7mgUssYw")</f>
        <v>https://t.co/aM7mgUssYw</v>
      </c>
      <c r="AQ122" s="82" t="str">
        <f>HYPERLINK("https://linktr.ee/destino_em_maos")</f>
        <v>https://linktr.ee/destino_em_maos</v>
      </c>
      <c r="AR122" s="76" t="s">
        <v>13977</v>
      </c>
      <c r="AS122" s="76"/>
      <c r="AT122" s="76"/>
      <c r="AU122" s="76"/>
      <c r="AV122" s="76">
        <v>1.6241957113896399E+18</v>
      </c>
      <c r="AW122" s="82" t="str">
        <f>HYPERLINK("https://t.co/aM7mgUssYw")</f>
        <v>https://t.co/aM7mgUssYw</v>
      </c>
      <c r="AX122" s="76" t="b">
        <v>0</v>
      </c>
      <c r="AY122" s="76"/>
      <c r="AZ122" s="76"/>
      <c r="BA122" s="76" t="b">
        <v>1</v>
      </c>
      <c r="BB122" s="76" t="b">
        <v>1</v>
      </c>
      <c r="BC122" s="76" t="b">
        <v>1</v>
      </c>
      <c r="BD122" s="76" t="b">
        <v>0</v>
      </c>
      <c r="BE122" s="76" t="b">
        <v>1</v>
      </c>
      <c r="BF122" s="76" t="b">
        <v>0</v>
      </c>
      <c r="BG122" s="76" t="b">
        <v>0</v>
      </c>
      <c r="BH122" s="82" t="str">
        <f>HYPERLINK("https://pbs.twimg.com/profile_banners/1227738744868032515/1650411191")</f>
        <v>https://pbs.twimg.com/profile_banners/1227738744868032515/1650411191</v>
      </c>
      <c r="BI122" s="76"/>
      <c r="BJ122" s="76" t="s">
        <v>14450</v>
      </c>
      <c r="BK122" s="76" t="b">
        <v>0</v>
      </c>
      <c r="BL122" s="76"/>
      <c r="BM122" s="76" t="s">
        <v>66</v>
      </c>
      <c r="BN122" s="76" t="s">
        <v>14452</v>
      </c>
      <c r="BO122" s="82" t="str">
        <f>HYPERLINK("https://twitter.com/destino_em_maos")</f>
        <v>https://twitter.com/destino_em_maos</v>
      </c>
      <c r="BP122" s="2"/>
    </row>
    <row r="123" spans="1:68" x14ac:dyDescent="0.25">
      <c r="A123" s="62" t="s">
        <v>323</v>
      </c>
      <c r="B123" s="63"/>
      <c r="C123" s="63"/>
      <c r="D123" s="64"/>
      <c r="E123" s="66"/>
      <c r="F123" s="103" t="str">
        <f>HYPERLINK("https://pbs.twimg.com/profile_images/1660602418650914816/AhqTqXtm_normal.jpg")</f>
        <v>https://pbs.twimg.com/profile_images/1660602418650914816/AhqTqXtm_normal.jpg</v>
      </c>
      <c r="G123" s="63"/>
      <c r="H123" s="67"/>
      <c r="I123" s="68"/>
      <c r="J123" s="68"/>
      <c r="K123" s="67" t="s">
        <v>14572</v>
      </c>
      <c r="L123" s="71"/>
      <c r="M123" s="72"/>
      <c r="N123" s="72"/>
      <c r="O123" s="73"/>
      <c r="P123" s="74"/>
      <c r="Q123" s="74"/>
      <c r="R123" s="87"/>
      <c r="S123" s="87"/>
      <c r="T123" s="87"/>
      <c r="U123" s="87"/>
      <c r="V123" s="48"/>
      <c r="W123" s="48"/>
      <c r="X123" s="48"/>
      <c r="Y123" s="48"/>
      <c r="Z123" s="47"/>
      <c r="AA123" s="69">
        <v>123</v>
      </c>
      <c r="AB123" s="69"/>
      <c r="AC123" s="70"/>
      <c r="AD123" s="76" t="s">
        <v>11867</v>
      </c>
      <c r="AE123" s="80" t="s">
        <v>11452</v>
      </c>
      <c r="AF123" s="76">
        <v>35</v>
      </c>
      <c r="AG123" s="76">
        <v>51</v>
      </c>
      <c r="AH123" s="76">
        <v>99</v>
      </c>
      <c r="AI123" s="76">
        <v>0</v>
      </c>
      <c r="AJ123" s="76">
        <v>19</v>
      </c>
      <c r="AK123" s="76">
        <v>71</v>
      </c>
      <c r="AL123" s="76" t="b">
        <v>0</v>
      </c>
      <c r="AM123" s="78">
        <v>45068.459120370368</v>
      </c>
      <c r="AN123" s="76" t="s">
        <v>7873</v>
      </c>
      <c r="AO123" s="76" t="s">
        <v>13333</v>
      </c>
      <c r="AP123" s="82" t="str">
        <f>HYPERLINK("https://t.co/iXOhxJt9Jd")</f>
        <v>https://t.co/iXOhxJt9Jd</v>
      </c>
      <c r="AQ123" s="82" t="str">
        <f>HYPERLINK("https://www.masenweb.com/")</f>
        <v>https://www.masenweb.com/</v>
      </c>
      <c r="AR123" s="76" t="s">
        <v>4239</v>
      </c>
      <c r="AS123" s="76"/>
      <c r="AT123" s="76"/>
      <c r="AU123" s="76"/>
      <c r="AV123" s="76"/>
      <c r="AW123" s="82" t="str">
        <f>HYPERLINK("https://t.co/iXOhxJt9Jd")</f>
        <v>https://t.co/iXOhxJt9Jd</v>
      </c>
      <c r="AX123" s="76" t="b">
        <v>0</v>
      </c>
      <c r="AY123" s="76"/>
      <c r="AZ123" s="76"/>
      <c r="BA123" s="76" t="b">
        <v>0</v>
      </c>
      <c r="BB123" s="76" t="b">
        <v>1</v>
      </c>
      <c r="BC123" s="76" t="b">
        <v>1</v>
      </c>
      <c r="BD123" s="76" t="b">
        <v>0</v>
      </c>
      <c r="BE123" s="76" t="b">
        <v>0</v>
      </c>
      <c r="BF123" s="76" t="b">
        <v>0</v>
      </c>
      <c r="BG123" s="76" t="b">
        <v>0</v>
      </c>
      <c r="BH123" s="82" t="str">
        <f>HYPERLINK("https://pbs.twimg.com/profile_banners/1660601505810989058/1687277948")</f>
        <v>https://pbs.twimg.com/profile_banners/1660601505810989058/1687277948</v>
      </c>
      <c r="BI123" s="76"/>
      <c r="BJ123" s="76" t="s">
        <v>14450</v>
      </c>
      <c r="BK123" s="76" t="b">
        <v>0</v>
      </c>
      <c r="BL123" s="76"/>
      <c r="BM123" s="76" t="s">
        <v>66</v>
      </c>
      <c r="BN123" s="76" t="s">
        <v>14452</v>
      </c>
      <c r="BO123" s="82" t="str">
        <f>HYPERLINK("https://twitter.com/maround_sports")</f>
        <v>https://twitter.com/maround_sports</v>
      </c>
      <c r="BP123" s="2"/>
    </row>
    <row r="124" spans="1:68" x14ac:dyDescent="0.25">
      <c r="A124" s="62" t="s">
        <v>887</v>
      </c>
      <c r="B124" s="63"/>
      <c r="C124" s="63"/>
      <c r="D124" s="64"/>
      <c r="E124" s="66"/>
      <c r="F124" s="103" t="str">
        <f>HYPERLINK("https://pbs.twimg.com/profile_images/973314174486016000/nvqg43sa_normal.jpg")</f>
        <v>https://pbs.twimg.com/profile_images/973314174486016000/nvqg43sa_normal.jpg</v>
      </c>
      <c r="G124" s="63"/>
      <c r="H124" s="67"/>
      <c r="I124" s="68"/>
      <c r="J124" s="68"/>
      <c r="K124" s="67" t="s">
        <v>14573</v>
      </c>
      <c r="L124" s="71"/>
      <c r="M124" s="72"/>
      <c r="N124" s="72"/>
      <c r="O124" s="73"/>
      <c r="P124" s="74"/>
      <c r="Q124" s="74"/>
      <c r="R124" s="87"/>
      <c r="S124" s="87"/>
      <c r="T124" s="87"/>
      <c r="U124" s="87"/>
      <c r="V124" s="48"/>
      <c r="W124" s="48"/>
      <c r="X124" s="48"/>
      <c r="Y124" s="48"/>
      <c r="Z124" s="47"/>
      <c r="AA124" s="69">
        <v>124</v>
      </c>
      <c r="AB124" s="69"/>
      <c r="AC124" s="70"/>
      <c r="AD124" s="76" t="s">
        <v>11868</v>
      </c>
      <c r="AE124" s="80" t="s">
        <v>12536</v>
      </c>
      <c r="AF124" s="76">
        <v>1099</v>
      </c>
      <c r="AG124" s="76">
        <v>273</v>
      </c>
      <c r="AH124" s="76">
        <v>5669</v>
      </c>
      <c r="AI124" s="76">
        <v>29</v>
      </c>
      <c r="AJ124" s="76">
        <v>3279</v>
      </c>
      <c r="AK124" s="76">
        <v>604</v>
      </c>
      <c r="AL124" s="76" t="b">
        <v>0</v>
      </c>
      <c r="AM124" s="78">
        <v>40410.488854166666</v>
      </c>
      <c r="AN124" s="76"/>
      <c r="AO124" s="76"/>
      <c r="AP124" s="76"/>
      <c r="AQ124" s="76"/>
      <c r="AR124" s="76"/>
      <c r="AS124" s="76"/>
      <c r="AT124" s="76"/>
      <c r="AU124" s="76"/>
      <c r="AV124" s="76"/>
      <c r="AW124" s="76"/>
      <c r="AX124" s="76" t="b">
        <v>0</v>
      </c>
      <c r="AY124" s="76"/>
      <c r="AZ124" s="76"/>
      <c r="BA124" s="76" t="b">
        <v>0</v>
      </c>
      <c r="BB124" s="76" t="b">
        <v>1</v>
      </c>
      <c r="BC124" s="76" t="b">
        <v>1</v>
      </c>
      <c r="BD124" s="76" t="b">
        <v>0</v>
      </c>
      <c r="BE124" s="76" t="b">
        <v>1</v>
      </c>
      <c r="BF124" s="76" t="b">
        <v>0</v>
      </c>
      <c r="BG124" s="76" t="b">
        <v>0</v>
      </c>
      <c r="BH124" s="82" t="str">
        <f>HYPERLINK("https://pbs.twimg.com/profile_banners/180753979/1506331009")</f>
        <v>https://pbs.twimg.com/profile_banners/180753979/1506331009</v>
      </c>
      <c r="BI124" s="76"/>
      <c r="BJ124" s="76" t="s">
        <v>14450</v>
      </c>
      <c r="BK124" s="76" t="b">
        <v>0</v>
      </c>
      <c r="BL124" s="76"/>
      <c r="BM124" s="76" t="s">
        <v>65</v>
      </c>
      <c r="BN124" s="76" t="s">
        <v>14452</v>
      </c>
      <c r="BO124" s="82" t="str">
        <f>HYPERLINK("https://twitter.com/angelesantiago")</f>
        <v>https://twitter.com/angelesantiago</v>
      </c>
      <c r="BP124" s="2"/>
    </row>
    <row r="125" spans="1:68" x14ac:dyDescent="0.25">
      <c r="A125" s="62" t="s">
        <v>324</v>
      </c>
      <c r="B125" s="63"/>
      <c r="C125" s="63"/>
      <c r="D125" s="64"/>
      <c r="E125" s="66"/>
      <c r="F125" s="103" t="str">
        <f>HYPERLINK("https://pbs.twimg.com/profile_images/1585760065390350339/mhdhECu5_normal.jpg")</f>
        <v>https://pbs.twimg.com/profile_images/1585760065390350339/mhdhECu5_normal.jpg</v>
      </c>
      <c r="G125" s="63"/>
      <c r="H125" s="67"/>
      <c r="I125" s="68"/>
      <c r="J125" s="68"/>
      <c r="K125" s="67" t="s">
        <v>14574</v>
      </c>
      <c r="L125" s="71"/>
      <c r="M125" s="72"/>
      <c r="N125" s="72"/>
      <c r="O125" s="73"/>
      <c r="P125" s="74"/>
      <c r="Q125" s="74"/>
      <c r="R125" s="87"/>
      <c r="S125" s="87"/>
      <c r="T125" s="87"/>
      <c r="U125" s="87"/>
      <c r="V125" s="48"/>
      <c r="W125" s="48"/>
      <c r="X125" s="48"/>
      <c r="Y125" s="48"/>
      <c r="Z125" s="47"/>
      <c r="AA125" s="69">
        <v>125</v>
      </c>
      <c r="AB125" s="69"/>
      <c r="AC125" s="70"/>
      <c r="AD125" s="76" t="s">
        <v>11869</v>
      </c>
      <c r="AE125" s="80" t="s">
        <v>12537</v>
      </c>
      <c r="AF125" s="76">
        <v>235</v>
      </c>
      <c r="AG125" s="76">
        <v>1766</v>
      </c>
      <c r="AH125" s="76">
        <v>1976</v>
      </c>
      <c r="AI125" s="76">
        <v>1</v>
      </c>
      <c r="AJ125" s="76">
        <v>9556</v>
      </c>
      <c r="AK125" s="76">
        <v>398</v>
      </c>
      <c r="AL125" s="76" t="b">
        <v>0</v>
      </c>
      <c r="AM125" s="78">
        <v>41438.601574074077</v>
      </c>
      <c r="AN125" s="76" t="s">
        <v>12937</v>
      </c>
      <c r="AO125" s="76" t="s">
        <v>13334</v>
      </c>
      <c r="AP125" s="82" t="str">
        <f>HYPERLINK("https://t.co/WtQlVA6Qar")</f>
        <v>https://t.co/WtQlVA6Qar</v>
      </c>
      <c r="AQ125" s="82" t="str">
        <f>HYPERLINK("https://opensea.io/Raoliveira")</f>
        <v>https://opensea.io/Raoliveira</v>
      </c>
      <c r="AR125" s="76" t="s">
        <v>13978</v>
      </c>
      <c r="AS125" s="76"/>
      <c r="AT125" s="76"/>
      <c r="AU125" s="76"/>
      <c r="AV125" s="76">
        <v>1.59155382465695E+18</v>
      </c>
      <c r="AW125" s="82" t="str">
        <f>HYPERLINK("https://t.co/WtQlVA6Qar")</f>
        <v>https://t.co/WtQlVA6Qar</v>
      </c>
      <c r="AX125" s="76" t="b">
        <v>0</v>
      </c>
      <c r="AY125" s="76"/>
      <c r="AZ125" s="76"/>
      <c r="BA125" s="76" t="b">
        <v>1</v>
      </c>
      <c r="BB125" s="76" t="b">
        <v>1</v>
      </c>
      <c r="BC125" s="76" t="b">
        <v>1</v>
      </c>
      <c r="BD125" s="76" t="b">
        <v>0</v>
      </c>
      <c r="BE125" s="76" t="b">
        <v>1</v>
      </c>
      <c r="BF125" s="76" t="b">
        <v>0</v>
      </c>
      <c r="BG125" s="76" t="b">
        <v>0</v>
      </c>
      <c r="BH125" s="82" t="str">
        <f>HYPERLINK("https://pbs.twimg.com/profile_banners/1513550102/1643650298")</f>
        <v>https://pbs.twimg.com/profile_banners/1513550102/1643650298</v>
      </c>
      <c r="BI125" s="76"/>
      <c r="BJ125" s="76" t="s">
        <v>14450</v>
      </c>
      <c r="BK125" s="76" t="b">
        <v>0</v>
      </c>
      <c r="BL125" s="76"/>
      <c r="BM125" s="76" t="s">
        <v>66</v>
      </c>
      <c r="BN125" s="76" t="s">
        <v>14452</v>
      </c>
      <c r="BO125" s="82" t="str">
        <f>HYPERLINK("https://twitter.com/adrianod_rafael")</f>
        <v>https://twitter.com/adrianod_rafael</v>
      </c>
      <c r="BP125" s="2"/>
    </row>
    <row r="126" spans="1:68" x14ac:dyDescent="0.25">
      <c r="A126" s="62" t="s">
        <v>325</v>
      </c>
      <c r="B126" s="63"/>
      <c r="C126" s="63"/>
      <c r="D126" s="64"/>
      <c r="E126" s="66"/>
      <c r="F126" s="103" t="str">
        <f>HYPERLINK("https://pbs.twimg.com/profile_images/1382724586446344199/NuXho1vZ_normal.jpg")</f>
        <v>https://pbs.twimg.com/profile_images/1382724586446344199/NuXho1vZ_normal.jpg</v>
      </c>
      <c r="G126" s="63"/>
      <c r="H126" s="67"/>
      <c r="I126" s="68"/>
      <c r="J126" s="68"/>
      <c r="K126" s="67" t="s">
        <v>14575</v>
      </c>
      <c r="L126" s="71"/>
      <c r="M126" s="72"/>
      <c r="N126" s="72"/>
      <c r="O126" s="73"/>
      <c r="P126" s="74"/>
      <c r="Q126" s="74"/>
      <c r="R126" s="87"/>
      <c r="S126" s="87"/>
      <c r="T126" s="87"/>
      <c r="U126" s="87"/>
      <c r="V126" s="48"/>
      <c r="W126" s="48"/>
      <c r="X126" s="48"/>
      <c r="Y126" s="48"/>
      <c r="Z126" s="47"/>
      <c r="AA126" s="69">
        <v>126</v>
      </c>
      <c r="AB126" s="69"/>
      <c r="AC126" s="70"/>
      <c r="AD126" s="76" t="s">
        <v>11870</v>
      </c>
      <c r="AE126" s="80" t="s">
        <v>12538</v>
      </c>
      <c r="AF126" s="76">
        <v>1621</v>
      </c>
      <c r="AG126" s="76">
        <v>4953</v>
      </c>
      <c r="AH126" s="76">
        <v>13936</v>
      </c>
      <c r="AI126" s="76">
        <v>10</v>
      </c>
      <c r="AJ126" s="76">
        <v>58613</v>
      </c>
      <c r="AK126" s="76">
        <v>7429</v>
      </c>
      <c r="AL126" s="76" t="b">
        <v>0</v>
      </c>
      <c r="AM126" s="78">
        <v>40305.655092592591</v>
      </c>
      <c r="AN126" s="76" t="s">
        <v>12938</v>
      </c>
      <c r="AO126" s="76" t="s">
        <v>13335</v>
      </c>
      <c r="AP126" s="82" t="str">
        <f>HYPERLINK("https://t.co/UiJHp0j0UD")</f>
        <v>https://t.co/UiJHp0j0UD</v>
      </c>
      <c r="AQ126" s="82" t="str">
        <f>HYPERLINK("https://open.spotify.com/show/1zIWXK8CikdpxF1dszAKRE")</f>
        <v>https://open.spotify.com/show/1zIWXK8CikdpxF1dszAKRE</v>
      </c>
      <c r="AR126" s="76" t="s">
        <v>13979</v>
      </c>
      <c r="AS126" s="76"/>
      <c r="AT126" s="76"/>
      <c r="AU126" s="76"/>
      <c r="AV126" s="76">
        <v>1.70468967291859E+18</v>
      </c>
      <c r="AW126" s="82" t="str">
        <f>HYPERLINK("https://t.co/UiJHp0j0UD")</f>
        <v>https://t.co/UiJHp0j0UD</v>
      </c>
      <c r="AX126" s="76" t="b">
        <v>0</v>
      </c>
      <c r="AY126" s="76"/>
      <c r="AZ126" s="76"/>
      <c r="BA126" s="76" t="b">
        <v>0</v>
      </c>
      <c r="BB126" s="76" t="b">
        <v>1</v>
      </c>
      <c r="BC126" s="76" t="b">
        <v>0</v>
      </c>
      <c r="BD126" s="76" t="b">
        <v>0</v>
      </c>
      <c r="BE126" s="76" t="b">
        <v>1</v>
      </c>
      <c r="BF126" s="76" t="b">
        <v>0</v>
      </c>
      <c r="BG126" s="76" t="b">
        <v>0</v>
      </c>
      <c r="BH126" s="82" t="str">
        <f>HYPERLINK("https://pbs.twimg.com/profile_banners/141254528/1633928492")</f>
        <v>https://pbs.twimg.com/profile_banners/141254528/1633928492</v>
      </c>
      <c r="BI126" s="76"/>
      <c r="BJ126" s="76" t="s">
        <v>14450</v>
      </c>
      <c r="BK126" s="76" t="b">
        <v>0</v>
      </c>
      <c r="BL126" s="76"/>
      <c r="BM126" s="76" t="s">
        <v>66</v>
      </c>
      <c r="BN126" s="76" t="s">
        <v>14452</v>
      </c>
      <c r="BO126" s="82" t="str">
        <f>HYPERLINK("https://twitter.com/desdela3cuerda")</f>
        <v>https://twitter.com/desdela3cuerda</v>
      </c>
      <c r="BP126" s="2"/>
    </row>
    <row r="127" spans="1:68" x14ac:dyDescent="0.25">
      <c r="A127" s="62" t="s">
        <v>326</v>
      </c>
      <c r="B127" s="63"/>
      <c r="C127" s="63"/>
      <c r="D127" s="64"/>
      <c r="E127" s="66"/>
      <c r="F127" s="103" t="str">
        <f>HYPERLINK("https://pbs.twimg.com/profile_images/1541480510261796864/oRmza3Ck_normal.jpg")</f>
        <v>https://pbs.twimg.com/profile_images/1541480510261796864/oRmza3Ck_normal.jpg</v>
      </c>
      <c r="G127" s="63"/>
      <c r="H127" s="67"/>
      <c r="I127" s="68"/>
      <c r="J127" s="68"/>
      <c r="K127" s="67" t="s">
        <v>14576</v>
      </c>
      <c r="L127" s="71"/>
      <c r="M127" s="72"/>
      <c r="N127" s="72"/>
      <c r="O127" s="73"/>
      <c r="P127" s="74"/>
      <c r="Q127" s="74"/>
      <c r="R127" s="87"/>
      <c r="S127" s="87"/>
      <c r="T127" s="87"/>
      <c r="U127" s="87"/>
      <c r="V127" s="48"/>
      <c r="W127" s="48"/>
      <c r="X127" s="48"/>
      <c r="Y127" s="48"/>
      <c r="Z127" s="47"/>
      <c r="AA127" s="69">
        <v>127</v>
      </c>
      <c r="AB127" s="69"/>
      <c r="AC127" s="70"/>
      <c r="AD127" s="76" t="s">
        <v>11871</v>
      </c>
      <c r="AE127" s="80" t="s">
        <v>11453</v>
      </c>
      <c r="AF127" s="76">
        <v>51</v>
      </c>
      <c r="AG127" s="76">
        <v>274</v>
      </c>
      <c r="AH127" s="76">
        <v>129</v>
      </c>
      <c r="AI127" s="76">
        <v>0</v>
      </c>
      <c r="AJ127" s="76">
        <v>93</v>
      </c>
      <c r="AK127" s="76">
        <v>97</v>
      </c>
      <c r="AL127" s="76" t="b">
        <v>0</v>
      </c>
      <c r="AM127" s="78">
        <v>44739.746967592589</v>
      </c>
      <c r="AN127" s="76" t="s">
        <v>12939</v>
      </c>
      <c r="AO127" s="76" t="s">
        <v>13336</v>
      </c>
      <c r="AP127" s="82" t="str">
        <f>HYPERLINK("https://t.co/v9uKaxKOva")</f>
        <v>https://t.co/v9uKaxKOva</v>
      </c>
      <c r="AQ127" s="82" t="str">
        <f>HYPERLINK("https://instagram.com/reservadaisadora?igshid=YmMyMTA2M2Y=")</f>
        <v>https://instagram.com/reservadaisadora?igshid=YmMyMTA2M2Y=</v>
      </c>
      <c r="AR127" s="76" t="s">
        <v>13980</v>
      </c>
      <c r="AS127" s="76"/>
      <c r="AT127" s="76"/>
      <c r="AU127" s="76"/>
      <c r="AV127" s="76">
        <v>1.6770188304372301E+18</v>
      </c>
      <c r="AW127" s="82" t="str">
        <f>HYPERLINK("https://t.co/v9uKaxKOva")</f>
        <v>https://t.co/v9uKaxKOva</v>
      </c>
      <c r="AX127" s="76" t="b">
        <v>0</v>
      </c>
      <c r="AY127" s="76"/>
      <c r="AZ127" s="76"/>
      <c r="BA127" s="76" t="b">
        <v>1</v>
      </c>
      <c r="BB127" s="76" t="b">
        <v>1</v>
      </c>
      <c r="BC127" s="76" t="b">
        <v>1</v>
      </c>
      <c r="BD127" s="76" t="b">
        <v>0</v>
      </c>
      <c r="BE127" s="76" t="b">
        <v>0</v>
      </c>
      <c r="BF127" s="76" t="b">
        <v>0</v>
      </c>
      <c r="BG127" s="76" t="b">
        <v>0</v>
      </c>
      <c r="BH127" s="82" t="str">
        <f>HYPERLINK("https://pbs.twimg.com/profile_banners/1541480355689074688/1688610932")</f>
        <v>https://pbs.twimg.com/profile_banners/1541480355689074688/1688610932</v>
      </c>
      <c r="BI127" s="76"/>
      <c r="BJ127" s="76" t="s">
        <v>14450</v>
      </c>
      <c r="BK127" s="76" t="b">
        <v>0</v>
      </c>
      <c r="BL127" s="76"/>
      <c r="BM127" s="76" t="s">
        <v>66</v>
      </c>
      <c r="BN127" s="76" t="s">
        <v>14452</v>
      </c>
      <c r="BO127" s="82" t="str">
        <f>HYPERLINK("https://twitter.com/reserva_isadora")</f>
        <v>https://twitter.com/reserva_isadora</v>
      </c>
      <c r="BP127" s="2"/>
    </row>
    <row r="128" spans="1:68" x14ac:dyDescent="0.25">
      <c r="A128" s="62" t="s">
        <v>327</v>
      </c>
      <c r="B128" s="63"/>
      <c r="C128" s="63"/>
      <c r="D128" s="64"/>
      <c r="E128" s="66"/>
      <c r="F128" s="103" t="str">
        <f>HYPERLINK("https://pbs.twimg.com/profile_images/1609900501688098818/iQor6iwJ_normal.jpg")</f>
        <v>https://pbs.twimg.com/profile_images/1609900501688098818/iQor6iwJ_normal.jpg</v>
      </c>
      <c r="G128" s="63"/>
      <c r="H128" s="67"/>
      <c r="I128" s="68"/>
      <c r="J128" s="68"/>
      <c r="K128" s="67" t="s">
        <v>14577</v>
      </c>
      <c r="L128" s="71"/>
      <c r="M128" s="72"/>
      <c r="N128" s="72"/>
      <c r="O128" s="73"/>
      <c r="P128" s="74"/>
      <c r="Q128" s="74"/>
      <c r="R128" s="87"/>
      <c r="S128" s="87"/>
      <c r="T128" s="87"/>
      <c r="U128" s="87"/>
      <c r="V128" s="48"/>
      <c r="W128" s="48"/>
      <c r="X128" s="48"/>
      <c r="Y128" s="48"/>
      <c r="Z128" s="47"/>
      <c r="AA128" s="69">
        <v>128</v>
      </c>
      <c r="AB128" s="69"/>
      <c r="AC128" s="70"/>
      <c r="AD128" s="76" t="s">
        <v>11872</v>
      </c>
      <c r="AE128" s="80" t="s">
        <v>11454</v>
      </c>
      <c r="AF128" s="76">
        <v>8</v>
      </c>
      <c r="AG128" s="76">
        <v>129</v>
      </c>
      <c r="AH128" s="76">
        <v>25</v>
      </c>
      <c r="AI128" s="76">
        <v>0</v>
      </c>
      <c r="AJ128" s="76">
        <v>882</v>
      </c>
      <c r="AK128" s="76">
        <v>17</v>
      </c>
      <c r="AL128" s="76" t="b">
        <v>0</v>
      </c>
      <c r="AM128" s="78">
        <v>44608.725173611114</v>
      </c>
      <c r="AN128" s="76" t="s">
        <v>7791</v>
      </c>
      <c r="AO128" s="76"/>
      <c r="AP128" s="82" t="str">
        <f>HYPERLINK("https://t.co/VLc1BVfVAL")</f>
        <v>https://t.co/VLc1BVfVAL</v>
      </c>
      <c r="AQ128" s="82" t="str">
        <f>HYPERLINK("https://www.instagram.com/reel/CY_9kCavotG/?utm_medium=copy_link")</f>
        <v>https://www.instagram.com/reel/CY_9kCavotG/?utm_medium=copy_link</v>
      </c>
      <c r="AR128" s="76" t="s">
        <v>13981</v>
      </c>
      <c r="AS128" s="76"/>
      <c r="AT128" s="76"/>
      <c r="AU128" s="76"/>
      <c r="AV128" s="76"/>
      <c r="AW128" s="82" t="str">
        <f>HYPERLINK("https://t.co/VLc1BVfVAL")</f>
        <v>https://t.co/VLc1BVfVAL</v>
      </c>
      <c r="AX128" s="76" t="b">
        <v>0</v>
      </c>
      <c r="AY128" s="76"/>
      <c r="AZ128" s="76"/>
      <c r="BA128" s="76" t="b">
        <v>0</v>
      </c>
      <c r="BB128" s="76" t="b">
        <v>1</v>
      </c>
      <c r="BC128" s="76" t="b">
        <v>1</v>
      </c>
      <c r="BD128" s="76" t="b">
        <v>0</v>
      </c>
      <c r="BE128" s="76" t="b">
        <v>0</v>
      </c>
      <c r="BF128" s="76" t="b">
        <v>0</v>
      </c>
      <c r="BG128" s="76" t="b">
        <v>0</v>
      </c>
      <c r="BH128" s="82" t="str">
        <f>HYPERLINK("https://pbs.twimg.com/profile_banners/1493999585475371016/1672665165")</f>
        <v>https://pbs.twimg.com/profile_banners/1493999585475371016/1672665165</v>
      </c>
      <c r="BI128" s="76"/>
      <c r="BJ128" s="76" t="s">
        <v>14450</v>
      </c>
      <c r="BK128" s="76" t="b">
        <v>0</v>
      </c>
      <c r="BL128" s="76"/>
      <c r="BM128" s="76" t="s">
        <v>66</v>
      </c>
      <c r="BN128" s="76" t="s">
        <v>14452</v>
      </c>
      <c r="BO128" s="82" t="str">
        <f>HYPERLINK("https://twitter.com/markusdesigner")</f>
        <v>https://twitter.com/markusdesigner</v>
      </c>
      <c r="BP128" s="2"/>
    </row>
    <row r="129" spans="1:68" x14ac:dyDescent="0.25">
      <c r="A129" s="62" t="s">
        <v>328</v>
      </c>
      <c r="B129" s="63"/>
      <c r="C129" s="63"/>
      <c r="D129" s="64"/>
      <c r="E129" s="66"/>
      <c r="F129" s="103" t="str">
        <f>HYPERLINK("https://pbs.twimg.com/profile_images/1587107992117383177/eILzOorf_normal.jpg")</f>
        <v>https://pbs.twimg.com/profile_images/1587107992117383177/eILzOorf_normal.jpg</v>
      </c>
      <c r="G129" s="63"/>
      <c r="H129" s="67"/>
      <c r="I129" s="68"/>
      <c r="J129" s="68"/>
      <c r="K129" s="67" t="s">
        <v>14578</v>
      </c>
      <c r="L129" s="71"/>
      <c r="M129" s="72"/>
      <c r="N129" s="72"/>
      <c r="O129" s="73"/>
      <c r="P129" s="74"/>
      <c r="Q129" s="74"/>
      <c r="R129" s="87"/>
      <c r="S129" s="87"/>
      <c r="T129" s="87"/>
      <c r="U129" s="87"/>
      <c r="V129" s="48"/>
      <c r="W129" s="48"/>
      <c r="X129" s="48"/>
      <c r="Y129" s="48"/>
      <c r="Z129" s="47"/>
      <c r="AA129" s="69">
        <v>129</v>
      </c>
      <c r="AB129" s="69"/>
      <c r="AC129" s="70"/>
      <c r="AD129" s="76" t="s">
        <v>11873</v>
      </c>
      <c r="AE129" s="80" t="s">
        <v>11455</v>
      </c>
      <c r="AF129" s="76">
        <v>3</v>
      </c>
      <c r="AG129" s="76">
        <v>121</v>
      </c>
      <c r="AH129" s="76">
        <v>74</v>
      </c>
      <c r="AI129" s="76">
        <v>0</v>
      </c>
      <c r="AJ129" s="76">
        <v>669</v>
      </c>
      <c r="AK129" s="76">
        <v>9</v>
      </c>
      <c r="AL129" s="76" t="b">
        <v>0</v>
      </c>
      <c r="AM129" s="78">
        <v>44865.653055555558</v>
      </c>
      <c r="AN129" s="76" t="s">
        <v>7789</v>
      </c>
      <c r="AO129" s="76" t="s">
        <v>13337</v>
      </c>
      <c r="AP129" s="82" t="str">
        <f>HYPERLINK("https://t.co/whiKqFMm4i")</f>
        <v>https://t.co/whiKqFMm4i</v>
      </c>
      <c r="AQ129" s="82" t="str">
        <f>HYPERLINK("https://www.instagram.com/invites/contact/?i=rxh560e5n4mc&amp;utm_content=k0mzxd")</f>
        <v>https://www.instagram.com/invites/contact/?i=rxh560e5n4mc&amp;utm_content=k0mzxd</v>
      </c>
      <c r="AR129" s="76" t="s">
        <v>13982</v>
      </c>
      <c r="AS129" s="76"/>
      <c r="AT129" s="76"/>
      <c r="AU129" s="76"/>
      <c r="AV129" s="76">
        <v>1.59001909532782E+18</v>
      </c>
      <c r="AW129" s="82" t="str">
        <f>HYPERLINK("https://t.co/whiKqFMm4i")</f>
        <v>https://t.co/whiKqFMm4i</v>
      </c>
      <c r="AX129" s="76" t="b">
        <v>0</v>
      </c>
      <c r="AY129" s="76"/>
      <c r="AZ129" s="76"/>
      <c r="BA129" s="76" t="b">
        <v>0</v>
      </c>
      <c r="BB129" s="76" t="b">
        <v>1</v>
      </c>
      <c r="BC129" s="76" t="b">
        <v>1</v>
      </c>
      <c r="BD129" s="76" t="b">
        <v>0</v>
      </c>
      <c r="BE129" s="76" t="b">
        <v>0</v>
      </c>
      <c r="BF129" s="76" t="b">
        <v>0</v>
      </c>
      <c r="BG129" s="76" t="b">
        <v>0</v>
      </c>
      <c r="BH129" s="82" t="str">
        <f>HYPERLINK("https://pbs.twimg.com/profile_banners/1587107182713135108/1670705496")</f>
        <v>https://pbs.twimg.com/profile_banners/1587107182713135108/1670705496</v>
      </c>
      <c r="BI129" s="76"/>
      <c r="BJ129" s="76" t="s">
        <v>14450</v>
      </c>
      <c r="BK129" s="76" t="b">
        <v>0</v>
      </c>
      <c r="BL129" s="76"/>
      <c r="BM129" s="76" t="s">
        <v>66</v>
      </c>
      <c r="BN129" s="76" t="s">
        <v>14452</v>
      </c>
      <c r="BO129" s="82" t="str">
        <f>HYPERLINK("https://twitter.com/mislenetbrito")</f>
        <v>https://twitter.com/mislenetbrito</v>
      </c>
      <c r="BP129" s="2"/>
    </row>
    <row r="130" spans="1:68" x14ac:dyDescent="0.25">
      <c r="A130" s="62" t="s">
        <v>329</v>
      </c>
      <c r="B130" s="63"/>
      <c r="C130" s="63"/>
      <c r="D130" s="64"/>
      <c r="E130" s="66"/>
      <c r="F130" s="103" t="str">
        <f>HYPERLINK("https://pbs.twimg.com/profile_images/1704421607203020800/ckbM5Hx__normal.jpg")</f>
        <v>https://pbs.twimg.com/profile_images/1704421607203020800/ckbM5Hx__normal.jpg</v>
      </c>
      <c r="G130" s="63"/>
      <c r="H130" s="67"/>
      <c r="I130" s="68"/>
      <c r="J130" s="68"/>
      <c r="K130" s="67" t="s">
        <v>14579</v>
      </c>
      <c r="L130" s="71"/>
      <c r="M130" s="72"/>
      <c r="N130" s="72"/>
      <c r="O130" s="73"/>
      <c r="P130" s="74"/>
      <c r="Q130" s="74"/>
      <c r="R130" s="87"/>
      <c r="S130" s="87"/>
      <c r="T130" s="87"/>
      <c r="U130" s="87"/>
      <c r="V130" s="48"/>
      <c r="W130" s="48"/>
      <c r="X130" s="48"/>
      <c r="Y130" s="48"/>
      <c r="Z130" s="47"/>
      <c r="AA130" s="69">
        <v>130</v>
      </c>
      <c r="AB130" s="69"/>
      <c r="AC130" s="70"/>
      <c r="AD130" s="76" t="s">
        <v>11874</v>
      </c>
      <c r="AE130" s="80" t="s">
        <v>12539</v>
      </c>
      <c r="AF130" s="76">
        <v>2133</v>
      </c>
      <c r="AG130" s="76">
        <v>3148</v>
      </c>
      <c r="AH130" s="76">
        <v>2556</v>
      </c>
      <c r="AI130" s="76">
        <v>35</v>
      </c>
      <c r="AJ130" s="76">
        <v>183</v>
      </c>
      <c r="AK130" s="76">
        <v>400</v>
      </c>
      <c r="AL130" s="76" t="b">
        <v>0</v>
      </c>
      <c r="AM130" s="78">
        <v>41677.383726851855</v>
      </c>
      <c r="AN130" s="76" t="s">
        <v>12940</v>
      </c>
      <c r="AO130" s="76" t="s">
        <v>13338</v>
      </c>
      <c r="AP130" s="82" t="str">
        <f>HYPERLINK("https://t.co/Fl0obj5DZH")</f>
        <v>https://t.co/Fl0obj5DZH</v>
      </c>
      <c r="AQ130" s="82" t="str">
        <f>HYPERLINK("http://www.ultimalinea.es")</f>
        <v>http://www.ultimalinea.es</v>
      </c>
      <c r="AR130" s="76" t="s">
        <v>13983</v>
      </c>
      <c r="AS130" s="76"/>
      <c r="AT130" s="76"/>
      <c r="AU130" s="76"/>
      <c r="AV130" s="76"/>
      <c r="AW130" s="82" t="str">
        <f>HYPERLINK("https://t.co/Fl0obj5DZH")</f>
        <v>https://t.co/Fl0obj5DZH</v>
      </c>
      <c r="AX130" s="76" t="b">
        <v>0</v>
      </c>
      <c r="AY130" s="76"/>
      <c r="AZ130" s="76"/>
      <c r="BA130" s="76" t="b">
        <v>0</v>
      </c>
      <c r="BB130" s="76" t="b">
        <v>1</v>
      </c>
      <c r="BC130" s="76" t="b">
        <v>0</v>
      </c>
      <c r="BD130" s="76" t="b">
        <v>0</v>
      </c>
      <c r="BE130" s="76" t="b">
        <v>0</v>
      </c>
      <c r="BF130" s="76" t="b">
        <v>0</v>
      </c>
      <c r="BG130" s="76" t="b">
        <v>0</v>
      </c>
      <c r="BH130" s="82" t="str">
        <f>HYPERLINK("https://pbs.twimg.com/profile_banners/2331579193/1692258269")</f>
        <v>https://pbs.twimg.com/profile_banners/2331579193/1692258269</v>
      </c>
      <c r="BI130" s="76"/>
      <c r="BJ130" s="76" t="s">
        <v>14450</v>
      </c>
      <c r="BK130" s="76" t="b">
        <v>0</v>
      </c>
      <c r="BL130" s="76"/>
      <c r="BM130" s="76" t="s">
        <v>66</v>
      </c>
      <c r="BN130" s="76" t="s">
        <v>14452</v>
      </c>
      <c r="BO130" s="82" t="str">
        <f>HYPERLINK("https://twitter.com/edultimalinea")</f>
        <v>https://twitter.com/edultimalinea</v>
      </c>
      <c r="BP130" s="2"/>
    </row>
    <row r="131" spans="1:68" x14ac:dyDescent="0.25">
      <c r="A131" s="62" t="s">
        <v>888</v>
      </c>
      <c r="B131" s="63"/>
      <c r="C131" s="63"/>
      <c r="D131" s="64"/>
      <c r="E131" s="66"/>
      <c r="F131" s="103" t="str">
        <f>HYPERLINK("https://pbs.twimg.com/profile_images/1085514784714436608/VI_BkfHO_normal.jpg")</f>
        <v>https://pbs.twimg.com/profile_images/1085514784714436608/VI_BkfHO_normal.jpg</v>
      </c>
      <c r="G131" s="63"/>
      <c r="H131" s="67"/>
      <c r="I131" s="68"/>
      <c r="J131" s="68"/>
      <c r="K131" s="67" t="s">
        <v>14580</v>
      </c>
      <c r="L131" s="71"/>
      <c r="M131" s="72"/>
      <c r="N131" s="72"/>
      <c r="O131" s="73"/>
      <c r="P131" s="74"/>
      <c r="Q131" s="74"/>
      <c r="R131" s="87"/>
      <c r="S131" s="87"/>
      <c r="T131" s="87"/>
      <c r="U131" s="87"/>
      <c r="V131" s="48"/>
      <c r="W131" s="48"/>
      <c r="X131" s="48"/>
      <c r="Y131" s="48"/>
      <c r="Z131" s="47"/>
      <c r="AA131" s="69">
        <v>131</v>
      </c>
      <c r="AB131" s="69"/>
      <c r="AC131" s="70"/>
      <c r="AD131" s="76" t="s">
        <v>11875</v>
      </c>
      <c r="AE131" s="80" t="s">
        <v>12540</v>
      </c>
      <c r="AF131" s="76">
        <v>7109</v>
      </c>
      <c r="AG131" s="76">
        <v>3675</v>
      </c>
      <c r="AH131" s="76">
        <v>21535</v>
      </c>
      <c r="AI131" s="76">
        <v>197</v>
      </c>
      <c r="AJ131" s="76">
        <v>29514</v>
      </c>
      <c r="AK131" s="76">
        <v>2942</v>
      </c>
      <c r="AL131" s="76" t="b">
        <v>0</v>
      </c>
      <c r="AM131" s="78">
        <v>40868.873923611114</v>
      </c>
      <c r="AN131" s="76"/>
      <c r="AO131" s="76" t="s">
        <v>13339</v>
      </c>
      <c r="AP131" s="82" t="str">
        <f>HYPERLINK("https://t.co/jepBZuIXgf")</f>
        <v>https://t.co/jepBZuIXgf</v>
      </c>
      <c r="AQ131" s="82" t="str">
        <f>HYPERLINK("http://www.libreriasdezaragoza.com")</f>
        <v>http://www.libreriasdezaragoza.com</v>
      </c>
      <c r="AR131" s="76" t="s">
        <v>13984</v>
      </c>
      <c r="AS131" s="76"/>
      <c r="AT131" s="76"/>
      <c r="AU131" s="76"/>
      <c r="AV131" s="76"/>
      <c r="AW131" s="82" t="str">
        <f>HYPERLINK("https://t.co/jepBZuIXgf")</f>
        <v>https://t.co/jepBZuIXgf</v>
      </c>
      <c r="AX131" s="76" t="b">
        <v>0</v>
      </c>
      <c r="AY131" s="76"/>
      <c r="AZ131" s="76"/>
      <c r="BA131" s="76" t="b">
        <v>1</v>
      </c>
      <c r="BB131" s="76" t="b">
        <v>1</v>
      </c>
      <c r="BC131" s="76" t="b">
        <v>0</v>
      </c>
      <c r="BD131" s="76" t="b">
        <v>0</v>
      </c>
      <c r="BE131" s="76" t="b">
        <v>0</v>
      </c>
      <c r="BF131" s="76" t="b">
        <v>0</v>
      </c>
      <c r="BG131" s="76" t="b">
        <v>0</v>
      </c>
      <c r="BH131" s="82" t="str">
        <f>HYPERLINK("https://pbs.twimg.com/profile_banners/418164694/1686819737")</f>
        <v>https://pbs.twimg.com/profile_banners/418164694/1686819737</v>
      </c>
      <c r="BI131" s="76"/>
      <c r="BJ131" s="76" t="s">
        <v>14450</v>
      </c>
      <c r="BK131" s="76" t="b">
        <v>0</v>
      </c>
      <c r="BL131" s="76"/>
      <c r="BM131" s="76" t="s">
        <v>65</v>
      </c>
      <c r="BN131" s="76" t="s">
        <v>14452</v>
      </c>
      <c r="BO131" s="82" t="str">
        <f>HYPERLINK("https://twitter.com/libreriasdezgz")</f>
        <v>https://twitter.com/libreriasdezgz</v>
      </c>
      <c r="BP131" s="2"/>
    </row>
    <row r="132" spans="1:68" x14ac:dyDescent="0.25">
      <c r="A132" s="62" t="s">
        <v>889</v>
      </c>
      <c r="B132" s="63"/>
      <c r="C132" s="63"/>
      <c r="D132" s="64"/>
      <c r="E132" s="66"/>
      <c r="F132" s="103" t="str">
        <f>HYPERLINK("https://pbs.twimg.com/profile_images/818880792483033095/i12YaAto_normal.jpg")</f>
        <v>https://pbs.twimg.com/profile_images/818880792483033095/i12YaAto_normal.jpg</v>
      </c>
      <c r="G132" s="63"/>
      <c r="H132" s="67"/>
      <c r="I132" s="68"/>
      <c r="J132" s="68"/>
      <c r="K132" s="67" t="s">
        <v>14581</v>
      </c>
      <c r="L132" s="71"/>
      <c r="M132" s="72"/>
      <c r="N132" s="72"/>
      <c r="O132" s="73"/>
      <c r="P132" s="74"/>
      <c r="Q132" s="74"/>
      <c r="R132" s="87"/>
      <c r="S132" s="87"/>
      <c r="T132" s="87"/>
      <c r="U132" s="87"/>
      <c r="V132" s="48"/>
      <c r="W132" s="48"/>
      <c r="X132" s="48"/>
      <c r="Y132" s="48"/>
      <c r="Z132" s="47"/>
      <c r="AA132" s="69">
        <v>132</v>
      </c>
      <c r="AB132" s="69"/>
      <c r="AC132" s="70"/>
      <c r="AD132" s="76" t="s">
        <v>11876</v>
      </c>
      <c r="AE132" s="80" t="s">
        <v>12541</v>
      </c>
      <c r="AF132" s="76">
        <v>101</v>
      </c>
      <c r="AG132" s="76">
        <v>88</v>
      </c>
      <c r="AH132" s="76">
        <v>179</v>
      </c>
      <c r="AI132" s="76">
        <v>0</v>
      </c>
      <c r="AJ132" s="76">
        <v>86</v>
      </c>
      <c r="AK132" s="76">
        <v>18</v>
      </c>
      <c r="AL132" s="76" t="b">
        <v>0</v>
      </c>
      <c r="AM132" s="78">
        <v>42745.74763888889</v>
      </c>
      <c r="AN132" s="76" t="s">
        <v>12941</v>
      </c>
      <c r="AO132" s="76" t="s">
        <v>13340</v>
      </c>
      <c r="AP132" s="82" t="str">
        <f>HYPERLINK("https://t.co/z8uSUU3QNw")</f>
        <v>https://t.co/z8uSUU3QNw</v>
      </c>
      <c r="AQ132" s="82" t="str">
        <f>HYPERLINK("http://minci.gob.ve/tag/librerias-del-sur/")</f>
        <v>http://minci.gob.ve/tag/librerias-del-sur/</v>
      </c>
      <c r="AR132" s="76" t="s">
        <v>13985</v>
      </c>
      <c r="AS132" s="76"/>
      <c r="AT132" s="76"/>
      <c r="AU132" s="76"/>
      <c r="AV132" s="76">
        <v>8.3889124470515302E+17</v>
      </c>
      <c r="AW132" s="82" t="str">
        <f>HYPERLINK("https://t.co/z8uSUU3QNw")</f>
        <v>https://t.co/z8uSUU3QNw</v>
      </c>
      <c r="AX132" s="76" t="b">
        <v>0</v>
      </c>
      <c r="AY132" s="76"/>
      <c r="AZ132" s="76"/>
      <c r="BA132" s="76" t="b">
        <v>0</v>
      </c>
      <c r="BB132" s="76" t="b">
        <v>1</v>
      </c>
      <c r="BC132" s="76" t="b">
        <v>0</v>
      </c>
      <c r="BD132" s="76" t="b">
        <v>0</v>
      </c>
      <c r="BE132" s="76" t="b">
        <v>0</v>
      </c>
      <c r="BF132" s="76" t="b">
        <v>0</v>
      </c>
      <c r="BG132" s="76" t="b">
        <v>0</v>
      </c>
      <c r="BH132" s="82" t="str">
        <f>HYPERLINK("https://pbs.twimg.com/profile_banners/818879226405416960/1485450455")</f>
        <v>https://pbs.twimg.com/profile_banners/818879226405416960/1485450455</v>
      </c>
      <c r="BI132" s="76"/>
      <c r="BJ132" s="76" t="s">
        <v>14450</v>
      </c>
      <c r="BK132" s="76" t="b">
        <v>0</v>
      </c>
      <c r="BL132" s="76"/>
      <c r="BM132" s="76" t="s">
        <v>65</v>
      </c>
      <c r="BN132" s="76" t="s">
        <v>14452</v>
      </c>
      <c r="BO132" s="82" t="str">
        <f>HYPERLINK("https://twitter.com/libreriaslt")</f>
        <v>https://twitter.com/libreriaslt</v>
      </c>
      <c r="BP132" s="2"/>
    </row>
    <row r="133" spans="1:68" x14ac:dyDescent="0.25">
      <c r="A133" s="62" t="s">
        <v>890</v>
      </c>
      <c r="B133" s="63"/>
      <c r="C133" s="63"/>
      <c r="D133" s="64"/>
      <c r="E133" s="66"/>
      <c r="F133" s="103" t="str">
        <f>HYPERLINK("https://pbs.twimg.com/profile_images/1455239720213045258/Tv58MamG_normal.jpg")</f>
        <v>https://pbs.twimg.com/profile_images/1455239720213045258/Tv58MamG_normal.jpg</v>
      </c>
      <c r="G133" s="63"/>
      <c r="H133" s="67"/>
      <c r="I133" s="68"/>
      <c r="J133" s="68"/>
      <c r="K133" s="67" t="s">
        <v>14582</v>
      </c>
      <c r="L133" s="71"/>
      <c r="M133" s="72"/>
      <c r="N133" s="72"/>
      <c r="O133" s="73"/>
      <c r="P133" s="74"/>
      <c r="Q133" s="74"/>
      <c r="R133" s="87"/>
      <c r="S133" s="87"/>
      <c r="T133" s="87"/>
      <c r="U133" s="87"/>
      <c r="V133" s="48"/>
      <c r="W133" s="48"/>
      <c r="X133" s="48"/>
      <c r="Y133" s="48"/>
      <c r="Z133" s="47"/>
      <c r="AA133" s="69">
        <v>133</v>
      </c>
      <c r="AB133" s="69"/>
      <c r="AC133" s="70"/>
      <c r="AD133" s="76" t="s">
        <v>11877</v>
      </c>
      <c r="AE133" s="80" t="s">
        <v>12542</v>
      </c>
      <c r="AF133" s="76">
        <v>44</v>
      </c>
      <c r="AG133" s="76">
        <v>20</v>
      </c>
      <c r="AH133" s="76">
        <v>96</v>
      </c>
      <c r="AI133" s="76">
        <v>0</v>
      </c>
      <c r="AJ133" s="76">
        <v>57</v>
      </c>
      <c r="AK133" s="76">
        <v>10</v>
      </c>
      <c r="AL133" s="76" t="b">
        <v>0</v>
      </c>
      <c r="AM133" s="78">
        <v>44501.749166666668</v>
      </c>
      <c r="AN133" s="76" t="s">
        <v>12942</v>
      </c>
      <c r="AO133" s="76" t="s">
        <v>13341</v>
      </c>
      <c r="AP133" s="82" t="str">
        <f>HYPERLINK("https://t.co/9KNTPAxJvG")</f>
        <v>https://t.co/9KNTPAxJvG</v>
      </c>
      <c r="AQ133" s="82" t="str">
        <f>HYPERLINK("https://libreriascantabria.es/")</f>
        <v>https://libreriascantabria.es/</v>
      </c>
      <c r="AR133" s="76" t="s">
        <v>13986</v>
      </c>
      <c r="AS133" s="76"/>
      <c r="AT133" s="76"/>
      <c r="AU133" s="76"/>
      <c r="AV133" s="76"/>
      <c r="AW133" s="82" t="str">
        <f>HYPERLINK("https://t.co/9KNTPAxJvG")</f>
        <v>https://t.co/9KNTPAxJvG</v>
      </c>
      <c r="AX133" s="76" t="b">
        <v>0</v>
      </c>
      <c r="AY133" s="76"/>
      <c r="AZ133" s="76"/>
      <c r="BA133" s="76" t="b">
        <v>0</v>
      </c>
      <c r="BB133" s="76" t="b">
        <v>1</v>
      </c>
      <c r="BC133" s="76" t="b">
        <v>1</v>
      </c>
      <c r="BD133" s="76" t="b">
        <v>0</v>
      </c>
      <c r="BE133" s="76" t="b">
        <v>0</v>
      </c>
      <c r="BF133" s="76" t="b">
        <v>0</v>
      </c>
      <c r="BG133" s="76" t="b">
        <v>0</v>
      </c>
      <c r="BH133" s="82" t="str">
        <f>HYPERLINK("https://pbs.twimg.com/profile_banners/1455232789008326664/1680545327")</f>
        <v>https://pbs.twimg.com/profile_banners/1455232789008326664/1680545327</v>
      </c>
      <c r="BI133" s="76"/>
      <c r="BJ133" s="76" t="s">
        <v>14450</v>
      </c>
      <c r="BK133" s="76" t="b">
        <v>0</v>
      </c>
      <c r="BL133" s="76"/>
      <c r="BM133" s="76" t="s">
        <v>65</v>
      </c>
      <c r="BN133" s="76" t="s">
        <v>14452</v>
      </c>
      <c r="BO133" s="82" t="str">
        <f>HYPERLINK("https://twitter.com/libreriaslac")</f>
        <v>https://twitter.com/libreriaslac</v>
      </c>
      <c r="BP133" s="2"/>
    </row>
    <row r="134" spans="1:68" x14ac:dyDescent="0.25">
      <c r="A134" s="62" t="s">
        <v>891</v>
      </c>
      <c r="B134" s="63"/>
      <c r="C134" s="63"/>
      <c r="D134" s="64"/>
      <c r="E134" s="66"/>
      <c r="F134" s="103" t="str">
        <f>HYPERLINK("https://pbs.twimg.com/profile_images/421605171483791360/F45EuEYi_normal.png")</f>
        <v>https://pbs.twimg.com/profile_images/421605171483791360/F45EuEYi_normal.png</v>
      </c>
      <c r="G134" s="63"/>
      <c r="H134" s="67"/>
      <c r="I134" s="68"/>
      <c r="J134" s="68"/>
      <c r="K134" s="67" t="s">
        <v>14583</v>
      </c>
      <c r="L134" s="71"/>
      <c r="M134" s="72"/>
      <c r="N134" s="72"/>
      <c r="O134" s="73"/>
      <c r="P134" s="74"/>
      <c r="Q134" s="74"/>
      <c r="R134" s="87"/>
      <c r="S134" s="87"/>
      <c r="T134" s="87"/>
      <c r="U134" s="87"/>
      <c r="V134" s="48"/>
      <c r="W134" s="48"/>
      <c r="X134" s="48"/>
      <c r="Y134" s="48"/>
      <c r="Z134" s="47"/>
      <c r="AA134" s="69">
        <v>134</v>
      </c>
      <c r="AB134" s="69"/>
      <c r="AC134" s="70"/>
      <c r="AD134" s="76" t="s">
        <v>891</v>
      </c>
      <c r="AE134" s="80" t="s">
        <v>12543</v>
      </c>
      <c r="AF134" s="76">
        <v>714</v>
      </c>
      <c r="AG134" s="76">
        <v>401</v>
      </c>
      <c r="AH134" s="76">
        <v>413</v>
      </c>
      <c r="AI134" s="76">
        <v>32</v>
      </c>
      <c r="AJ134" s="76">
        <v>127</v>
      </c>
      <c r="AK134" s="76">
        <v>40</v>
      </c>
      <c r="AL134" s="76" t="b">
        <v>0</v>
      </c>
      <c r="AM134" s="78">
        <v>41218.591539351852</v>
      </c>
      <c r="AN134" s="76"/>
      <c r="AO134" s="76" t="s">
        <v>13342</v>
      </c>
      <c r="AP134" s="82" t="str">
        <f>HYPERLINK("http://t.co/2nzO97cXav")</f>
        <v>http://t.co/2nzO97cXav</v>
      </c>
      <c r="AQ134" s="82" t="str">
        <f>HYPERLINK("http://www.libreriasindependientes.com")</f>
        <v>http://www.libreriasindependientes.com</v>
      </c>
      <c r="AR134" s="76" t="s">
        <v>13987</v>
      </c>
      <c r="AS134" s="76"/>
      <c r="AT134" s="76"/>
      <c r="AU134" s="76"/>
      <c r="AV134" s="76"/>
      <c r="AW134" s="82" t="str">
        <f>HYPERLINK("http://t.co/2nzO97cXav")</f>
        <v>http://t.co/2nzO97cXav</v>
      </c>
      <c r="AX134" s="76" t="b">
        <v>0</v>
      </c>
      <c r="AY134" s="76"/>
      <c r="AZ134" s="76"/>
      <c r="BA134" s="76" t="b">
        <v>0</v>
      </c>
      <c r="BB134" s="76" t="b">
        <v>1</v>
      </c>
      <c r="BC134" s="76" t="b">
        <v>0</v>
      </c>
      <c r="BD134" s="76" t="b">
        <v>0</v>
      </c>
      <c r="BE134" s="76" t="b">
        <v>0</v>
      </c>
      <c r="BF134" s="76" t="b">
        <v>0</v>
      </c>
      <c r="BG134" s="76" t="b">
        <v>0</v>
      </c>
      <c r="BH134" s="76"/>
      <c r="BI134" s="76"/>
      <c r="BJ134" s="76" t="s">
        <v>14450</v>
      </c>
      <c r="BK134" s="76" t="b">
        <v>0</v>
      </c>
      <c r="BL134" s="76"/>
      <c r="BM134" s="76" t="s">
        <v>65</v>
      </c>
      <c r="BN134" s="76" t="s">
        <v>14452</v>
      </c>
      <c r="BO134" s="82" t="str">
        <f>HYPERLINK("https://twitter.com/libreriasl")</f>
        <v>https://twitter.com/libreriasl</v>
      </c>
      <c r="BP134" s="2"/>
    </row>
    <row r="135" spans="1:68" x14ac:dyDescent="0.25">
      <c r="A135" s="62" t="s">
        <v>892</v>
      </c>
      <c r="B135" s="63"/>
      <c r="C135" s="63"/>
      <c r="D135" s="64"/>
      <c r="E135" s="66"/>
      <c r="F135" s="103" t="str">
        <f>HYPERLINK("https://abs.twimg.com/sticky/default_profile_images/default_profile_normal.png")</f>
        <v>https://abs.twimg.com/sticky/default_profile_images/default_profile_normal.png</v>
      </c>
      <c r="G135" s="63"/>
      <c r="H135" s="67"/>
      <c r="I135" s="68"/>
      <c r="J135" s="68"/>
      <c r="K135" s="67" t="s">
        <v>14584</v>
      </c>
      <c r="L135" s="71"/>
      <c r="M135" s="72"/>
      <c r="N135" s="72"/>
      <c r="O135" s="73"/>
      <c r="P135" s="74"/>
      <c r="Q135" s="74"/>
      <c r="R135" s="87"/>
      <c r="S135" s="87"/>
      <c r="T135" s="87"/>
      <c r="U135" s="87"/>
      <c r="V135" s="48"/>
      <c r="W135" s="48"/>
      <c r="X135" s="48"/>
      <c r="Y135" s="48"/>
      <c r="Z135" s="47"/>
      <c r="AA135" s="69">
        <v>135</v>
      </c>
      <c r="AB135" s="69"/>
      <c r="AC135" s="70"/>
      <c r="AD135" s="76" t="s">
        <v>892</v>
      </c>
      <c r="AE135" s="80" t="s">
        <v>12544</v>
      </c>
      <c r="AF135" s="76">
        <v>160</v>
      </c>
      <c r="AG135" s="76">
        <v>952</v>
      </c>
      <c r="AH135" s="76">
        <v>3719</v>
      </c>
      <c r="AI135" s="76">
        <v>4</v>
      </c>
      <c r="AJ135" s="76">
        <v>7859</v>
      </c>
      <c r="AK135" s="76">
        <v>72</v>
      </c>
      <c r="AL135" s="76" t="b">
        <v>0</v>
      </c>
      <c r="AM135" s="78">
        <v>39744.649537037039</v>
      </c>
      <c r="AN135" s="76" t="s">
        <v>12943</v>
      </c>
      <c r="AO135" s="76" t="s">
        <v>13343</v>
      </c>
      <c r="AP135" s="76"/>
      <c r="AQ135" s="76"/>
      <c r="AR135" s="76"/>
      <c r="AS135" s="76"/>
      <c r="AT135" s="76"/>
      <c r="AU135" s="76"/>
      <c r="AV135" s="76"/>
      <c r="AW135" s="76"/>
      <c r="AX135" s="76" t="b">
        <v>0</v>
      </c>
      <c r="AY135" s="76"/>
      <c r="AZ135" s="76"/>
      <c r="BA135" s="76" t="b">
        <v>0</v>
      </c>
      <c r="BB135" s="76" t="b">
        <v>1</v>
      </c>
      <c r="BC135" s="76" t="b">
        <v>1</v>
      </c>
      <c r="BD135" s="76" t="b">
        <v>1</v>
      </c>
      <c r="BE135" s="76" t="b">
        <v>1</v>
      </c>
      <c r="BF135" s="76" t="b">
        <v>0</v>
      </c>
      <c r="BG135" s="76" t="b">
        <v>0</v>
      </c>
      <c r="BH135" s="76"/>
      <c r="BI135" s="76"/>
      <c r="BJ135" s="76" t="s">
        <v>14450</v>
      </c>
      <c r="BK135" s="76" t="b">
        <v>0</v>
      </c>
      <c r="BL135" s="76"/>
      <c r="BM135" s="76" t="s">
        <v>65</v>
      </c>
      <c r="BN135" s="76" t="s">
        <v>14452</v>
      </c>
      <c r="BO135" s="82" t="str">
        <f>HYPERLINK("https://twitter.com/cegal")</f>
        <v>https://twitter.com/cegal</v>
      </c>
      <c r="BP135" s="2"/>
    </row>
    <row r="136" spans="1:68" x14ac:dyDescent="0.25">
      <c r="A136" s="62" t="s">
        <v>893</v>
      </c>
      <c r="B136" s="63"/>
      <c r="C136" s="63"/>
      <c r="D136" s="64"/>
      <c r="E136" s="66"/>
      <c r="F136" s="103" t="str">
        <f>HYPERLINK("https://pbs.twimg.com/profile_images/1675830272221147136/5rAmU3PQ_normal.jpg")</f>
        <v>https://pbs.twimg.com/profile_images/1675830272221147136/5rAmU3PQ_normal.jpg</v>
      </c>
      <c r="G136" s="63"/>
      <c r="H136" s="67"/>
      <c r="I136" s="68"/>
      <c r="J136" s="68"/>
      <c r="K136" s="67" t="s">
        <v>14585</v>
      </c>
      <c r="L136" s="71"/>
      <c r="M136" s="72"/>
      <c r="N136" s="72"/>
      <c r="O136" s="73"/>
      <c r="P136" s="74"/>
      <c r="Q136" s="74"/>
      <c r="R136" s="87"/>
      <c r="S136" s="87"/>
      <c r="T136" s="87"/>
      <c r="U136" s="87"/>
      <c r="V136" s="48"/>
      <c r="W136" s="48"/>
      <c r="X136" s="48"/>
      <c r="Y136" s="48"/>
      <c r="Z136" s="47"/>
      <c r="AA136" s="69">
        <v>136</v>
      </c>
      <c r="AB136" s="69"/>
      <c r="AC136" s="70"/>
      <c r="AD136" s="76" t="s">
        <v>11878</v>
      </c>
      <c r="AE136" s="80" t="s">
        <v>12545</v>
      </c>
      <c r="AF136" s="76">
        <v>31300</v>
      </c>
      <c r="AG136" s="76">
        <v>2049</v>
      </c>
      <c r="AH136" s="76">
        <v>4598</v>
      </c>
      <c r="AI136" s="76">
        <v>335</v>
      </c>
      <c r="AJ136" s="76">
        <v>11947</v>
      </c>
      <c r="AK136" s="76">
        <v>1190</v>
      </c>
      <c r="AL136" s="76" t="b">
        <v>0</v>
      </c>
      <c r="AM136" s="78">
        <v>42895.420034722221</v>
      </c>
      <c r="AN136" s="76"/>
      <c r="AO136" s="76" t="s">
        <v>13344</v>
      </c>
      <c r="AP136" s="82" t="str">
        <f>HYPERLINK("https://t.co/1D9dNGcyxA")</f>
        <v>https://t.co/1D9dNGcyxA</v>
      </c>
      <c r="AQ136" s="82" t="str">
        <f>HYPERLINK("http://www.todostuslibros.com")</f>
        <v>http://www.todostuslibros.com</v>
      </c>
      <c r="AR136" s="76" t="s">
        <v>4241</v>
      </c>
      <c r="AS136" s="76"/>
      <c r="AT136" s="76"/>
      <c r="AU136" s="76"/>
      <c r="AV136" s="76"/>
      <c r="AW136" s="82" t="str">
        <f>HYPERLINK("https://t.co/1D9dNGcyxA")</f>
        <v>https://t.co/1D9dNGcyxA</v>
      </c>
      <c r="AX136" s="76" t="b">
        <v>0</v>
      </c>
      <c r="AY136" s="76"/>
      <c r="AZ136" s="76"/>
      <c r="BA136" s="76" t="b">
        <v>1</v>
      </c>
      <c r="BB136" s="76" t="b">
        <v>1</v>
      </c>
      <c r="BC136" s="76" t="b">
        <v>0</v>
      </c>
      <c r="BD136" s="76" t="b">
        <v>0</v>
      </c>
      <c r="BE136" s="76" t="b">
        <v>1</v>
      </c>
      <c r="BF136" s="76" t="b">
        <v>0</v>
      </c>
      <c r="BG136" s="76" t="b">
        <v>0</v>
      </c>
      <c r="BH136" s="82" t="str">
        <f>HYPERLINK("https://pbs.twimg.com/profile_banners/873118687493996546/1684411539")</f>
        <v>https://pbs.twimg.com/profile_banners/873118687493996546/1684411539</v>
      </c>
      <c r="BI136" s="76"/>
      <c r="BJ136" s="76" t="s">
        <v>14450</v>
      </c>
      <c r="BK136" s="76" t="b">
        <v>0</v>
      </c>
      <c r="BL136" s="76"/>
      <c r="BM136" s="76" t="s">
        <v>65</v>
      </c>
      <c r="BN136" s="76" t="s">
        <v>14452</v>
      </c>
      <c r="BO136" s="82" t="str">
        <f>HYPERLINK("https://twitter.com/todostuslibros_")</f>
        <v>https://twitter.com/todostuslibros_</v>
      </c>
      <c r="BP136" s="2"/>
    </row>
    <row r="137" spans="1:68" x14ac:dyDescent="0.25">
      <c r="A137" s="62" t="s">
        <v>330</v>
      </c>
      <c r="B137" s="63"/>
      <c r="C137" s="63"/>
      <c r="D137" s="64"/>
      <c r="E137" s="66"/>
      <c r="F137" s="103" t="str">
        <f>HYPERLINK("https://pbs.twimg.com/profile_images/1685234088574160896/W_kyUwz3_normal.jpg")</f>
        <v>https://pbs.twimg.com/profile_images/1685234088574160896/W_kyUwz3_normal.jpg</v>
      </c>
      <c r="G137" s="63"/>
      <c r="H137" s="67"/>
      <c r="I137" s="68"/>
      <c r="J137" s="68"/>
      <c r="K137" s="67" t="s">
        <v>14586</v>
      </c>
      <c r="L137" s="71"/>
      <c r="M137" s="72"/>
      <c r="N137" s="72"/>
      <c r="O137" s="73"/>
      <c r="P137" s="74"/>
      <c r="Q137" s="74"/>
      <c r="R137" s="87"/>
      <c r="S137" s="87"/>
      <c r="T137" s="87"/>
      <c r="U137" s="87"/>
      <c r="V137" s="48"/>
      <c r="W137" s="48"/>
      <c r="X137" s="48"/>
      <c r="Y137" s="48"/>
      <c r="Z137" s="47"/>
      <c r="AA137" s="69">
        <v>137</v>
      </c>
      <c r="AB137" s="69"/>
      <c r="AC137" s="70"/>
      <c r="AD137" s="76" t="s">
        <v>11879</v>
      </c>
      <c r="AE137" s="80" t="s">
        <v>11456</v>
      </c>
      <c r="AF137" s="76">
        <v>0</v>
      </c>
      <c r="AG137" s="76">
        <v>24</v>
      </c>
      <c r="AH137" s="76">
        <v>24</v>
      </c>
      <c r="AI137" s="76">
        <v>0</v>
      </c>
      <c r="AJ137" s="76">
        <v>26</v>
      </c>
      <c r="AK137" s="76">
        <v>1</v>
      </c>
      <c r="AL137" s="76" t="b">
        <v>0</v>
      </c>
      <c r="AM137" s="78">
        <v>45135.453310185185</v>
      </c>
      <c r="AN137" s="76" t="s">
        <v>12944</v>
      </c>
      <c r="AO137" s="76" t="s">
        <v>13345</v>
      </c>
      <c r="AP137" s="76"/>
      <c r="AQ137" s="76"/>
      <c r="AR137" s="76"/>
      <c r="AS137" s="76"/>
      <c r="AT137" s="76"/>
      <c r="AU137" s="76"/>
      <c r="AV137" s="76">
        <v>1.68502872622275E+18</v>
      </c>
      <c r="AW137" s="76"/>
      <c r="AX137" s="76" t="b">
        <v>0</v>
      </c>
      <c r="AY137" s="76"/>
      <c r="AZ137" s="76"/>
      <c r="BA137" s="76" t="b">
        <v>0</v>
      </c>
      <c r="BB137" s="76" t="b">
        <v>1</v>
      </c>
      <c r="BC137" s="76" t="b">
        <v>1</v>
      </c>
      <c r="BD137" s="76" t="b">
        <v>0</v>
      </c>
      <c r="BE137" s="76" t="b">
        <v>0</v>
      </c>
      <c r="BF137" s="76" t="b">
        <v>0</v>
      </c>
      <c r="BG137" s="76" t="b">
        <v>0</v>
      </c>
      <c r="BH137" s="76"/>
      <c r="BI137" s="76"/>
      <c r="BJ137" s="76" t="s">
        <v>14450</v>
      </c>
      <c r="BK137" s="76" t="b">
        <v>0</v>
      </c>
      <c r="BL137" s="76"/>
      <c r="BM137" s="76" t="s">
        <v>66</v>
      </c>
      <c r="BN137" s="76" t="s">
        <v>14452</v>
      </c>
      <c r="BO137" s="82" t="str">
        <f>HYPERLINK("https://twitter.com/joaormilanezi")</f>
        <v>https://twitter.com/joaormilanezi</v>
      </c>
      <c r="BP137" s="2"/>
    </row>
    <row r="138" spans="1:68" x14ac:dyDescent="0.25">
      <c r="A138" s="62" t="s">
        <v>331</v>
      </c>
      <c r="B138" s="63"/>
      <c r="C138" s="63"/>
      <c r="D138" s="64"/>
      <c r="E138" s="66"/>
      <c r="F138" s="103" t="str">
        <f>HYPERLINK("https://pbs.twimg.com/profile_images/1107563755595096064/z3gDbmKd_normal.png")</f>
        <v>https://pbs.twimg.com/profile_images/1107563755595096064/z3gDbmKd_normal.png</v>
      </c>
      <c r="G138" s="63"/>
      <c r="H138" s="67"/>
      <c r="I138" s="68"/>
      <c r="J138" s="68"/>
      <c r="K138" s="67" t="s">
        <v>14587</v>
      </c>
      <c r="L138" s="71"/>
      <c r="M138" s="72"/>
      <c r="N138" s="72"/>
      <c r="O138" s="73"/>
      <c r="P138" s="74"/>
      <c r="Q138" s="74"/>
      <c r="R138" s="87"/>
      <c r="S138" s="87"/>
      <c r="T138" s="87"/>
      <c r="U138" s="87"/>
      <c r="V138" s="48"/>
      <c r="W138" s="48"/>
      <c r="X138" s="48"/>
      <c r="Y138" s="48"/>
      <c r="Z138" s="47"/>
      <c r="AA138" s="69">
        <v>138</v>
      </c>
      <c r="AB138" s="69"/>
      <c r="AC138" s="70"/>
      <c r="AD138" s="76" t="s">
        <v>11880</v>
      </c>
      <c r="AE138" s="80" t="s">
        <v>12546</v>
      </c>
      <c r="AF138" s="76">
        <v>1158</v>
      </c>
      <c r="AG138" s="76">
        <v>1254</v>
      </c>
      <c r="AH138" s="76">
        <v>3556</v>
      </c>
      <c r="AI138" s="76">
        <v>26</v>
      </c>
      <c r="AJ138" s="76">
        <v>402</v>
      </c>
      <c r="AK138" s="76">
        <v>2862</v>
      </c>
      <c r="AL138" s="76" t="b">
        <v>0</v>
      </c>
      <c r="AM138" s="78">
        <v>40228.323796296296</v>
      </c>
      <c r="AN138" s="76" t="s">
        <v>12945</v>
      </c>
      <c r="AO138" s="76" t="s">
        <v>13346</v>
      </c>
      <c r="AP138" s="82" t="str">
        <f>HYPERLINK("https://t.co/S5A0nV9ug4")</f>
        <v>https://t.co/S5A0nV9ug4</v>
      </c>
      <c r="AQ138" s="82" t="str">
        <f>HYPERLINK("https://www.mpmsoftware.com")</f>
        <v>https://www.mpmsoftware.com</v>
      </c>
      <c r="AR138" s="76" t="s">
        <v>13988</v>
      </c>
      <c r="AS138" s="76"/>
      <c r="AT138" s="76"/>
      <c r="AU138" s="76"/>
      <c r="AV138" s="76">
        <v>1.62336049991934E+18</v>
      </c>
      <c r="AW138" s="82" t="str">
        <f>HYPERLINK("https://t.co/S5A0nV9ug4")</f>
        <v>https://t.co/S5A0nV9ug4</v>
      </c>
      <c r="AX138" s="76" t="b">
        <v>0</v>
      </c>
      <c r="AY138" s="76"/>
      <c r="AZ138" s="76"/>
      <c r="BA138" s="76" t="b">
        <v>0</v>
      </c>
      <c r="BB138" s="76" t="b">
        <v>1</v>
      </c>
      <c r="BC138" s="76" t="b">
        <v>0</v>
      </c>
      <c r="BD138" s="76" t="b">
        <v>0</v>
      </c>
      <c r="BE138" s="76" t="b">
        <v>0</v>
      </c>
      <c r="BF138" s="76" t="b">
        <v>0</v>
      </c>
      <c r="BG138" s="76" t="b">
        <v>0</v>
      </c>
      <c r="BH138" s="82" t="str">
        <f>HYPERLINK("https://pbs.twimg.com/profile_banners/115608265/1552898611")</f>
        <v>https://pbs.twimg.com/profile_banners/115608265/1552898611</v>
      </c>
      <c r="BI138" s="76"/>
      <c r="BJ138" s="76" t="s">
        <v>14450</v>
      </c>
      <c r="BK138" s="76" t="b">
        <v>0</v>
      </c>
      <c r="BL138" s="76"/>
      <c r="BM138" s="76" t="s">
        <v>66</v>
      </c>
      <c r="BN138" s="76" t="s">
        <v>14452</v>
      </c>
      <c r="BO138" s="82" t="str">
        <f>HYPERLINK("https://twitter.com/mpmsoftware")</f>
        <v>https://twitter.com/mpmsoftware</v>
      </c>
      <c r="BP138" s="2"/>
    </row>
    <row r="139" spans="1:68" x14ac:dyDescent="0.25">
      <c r="A139" s="62" t="s">
        <v>332</v>
      </c>
      <c r="B139" s="63"/>
      <c r="C139" s="63"/>
      <c r="D139" s="64"/>
      <c r="E139" s="66"/>
      <c r="F139" s="103" t="str">
        <f>HYPERLINK("https://pbs.twimg.com/profile_images/1283722360168882178/u1Vms7bj_normal.jpg")</f>
        <v>https://pbs.twimg.com/profile_images/1283722360168882178/u1Vms7bj_normal.jpg</v>
      </c>
      <c r="G139" s="63"/>
      <c r="H139" s="67"/>
      <c r="I139" s="68"/>
      <c r="J139" s="68"/>
      <c r="K139" s="67" t="s">
        <v>14588</v>
      </c>
      <c r="L139" s="71"/>
      <c r="M139" s="72"/>
      <c r="N139" s="72"/>
      <c r="O139" s="73"/>
      <c r="P139" s="74"/>
      <c r="Q139" s="74"/>
      <c r="R139" s="87"/>
      <c r="S139" s="87"/>
      <c r="T139" s="87"/>
      <c r="U139" s="87"/>
      <c r="V139" s="48"/>
      <c r="W139" s="48"/>
      <c r="X139" s="48"/>
      <c r="Y139" s="48"/>
      <c r="Z139" s="47"/>
      <c r="AA139" s="69">
        <v>139</v>
      </c>
      <c r="AB139" s="69"/>
      <c r="AC139" s="70"/>
      <c r="AD139" s="76" t="s">
        <v>11881</v>
      </c>
      <c r="AE139" s="80" t="s">
        <v>12547</v>
      </c>
      <c r="AF139" s="76">
        <v>502</v>
      </c>
      <c r="AG139" s="76">
        <v>31</v>
      </c>
      <c r="AH139" s="76">
        <v>5835</v>
      </c>
      <c r="AI139" s="76">
        <v>0</v>
      </c>
      <c r="AJ139" s="76">
        <v>230</v>
      </c>
      <c r="AK139" s="76">
        <v>268</v>
      </c>
      <c r="AL139" s="76" t="b">
        <v>0</v>
      </c>
      <c r="AM139" s="78">
        <v>39842.603206018517</v>
      </c>
      <c r="AN139" s="76" t="s">
        <v>12946</v>
      </c>
      <c r="AO139" s="76" t="s">
        <v>13347</v>
      </c>
      <c r="AP139" s="82" t="str">
        <f>HYPERLINK("https://t.co/nRi4x1jP5g")</f>
        <v>https://t.co/nRi4x1jP5g</v>
      </c>
      <c r="AQ139" s="82" t="str">
        <f>HYPERLINK("http://www.rogeriomartins.com.br")</f>
        <v>http://www.rogeriomartins.com.br</v>
      </c>
      <c r="AR139" s="76" t="s">
        <v>13989</v>
      </c>
      <c r="AS139" s="76"/>
      <c r="AT139" s="76"/>
      <c r="AU139" s="76"/>
      <c r="AV139" s="76"/>
      <c r="AW139" s="82" t="str">
        <f>HYPERLINK("https://t.co/nRi4x1jP5g")</f>
        <v>https://t.co/nRi4x1jP5g</v>
      </c>
      <c r="AX139" s="76" t="b">
        <v>0</v>
      </c>
      <c r="AY139" s="76"/>
      <c r="AZ139" s="76"/>
      <c r="BA139" s="76" t="b">
        <v>0</v>
      </c>
      <c r="BB139" s="76" t="b">
        <v>1</v>
      </c>
      <c r="BC139" s="76" t="b">
        <v>0</v>
      </c>
      <c r="BD139" s="76" t="b">
        <v>0</v>
      </c>
      <c r="BE139" s="76" t="b">
        <v>0</v>
      </c>
      <c r="BF139" s="76" t="b">
        <v>0</v>
      </c>
      <c r="BG139" s="76" t="b">
        <v>0</v>
      </c>
      <c r="BH139" s="82" t="str">
        <f>HYPERLINK("https://pbs.twimg.com/profile_banners/19712873/1428677892")</f>
        <v>https://pbs.twimg.com/profile_banners/19712873/1428677892</v>
      </c>
      <c r="BI139" s="76"/>
      <c r="BJ139" s="76" t="s">
        <v>14450</v>
      </c>
      <c r="BK139" s="76" t="b">
        <v>0</v>
      </c>
      <c r="BL139" s="76"/>
      <c r="BM139" s="76" t="s">
        <v>66</v>
      </c>
      <c r="BN139" s="76" t="s">
        <v>14452</v>
      </c>
      <c r="BO139" s="82" t="str">
        <f>HYPERLINK("https://twitter.com/rogermar")</f>
        <v>https://twitter.com/rogermar</v>
      </c>
      <c r="BP139" s="2"/>
    </row>
    <row r="140" spans="1:68" x14ac:dyDescent="0.25">
      <c r="A140" s="62" t="s">
        <v>333</v>
      </c>
      <c r="B140" s="63"/>
      <c r="C140" s="63"/>
      <c r="D140" s="64"/>
      <c r="E140" s="66"/>
      <c r="F140" s="103" t="str">
        <f>HYPERLINK("https://pbs.twimg.com/profile_images/1671165657868800003/vESu1vLP_normal.jpg")</f>
        <v>https://pbs.twimg.com/profile_images/1671165657868800003/vESu1vLP_normal.jpg</v>
      </c>
      <c r="G140" s="63"/>
      <c r="H140" s="67"/>
      <c r="I140" s="68"/>
      <c r="J140" s="68"/>
      <c r="K140" s="67" t="s">
        <v>14589</v>
      </c>
      <c r="L140" s="71"/>
      <c r="M140" s="72"/>
      <c r="N140" s="72"/>
      <c r="O140" s="73"/>
      <c r="P140" s="74"/>
      <c r="Q140" s="74"/>
      <c r="R140" s="87"/>
      <c r="S140" s="87"/>
      <c r="T140" s="87"/>
      <c r="U140" s="87"/>
      <c r="V140" s="48"/>
      <c r="W140" s="48"/>
      <c r="X140" s="48"/>
      <c r="Y140" s="48"/>
      <c r="Z140" s="47"/>
      <c r="AA140" s="69">
        <v>140</v>
      </c>
      <c r="AB140" s="69"/>
      <c r="AC140" s="70"/>
      <c r="AD140" s="76" t="s">
        <v>11882</v>
      </c>
      <c r="AE140" s="80" t="s">
        <v>11457</v>
      </c>
      <c r="AF140" s="76">
        <v>11</v>
      </c>
      <c r="AG140" s="76">
        <v>87</v>
      </c>
      <c r="AH140" s="76">
        <v>40</v>
      </c>
      <c r="AI140" s="76">
        <v>0</v>
      </c>
      <c r="AJ140" s="76">
        <v>17</v>
      </c>
      <c r="AK140" s="76">
        <v>40</v>
      </c>
      <c r="AL140" s="76" t="b">
        <v>0</v>
      </c>
      <c r="AM140" s="78">
        <v>45097.608437499999</v>
      </c>
      <c r="AN140" s="76"/>
      <c r="AO140" s="76"/>
      <c r="AP140" s="76"/>
      <c r="AQ140" s="76"/>
      <c r="AR140" s="76"/>
      <c r="AS140" s="76"/>
      <c r="AT140" s="76"/>
      <c r="AU140" s="76"/>
      <c r="AV140" s="76"/>
      <c r="AW140" s="76"/>
      <c r="AX140" s="76" t="b">
        <v>0</v>
      </c>
      <c r="AY140" s="76"/>
      <c r="AZ140" s="76"/>
      <c r="BA140" s="76" t="b">
        <v>0</v>
      </c>
      <c r="BB140" s="76" t="b">
        <v>1</v>
      </c>
      <c r="BC140" s="76" t="b">
        <v>1</v>
      </c>
      <c r="BD140" s="76" t="b">
        <v>0</v>
      </c>
      <c r="BE140" s="76" t="b">
        <v>0</v>
      </c>
      <c r="BF140" s="76" t="b">
        <v>0</v>
      </c>
      <c r="BG140" s="76" t="b">
        <v>0</v>
      </c>
      <c r="BH140" s="76"/>
      <c r="BI140" s="76"/>
      <c r="BJ140" s="76" t="s">
        <v>14450</v>
      </c>
      <c r="BK140" s="76" t="b">
        <v>0</v>
      </c>
      <c r="BL140" s="76"/>
      <c r="BM140" s="76" t="s">
        <v>66</v>
      </c>
      <c r="BN140" s="76" t="s">
        <v>14452</v>
      </c>
      <c r="BO140" s="82" t="str">
        <f>HYPERLINK("https://twitter.com/umancolombia")</f>
        <v>https://twitter.com/umancolombia</v>
      </c>
      <c r="BP140" s="2"/>
    </row>
    <row r="141" spans="1:68" x14ac:dyDescent="0.25">
      <c r="A141" s="62" t="s">
        <v>334</v>
      </c>
      <c r="B141" s="63"/>
      <c r="C141" s="63"/>
      <c r="D141" s="64"/>
      <c r="E141" s="66"/>
      <c r="F141" s="103" t="str">
        <f>HYPERLINK("https://pbs.twimg.com/profile_images/1486151902702321665/mLE6Okwn_normal.jpg")</f>
        <v>https://pbs.twimg.com/profile_images/1486151902702321665/mLE6Okwn_normal.jpg</v>
      </c>
      <c r="G141" s="63"/>
      <c r="H141" s="67"/>
      <c r="I141" s="68"/>
      <c r="J141" s="68"/>
      <c r="K141" s="67" t="s">
        <v>14590</v>
      </c>
      <c r="L141" s="71"/>
      <c r="M141" s="72"/>
      <c r="N141" s="72"/>
      <c r="O141" s="73"/>
      <c r="P141" s="74"/>
      <c r="Q141" s="74"/>
      <c r="R141" s="87"/>
      <c r="S141" s="87"/>
      <c r="T141" s="87"/>
      <c r="U141" s="87"/>
      <c r="V141" s="48"/>
      <c r="W141" s="48"/>
      <c r="X141" s="48"/>
      <c r="Y141" s="48"/>
      <c r="Z141" s="47"/>
      <c r="AA141" s="69">
        <v>141</v>
      </c>
      <c r="AB141" s="69"/>
      <c r="AC141" s="70"/>
      <c r="AD141" s="76" t="s">
        <v>11883</v>
      </c>
      <c r="AE141" s="80" t="s">
        <v>12548</v>
      </c>
      <c r="AF141" s="76">
        <v>1046</v>
      </c>
      <c r="AG141" s="76">
        <v>443</v>
      </c>
      <c r="AH141" s="76">
        <v>21513</v>
      </c>
      <c r="AI141" s="76">
        <v>145</v>
      </c>
      <c r="AJ141" s="76">
        <v>2101</v>
      </c>
      <c r="AK141" s="76">
        <v>6201</v>
      </c>
      <c r="AL141" s="76" t="b">
        <v>0</v>
      </c>
      <c r="AM141" s="78">
        <v>40272.139814814815</v>
      </c>
      <c r="AN141" s="76" t="s">
        <v>12947</v>
      </c>
      <c r="AO141" s="76" t="s">
        <v>13348</v>
      </c>
      <c r="AP141" s="82" t="str">
        <f>HYPERLINK("https://t.co/tfFlHJWyRc")</f>
        <v>https://t.co/tfFlHJWyRc</v>
      </c>
      <c r="AQ141" s="82" t="str">
        <f>HYPERLINK("http://otrozurdo.com")</f>
        <v>http://otrozurdo.com</v>
      </c>
      <c r="AR141" s="76" t="s">
        <v>13990</v>
      </c>
      <c r="AS141" s="76" t="s">
        <v>14370</v>
      </c>
      <c r="AT141" s="76" t="s">
        <v>14381</v>
      </c>
      <c r="AU141" s="76" t="s">
        <v>14406</v>
      </c>
      <c r="AV141" s="76">
        <v>1.49284486648481E+18</v>
      </c>
      <c r="AW141" s="82" t="str">
        <f>HYPERLINK("https://t.co/tfFlHJWyRc")</f>
        <v>https://t.co/tfFlHJWyRc</v>
      </c>
      <c r="AX141" s="76" t="b">
        <v>0</v>
      </c>
      <c r="AY141" s="76"/>
      <c r="AZ141" s="76"/>
      <c r="BA141" s="76" t="b">
        <v>0</v>
      </c>
      <c r="BB141" s="76" t="b">
        <v>0</v>
      </c>
      <c r="BC141" s="76" t="b">
        <v>0</v>
      </c>
      <c r="BD141" s="76" t="b">
        <v>0</v>
      </c>
      <c r="BE141" s="76" t="b">
        <v>1</v>
      </c>
      <c r="BF141" s="76" t="b">
        <v>0</v>
      </c>
      <c r="BG141" s="76" t="b">
        <v>0</v>
      </c>
      <c r="BH141" s="82" t="str">
        <f>HYPERLINK("https://pbs.twimg.com/profile_banners/129378941/1628381372")</f>
        <v>https://pbs.twimg.com/profile_banners/129378941/1628381372</v>
      </c>
      <c r="BI141" s="76"/>
      <c r="BJ141" s="76" t="s">
        <v>14450</v>
      </c>
      <c r="BK141" s="76" t="b">
        <v>0</v>
      </c>
      <c r="BL141" s="76"/>
      <c r="BM141" s="76" t="s">
        <v>66</v>
      </c>
      <c r="BN141" s="76" t="s">
        <v>14452</v>
      </c>
      <c r="BO141" s="82" t="str">
        <f>HYPERLINK("https://twitter.com/zorbash")</f>
        <v>https://twitter.com/zorbash</v>
      </c>
      <c r="BP141" s="2"/>
    </row>
    <row r="142" spans="1:68" x14ac:dyDescent="0.25">
      <c r="A142" s="62" t="s">
        <v>335</v>
      </c>
      <c r="B142" s="63"/>
      <c r="C142" s="63"/>
      <c r="D142" s="64"/>
      <c r="E142" s="66"/>
      <c r="F142" s="103" t="str">
        <f>HYPERLINK("https://pbs.twimg.com/profile_images/1671489616107405314/FTH4uka4_normal.jpg")</f>
        <v>https://pbs.twimg.com/profile_images/1671489616107405314/FTH4uka4_normal.jpg</v>
      </c>
      <c r="G142" s="63"/>
      <c r="H142" s="67"/>
      <c r="I142" s="68"/>
      <c r="J142" s="68"/>
      <c r="K142" s="67" t="s">
        <v>14591</v>
      </c>
      <c r="L142" s="71"/>
      <c r="M142" s="72"/>
      <c r="N142" s="72"/>
      <c r="O142" s="73"/>
      <c r="P142" s="74"/>
      <c r="Q142" s="74"/>
      <c r="R142" s="87"/>
      <c r="S142" s="87"/>
      <c r="T142" s="87"/>
      <c r="U142" s="87"/>
      <c r="V142" s="48"/>
      <c r="W142" s="48"/>
      <c r="X142" s="48"/>
      <c r="Y142" s="48"/>
      <c r="Z142" s="47"/>
      <c r="AA142" s="69">
        <v>142</v>
      </c>
      <c r="AB142" s="69"/>
      <c r="AC142" s="70"/>
      <c r="AD142" s="76" t="s">
        <v>11884</v>
      </c>
      <c r="AE142" s="80" t="s">
        <v>11458</v>
      </c>
      <c r="AF142" s="76">
        <v>5</v>
      </c>
      <c r="AG142" s="76">
        <v>1</v>
      </c>
      <c r="AH142" s="76">
        <v>269</v>
      </c>
      <c r="AI142" s="76">
        <v>0</v>
      </c>
      <c r="AJ142" s="76">
        <v>2</v>
      </c>
      <c r="AK142" s="76">
        <v>269</v>
      </c>
      <c r="AL142" s="76" t="b">
        <v>0</v>
      </c>
      <c r="AM142" s="78">
        <v>45098.50408564815</v>
      </c>
      <c r="AN142" s="76"/>
      <c r="AO142" s="76" t="s">
        <v>13349</v>
      </c>
      <c r="AP142" s="76"/>
      <c r="AQ142" s="76"/>
      <c r="AR142" s="76"/>
      <c r="AS142" s="76"/>
      <c r="AT142" s="76"/>
      <c r="AU142" s="76"/>
      <c r="AV142" s="76"/>
      <c r="AW142" s="76"/>
      <c r="AX142" s="76" t="b">
        <v>0</v>
      </c>
      <c r="AY142" s="76"/>
      <c r="AZ142" s="76"/>
      <c r="BA142" s="76" t="b">
        <v>0</v>
      </c>
      <c r="BB142" s="76" t="b">
        <v>1</v>
      </c>
      <c r="BC142" s="76" t="b">
        <v>1</v>
      </c>
      <c r="BD142" s="76" t="b">
        <v>0</v>
      </c>
      <c r="BE142" s="76" t="b">
        <v>0</v>
      </c>
      <c r="BF142" s="76" t="b">
        <v>0</v>
      </c>
      <c r="BG142" s="76" t="b">
        <v>0</v>
      </c>
      <c r="BH142" s="76"/>
      <c r="BI142" s="76"/>
      <c r="BJ142" s="76" t="s">
        <v>14450</v>
      </c>
      <c r="BK142" s="76" t="b">
        <v>0</v>
      </c>
      <c r="BL142" s="76"/>
      <c r="BM142" s="76" t="s">
        <v>66</v>
      </c>
      <c r="BN142" s="76" t="s">
        <v>14452</v>
      </c>
      <c r="BO142" s="82" t="str">
        <f>HYPERLINK("https://twitter.com/nicolassalesadv")</f>
        <v>https://twitter.com/nicolassalesadv</v>
      </c>
      <c r="BP142" s="2"/>
    </row>
    <row r="143" spans="1:68" x14ac:dyDescent="0.25">
      <c r="A143" s="62" t="s">
        <v>336</v>
      </c>
      <c r="B143" s="63"/>
      <c r="C143" s="63"/>
      <c r="D143" s="64"/>
      <c r="E143" s="66"/>
      <c r="F143" s="103" t="str">
        <f>HYPERLINK("https://pbs.twimg.com/profile_images/1627786259073576960/O4IF-Ik2_normal.png")</f>
        <v>https://pbs.twimg.com/profile_images/1627786259073576960/O4IF-Ik2_normal.png</v>
      </c>
      <c r="G143" s="63"/>
      <c r="H143" s="67"/>
      <c r="I143" s="68"/>
      <c r="J143" s="68"/>
      <c r="K143" s="67" t="s">
        <v>14592</v>
      </c>
      <c r="L143" s="71"/>
      <c r="M143" s="72"/>
      <c r="N143" s="72"/>
      <c r="O143" s="73"/>
      <c r="P143" s="74"/>
      <c r="Q143" s="74"/>
      <c r="R143" s="87"/>
      <c r="S143" s="87"/>
      <c r="T143" s="87"/>
      <c r="U143" s="87"/>
      <c r="V143" s="48"/>
      <c r="W143" s="48"/>
      <c r="X143" s="48"/>
      <c r="Y143" s="48"/>
      <c r="Z143" s="47"/>
      <c r="AA143" s="69">
        <v>143</v>
      </c>
      <c r="AB143" s="69"/>
      <c r="AC143" s="70"/>
      <c r="AD143" s="76" t="s">
        <v>11885</v>
      </c>
      <c r="AE143" s="80" t="s">
        <v>11459</v>
      </c>
      <c r="AF143" s="76">
        <v>28</v>
      </c>
      <c r="AG143" s="76">
        <v>298</v>
      </c>
      <c r="AH143" s="76">
        <v>67</v>
      </c>
      <c r="AI143" s="76">
        <v>1</v>
      </c>
      <c r="AJ143" s="76">
        <v>1068</v>
      </c>
      <c r="AK143" s="76">
        <v>3</v>
      </c>
      <c r="AL143" s="76" t="b">
        <v>0</v>
      </c>
      <c r="AM143" s="78">
        <v>44977.905798611115</v>
      </c>
      <c r="AN143" s="76"/>
      <c r="AO143" s="76"/>
      <c r="AP143" s="76"/>
      <c r="AQ143" s="76"/>
      <c r="AR143" s="76"/>
      <c r="AS143" s="76"/>
      <c r="AT143" s="76"/>
      <c r="AU143" s="76"/>
      <c r="AV143" s="76"/>
      <c r="AW143" s="76"/>
      <c r="AX143" s="76" t="b">
        <v>0</v>
      </c>
      <c r="AY143" s="76"/>
      <c r="AZ143" s="76"/>
      <c r="BA143" s="76" t="b">
        <v>0</v>
      </c>
      <c r="BB143" s="76" t="b">
        <v>1</v>
      </c>
      <c r="BC143" s="76" t="b">
        <v>1</v>
      </c>
      <c r="BD143" s="76" t="b">
        <v>0</v>
      </c>
      <c r="BE143" s="76" t="b">
        <v>0</v>
      </c>
      <c r="BF143" s="76" t="b">
        <v>0</v>
      </c>
      <c r="BG143" s="76" t="b">
        <v>0</v>
      </c>
      <c r="BH143" s="76"/>
      <c r="BI143" s="76"/>
      <c r="BJ143" s="76" t="s">
        <v>14450</v>
      </c>
      <c r="BK143" s="76" t="b">
        <v>0</v>
      </c>
      <c r="BL143" s="76"/>
      <c r="BM143" s="76" t="s">
        <v>66</v>
      </c>
      <c r="BN143" s="76" t="s">
        <v>14452</v>
      </c>
      <c r="BO143" s="82" t="str">
        <f>HYPERLINK("https://twitter.com/alexbru65408321")</f>
        <v>https://twitter.com/alexbru65408321</v>
      </c>
      <c r="BP143" s="2"/>
    </row>
    <row r="144" spans="1:68" x14ac:dyDescent="0.25">
      <c r="A144" s="62" t="s">
        <v>337</v>
      </c>
      <c r="B144" s="63"/>
      <c r="C144" s="63"/>
      <c r="D144" s="64"/>
      <c r="E144" s="66"/>
      <c r="F144" s="103" t="str">
        <f>HYPERLINK("https://pbs.twimg.com/profile_images/1445853333302890497/_g428Fz1_normal.jpg")</f>
        <v>https://pbs.twimg.com/profile_images/1445853333302890497/_g428Fz1_normal.jpg</v>
      </c>
      <c r="G144" s="63"/>
      <c r="H144" s="67"/>
      <c r="I144" s="68"/>
      <c r="J144" s="68"/>
      <c r="K144" s="67" t="s">
        <v>14593</v>
      </c>
      <c r="L144" s="71"/>
      <c r="M144" s="72"/>
      <c r="N144" s="72"/>
      <c r="O144" s="73"/>
      <c r="P144" s="74"/>
      <c r="Q144" s="74"/>
      <c r="R144" s="87"/>
      <c r="S144" s="87"/>
      <c r="T144" s="87"/>
      <c r="U144" s="87"/>
      <c r="V144" s="48"/>
      <c r="W144" s="48"/>
      <c r="X144" s="48"/>
      <c r="Y144" s="48"/>
      <c r="Z144" s="47"/>
      <c r="AA144" s="69">
        <v>144</v>
      </c>
      <c r="AB144" s="69"/>
      <c r="AC144" s="70"/>
      <c r="AD144" s="76" t="s">
        <v>5821</v>
      </c>
      <c r="AE144" s="80" t="s">
        <v>11460</v>
      </c>
      <c r="AF144" s="76">
        <v>92</v>
      </c>
      <c r="AG144" s="76">
        <v>38</v>
      </c>
      <c r="AH144" s="76">
        <v>9173</v>
      </c>
      <c r="AI144" s="76">
        <v>1</v>
      </c>
      <c r="AJ144" s="76">
        <v>8</v>
      </c>
      <c r="AK144" s="76">
        <v>4</v>
      </c>
      <c r="AL144" s="76" t="b">
        <v>0</v>
      </c>
      <c r="AM144" s="78">
        <v>44412.77144675926</v>
      </c>
      <c r="AN144" s="76"/>
      <c r="AO144" s="76" t="s">
        <v>13350</v>
      </c>
      <c r="AP144" s="82" t="str">
        <f>HYPERLINK("https://t.co/PgXWwen27A")</f>
        <v>https://t.co/PgXWwen27A</v>
      </c>
      <c r="AQ144" s="82" t="str">
        <f>HYPERLINK("http://www.samirnews.com")</f>
        <v>http://www.samirnews.com</v>
      </c>
      <c r="AR144" s="76" t="s">
        <v>4244</v>
      </c>
      <c r="AS144" s="76"/>
      <c r="AT144" s="76"/>
      <c r="AU144" s="76"/>
      <c r="AV144" s="76"/>
      <c r="AW144" s="82" t="str">
        <f>HYPERLINK("https://t.co/PgXWwen27A")</f>
        <v>https://t.co/PgXWwen27A</v>
      </c>
      <c r="AX144" s="76" t="b">
        <v>0</v>
      </c>
      <c r="AY144" s="76"/>
      <c r="AZ144" s="76"/>
      <c r="BA144" s="76" t="b">
        <v>0</v>
      </c>
      <c r="BB144" s="76" t="b">
        <v>1</v>
      </c>
      <c r="BC144" s="76" t="b">
        <v>1</v>
      </c>
      <c r="BD144" s="76" t="b">
        <v>0</v>
      </c>
      <c r="BE144" s="76" t="b">
        <v>0</v>
      </c>
      <c r="BF144" s="76" t="b">
        <v>0</v>
      </c>
      <c r="BG144" s="76" t="b">
        <v>0</v>
      </c>
      <c r="BH144" s="82" t="str">
        <f>HYPERLINK("https://pbs.twimg.com/profile_banners/1422988019792060422/1633553647")</f>
        <v>https://pbs.twimg.com/profile_banners/1422988019792060422/1633553647</v>
      </c>
      <c r="BI144" s="76"/>
      <c r="BJ144" s="76" t="s">
        <v>14450</v>
      </c>
      <c r="BK144" s="76" t="b">
        <v>0</v>
      </c>
      <c r="BL144" s="76"/>
      <c r="BM144" s="76" t="s">
        <v>66</v>
      </c>
      <c r="BN144" s="76" t="s">
        <v>14452</v>
      </c>
      <c r="BO144" s="82" t="str">
        <f>HYPERLINK("https://twitter.com/canalfs0ciety")</f>
        <v>https://twitter.com/canalfs0ciety</v>
      </c>
      <c r="BP144" s="2"/>
    </row>
    <row r="145" spans="1:68" x14ac:dyDescent="0.25">
      <c r="A145" s="62" t="s">
        <v>338</v>
      </c>
      <c r="B145" s="63"/>
      <c r="C145" s="63"/>
      <c r="D145" s="64"/>
      <c r="E145" s="66"/>
      <c r="F145" s="103" t="str">
        <f>HYPERLINK("https://pbs.twimg.com/profile_images/483835142784286721/qfznLNQ0_normal.png")</f>
        <v>https://pbs.twimg.com/profile_images/483835142784286721/qfznLNQ0_normal.png</v>
      </c>
      <c r="G145" s="63"/>
      <c r="H145" s="67"/>
      <c r="I145" s="68"/>
      <c r="J145" s="68"/>
      <c r="K145" s="67" t="s">
        <v>14594</v>
      </c>
      <c r="L145" s="71"/>
      <c r="M145" s="72"/>
      <c r="N145" s="72"/>
      <c r="O145" s="73"/>
      <c r="P145" s="74"/>
      <c r="Q145" s="74"/>
      <c r="R145" s="87"/>
      <c r="S145" s="87"/>
      <c r="T145" s="87"/>
      <c r="U145" s="87"/>
      <c r="V145" s="48"/>
      <c r="W145" s="48"/>
      <c r="X145" s="48"/>
      <c r="Y145" s="48"/>
      <c r="Z145" s="47"/>
      <c r="AA145" s="69">
        <v>145</v>
      </c>
      <c r="AB145" s="69"/>
      <c r="AC145" s="70"/>
      <c r="AD145" s="76" t="s">
        <v>11886</v>
      </c>
      <c r="AE145" s="80" t="s">
        <v>12549</v>
      </c>
      <c r="AF145" s="76">
        <v>3398</v>
      </c>
      <c r="AG145" s="76">
        <v>2254</v>
      </c>
      <c r="AH145" s="76">
        <v>1635344</v>
      </c>
      <c r="AI145" s="76">
        <v>0</v>
      </c>
      <c r="AJ145" s="76">
        <v>170</v>
      </c>
      <c r="AK145" s="76">
        <v>4</v>
      </c>
      <c r="AL145" s="76" t="b">
        <v>0</v>
      </c>
      <c r="AM145" s="78">
        <v>40141.851365740738</v>
      </c>
      <c r="AN145" s="76" t="s">
        <v>12875</v>
      </c>
      <c r="AO145" s="76" t="s">
        <v>13351</v>
      </c>
      <c r="AP145" s="82" t="str">
        <f>HYPERLINK("https://t.co/K6BnvBdZRG")</f>
        <v>https://t.co/K6BnvBdZRG</v>
      </c>
      <c r="AQ145" s="82" t="str">
        <f>HYPERLINK("https://lado.mx")</f>
        <v>https://lado.mx</v>
      </c>
      <c r="AR145" s="76" t="s">
        <v>4245</v>
      </c>
      <c r="AS145" s="82" t="str">
        <f>HYPERLINK("https://t.co/RC2nuEFqp2")</f>
        <v>https://t.co/RC2nuEFqp2</v>
      </c>
      <c r="AT145" s="82" t="str">
        <f>HYPERLINK("http://lado.mx")</f>
        <v>http://lado.mx</v>
      </c>
      <c r="AU145" s="76" t="s">
        <v>4245</v>
      </c>
      <c r="AV145" s="76">
        <v>1.04424418936877E+18</v>
      </c>
      <c r="AW145" s="82" t="str">
        <f>HYPERLINK("https://t.co/K6BnvBdZRG")</f>
        <v>https://t.co/K6BnvBdZRG</v>
      </c>
      <c r="AX145" s="76" t="b">
        <v>0</v>
      </c>
      <c r="AY145" s="76"/>
      <c r="AZ145" s="76"/>
      <c r="BA145" s="76" t="b">
        <v>0</v>
      </c>
      <c r="BB145" s="76" t="b">
        <v>1</v>
      </c>
      <c r="BC145" s="76" t="b">
        <v>0</v>
      </c>
      <c r="BD145" s="76" t="b">
        <v>0</v>
      </c>
      <c r="BE145" s="76" t="b">
        <v>1</v>
      </c>
      <c r="BF145" s="76" t="b">
        <v>0</v>
      </c>
      <c r="BG145" s="76" t="b">
        <v>1</v>
      </c>
      <c r="BH145" s="82" t="str">
        <f>HYPERLINK("https://pbs.twimg.com/profile_banners/92356864/1404190278")</f>
        <v>https://pbs.twimg.com/profile_banners/92356864/1404190278</v>
      </c>
      <c r="BI145" s="76"/>
      <c r="BJ145" s="76" t="s">
        <v>14450</v>
      </c>
      <c r="BK145" s="76" t="b">
        <v>0</v>
      </c>
      <c r="BL145" s="76"/>
      <c r="BM145" s="76" t="s">
        <v>66</v>
      </c>
      <c r="BN145" s="76" t="s">
        <v>14452</v>
      </c>
      <c r="BO145" s="82" t="str">
        <f>HYPERLINK("https://twitter.com/lado_mx")</f>
        <v>https://twitter.com/lado_mx</v>
      </c>
      <c r="BP145" s="2"/>
    </row>
    <row r="146" spans="1:68" x14ac:dyDescent="0.25">
      <c r="A146" s="62" t="s">
        <v>339</v>
      </c>
      <c r="B146" s="63"/>
      <c r="C146" s="63"/>
      <c r="D146" s="64"/>
      <c r="E146" s="66"/>
      <c r="F146" s="103" t="str">
        <f>HYPERLINK("https://pbs.twimg.com/profile_images/1703530732428144641/vNmdPvyK_normal.jpg")</f>
        <v>https://pbs.twimg.com/profile_images/1703530732428144641/vNmdPvyK_normal.jpg</v>
      </c>
      <c r="G146" s="63"/>
      <c r="H146" s="67"/>
      <c r="I146" s="68"/>
      <c r="J146" s="68"/>
      <c r="K146" s="67" t="s">
        <v>14595</v>
      </c>
      <c r="L146" s="71"/>
      <c r="M146" s="72"/>
      <c r="N146" s="72"/>
      <c r="O146" s="73"/>
      <c r="P146" s="74"/>
      <c r="Q146" s="74"/>
      <c r="R146" s="87"/>
      <c r="S146" s="87"/>
      <c r="T146" s="87"/>
      <c r="U146" s="87"/>
      <c r="V146" s="48"/>
      <c r="W146" s="48"/>
      <c r="X146" s="48"/>
      <c r="Y146" s="48"/>
      <c r="Z146" s="47"/>
      <c r="AA146" s="69">
        <v>146</v>
      </c>
      <c r="AB146" s="69"/>
      <c r="AC146" s="70"/>
      <c r="AD146" s="76" t="s">
        <v>11887</v>
      </c>
      <c r="AE146" s="80" t="s">
        <v>11461</v>
      </c>
      <c r="AF146" s="76">
        <v>884</v>
      </c>
      <c r="AG146" s="76">
        <v>712</v>
      </c>
      <c r="AH146" s="76">
        <v>22029</v>
      </c>
      <c r="AI146" s="76">
        <v>1</v>
      </c>
      <c r="AJ146" s="76">
        <v>18562</v>
      </c>
      <c r="AK146" s="76">
        <v>124</v>
      </c>
      <c r="AL146" s="76" t="b">
        <v>0</v>
      </c>
      <c r="AM146" s="78">
        <v>42668.968310185184</v>
      </c>
      <c r="AN146" s="76" t="s">
        <v>12948</v>
      </c>
      <c r="AO146" s="76" t="s">
        <v>13352</v>
      </c>
      <c r="AP146" s="76"/>
      <c r="AQ146" s="76"/>
      <c r="AR146" s="76"/>
      <c r="AS146" s="76"/>
      <c r="AT146" s="76"/>
      <c r="AU146" s="76"/>
      <c r="AV146" s="76">
        <v>1.70454391947043E+18</v>
      </c>
      <c r="AW146" s="76"/>
      <c r="AX146" s="76" t="b">
        <v>0</v>
      </c>
      <c r="AY146" s="76"/>
      <c r="AZ146" s="76"/>
      <c r="BA146" s="76" t="b">
        <v>0</v>
      </c>
      <c r="BB146" s="76" t="b">
        <v>0</v>
      </c>
      <c r="BC146" s="76" t="b">
        <v>0</v>
      </c>
      <c r="BD146" s="76" t="b">
        <v>0</v>
      </c>
      <c r="BE146" s="76" t="b">
        <v>1</v>
      </c>
      <c r="BF146" s="76" t="b">
        <v>0</v>
      </c>
      <c r="BG146" s="76" t="b">
        <v>0</v>
      </c>
      <c r="BH146" s="82" t="str">
        <f>HYPERLINK("https://pbs.twimg.com/profile_banners/791055328297226242/1688939438")</f>
        <v>https://pbs.twimg.com/profile_banners/791055328297226242/1688939438</v>
      </c>
      <c r="BI146" s="76"/>
      <c r="BJ146" s="76" t="s">
        <v>14450</v>
      </c>
      <c r="BK146" s="76" t="b">
        <v>0</v>
      </c>
      <c r="BL146" s="76"/>
      <c r="BM146" s="76" t="s">
        <v>66</v>
      </c>
      <c r="BN146" s="76" t="s">
        <v>14452</v>
      </c>
      <c r="BO146" s="82" t="str">
        <f>HYPERLINK("https://twitter.com/dudiinhass")</f>
        <v>https://twitter.com/dudiinhass</v>
      </c>
      <c r="BP146" s="2"/>
    </row>
    <row r="147" spans="1:68" x14ac:dyDescent="0.25">
      <c r="A147" s="62" t="s">
        <v>340</v>
      </c>
      <c r="B147" s="63"/>
      <c r="C147" s="63"/>
      <c r="D147" s="64"/>
      <c r="E147" s="66"/>
      <c r="F147" s="103" t="str">
        <f>HYPERLINK("https://pbs.twimg.com/profile_images/1212713219133001728/scaMivNm_normal.jpg")</f>
        <v>https://pbs.twimg.com/profile_images/1212713219133001728/scaMivNm_normal.jpg</v>
      </c>
      <c r="G147" s="63"/>
      <c r="H147" s="67"/>
      <c r="I147" s="68"/>
      <c r="J147" s="68"/>
      <c r="K147" s="67" t="s">
        <v>14596</v>
      </c>
      <c r="L147" s="71"/>
      <c r="M147" s="72"/>
      <c r="N147" s="72"/>
      <c r="O147" s="73"/>
      <c r="P147" s="74"/>
      <c r="Q147" s="74"/>
      <c r="R147" s="87"/>
      <c r="S147" s="87"/>
      <c r="T147" s="87"/>
      <c r="U147" s="87"/>
      <c r="V147" s="48"/>
      <c r="W147" s="48"/>
      <c r="X147" s="48"/>
      <c r="Y147" s="48"/>
      <c r="Z147" s="47"/>
      <c r="AA147" s="69">
        <v>147</v>
      </c>
      <c r="AB147" s="69"/>
      <c r="AC147" s="70"/>
      <c r="AD147" s="76" t="s">
        <v>11888</v>
      </c>
      <c r="AE147" s="80" t="s">
        <v>11462</v>
      </c>
      <c r="AF147" s="76">
        <v>69</v>
      </c>
      <c r="AG147" s="76">
        <v>28</v>
      </c>
      <c r="AH147" s="76">
        <v>868</v>
      </c>
      <c r="AI147" s="76">
        <v>0</v>
      </c>
      <c r="AJ147" s="76">
        <v>59</v>
      </c>
      <c r="AK147" s="76">
        <v>123</v>
      </c>
      <c r="AL147" s="76" t="b">
        <v>0</v>
      </c>
      <c r="AM147" s="78">
        <v>43832.514548611114</v>
      </c>
      <c r="AN147" s="76" t="s">
        <v>12912</v>
      </c>
      <c r="AO147" s="76" t="s">
        <v>13353</v>
      </c>
      <c r="AP147" s="82" t="str">
        <f>HYPERLINK("https://t.co/aUddmoGCOy")</f>
        <v>https://t.co/aUddmoGCOy</v>
      </c>
      <c r="AQ147" s="82" t="str">
        <f>HYPERLINK("http://www.leomigdal.com")</f>
        <v>http://www.leomigdal.com</v>
      </c>
      <c r="AR147" s="76" t="s">
        <v>13991</v>
      </c>
      <c r="AS147" s="76"/>
      <c r="AT147" s="76"/>
      <c r="AU147" s="76"/>
      <c r="AV147" s="76"/>
      <c r="AW147" s="82" t="str">
        <f>HYPERLINK("https://t.co/aUddmoGCOy")</f>
        <v>https://t.co/aUddmoGCOy</v>
      </c>
      <c r="AX147" s="76" t="b">
        <v>0</v>
      </c>
      <c r="AY147" s="76"/>
      <c r="AZ147" s="76"/>
      <c r="BA147" s="76" t="b">
        <v>0</v>
      </c>
      <c r="BB147" s="76" t="b">
        <v>1</v>
      </c>
      <c r="BC147" s="76" t="b">
        <v>1</v>
      </c>
      <c r="BD147" s="76" t="b">
        <v>0</v>
      </c>
      <c r="BE147" s="76" t="b">
        <v>0</v>
      </c>
      <c r="BF147" s="76" t="b">
        <v>0</v>
      </c>
      <c r="BG147" s="76" t="b">
        <v>0</v>
      </c>
      <c r="BH147" s="82" t="str">
        <f>HYPERLINK("https://pbs.twimg.com/profile_banners/1212709890914840577/1593723312")</f>
        <v>https://pbs.twimg.com/profile_banners/1212709890914840577/1593723312</v>
      </c>
      <c r="BI147" s="76"/>
      <c r="BJ147" s="76" t="s">
        <v>14450</v>
      </c>
      <c r="BK147" s="76" t="b">
        <v>0</v>
      </c>
      <c r="BL147" s="76"/>
      <c r="BM147" s="76" t="s">
        <v>66</v>
      </c>
      <c r="BN147" s="76" t="s">
        <v>14452</v>
      </c>
      <c r="BO147" s="82" t="str">
        <f>HYPERLINK("https://twitter.com/leomigdal")</f>
        <v>https://twitter.com/leomigdal</v>
      </c>
      <c r="BP147" s="2"/>
    </row>
    <row r="148" spans="1:68" x14ac:dyDescent="0.25">
      <c r="A148" s="62" t="s">
        <v>341</v>
      </c>
      <c r="B148" s="63"/>
      <c r="C148" s="63"/>
      <c r="D148" s="64"/>
      <c r="E148" s="66"/>
      <c r="F148" s="103" t="str">
        <f>HYPERLINK("https://pbs.twimg.com/profile_images/378800000082364986/677e01ab9cb06a812abd362ba17797b2_normal.jpeg")</f>
        <v>https://pbs.twimg.com/profile_images/378800000082364986/677e01ab9cb06a812abd362ba17797b2_normal.jpeg</v>
      </c>
      <c r="G148" s="63"/>
      <c r="H148" s="67"/>
      <c r="I148" s="68"/>
      <c r="J148" s="68"/>
      <c r="K148" s="67" t="s">
        <v>14597</v>
      </c>
      <c r="L148" s="71"/>
      <c r="M148" s="72"/>
      <c r="N148" s="72"/>
      <c r="O148" s="73"/>
      <c r="P148" s="74"/>
      <c r="Q148" s="74"/>
      <c r="R148" s="87"/>
      <c r="S148" s="87"/>
      <c r="T148" s="87"/>
      <c r="U148" s="87"/>
      <c r="V148" s="48"/>
      <c r="W148" s="48"/>
      <c r="X148" s="48"/>
      <c r="Y148" s="48"/>
      <c r="Z148" s="47"/>
      <c r="AA148" s="69">
        <v>148</v>
      </c>
      <c r="AB148" s="69"/>
      <c r="AC148" s="70"/>
      <c r="AD148" s="76" t="s">
        <v>11889</v>
      </c>
      <c r="AE148" s="80" t="s">
        <v>12550</v>
      </c>
      <c r="AF148" s="76">
        <v>559</v>
      </c>
      <c r="AG148" s="76">
        <v>1361</v>
      </c>
      <c r="AH148" s="76">
        <v>10847</v>
      </c>
      <c r="AI148" s="76">
        <v>3</v>
      </c>
      <c r="AJ148" s="76">
        <v>104</v>
      </c>
      <c r="AK148" s="76">
        <v>9047</v>
      </c>
      <c r="AL148" s="76" t="b">
        <v>0</v>
      </c>
      <c r="AM148" s="78">
        <v>40314.012430555558</v>
      </c>
      <c r="AN148" s="76" t="s">
        <v>12949</v>
      </c>
      <c r="AO148" s="76"/>
      <c r="AP148" s="82" t="str">
        <f>HYPERLINK("http://t.co/rzq43CkIf7")</f>
        <v>http://t.co/rzq43CkIf7</v>
      </c>
      <c r="AQ148" s="82" t="str">
        <f>HYPERLINK("http://www.patriciamurphy.com.ar")</f>
        <v>http://www.patriciamurphy.com.ar</v>
      </c>
      <c r="AR148" s="76" t="s">
        <v>13992</v>
      </c>
      <c r="AS148" s="76"/>
      <c r="AT148" s="76"/>
      <c r="AU148" s="76"/>
      <c r="AV148" s="76"/>
      <c r="AW148" s="82" t="str">
        <f>HYPERLINK("http://t.co/rzq43CkIf7")</f>
        <v>http://t.co/rzq43CkIf7</v>
      </c>
      <c r="AX148" s="76" t="b">
        <v>0</v>
      </c>
      <c r="AY148" s="76"/>
      <c r="AZ148" s="76"/>
      <c r="BA148" s="76" t="b">
        <v>0</v>
      </c>
      <c r="BB148" s="76" t="b">
        <v>0</v>
      </c>
      <c r="BC148" s="76" t="b">
        <v>1</v>
      </c>
      <c r="BD148" s="76" t="b">
        <v>0</v>
      </c>
      <c r="BE148" s="76" t="b">
        <v>0</v>
      </c>
      <c r="BF148" s="76" t="b">
        <v>0</v>
      </c>
      <c r="BG148" s="76" t="b">
        <v>0</v>
      </c>
      <c r="BH148" s="76"/>
      <c r="BI148" s="76"/>
      <c r="BJ148" s="76" t="s">
        <v>14450</v>
      </c>
      <c r="BK148" s="76" t="b">
        <v>0</v>
      </c>
      <c r="BL148" s="76"/>
      <c r="BM148" s="76" t="s">
        <v>66</v>
      </c>
      <c r="BN148" s="76" t="s">
        <v>14452</v>
      </c>
      <c r="BO148" s="82" t="str">
        <f>HYPERLINK("https://twitter.com/pmurphy_ar")</f>
        <v>https://twitter.com/pmurphy_ar</v>
      </c>
      <c r="BP148" s="2"/>
    </row>
    <row r="149" spans="1:68" x14ac:dyDescent="0.25">
      <c r="A149" s="62" t="s">
        <v>342</v>
      </c>
      <c r="B149" s="63"/>
      <c r="C149" s="63"/>
      <c r="D149" s="64"/>
      <c r="E149" s="66"/>
      <c r="F149" s="103" t="str">
        <f>HYPERLINK("https://pbs.twimg.com/profile_images/1612858088645693444/ZVnc0fZt_normal.jpg")</f>
        <v>https://pbs.twimg.com/profile_images/1612858088645693444/ZVnc0fZt_normal.jpg</v>
      </c>
      <c r="G149" s="63"/>
      <c r="H149" s="67"/>
      <c r="I149" s="68"/>
      <c r="J149" s="68"/>
      <c r="K149" s="67" t="s">
        <v>14598</v>
      </c>
      <c r="L149" s="71"/>
      <c r="M149" s="72"/>
      <c r="N149" s="72"/>
      <c r="O149" s="73"/>
      <c r="P149" s="74"/>
      <c r="Q149" s="74"/>
      <c r="R149" s="87"/>
      <c r="S149" s="87"/>
      <c r="T149" s="87"/>
      <c r="U149" s="87"/>
      <c r="V149" s="48"/>
      <c r="W149" s="48"/>
      <c r="X149" s="48"/>
      <c r="Y149" s="48"/>
      <c r="Z149" s="47"/>
      <c r="AA149" s="69">
        <v>149</v>
      </c>
      <c r="AB149" s="69"/>
      <c r="AC149" s="70"/>
      <c r="AD149" s="76" t="s">
        <v>11890</v>
      </c>
      <c r="AE149" s="80" t="s">
        <v>12551</v>
      </c>
      <c r="AF149" s="76">
        <v>23337</v>
      </c>
      <c r="AG149" s="76">
        <v>933</v>
      </c>
      <c r="AH149" s="76">
        <v>13888</v>
      </c>
      <c r="AI149" s="76">
        <v>86</v>
      </c>
      <c r="AJ149" s="76">
        <v>1698</v>
      </c>
      <c r="AK149" s="76">
        <v>2807</v>
      </c>
      <c r="AL149" s="76" t="b">
        <v>0</v>
      </c>
      <c r="AM149" s="78">
        <v>40343.127905092595</v>
      </c>
      <c r="AN149" s="76" t="s">
        <v>12950</v>
      </c>
      <c r="AO149" s="76" t="s">
        <v>13354</v>
      </c>
      <c r="AP149" s="76"/>
      <c r="AQ149" s="76"/>
      <c r="AR149" s="76"/>
      <c r="AS149" s="76"/>
      <c r="AT149" s="76"/>
      <c r="AU149" s="76"/>
      <c r="AV149" s="76"/>
      <c r="AW149" s="76"/>
      <c r="AX149" s="76" t="b">
        <v>0</v>
      </c>
      <c r="AY149" s="76"/>
      <c r="AZ149" s="76"/>
      <c r="BA149" s="76" t="b">
        <v>0</v>
      </c>
      <c r="BB149" s="76" t="b">
        <v>1</v>
      </c>
      <c r="BC149" s="76" t="b">
        <v>1</v>
      </c>
      <c r="BD149" s="76" t="b">
        <v>0</v>
      </c>
      <c r="BE149" s="76" t="b">
        <v>1</v>
      </c>
      <c r="BF149" s="76" t="b">
        <v>0</v>
      </c>
      <c r="BG149" s="76" t="b">
        <v>1</v>
      </c>
      <c r="BH149" s="82" t="str">
        <f>HYPERLINK("https://pbs.twimg.com/profile_banners/155422289/1673370309")</f>
        <v>https://pbs.twimg.com/profile_banners/155422289/1673370309</v>
      </c>
      <c r="BI149" s="76"/>
      <c r="BJ149" s="76" t="s">
        <v>14450</v>
      </c>
      <c r="BK149" s="76" t="b">
        <v>0</v>
      </c>
      <c r="BL149" s="76"/>
      <c r="BM149" s="76" t="s">
        <v>66</v>
      </c>
      <c r="BN149" s="76" t="s">
        <v>14452</v>
      </c>
      <c r="BO149" s="82" t="str">
        <f>HYPERLINK("https://twitter.com/odylarios")</f>
        <v>https://twitter.com/odylarios</v>
      </c>
      <c r="BP149" s="2"/>
    </row>
    <row r="150" spans="1:68" x14ac:dyDescent="0.25">
      <c r="A150" s="62" t="s">
        <v>343</v>
      </c>
      <c r="B150" s="63"/>
      <c r="C150" s="63"/>
      <c r="D150" s="64"/>
      <c r="E150" s="66"/>
      <c r="F150" s="103" t="str">
        <f>HYPERLINK("https://pbs.twimg.com/profile_images/1536831373981454337/xv-qMAX6_normal.jpg")</f>
        <v>https://pbs.twimg.com/profile_images/1536831373981454337/xv-qMAX6_normal.jpg</v>
      </c>
      <c r="G150" s="63"/>
      <c r="H150" s="67"/>
      <c r="I150" s="68"/>
      <c r="J150" s="68"/>
      <c r="K150" s="67" t="s">
        <v>14599</v>
      </c>
      <c r="L150" s="71"/>
      <c r="M150" s="72"/>
      <c r="N150" s="72"/>
      <c r="O150" s="73"/>
      <c r="P150" s="74"/>
      <c r="Q150" s="74"/>
      <c r="R150" s="87"/>
      <c r="S150" s="87"/>
      <c r="T150" s="87"/>
      <c r="U150" s="87"/>
      <c r="V150" s="48"/>
      <c r="W150" s="48"/>
      <c r="X150" s="48"/>
      <c r="Y150" s="48"/>
      <c r="Z150" s="47"/>
      <c r="AA150" s="69">
        <v>150</v>
      </c>
      <c r="AB150" s="69"/>
      <c r="AC150" s="70"/>
      <c r="AD150" s="76" t="s">
        <v>11891</v>
      </c>
      <c r="AE150" s="80" t="s">
        <v>11463</v>
      </c>
      <c r="AF150" s="76">
        <v>11</v>
      </c>
      <c r="AG150" s="76">
        <v>4</v>
      </c>
      <c r="AH150" s="76">
        <v>31</v>
      </c>
      <c r="AI150" s="76">
        <v>0</v>
      </c>
      <c r="AJ150" s="76">
        <v>0</v>
      </c>
      <c r="AK150" s="76">
        <v>30</v>
      </c>
      <c r="AL150" s="76" t="b">
        <v>0</v>
      </c>
      <c r="AM150" s="78">
        <v>44548.555243055554</v>
      </c>
      <c r="AN150" s="76"/>
      <c r="AO150" s="76" t="s">
        <v>13355</v>
      </c>
      <c r="AP150" s="82" t="str">
        <f>HYPERLINK("https://t.co/eQOZkfT4Mo")</f>
        <v>https://t.co/eQOZkfT4Mo</v>
      </c>
      <c r="AQ150" s="82" t="str">
        <f>HYPERLINK("https://mactredxc.com.ar/")</f>
        <v>https://mactredxc.com.ar/</v>
      </c>
      <c r="AR150" s="76" t="s">
        <v>13993</v>
      </c>
      <c r="AS150" s="76"/>
      <c r="AT150" s="76"/>
      <c r="AU150" s="76"/>
      <c r="AV150" s="76"/>
      <c r="AW150" s="82" t="str">
        <f>HYPERLINK("https://t.co/eQOZkfT4Mo")</f>
        <v>https://t.co/eQOZkfT4Mo</v>
      </c>
      <c r="AX150" s="76" t="b">
        <v>0</v>
      </c>
      <c r="AY150" s="76"/>
      <c r="AZ150" s="76"/>
      <c r="BA150" s="76" t="b">
        <v>0</v>
      </c>
      <c r="BB150" s="76" t="b">
        <v>1</v>
      </c>
      <c r="BC150" s="76" t="b">
        <v>1</v>
      </c>
      <c r="BD150" s="76" t="b">
        <v>0</v>
      </c>
      <c r="BE150" s="76" t="b">
        <v>0</v>
      </c>
      <c r="BF150" s="76" t="b">
        <v>0</v>
      </c>
      <c r="BG150" s="76" t="b">
        <v>0</v>
      </c>
      <c r="BH150" s="82" t="str">
        <f>HYPERLINK("https://pbs.twimg.com/profile_banners/1472194793681920001/1655244129")</f>
        <v>https://pbs.twimg.com/profile_banners/1472194793681920001/1655244129</v>
      </c>
      <c r="BI150" s="76"/>
      <c r="BJ150" s="76" t="s">
        <v>14450</v>
      </c>
      <c r="BK150" s="76" t="b">
        <v>0</v>
      </c>
      <c r="BL150" s="76"/>
      <c r="BM150" s="76" t="s">
        <v>66</v>
      </c>
      <c r="BN150" s="76" t="s">
        <v>14452</v>
      </c>
      <c r="BO150" s="82" t="str">
        <f>HYPERLINK("https://twitter.com/mactredxc")</f>
        <v>https://twitter.com/mactredxc</v>
      </c>
      <c r="BP150" s="2"/>
    </row>
    <row r="151" spans="1:68" x14ac:dyDescent="0.25">
      <c r="A151" s="62" t="s">
        <v>344</v>
      </c>
      <c r="B151" s="63"/>
      <c r="C151" s="63"/>
      <c r="D151" s="64"/>
      <c r="E151" s="66"/>
      <c r="F151" s="103" t="str">
        <f>HYPERLINK("https://pbs.twimg.com/profile_images/1608221945056616453/OVdf9UhN_normal.jpg")</f>
        <v>https://pbs.twimg.com/profile_images/1608221945056616453/OVdf9UhN_normal.jpg</v>
      </c>
      <c r="G151" s="63"/>
      <c r="H151" s="67"/>
      <c r="I151" s="68"/>
      <c r="J151" s="68"/>
      <c r="K151" s="67" t="s">
        <v>14600</v>
      </c>
      <c r="L151" s="71"/>
      <c r="M151" s="72"/>
      <c r="N151" s="72"/>
      <c r="O151" s="73"/>
      <c r="P151" s="74"/>
      <c r="Q151" s="74"/>
      <c r="R151" s="87"/>
      <c r="S151" s="87"/>
      <c r="T151" s="87"/>
      <c r="U151" s="87"/>
      <c r="V151" s="48"/>
      <c r="W151" s="48"/>
      <c r="X151" s="48"/>
      <c r="Y151" s="48"/>
      <c r="Z151" s="47"/>
      <c r="AA151" s="69">
        <v>151</v>
      </c>
      <c r="AB151" s="69"/>
      <c r="AC151" s="70"/>
      <c r="AD151" s="76" t="s">
        <v>11892</v>
      </c>
      <c r="AE151" s="80" t="s">
        <v>12552</v>
      </c>
      <c r="AF151" s="76">
        <v>495</v>
      </c>
      <c r="AG151" s="76">
        <v>80</v>
      </c>
      <c r="AH151" s="76">
        <v>9082</v>
      </c>
      <c r="AI151" s="76">
        <v>6</v>
      </c>
      <c r="AJ151" s="76">
        <v>39</v>
      </c>
      <c r="AK151" s="76">
        <v>30</v>
      </c>
      <c r="AL151" s="76" t="b">
        <v>0</v>
      </c>
      <c r="AM151" s="78">
        <v>39981.849965277775</v>
      </c>
      <c r="AN151" s="76" t="s">
        <v>7763</v>
      </c>
      <c r="AO151" s="76" t="s">
        <v>13356</v>
      </c>
      <c r="AP151" s="82" t="str">
        <f>HYPERLINK("https://t.co/94YA5vSVOa")</f>
        <v>https://t.co/94YA5vSVOa</v>
      </c>
      <c r="AQ151" s="82" t="str">
        <f>HYPERLINK("http://www.calltocall.com.br")</f>
        <v>http://www.calltocall.com.br</v>
      </c>
      <c r="AR151" s="76" t="s">
        <v>13994</v>
      </c>
      <c r="AS151" s="76"/>
      <c r="AT151" s="76"/>
      <c r="AU151" s="76"/>
      <c r="AV151" s="76"/>
      <c r="AW151" s="82" t="str">
        <f>HYPERLINK("https://t.co/94YA5vSVOa")</f>
        <v>https://t.co/94YA5vSVOa</v>
      </c>
      <c r="AX151" s="76" t="b">
        <v>0</v>
      </c>
      <c r="AY151" s="76"/>
      <c r="AZ151" s="76"/>
      <c r="BA151" s="76" t="b">
        <v>1</v>
      </c>
      <c r="BB151" s="76" t="b">
        <v>1</v>
      </c>
      <c r="BC151" s="76" t="b">
        <v>0</v>
      </c>
      <c r="BD151" s="76" t="b">
        <v>0</v>
      </c>
      <c r="BE151" s="76" t="b">
        <v>0</v>
      </c>
      <c r="BF151" s="76" t="b">
        <v>0</v>
      </c>
      <c r="BG151" s="76" t="b">
        <v>0</v>
      </c>
      <c r="BH151" s="82" t="str">
        <f>HYPERLINK("https://pbs.twimg.com/profile_banners/48101376/1641234997")</f>
        <v>https://pbs.twimg.com/profile_banners/48101376/1641234997</v>
      </c>
      <c r="BI151" s="76"/>
      <c r="BJ151" s="76" t="s">
        <v>14450</v>
      </c>
      <c r="BK151" s="76" t="b">
        <v>0</v>
      </c>
      <c r="BL151" s="76"/>
      <c r="BM151" s="76" t="s">
        <v>66</v>
      </c>
      <c r="BN151" s="76" t="s">
        <v>14452</v>
      </c>
      <c r="BO151" s="82" t="str">
        <f>HYPERLINK("https://twitter.com/calltocall")</f>
        <v>https://twitter.com/calltocall</v>
      </c>
      <c r="BP151" s="2"/>
    </row>
    <row r="152" spans="1:68" x14ac:dyDescent="0.25">
      <c r="A152" s="62" t="s">
        <v>894</v>
      </c>
      <c r="B152" s="63"/>
      <c r="C152" s="63"/>
      <c r="D152" s="64"/>
      <c r="E152" s="66"/>
      <c r="F152" s="103" t="str">
        <f>HYPERLINK("https://pbs.twimg.com/profile_images/472481494762418176/Q9qaTv_r_normal.png")</f>
        <v>https://pbs.twimg.com/profile_images/472481494762418176/Q9qaTv_r_normal.png</v>
      </c>
      <c r="G152" s="63"/>
      <c r="H152" s="67"/>
      <c r="I152" s="68"/>
      <c r="J152" s="68"/>
      <c r="K152" s="67" t="s">
        <v>14601</v>
      </c>
      <c r="L152" s="71"/>
      <c r="M152" s="72"/>
      <c r="N152" s="72"/>
      <c r="O152" s="73"/>
      <c r="P152" s="74"/>
      <c r="Q152" s="74"/>
      <c r="R152" s="87"/>
      <c r="S152" s="87"/>
      <c r="T152" s="87"/>
      <c r="U152" s="87"/>
      <c r="V152" s="48"/>
      <c r="W152" s="48"/>
      <c r="X152" s="48"/>
      <c r="Y152" s="48"/>
      <c r="Z152" s="47"/>
      <c r="AA152" s="69">
        <v>152</v>
      </c>
      <c r="AB152" s="69"/>
      <c r="AC152" s="70"/>
      <c r="AD152" s="76" t="s">
        <v>11893</v>
      </c>
      <c r="AE152" s="80" t="s">
        <v>12553</v>
      </c>
      <c r="AF152" s="76">
        <v>1060</v>
      </c>
      <c r="AG152" s="76">
        <v>38</v>
      </c>
      <c r="AH152" s="76">
        <v>567</v>
      </c>
      <c r="AI152" s="76">
        <v>0</v>
      </c>
      <c r="AJ152" s="76">
        <v>69</v>
      </c>
      <c r="AK152" s="76">
        <v>74</v>
      </c>
      <c r="AL152" s="76" t="b">
        <v>0</v>
      </c>
      <c r="AM152" s="78">
        <v>41021.071006944447</v>
      </c>
      <c r="AN152" s="76" t="s">
        <v>7763</v>
      </c>
      <c r="AO152" s="76" t="s">
        <v>13357</v>
      </c>
      <c r="AP152" s="82" t="str">
        <f>HYPERLINK("http://t.co/2Ect9qM6Hp")</f>
        <v>http://t.co/2Ect9qM6Hp</v>
      </c>
      <c r="AQ152" s="82" t="str">
        <f>HYPERLINK("http://www.abcomm.org")</f>
        <v>http://www.abcomm.org</v>
      </c>
      <c r="AR152" s="76" t="s">
        <v>13995</v>
      </c>
      <c r="AS152" s="76"/>
      <c r="AT152" s="76"/>
      <c r="AU152" s="76"/>
      <c r="AV152" s="76">
        <v>1.00906870510241E+18</v>
      </c>
      <c r="AW152" s="82" t="str">
        <f>HYPERLINK("http://t.co/2Ect9qM6Hp")</f>
        <v>http://t.co/2Ect9qM6Hp</v>
      </c>
      <c r="AX152" s="76" t="b">
        <v>0</v>
      </c>
      <c r="AY152" s="76"/>
      <c r="AZ152" s="76"/>
      <c r="BA152" s="76" t="b">
        <v>0</v>
      </c>
      <c r="BB152" s="76" t="b">
        <v>1</v>
      </c>
      <c r="BC152" s="76" t="b">
        <v>0</v>
      </c>
      <c r="BD152" s="76" t="b">
        <v>0</v>
      </c>
      <c r="BE152" s="76" t="b">
        <v>0</v>
      </c>
      <c r="BF152" s="76" t="b">
        <v>0</v>
      </c>
      <c r="BG152" s="76" t="b">
        <v>0</v>
      </c>
      <c r="BH152" s="82" t="str">
        <f>HYPERLINK("https://pbs.twimg.com/profile_banners/559983863/1523978326")</f>
        <v>https://pbs.twimg.com/profile_banners/559983863/1523978326</v>
      </c>
      <c r="BI152" s="76"/>
      <c r="BJ152" s="76" t="s">
        <v>14450</v>
      </c>
      <c r="BK152" s="76" t="b">
        <v>0</v>
      </c>
      <c r="BL152" s="76"/>
      <c r="BM152" s="76" t="s">
        <v>65</v>
      </c>
      <c r="BN152" s="76" t="s">
        <v>14452</v>
      </c>
      <c r="BO152" s="82" t="str">
        <f>HYPERLINK("https://twitter.com/abcommbrasil")</f>
        <v>https://twitter.com/abcommbrasil</v>
      </c>
      <c r="BP152" s="2"/>
    </row>
    <row r="153" spans="1:68" x14ac:dyDescent="0.25">
      <c r="A153" s="62" t="s">
        <v>345</v>
      </c>
      <c r="B153" s="63"/>
      <c r="C153" s="63"/>
      <c r="D153" s="64"/>
      <c r="E153" s="66"/>
      <c r="F153" s="103" t="str">
        <f>HYPERLINK("https://pbs.twimg.com/profile_images/1502032378713182249/q69ZkhaY_normal.jpg")</f>
        <v>https://pbs.twimg.com/profile_images/1502032378713182249/q69ZkhaY_normal.jpg</v>
      </c>
      <c r="G153" s="63"/>
      <c r="H153" s="67"/>
      <c r="I153" s="68"/>
      <c r="J153" s="68"/>
      <c r="K153" s="67" t="s">
        <v>14602</v>
      </c>
      <c r="L153" s="71"/>
      <c r="M153" s="72"/>
      <c r="N153" s="72"/>
      <c r="O153" s="73"/>
      <c r="P153" s="74"/>
      <c r="Q153" s="74"/>
      <c r="R153" s="87"/>
      <c r="S153" s="87"/>
      <c r="T153" s="87"/>
      <c r="U153" s="87"/>
      <c r="V153" s="48"/>
      <c r="W153" s="48"/>
      <c r="X153" s="48"/>
      <c r="Y153" s="48"/>
      <c r="Z153" s="47"/>
      <c r="AA153" s="69">
        <v>153</v>
      </c>
      <c r="AB153" s="69"/>
      <c r="AC153" s="70"/>
      <c r="AD153" s="76" t="s">
        <v>11894</v>
      </c>
      <c r="AE153" s="80" t="s">
        <v>12554</v>
      </c>
      <c r="AF153" s="76">
        <v>88</v>
      </c>
      <c r="AG153" s="76">
        <v>42</v>
      </c>
      <c r="AH153" s="76">
        <v>2121</v>
      </c>
      <c r="AI153" s="76">
        <v>0</v>
      </c>
      <c r="AJ153" s="76">
        <v>84</v>
      </c>
      <c r="AK153" s="76">
        <v>136</v>
      </c>
      <c r="AL153" s="76" t="b">
        <v>0</v>
      </c>
      <c r="AM153" s="78">
        <v>40684.659768518519</v>
      </c>
      <c r="AN153" s="76"/>
      <c r="AO153" s="76" t="s">
        <v>13358</v>
      </c>
      <c r="AP153" s="76"/>
      <c r="AQ153" s="76"/>
      <c r="AR153" s="76"/>
      <c r="AS153" s="76"/>
      <c r="AT153" s="76"/>
      <c r="AU153" s="76"/>
      <c r="AV153" s="76"/>
      <c r="AW153" s="76"/>
      <c r="AX153" s="76" t="b">
        <v>0</v>
      </c>
      <c r="AY153" s="76"/>
      <c r="AZ153" s="76"/>
      <c r="BA153" s="76" t="b">
        <v>0</v>
      </c>
      <c r="BB153" s="76" t="b">
        <v>1</v>
      </c>
      <c r="BC153" s="76" t="b">
        <v>1</v>
      </c>
      <c r="BD153" s="76" t="b">
        <v>0</v>
      </c>
      <c r="BE153" s="76" t="b">
        <v>0</v>
      </c>
      <c r="BF153" s="76" t="b">
        <v>0</v>
      </c>
      <c r="BG153" s="76" t="b">
        <v>0</v>
      </c>
      <c r="BH153" s="76"/>
      <c r="BI153" s="76"/>
      <c r="BJ153" s="76" t="s">
        <v>14450</v>
      </c>
      <c r="BK153" s="76" t="b">
        <v>0</v>
      </c>
      <c r="BL153" s="76"/>
      <c r="BM153" s="76" t="s">
        <v>66</v>
      </c>
      <c r="BN153" s="76" t="s">
        <v>14452</v>
      </c>
      <c r="BO153" s="82" t="str">
        <f>HYPERLINK("https://twitter.com/aosamit")</f>
        <v>https://twitter.com/aosamit</v>
      </c>
      <c r="BP153" s="2"/>
    </row>
    <row r="154" spans="1:68" x14ac:dyDescent="0.25">
      <c r="A154" s="62" t="s">
        <v>895</v>
      </c>
      <c r="B154" s="63"/>
      <c r="C154" s="63"/>
      <c r="D154" s="64"/>
      <c r="E154" s="66"/>
      <c r="F154" s="103" t="str">
        <f>HYPERLINK("https://pbs.twimg.com/profile_images/1501531643437215744/HLZw1NGm_normal.jpg")</f>
        <v>https://pbs.twimg.com/profile_images/1501531643437215744/HLZw1NGm_normal.jpg</v>
      </c>
      <c r="G154" s="63"/>
      <c r="H154" s="67"/>
      <c r="I154" s="68"/>
      <c r="J154" s="68"/>
      <c r="K154" s="67" t="s">
        <v>14603</v>
      </c>
      <c r="L154" s="71"/>
      <c r="M154" s="72"/>
      <c r="N154" s="72"/>
      <c r="O154" s="73"/>
      <c r="P154" s="74"/>
      <c r="Q154" s="74"/>
      <c r="R154" s="87"/>
      <c r="S154" s="87"/>
      <c r="T154" s="87"/>
      <c r="U154" s="87"/>
      <c r="V154" s="48"/>
      <c r="W154" s="48"/>
      <c r="X154" s="48"/>
      <c r="Y154" s="48"/>
      <c r="Z154" s="47"/>
      <c r="AA154" s="69">
        <v>154</v>
      </c>
      <c r="AB154" s="69"/>
      <c r="AC154" s="70"/>
      <c r="AD154" s="76" t="s">
        <v>11895</v>
      </c>
      <c r="AE154" s="80" t="s">
        <v>12555</v>
      </c>
      <c r="AF154" s="76">
        <v>27690</v>
      </c>
      <c r="AG154" s="76">
        <v>9506</v>
      </c>
      <c r="AH154" s="76">
        <v>68984</v>
      </c>
      <c r="AI154" s="76">
        <v>0</v>
      </c>
      <c r="AJ154" s="76">
        <v>532</v>
      </c>
      <c r="AK154" s="76">
        <v>2433</v>
      </c>
      <c r="AL154" s="76" t="b">
        <v>0</v>
      </c>
      <c r="AM154" s="78">
        <v>42391.972939814812</v>
      </c>
      <c r="AN154" s="76" t="s">
        <v>12884</v>
      </c>
      <c r="AO154" s="76" t="s">
        <v>13359</v>
      </c>
      <c r="AP154" s="82" t="str">
        <f>HYPERLINK("https://t.co/R8BJoJ99pk")</f>
        <v>https://t.co/R8BJoJ99pk</v>
      </c>
      <c r="AQ154" s="82" t="str">
        <f>HYPERLINK("http://www.tumundo.cl")</f>
        <v>http://www.tumundo.cl</v>
      </c>
      <c r="AR154" s="76" t="s">
        <v>13996</v>
      </c>
      <c r="AS154" s="76" t="s">
        <v>14371</v>
      </c>
      <c r="AT154" s="76" t="s">
        <v>14382</v>
      </c>
      <c r="AU154" s="76" t="s">
        <v>14407</v>
      </c>
      <c r="AV154" s="76"/>
      <c r="AW154" s="82" t="str">
        <f>HYPERLINK("https://t.co/R8BJoJ99pk")</f>
        <v>https://t.co/R8BJoJ99pk</v>
      </c>
      <c r="AX154" s="76" t="b">
        <v>0</v>
      </c>
      <c r="AY154" s="76"/>
      <c r="AZ154" s="76"/>
      <c r="BA154" s="76" t="b">
        <v>1</v>
      </c>
      <c r="BB154" s="76" t="b">
        <v>0</v>
      </c>
      <c r="BC154" s="76" t="b">
        <v>0</v>
      </c>
      <c r="BD154" s="76" t="b">
        <v>0</v>
      </c>
      <c r="BE154" s="76" t="b">
        <v>0</v>
      </c>
      <c r="BF154" s="76" t="b">
        <v>0</v>
      </c>
      <c r="BG154" s="76" t="b">
        <v>1</v>
      </c>
      <c r="BH154" s="82" t="str">
        <f>HYPERLINK("https://pbs.twimg.com/profile_banners/4836718427/1687031751")</f>
        <v>https://pbs.twimg.com/profile_banners/4836718427/1687031751</v>
      </c>
      <c r="BI154" s="76"/>
      <c r="BJ154" s="76" t="s">
        <v>14450</v>
      </c>
      <c r="BK154" s="76" t="b">
        <v>0</v>
      </c>
      <c r="BL154" s="76"/>
      <c r="BM154" s="76" t="s">
        <v>65</v>
      </c>
      <c r="BN154" s="76" t="s">
        <v>14452</v>
      </c>
      <c r="BO154" s="82" t="str">
        <f>HYPERLINK("https://twitter.com/tumundo_cl")</f>
        <v>https://twitter.com/tumundo_cl</v>
      </c>
      <c r="BP154" s="2"/>
    </row>
    <row r="155" spans="1:68" x14ac:dyDescent="0.25">
      <c r="A155" s="62" t="s">
        <v>896</v>
      </c>
      <c r="B155" s="63"/>
      <c r="C155" s="63"/>
      <c r="D155" s="64"/>
      <c r="E155" s="66"/>
      <c r="F155" s="103" t="str">
        <f>HYPERLINK("https://pbs.twimg.com/profile_images/1666927488327450626/VXigWqv-_normal.jpg")</f>
        <v>https://pbs.twimg.com/profile_images/1666927488327450626/VXigWqv-_normal.jpg</v>
      </c>
      <c r="G155" s="63"/>
      <c r="H155" s="67"/>
      <c r="I155" s="68"/>
      <c r="J155" s="68"/>
      <c r="K155" s="67" t="s">
        <v>14604</v>
      </c>
      <c r="L155" s="71"/>
      <c r="M155" s="72"/>
      <c r="N155" s="72"/>
      <c r="O155" s="73"/>
      <c r="P155" s="74"/>
      <c r="Q155" s="74"/>
      <c r="R155" s="87"/>
      <c r="S155" s="87"/>
      <c r="T155" s="87"/>
      <c r="U155" s="87"/>
      <c r="V155" s="48"/>
      <c r="W155" s="48"/>
      <c r="X155" s="48"/>
      <c r="Y155" s="48"/>
      <c r="Z155" s="47"/>
      <c r="AA155" s="69">
        <v>155</v>
      </c>
      <c r="AB155" s="69"/>
      <c r="AC155" s="70"/>
      <c r="AD155" s="76" t="s">
        <v>11896</v>
      </c>
      <c r="AE155" s="80" t="s">
        <v>12556</v>
      </c>
      <c r="AF155" s="76">
        <v>544124</v>
      </c>
      <c r="AG155" s="76">
        <v>93404</v>
      </c>
      <c r="AH155" s="76">
        <v>350656</v>
      </c>
      <c r="AI155" s="76">
        <v>1065</v>
      </c>
      <c r="AJ155" s="76">
        <v>9510</v>
      </c>
      <c r="AK155" s="76">
        <v>5641</v>
      </c>
      <c r="AL155" s="76" t="b">
        <v>0</v>
      </c>
      <c r="AM155" s="78">
        <v>39917.628912037035</v>
      </c>
      <c r="AN155" s="76" t="s">
        <v>12884</v>
      </c>
      <c r="AO155" s="76" t="s">
        <v>13360</v>
      </c>
      <c r="AP155" s="82" t="str">
        <f>HYPERLINK("https://t.co/vQpVgsJYJm")</f>
        <v>https://t.co/vQpVgsJYJm</v>
      </c>
      <c r="AQ155" s="82" t="str">
        <f>HYPERLINK("http://www.movistar.cl")</f>
        <v>http://www.movistar.cl</v>
      </c>
      <c r="AR155" s="76" t="s">
        <v>13997</v>
      </c>
      <c r="AS155" s="76"/>
      <c r="AT155" s="76"/>
      <c r="AU155" s="76"/>
      <c r="AV155" s="76"/>
      <c r="AW155" s="82" t="str">
        <f>HYPERLINK("https://t.co/vQpVgsJYJm")</f>
        <v>https://t.co/vQpVgsJYJm</v>
      </c>
      <c r="AX155" s="76" t="b">
        <v>0</v>
      </c>
      <c r="AY155" s="76"/>
      <c r="AZ155" s="76"/>
      <c r="BA155" s="76" t="b">
        <v>0</v>
      </c>
      <c r="BB155" s="76" t="b">
        <v>0</v>
      </c>
      <c r="BC155" s="76" t="b">
        <v>0</v>
      </c>
      <c r="BD155" s="76" t="b">
        <v>0</v>
      </c>
      <c r="BE155" s="76" t="b">
        <v>1</v>
      </c>
      <c r="BF155" s="76" t="b">
        <v>0</v>
      </c>
      <c r="BG155" s="76" t="b">
        <v>0</v>
      </c>
      <c r="BH155" s="82" t="str">
        <f>HYPERLINK("https://pbs.twimg.com/profile_banners/31141520/1687464047")</f>
        <v>https://pbs.twimg.com/profile_banners/31141520/1687464047</v>
      </c>
      <c r="BI155" s="76"/>
      <c r="BJ155" s="76" t="s">
        <v>14450</v>
      </c>
      <c r="BK155" s="76" t="b">
        <v>0</v>
      </c>
      <c r="BL155" s="76"/>
      <c r="BM155" s="76" t="s">
        <v>65</v>
      </c>
      <c r="BN155" s="76" t="s">
        <v>14452</v>
      </c>
      <c r="BO155" s="82" t="str">
        <f>HYPERLINK("https://twitter.com/movistarchile")</f>
        <v>https://twitter.com/movistarchile</v>
      </c>
      <c r="BP155" s="2"/>
    </row>
    <row r="156" spans="1:68" x14ac:dyDescent="0.25">
      <c r="A156" s="62" t="s">
        <v>346</v>
      </c>
      <c r="B156" s="63"/>
      <c r="C156" s="63"/>
      <c r="D156" s="64"/>
      <c r="E156" s="66"/>
      <c r="F156" s="103" t="str">
        <f>HYPERLINK("https://pbs.twimg.com/profile_images/1351290287524605953/-TN62FxC_normal.jpg")</f>
        <v>https://pbs.twimg.com/profile_images/1351290287524605953/-TN62FxC_normal.jpg</v>
      </c>
      <c r="G156" s="63"/>
      <c r="H156" s="67"/>
      <c r="I156" s="68"/>
      <c r="J156" s="68"/>
      <c r="K156" s="67" t="s">
        <v>14605</v>
      </c>
      <c r="L156" s="71"/>
      <c r="M156" s="72"/>
      <c r="N156" s="72"/>
      <c r="O156" s="73"/>
      <c r="P156" s="74"/>
      <c r="Q156" s="74"/>
      <c r="R156" s="87"/>
      <c r="S156" s="87"/>
      <c r="T156" s="87"/>
      <c r="U156" s="87"/>
      <c r="V156" s="48"/>
      <c r="W156" s="48"/>
      <c r="X156" s="48"/>
      <c r="Y156" s="48"/>
      <c r="Z156" s="47"/>
      <c r="AA156" s="69">
        <v>156</v>
      </c>
      <c r="AB156" s="69"/>
      <c r="AC156" s="70"/>
      <c r="AD156" s="76" t="s">
        <v>11897</v>
      </c>
      <c r="AE156" s="80" t="s">
        <v>11464</v>
      </c>
      <c r="AF156" s="76">
        <v>11</v>
      </c>
      <c r="AG156" s="76">
        <v>124</v>
      </c>
      <c r="AH156" s="76">
        <v>3892</v>
      </c>
      <c r="AI156" s="76">
        <v>0</v>
      </c>
      <c r="AJ156" s="76">
        <v>70</v>
      </c>
      <c r="AK156" s="76">
        <v>94</v>
      </c>
      <c r="AL156" s="76" t="b">
        <v>0</v>
      </c>
      <c r="AM156" s="78">
        <v>44214.921793981484</v>
      </c>
      <c r="AN156" s="76" t="s">
        <v>12951</v>
      </c>
      <c r="AO156" s="76" t="s">
        <v>13361</v>
      </c>
      <c r="AP156" s="82" t="str">
        <f>HYPERLINK("https://t.co/uazyPCzz9m")</f>
        <v>https://t.co/uazyPCzz9m</v>
      </c>
      <c r="AQ156" s="82" t="str">
        <f>HYPERLINK("https://gomusic.mus.br")</f>
        <v>https://gomusic.mus.br</v>
      </c>
      <c r="AR156" s="76" t="s">
        <v>13998</v>
      </c>
      <c r="AS156" s="82" t="str">
        <f>HYPERLINK("https://t.co/T9oLirzfMS")</f>
        <v>https://t.co/T9oLirzfMS</v>
      </c>
      <c r="AT156" s="82" t="str">
        <f>HYPERLINK("http://www.gomusic.mus.br")</f>
        <v>http://www.gomusic.mus.br</v>
      </c>
      <c r="AU156" s="76" t="s">
        <v>13998</v>
      </c>
      <c r="AV156" s="76"/>
      <c r="AW156" s="82" t="str">
        <f>HYPERLINK("https://t.co/uazyPCzz9m")</f>
        <v>https://t.co/uazyPCzz9m</v>
      </c>
      <c r="AX156" s="76" t="b">
        <v>0</v>
      </c>
      <c r="AY156" s="76"/>
      <c r="AZ156" s="76"/>
      <c r="BA156" s="76" t="b">
        <v>0</v>
      </c>
      <c r="BB156" s="76" t="b">
        <v>1</v>
      </c>
      <c r="BC156" s="76" t="b">
        <v>1</v>
      </c>
      <c r="BD156" s="76" t="b">
        <v>0</v>
      </c>
      <c r="BE156" s="76" t="b">
        <v>0</v>
      </c>
      <c r="BF156" s="76" t="b">
        <v>0</v>
      </c>
      <c r="BG156" s="76" t="b">
        <v>0</v>
      </c>
      <c r="BH156" s="82" t="str">
        <f>HYPERLINK("https://pbs.twimg.com/profile_banners/1351290013619781634/1611008002")</f>
        <v>https://pbs.twimg.com/profile_banners/1351290013619781634/1611008002</v>
      </c>
      <c r="BI156" s="76"/>
      <c r="BJ156" s="76" t="s">
        <v>14450</v>
      </c>
      <c r="BK156" s="76" t="b">
        <v>0</v>
      </c>
      <c r="BL156" s="76"/>
      <c r="BM156" s="76" t="s">
        <v>66</v>
      </c>
      <c r="BN156" s="76" t="s">
        <v>14452</v>
      </c>
      <c r="BO156" s="82" t="str">
        <f>HYPERLINK("https://twitter.com/gomusic29513980")</f>
        <v>https://twitter.com/gomusic29513980</v>
      </c>
      <c r="BP156" s="2"/>
    </row>
    <row r="157" spans="1:68" x14ac:dyDescent="0.25">
      <c r="A157" s="62" t="s">
        <v>897</v>
      </c>
      <c r="B157" s="63"/>
      <c r="C157" s="63"/>
      <c r="D157" s="64"/>
      <c r="E157" s="66"/>
      <c r="F157" s="103" t="str">
        <f>HYPERLINK("https://pbs.twimg.com/profile_images/1427985325972885511/53FnFsIi_normal.jpg")</f>
        <v>https://pbs.twimg.com/profile_images/1427985325972885511/53FnFsIi_normal.jpg</v>
      </c>
      <c r="G157" s="63"/>
      <c r="H157" s="67"/>
      <c r="I157" s="68"/>
      <c r="J157" s="68"/>
      <c r="K157" s="67" t="s">
        <v>14606</v>
      </c>
      <c r="L157" s="71"/>
      <c r="M157" s="72"/>
      <c r="N157" s="72"/>
      <c r="O157" s="73"/>
      <c r="P157" s="74"/>
      <c r="Q157" s="74"/>
      <c r="R157" s="87"/>
      <c r="S157" s="87"/>
      <c r="T157" s="87"/>
      <c r="U157" s="87"/>
      <c r="V157" s="48"/>
      <c r="W157" s="48"/>
      <c r="X157" s="48"/>
      <c r="Y157" s="48"/>
      <c r="Z157" s="47"/>
      <c r="AA157" s="69">
        <v>157</v>
      </c>
      <c r="AB157" s="69"/>
      <c r="AC157" s="70"/>
      <c r="AD157" s="76" t="s">
        <v>11898</v>
      </c>
      <c r="AE157" s="80" t="s">
        <v>12557</v>
      </c>
      <c r="AF157" s="76">
        <v>2243560</v>
      </c>
      <c r="AG157" s="76">
        <v>349</v>
      </c>
      <c r="AH157" s="76">
        <v>11587</v>
      </c>
      <c r="AI157" s="76">
        <v>14802</v>
      </c>
      <c r="AJ157" s="76">
        <v>6990</v>
      </c>
      <c r="AK157" s="76">
        <v>3327</v>
      </c>
      <c r="AL157" s="76" t="b">
        <v>0</v>
      </c>
      <c r="AM157" s="78">
        <v>40198.886041666665</v>
      </c>
      <c r="AN157" s="76" t="s">
        <v>12952</v>
      </c>
      <c r="AO157" s="76" t="s">
        <v>13362</v>
      </c>
      <c r="AP157" s="82" t="str">
        <f>HYPERLINK("https://t.co/cLFak61FrF")</f>
        <v>https://t.co/cLFak61FrF</v>
      </c>
      <c r="AQ157" s="82" t="str">
        <f>HYPERLINK("https://www.pinterest.com/")</f>
        <v>https://www.pinterest.com/</v>
      </c>
      <c r="AR157" s="76" t="s">
        <v>13999</v>
      </c>
      <c r="AS157" s="76"/>
      <c r="AT157" s="76"/>
      <c r="AU157" s="76"/>
      <c r="AV157" s="76"/>
      <c r="AW157" s="82" t="str">
        <f>HYPERLINK("https://t.co/cLFak61FrF")</f>
        <v>https://t.co/cLFak61FrF</v>
      </c>
      <c r="AX157" s="76" t="b">
        <v>1</v>
      </c>
      <c r="AY157" s="76"/>
      <c r="AZ157" s="76"/>
      <c r="BA157" s="76" t="b">
        <v>0</v>
      </c>
      <c r="BB157" s="76" t="b">
        <v>0</v>
      </c>
      <c r="BC157" s="76" t="b">
        <v>0</v>
      </c>
      <c r="BD157" s="76" t="b">
        <v>0</v>
      </c>
      <c r="BE157" s="76" t="b">
        <v>1</v>
      </c>
      <c r="BF157" s="76" t="b">
        <v>0</v>
      </c>
      <c r="BG157" s="76" t="b">
        <v>0</v>
      </c>
      <c r="BH157" s="82" t="str">
        <f>HYPERLINK("https://pbs.twimg.com/profile_banners/106837463/1689189077")</f>
        <v>https://pbs.twimg.com/profile_banners/106837463/1689189077</v>
      </c>
      <c r="BI157" s="76"/>
      <c r="BJ157" s="76" t="s">
        <v>14451</v>
      </c>
      <c r="BK157" s="76" t="b">
        <v>0</v>
      </c>
      <c r="BL157" s="76"/>
      <c r="BM157" s="76" t="s">
        <v>65</v>
      </c>
      <c r="BN157" s="76" t="s">
        <v>14452</v>
      </c>
      <c r="BO157" s="82" t="str">
        <f>HYPERLINK("https://twitter.com/pinterest")</f>
        <v>https://twitter.com/pinterest</v>
      </c>
      <c r="BP157" s="2"/>
    </row>
    <row r="158" spans="1:68" x14ac:dyDescent="0.25">
      <c r="A158" s="62" t="s">
        <v>347</v>
      </c>
      <c r="B158" s="63"/>
      <c r="C158" s="63"/>
      <c r="D158" s="64"/>
      <c r="E158" s="66"/>
      <c r="F158" s="103" t="str">
        <f>HYPERLINK("https://pbs.twimg.com/profile_images/1601957274511179776/1vr3GeZX_normal.jpg")</f>
        <v>https://pbs.twimg.com/profile_images/1601957274511179776/1vr3GeZX_normal.jpg</v>
      </c>
      <c r="G158" s="63"/>
      <c r="H158" s="67"/>
      <c r="I158" s="68"/>
      <c r="J158" s="68"/>
      <c r="K158" s="67" t="s">
        <v>14607</v>
      </c>
      <c r="L158" s="71"/>
      <c r="M158" s="72"/>
      <c r="N158" s="72"/>
      <c r="O158" s="73"/>
      <c r="P158" s="74"/>
      <c r="Q158" s="74"/>
      <c r="R158" s="87"/>
      <c r="S158" s="87"/>
      <c r="T158" s="87"/>
      <c r="U158" s="87"/>
      <c r="V158" s="48"/>
      <c r="W158" s="48"/>
      <c r="X158" s="48"/>
      <c r="Y158" s="48"/>
      <c r="Z158" s="47"/>
      <c r="AA158" s="69">
        <v>158</v>
      </c>
      <c r="AB158" s="69"/>
      <c r="AC158" s="70"/>
      <c r="AD158" s="76" t="s">
        <v>11899</v>
      </c>
      <c r="AE158" s="80" t="s">
        <v>11465</v>
      </c>
      <c r="AF158" s="76">
        <v>58</v>
      </c>
      <c r="AG158" s="76">
        <v>216</v>
      </c>
      <c r="AH158" s="76">
        <v>1018</v>
      </c>
      <c r="AI158" s="76">
        <v>0</v>
      </c>
      <c r="AJ158" s="76">
        <v>33</v>
      </c>
      <c r="AK158" s="76">
        <v>871</v>
      </c>
      <c r="AL158" s="76" t="b">
        <v>0</v>
      </c>
      <c r="AM158" s="78">
        <v>43313.728738425925</v>
      </c>
      <c r="AN158" s="76" t="s">
        <v>12953</v>
      </c>
      <c r="AO158" s="76" t="s">
        <v>13363</v>
      </c>
      <c r="AP158" s="76"/>
      <c r="AQ158" s="76"/>
      <c r="AR158" s="76"/>
      <c r="AS158" s="76"/>
      <c r="AT158" s="76"/>
      <c r="AU158" s="76"/>
      <c r="AV158" s="76"/>
      <c r="AW158" s="76"/>
      <c r="AX158" s="76" t="b">
        <v>0</v>
      </c>
      <c r="AY158" s="76"/>
      <c r="AZ158" s="76"/>
      <c r="BA158" s="76" t="b">
        <v>0</v>
      </c>
      <c r="BB158" s="76" t="b">
        <v>1</v>
      </c>
      <c r="BC158" s="76" t="b">
        <v>1</v>
      </c>
      <c r="BD158" s="76" t="b">
        <v>0</v>
      </c>
      <c r="BE158" s="76" t="b">
        <v>0</v>
      </c>
      <c r="BF158" s="76" t="b">
        <v>0</v>
      </c>
      <c r="BG158" s="76" t="b">
        <v>0</v>
      </c>
      <c r="BH158" s="82" t="str">
        <f>HYPERLINK("https://pbs.twimg.com/profile_banners/1024708686172905473/1577723260")</f>
        <v>https://pbs.twimg.com/profile_banners/1024708686172905473/1577723260</v>
      </c>
      <c r="BI158" s="76"/>
      <c r="BJ158" s="76" t="s">
        <v>14450</v>
      </c>
      <c r="BK158" s="76" t="b">
        <v>0</v>
      </c>
      <c r="BL158" s="76"/>
      <c r="BM158" s="76" t="s">
        <v>66</v>
      </c>
      <c r="BN158" s="76" t="s">
        <v>14452</v>
      </c>
      <c r="BO158" s="82" t="str">
        <f>HYPERLINK("https://twitter.com/zspindula")</f>
        <v>https://twitter.com/zspindula</v>
      </c>
      <c r="BP158" s="2"/>
    </row>
    <row r="159" spans="1:68" x14ac:dyDescent="0.25">
      <c r="A159" s="62" t="s">
        <v>348</v>
      </c>
      <c r="B159" s="63"/>
      <c r="C159" s="63"/>
      <c r="D159" s="64"/>
      <c r="E159" s="66"/>
      <c r="F159" s="103" t="str">
        <f>HYPERLINK("https://pbs.twimg.com/profile_images/1692829510247260160/uLVqtoQy_normal.jpg")</f>
        <v>https://pbs.twimg.com/profile_images/1692829510247260160/uLVqtoQy_normal.jpg</v>
      </c>
      <c r="G159" s="63"/>
      <c r="H159" s="67"/>
      <c r="I159" s="68"/>
      <c r="J159" s="68"/>
      <c r="K159" s="67" t="s">
        <v>14608</v>
      </c>
      <c r="L159" s="71"/>
      <c r="M159" s="72"/>
      <c r="N159" s="72"/>
      <c r="O159" s="73"/>
      <c r="P159" s="74"/>
      <c r="Q159" s="74"/>
      <c r="R159" s="87"/>
      <c r="S159" s="87"/>
      <c r="T159" s="87"/>
      <c r="U159" s="87"/>
      <c r="V159" s="48"/>
      <c r="W159" s="48"/>
      <c r="X159" s="48"/>
      <c r="Y159" s="48"/>
      <c r="Z159" s="47"/>
      <c r="AA159" s="69">
        <v>159</v>
      </c>
      <c r="AB159" s="69"/>
      <c r="AC159" s="70"/>
      <c r="AD159" s="76" t="s">
        <v>11900</v>
      </c>
      <c r="AE159" s="80" t="s">
        <v>11466</v>
      </c>
      <c r="AF159" s="76">
        <v>3085</v>
      </c>
      <c r="AG159" s="76">
        <v>499</v>
      </c>
      <c r="AH159" s="76">
        <v>13690</v>
      </c>
      <c r="AI159" s="76">
        <v>93</v>
      </c>
      <c r="AJ159" s="76">
        <v>27920</v>
      </c>
      <c r="AK159" s="76">
        <v>2895</v>
      </c>
      <c r="AL159" s="76" t="b">
        <v>0</v>
      </c>
      <c r="AM159" s="78">
        <v>43081.361041666663</v>
      </c>
      <c r="AN159" s="76" t="s">
        <v>12954</v>
      </c>
      <c r="AO159" s="76" t="s">
        <v>13364</v>
      </c>
      <c r="AP159" s="82" t="str">
        <f>HYPERLINK("https://t.co/fdfffynsZW")</f>
        <v>https://t.co/fdfffynsZW</v>
      </c>
      <c r="AQ159" s="82" t="str">
        <f>HYPERLINK("https://www.destaca.es/tiempo-y-seguridad/")</f>
        <v>https://www.destaca.es/tiempo-y-seguridad/</v>
      </c>
      <c r="AR159" s="76" t="s">
        <v>14000</v>
      </c>
      <c r="AS159" s="76" t="s">
        <v>14372</v>
      </c>
      <c r="AT159" s="76" t="s">
        <v>14383</v>
      </c>
      <c r="AU159" s="76" t="s">
        <v>14408</v>
      </c>
      <c r="AV159" s="76">
        <v>1.63773126302383E+18</v>
      </c>
      <c r="AW159" s="82" t="str">
        <f>HYPERLINK("https://t.co/fdfffynsZW")</f>
        <v>https://t.co/fdfffynsZW</v>
      </c>
      <c r="AX159" s="76" t="b">
        <v>1</v>
      </c>
      <c r="AY159" s="76"/>
      <c r="AZ159" s="76"/>
      <c r="BA159" s="76" t="b">
        <v>1</v>
      </c>
      <c r="BB159" s="76" t="b">
        <v>1</v>
      </c>
      <c r="BC159" s="76" t="b">
        <v>0</v>
      </c>
      <c r="BD159" s="76" t="b">
        <v>0</v>
      </c>
      <c r="BE159" s="76" t="b">
        <v>1</v>
      </c>
      <c r="BF159" s="76" t="b">
        <v>0</v>
      </c>
      <c r="BG159" s="76" t="b">
        <v>0</v>
      </c>
      <c r="BH159" s="82" t="str">
        <f>HYPERLINK("https://pbs.twimg.com/profile_banners/940501451541008384/1692437159")</f>
        <v>https://pbs.twimg.com/profile_banners/940501451541008384/1692437159</v>
      </c>
      <c r="BI159" s="76"/>
      <c r="BJ159" s="76" t="s">
        <v>14450</v>
      </c>
      <c r="BK159" s="76" t="b">
        <v>0</v>
      </c>
      <c r="BL159" s="76"/>
      <c r="BM159" s="76" t="s">
        <v>66</v>
      </c>
      <c r="BN159" s="76" t="s">
        <v>14452</v>
      </c>
      <c r="BO159" s="82" t="str">
        <f>HYPERLINK("https://twitter.com/jaimegarmar_")</f>
        <v>https://twitter.com/jaimegarmar_</v>
      </c>
      <c r="BP159" s="2"/>
    </row>
    <row r="160" spans="1:68" x14ac:dyDescent="0.25">
      <c r="A160" s="62" t="s">
        <v>349</v>
      </c>
      <c r="B160" s="63"/>
      <c r="C160" s="63"/>
      <c r="D160" s="64"/>
      <c r="E160" s="66"/>
      <c r="F160" s="103" t="str">
        <f>HYPERLINK("https://pbs.twimg.com/profile_images/1011632627189678084/pEeMSXj1_normal.jpg")</f>
        <v>https://pbs.twimg.com/profile_images/1011632627189678084/pEeMSXj1_normal.jpg</v>
      </c>
      <c r="G160" s="63"/>
      <c r="H160" s="67"/>
      <c r="I160" s="68"/>
      <c r="J160" s="68"/>
      <c r="K160" s="67" t="s">
        <v>14609</v>
      </c>
      <c r="L160" s="71"/>
      <c r="M160" s="72"/>
      <c r="N160" s="72"/>
      <c r="O160" s="73"/>
      <c r="P160" s="74"/>
      <c r="Q160" s="74"/>
      <c r="R160" s="87"/>
      <c r="S160" s="87"/>
      <c r="T160" s="87"/>
      <c r="U160" s="87"/>
      <c r="V160" s="48"/>
      <c r="W160" s="48"/>
      <c r="X160" s="48"/>
      <c r="Y160" s="48"/>
      <c r="Z160" s="47"/>
      <c r="AA160" s="69">
        <v>160</v>
      </c>
      <c r="AB160" s="69"/>
      <c r="AC160" s="70"/>
      <c r="AD160" s="76" t="s">
        <v>11901</v>
      </c>
      <c r="AE160" s="80" t="s">
        <v>12558</v>
      </c>
      <c r="AF160" s="76">
        <v>342</v>
      </c>
      <c r="AG160" s="76">
        <v>495</v>
      </c>
      <c r="AH160" s="76">
        <v>3270</v>
      </c>
      <c r="AI160" s="76">
        <v>4</v>
      </c>
      <c r="AJ160" s="76">
        <v>3172</v>
      </c>
      <c r="AK160" s="76">
        <v>79</v>
      </c>
      <c r="AL160" s="76" t="b">
        <v>0</v>
      </c>
      <c r="AM160" s="78">
        <v>41269.620810185188</v>
      </c>
      <c r="AN160" s="76" t="s">
        <v>12955</v>
      </c>
      <c r="AO160" s="76" t="s">
        <v>13365</v>
      </c>
      <c r="AP160" s="76"/>
      <c r="AQ160" s="76"/>
      <c r="AR160" s="76"/>
      <c r="AS160" s="76"/>
      <c r="AT160" s="76"/>
      <c r="AU160" s="76"/>
      <c r="AV160" s="76"/>
      <c r="AW160" s="76"/>
      <c r="AX160" s="76" t="b">
        <v>0</v>
      </c>
      <c r="AY160" s="76"/>
      <c r="AZ160" s="76"/>
      <c r="BA160" s="76" t="b">
        <v>0</v>
      </c>
      <c r="BB160" s="76" t="b">
        <v>1</v>
      </c>
      <c r="BC160" s="76" t="b">
        <v>0</v>
      </c>
      <c r="BD160" s="76" t="b">
        <v>0</v>
      </c>
      <c r="BE160" s="76" t="b">
        <v>1</v>
      </c>
      <c r="BF160" s="76" t="b">
        <v>0</v>
      </c>
      <c r="BG160" s="76" t="b">
        <v>0</v>
      </c>
      <c r="BH160" s="82" t="str">
        <f>HYPERLINK("https://pbs.twimg.com/profile_banners/1037320945/1524209698")</f>
        <v>https://pbs.twimg.com/profile_banners/1037320945/1524209698</v>
      </c>
      <c r="BI160" s="76"/>
      <c r="BJ160" s="76" t="s">
        <v>14450</v>
      </c>
      <c r="BK160" s="76" t="b">
        <v>0</v>
      </c>
      <c r="BL160" s="76"/>
      <c r="BM160" s="76" t="s">
        <v>66</v>
      </c>
      <c r="BN160" s="76" t="s">
        <v>14452</v>
      </c>
      <c r="BO160" s="82" t="str">
        <f>HYPERLINK("https://twitter.com/juanarizaruiz")</f>
        <v>https://twitter.com/juanarizaruiz</v>
      </c>
      <c r="BP160" s="2"/>
    </row>
    <row r="161" spans="1:68" x14ac:dyDescent="0.25">
      <c r="A161" s="62" t="s">
        <v>350</v>
      </c>
      <c r="B161" s="63"/>
      <c r="C161" s="63"/>
      <c r="D161" s="64"/>
      <c r="E161" s="66"/>
      <c r="F161" s="103" t="str">
        <f>HYPERLINK("https://pbs.twimg.com/profile_images/1635677781341208579/IQs9Cn3a_normal.jpg")</f>
        <v>https://pbs.twimg.com/profile_images/1635677781341208579/IQs9Cn3a_normal.jpg</v>
      </c>
      <c r="G161" s="63"/>
      <c r="H161" s="67"/>
      <c r="I161" s="68"/>
      <c r="J161" s="68"/>
      <c r="K161" s="67" t="s">
        <v>14610</v>
      </c>
      <c r="L161" s="71"/>
      <c r="M161" s="72"/>
      <c r="N161" s="72"/>
      <c r="O161" s="73"/>
      <c r="P161" s="74"/>
      <c r="Q161" s="74"/>
      <c r="R161" s="87"/>
      <c r="S161" s="87"/>
      <c r="T161" s="87"/>
      <c r="U161" s="87"/>
      <c r="V161" s="48"/>
      <c r="W161" s="48"/>
      <c r="X161" s="48"/>
      <c r="Y161" s="48"/>
      <c r="Z161" s="47"/>
      <c r="AA161" s="69">
        <v>161</v>
      </c>
      <c r="AB161" s="69"/>
      <c r="AC161" s="70"/>
      <c r="AD161" s="76" t="s">
        <v>11902</v>
      </c>
      <c r="AE161" s="80" t="s">
        <v>12559</v>
      </c>
      <c r="AF161" s="76">
        <v>812</v>
      </c>
      <c r="AG161" s="76">
        <v>4270</v>
      </c>
      <c r="AH161" s="76">
        <v>6835</v>
      </c>
      <c r="AI161" s="76">
        <v>2</v>
      </c>
      <c r="AJ161" s="76">
        <v>35541</v>
      </c>
      <c r="AK161" s="76">
        <v>463</v>
      </c>
      <c r="AL161" s="76" t="b">
        <v>0</v>
      </c>
      <c r="AM161" s="78">
        <v>41901.172546296293</v>
      </c>
      <c r="AN161" s="76" t="s">
        <v>12956</v>
      </c>
      <c r="AO161" s="76" t="s">
        <v>13366</v>
      </c>
      <c r="AP161" s="82" t="str">
        <f>HYPERLINK("https://t.co/v1BkyAo6ye")</f>
        <v>https://t.co/v1BkyAo6ye</v>
      </c>
      <c r="AQ161" s="82" t="str">
        <f>HYPERLINK("https://wa.me/message/FL3GBJTXLK76I1")</f>
        <v>https://wa.me/message/FL3GBJTXLK76I1</v>
      </c>
      <c r="AR161" s="76" t="s">
        <v>14001</v>
      </c>
      <c r="AS161" s="76"/>
      <c r="AT161" s="76"/>
      <c r="AU161" s="76"/>
      <c r="AV161" s="76"/>
      <c r="AW161" s="82" t="str">
        <f>HYPERLINK("https://t.co/v1BkyAo6ye")</f>
        <v>https://t.co/v1BkyAo6ye</v>
      </c>
      <c r="AX161" s="76" t="b">
        <v>0</v>
      </c>
      <c r="AY161" s="76"/>
      <c r="AZ161" s="76"/>
      <c r="BA161" s="76" t="b">
        <v>0</v>
      </c>
      <c r="BB161" s="76" t="b">
        <v>0</v>
      </c>
      <c r="BC161" s="76" t="b">
        <v>1</v>
      </c>
      <c r="BD161" s="76" t="b">
        <v>0</v>
      </c>
      <c r="BE161" s="76" t="b">
        <v>1</v>
      </c>
      <c r="BF161" s="76" t="b">
        <v>0</v>
      </c>
      <c r="BG161" s="76" t="b">
        <v>0</v>
      </c>
      <c r="BH161" s="82" t="str">
        <f>HYPERLINK("https://pbs.twimg.com/profile_banners/2819148746/1644361606")</f>
        <v>https://pbs.twimg.com/profile_banners/2819148746/1644361606</v>
      </c>
      <c r="BI161" s="76"/>
      <c r="BJ161" s="76" t="s">
        <v>14450</v>
      </c>
      <c r="BK161" s="76" t="b">
        <v>0</v>
      </c>
      <c r="BL161" s="76"/>
      <c r="BM161" s="76" t="s">
        <v>66</v>
      </c>
      <c r="BN161" s="76" t="s">
        <v>14452</v>
      </c>
      <c r="BO161" s="82" t="str">
        <f>HYPERLINK("https://twitter.com/jxcabrer")</f>
        <v>https://twitter.com/jxcabrer</v>
      </c>
      <c r="BP161" s="2"/>
    </row>
    <row r="162" spans="1:68" x14ac:dyDescent="0.25">
      <c r="A162" s="62" t="s">
        <v>898</v>
      </c>
      <c r="B162" s="63"/>
      <c r="C162" s="63"/>
      <c r="D162" s="64"/>
      <c r="E162" s="66"/>
      <c r="F162" s="103" t="str">
        <f>HYPERLINK("https://pbs.twimg.com/profile_images/1523612598859620356/oKfsGGni_normal.jpg")</f>
        <v>https://pbs.twimg.com/profile_images/1523612598859620356/oKfsGGni_normal.jpg</v>
      </c>
      <c r="G162" s="63"/>
      <c r="H162" s="67"/>
      <c r="I162" s="68"/>
      <c r="J162" s="68"/>
      <c r="K162" s="67" t="s">
        <v>14611</v>
      </c>
      <c r="L162" s="71"/>
      <c r="M162" s="72"/>
      <c r="N162" s="72"/>
      <c r="O162" s="73"/>
      <c r="P162" s="74"/>
      <c r="Q162" s="74"/>
      <c r="R162" s="87"/>
      <c r="S162" s="87"/>
      <c r="T162" s="87"/>
      <c r="U162" s="87"/>
      <c r="V162" s="48"/>
      <c r="W162" s="48"/>
      <c r="X162" s="48"/>
      <c r="Y162" s="48"/>
      <c r="Z162" s="47"/>
      <c r="AA162" s="69">
        <v>162</v>
      </c>
      <c r="AB162" s="69"/>
      <c r="AC162" s="70"/>
      <c r="AD162" s="76" t="s">
        <v>11903</v>
      </c>
      <c r="AE162" s="80" t="s">
        <v>11326</v>
      </c>
      <c r="AF162" s="76">
        <v>222840</v>
      </c>
      <c r="AG162" s="76">
        <v>4160</v>
      </c>
      <c r="AH162" s="76">
        <v>48829</v>
      </c>
      <c r="AI162" s="76">
        <v>320</v>
      </c>
      <c r="AJ162" s="76">
        <v>48093</v>
      </c>
      <c r="AK162" s="76">
        <v>5475</v>
      </c>
      <c r="AL162" s="76" t="b">
        <v>0</v>
      </c>
      <c r="AM162" s="78">
        <v>39093.124444444446</v>
      </c>
      <c r="AN162" s="76" t="s">
        <v>12957</v>
      </c>
      <c r="AO162" s="76" t="s">
        <v>13367</v>
      </c>
      <c r="AP162" s="82" t="str">
        <f>HYPERLINK("https://t.co/2qhmXLROZO")</f>
        <v>https://t.co/2qhmXLROZO</v>
      </c>
      <c r="AQ162" s="82" t="str">
        <f>HYPERLINK("https://www.ceoencamiseta.com/")</f>
        <v>https://www.ceoencamiseta.com/</v>
      </c>
      <c r="AR162" s="76" t="s">
        <v>14002</v>
      </c>
      <c r="AS162" s="76"/>
      <c r="AT162" s="76"/>
      <c r="AU162" s="76"/>
      <c r="AV162" s="76">
        <v>1.6475855864868301E+18</v>
      </c>
      <c r="AW162" s="82" t="str">
        <f>HYPERLINK("https://t.co/2qhmXLROZO")</f>
        <v>https://t.co/2qhmXLROZO</v>
      </c>
      <c r="AX162" s="76" t="b">
        <v>1</v>
      </c>
      <c r="AY162" s="76"/>
      <c r="AZ162" s="76"/>
      <c r="BA162" s="76" t="b">
        <v>1</v>
      </c>
      <c r="BB162" s="76" t="b">
        <v>0</v>
      </c>
      <c r="BC162" s="76" t="b">
        <v>0</v>
      </c>
      <c r="BD162" s="76" t="b">
        <v>0</v>
      </c>
      <c r="BE162" s="76" t="b">
        <v>1</v>
      </c>
      <c r="BF162" s="76" t="b">
        <v>0</v>
      </c>
      <c r="BG162" s="76" t="b">
        <v>0</v>
      </c>
      <c r="BH162" s="82" t="str">
        <f>HYPERLINK("https://pbs.twimg.com/profile_banners/624143/1636404612")</f>
        <v>https://pbs.twimg.com/profile_banners/624143/1636404612</v>
      </c>
      <c r="BI162" s="76"/>
      <c r="BJ162" s="76" t="s">
        <v>14450</v>
      </c>
      <c r="BK162" s="76" t="b">
        <v>0</v>
      </c>
      <c r="BL162" s="76"/>
      <c r="BM162" s="76" t="s">
        <v>65</v>
      </c>
      <c r="BN162" s="76" t="s">
        <v>14452</v>
      </c>
      <c r="BO162" s="82" t="str">
        <f>HYPERLINK("https://twitter.com/leopiccioli")</f>
        <v>https://twitter.com/leopiccioli</v>
      </c>
      <c r="BP162" s="2"/>
    </row>
    <row r="163" spans="1:68" x14ac:dyDescent="0.25">
      <c r="A163" s="62" t="s">
        <v>351</v>
      </c>
      <c r="B163" s="63"/>
      <c r="C163" s="63"/>
      <c r="D163" s="64"/>
      <c r="E163" s="66"/>
      <c r="F163" s="103" t="str">
        <f>HYPERLINK("https://pbs.twimg.com/profile_images/1618562972913131523/wam1Gbo0_normal.jpg")</f>
        <v>https://pbs.twimg.com/profile_images/1618562972913131523/wam1Gbo0_normal.jpg</v>
      </c>
      <c r="G163" s="63"/>
      <c r="H163" s="67"/>
      <c r="I163" s="68"/>
      <c r="J163" s="68"/>
      <c r="K163" s="67" t="s">
        <v>14612</v>
      </c>
      <c r="L163" s="71"/>
      <c r="M163" s="72"/>
      <c r="N163" s="72"/>
      <c r="O163" s="73"/>
      <c r="P163" s="74"/>
      <c r="Q163" s="74"/>
      <c r="R163" s="87"/>
      <c r="S163" s="87"/>
      <c r="T163" s="87"/>
      <c r="U163" s="87"/>
      <c r="V163" s="48"/>
      <c r="W163" s="48"/>
      <c r="X163" s="48"/>
      <c r="Y163" s="48"/>
      <c r="Z163" s="47"/>
      <c r="AA163" s="69">
        <v>163</v>
      </c>
      <c r="AB163" s="69"/>
      <c r="AC163" s="70"/>
      <c r="AD163" s="76" t="s">
        <v>11904</v>
      </c>
      <c r="AE163" s="80" t="s">
        <v>11467</v>
      </c>
      <c r="AF163" s="76">
        <v>28</v>
      </c>
      <c r="AG163" s="76">
        <v>18</v>
      </c>
      <c r="AH163" s="76">
        <v>68</v>
      </c>
      <c r="AI163" s="76">
        <v>0</v>
      </c>
      <c r="AJ163" s="76">
        <v>242</v>
      </c>
      <c r="AK163" s="76">
        <v>44</v>
      </c>
      <c r="AL163" s="76" t="b">
        <v>0</v>
      </c>
      <c r="AM163" s="78">
        <v>43555.086562500001</v>
      </c>
      <c r="AN163" s="76"/>
      <c r="AO163" s="76" t="s">
        <v>13368</v>
      </c>
      <c r="AP163" s="76"/>
      <c r="AQ163" s="76"/>
      <c r="AR163" s="76"/>
      <c r="AS163" s="76"/>
      <c r="AT163" s="76"/>
      <c r="AU163" s="76"/>
      <c r="AV163" s="76"/>
      <c r="AW163" s="76"/>
      <c r="AX163" s="76" t="b">
        <v>0</v>
      </c>
      <c r="AY163" s="76"/>
      <c r="AZ163" s="76"/>
      <c r="BA163" s="76" t="b">
        <v>0</v>
      </c>
      <c r="BB163" s="76" t="b">
        <v>1</v>
      </c>
      <c r="BC163" s="76" t="b">
        <v>1</v>
      </c>
      <c r="BD163" s="76" t="b">
        <v>0</v>
      </c>
      <c r="BE163" s="76" t="b">
        <v>0</v>
      </c>
      <c r="BF163" s="76" t="b">
        <v>0</v>
      </c>
      <c r="BG163" s="76" t="b">
        <v>0</v>
      </c>
      <c r="BH163" s="76"/>
      <c r="BI163" s="76"/>
      <c r="BJ163" s="76" t="s">
        <v>14450</v>
      </c>
      <c r="BK163" s="76" t="b">
        <v>0</v>
      </c>
      <c r="BL163" s="76"/>
      <c r="BM163" s="76" t="s">
        <v>66</v>
      </c>
      <c r="BN163" s="76" t="s">
        <v>14452</v>
      </c>
      <c r="BO163" s="82" t="str">
        <f>HYPERLINK("https://twitter.com/marciavalria15")</f>
        <v>https://twitter.com/marciavalria15</v>
      </c>
      <c r="BP163" s="2"/>
    </row>
    <row r="164" spans="1:68" x14ac:dyDescent="0.25">
      <c r="A164" s="62" t="s">
        <v>352</v>
      </c>
      <c r="B164" s="63"/>
      <c r="C164" s="63"/>
      <c r="D164" s="64"/>
      <c r="E164" s="66"/>
      <c r="F164" s="103" t="str">
        <f>HYPERLINK("https://pbs.twimg.com/profile_images/1535719543972188162/Do9THWhn_normal.jpg")</f>
        <v>https://pbs.twimg.com/profile_images/1535719543972188162/Do9THWhn_normal.jpg</v>
      </c>
      <c r="G164" s="63"/>
      <c r="H164" s="67"/>
      <c r="I164" s="68"/>
      <c r="J164" s="68"/>
      <c r="K164" s="67" t="s">
        <v>14613</v>
      </c>
      <c r="L164" s="71"/>
      <c r="M164" s="72"/>
      <c r="N164" s="72"/>
      <c r="O164" s="73"/>
      <c r="P164" s="74"/>
      <c r="Q164" s="74"/>
      <c r="R164" s="87"/>
      <c r="S164" s="87"/>
      <c r="T164" s="87"/>
      <c r="U164" s="87"/>
      <c r="V164" s="48"/>
      <c r="W164" s="48"/>
      <c r="X164" s="48"/>
      <c r="Y164" s="48"/>
      <c r="Z164" s="47"/>
      <c r="AA164" s="69">
        <v>164</v>
      </c>
      <c r="AB164" s="69"/>
      <c r="AC164" s="70"/>
      <c r="AD164" s="76" t="s">
        <v>11905</v>
      </c>
      <c r="AE164" s="80" t="s">
        <v>12560</v>
      </c>
      <c r="AF164" s="76">
        <v>55</v>
      </c>
      <c r="AG164" s="76">
        <v>6</v>
      </c>
      <c r="AH164" s="76">
        <v>95</v>
      </c>
      <c r="AI164" s="76">
        <v>5</v>
      </c>
      <c r="AJ164" s="76">
        <v>129</v>
      </c>
      <c r="AK164" s="76">
        <v>8</v>
      </c>
      <c r="AL164" s="76" t="b">
        <v>0</v>
      </c>
      <c r="AM164" s="78">
        <v>40215.024791666663</v>
      </c>
      <c r="AN164" s="76" t="s">
        <v>7863</v>
      </c>
      <c r="AO164" s="76" t="s">
        <v>13369</v>
      </c>
      <c r="AP164" s="82" t="str">
        <f>HYPERLINK("https://t.co/wc84We9z5K")</f>
        <v>https://t.co/wc84We9z5K</v>
      </c>
      <c r="AQ164" s="82" t="str">
        <f>HYPERLINK("https://clientelacrm.com")</f>
        <v>https://clientelacrm.com</v>
      </c>
      <c r="AR164" s="76" t="s">
        <v>4249</v>
      </c>
      <c r="AS164" s="76"/>
      <c r="AT164" s="76"/>
      <c r="AU164" s="76"/>
      <c r="AV164" s="76"/>
      <c r="AW164" s="82" t="str">
        <f>HYPERLINK("https://t.co/wc84We9z5K")</f>
        <v>https://t.co/wc84We9z5K</v>
      </c>
      <c r="AX164" s="76" t="b">
        <v>0</v>
      </c>
      <c r="AY164" s="76"/>
      <c r="AZ164" s="76"/>
      <c r="BA164" s="76" t="b">
        <v>0</v>
      </c>
      <c r="BB164" s="76" t="b">
        <v>0</v>
      </c>
      <c r="BC164" s="76" t="b">
        <v>0</v>
      </c>
      <c r="BD164" s="76" t="b">
        <v>0</v>
      </c>
      <c r="BE164" s="76" t="b">
        <v>0</v>
      </c>
      <c r="BF164" s="76" t="b">
        <v>0</v>
      </c>
      <c r="BG164" s="76" t="b">
        <v>0</v>
      </c>
      <c r="BH164" s="82" t="str">
        <f>HYPERLINK("https://pbs.twimg.com/profile_banners/111740133/1673023796")</f>
        <v>https://pbs.twimg.com/profile_banners/111740133/1673023796</v>
      </c>
      <c r="BI164" s="76"/>
      <c r="BJ164" s="76" t="s">
        <v>14450</v>
      </c>
      <c r="BK164" s="76" t="b">
        <v>0</v>
      </c>
      <c r="BL164" s="76"/>
      <c r="BM164" s="76" t="s">
        <v>66</v>
      </c>
      <c r="BN164" s="76" t="s">
        <v>14452</v>
      </c>
      <c r="BO164" s="82" t="str">
        <f>HYPERLINK("https://twitter.com/clientelacrm")</f>
        <v>https://twitter.com/clientelacrm</v>
      </c>
      <c r="BP164" s="2"/>
    </row>
    <row r="165" spans="1:68" x14ac:dyDescent="0.25">
      <c r="A165" s="62" t="s">
        <v>353</v>
      </c>
      <c r="B165" s="63"/>
      <c r="C165" s="63"/>
      <c r="D165" s="64"/>
      <c r="E165" s="66"/>
      <c r="F165" s="103" t="str">
        <f>HYPERLINK("https://pbs.twimg.com/profile_images/1260405869768048641/O1rzQT6k_normal.jpg")</f>
        <v>https://pbs.twimg.com/profile_images/1260405869768048641/O1rzQT6k_normal.jpg</v>
      </c>
      <c r="G165" s="63"/>
      <c r="H165" s="67"/>
      <c r="I165" s="68"/>
      <c r="J165" s="68"/>
      <c r="K165" s="67" t="s">
        <v>14614</v>
      </c>
      <c r="L165" s="71"/>
      <c r="M165" s="72"/>
      <c r="N165" s="72"/>
      <c r="O165" s="73"/>
      <c r="P165" s="74"/>
      <c r="Q165" s="74"/>
      <c r="R165" s="87"/>
      <c r="S165" s="87"/>
      <c r="T165" s="87"/>
      <c r="U165" s="87"/>
      <c r="V165" s="48"/>
      <c r="W165" s="48"/>
      <c r="X165" s="48"/>
      <c r="Y165" s="48"/>
      <c r="Z165" s="47"/>
      <c r="AA165" s="69">
        <v>165</v>
      </c>
      <c r="AB165" s="69"/>
      <c r="AC165" s="70"/>
      <c r="AD165" s="76" t="s">
        <v>11906</v>
      </c>
      <c r="AE165" s="80" t="s">
        <v>12561</v>
      </c>
      <c r="AF165" s="76">
        <v>508</v>
      </c>
      <c r="AG165" s="76">
        <v>1176</v>
      </c>
      <c r="AH165" s="76">
        <v>13560</v>
      </c>
      <c r="AI165" s="76">
        <v>4</v>
      </c>
      <c r="AJ165" s="76">
        <v>391</v>
      </c>
      <c r="AK165" s="76">
        <v>25</v>
      </c>
      <c r="AL165" s="76" t="b">
        <v>0</v>
      </c>
      <c r="AM165" s="78">
        <v>41118.7184837963</v>
      </c>
      <c r="AN165" s="76"/>
      <c r="AO165" s="76"/>
      <c r="AP165" s="76"/>
      <c r="AQ165" s="76"/>
      <c r="AR165" s="76"/>
      <c r="AS165" s="76"/>
      <c r="AT165" s="76"/>
      <c r="AU165" s="76"/>
      <c r="AV165" s="76">
        <v>1.4066265720109299E+18</v>
      </c>
      <c r="AW165" s="76"/>
      <c r="AX165" s="76" t="b">
        <v>0</v>
      </c>
      <c r="AY165" s="76"/>
      <c r="AZ165" s="76"/>
      <c r="BA165" s="76" t="b">
        <v>0</v>
      </c>
      <c r="BB165" s="76" t="b">
        <v>1</v>
      </c>
      <c r="BC165" s="76" t="b">
        <v>1</v>
      </c>
      <c r="BD165" s="76" t="b">
        <v>0</v>
      </c>
      <c r="BE165" s="76" t="b">
        <v>1</v>
      </c>
      <c r="BF165" s="76" t="b">
        <v>0</v>
      </c>
      <c r="BG165" s="76" t="b">
        <v>0</v>
      </c>
      <c r="BH165" s="82" t="str">
        <f>HYPERLINK("https://pbs.twimg.com/profile_banners/722519868/1589339215")</f>
        <v>https://pbs.twimg.com/profile_banners/722519868/1589339215</v>
      </c>
      <c r="BI165" s="76"/>
      <c r="BJ165" s="76" t="s">
        <v>14450</v>
      </c>
      <c r="BK165" s="76" t="b">
        <v>0</v>
      </c>
      <c r="BL165" s="76"/>
      <c r="BM165" s="76" t="s">
        <v>66</v>
      </c>
      <c r="BN165" s="76" t="s">
        <v>14452</v>
      </c>
      <c r="BO165" s="82" t="str">
        <f>HYPERLINK("https://twitter.com/portidaniel")</f>
        <v>https://twitter.com/portidaniel</v>
      </c>
      <c r="BP165" s="2"/>
    </row>
    <row r="166" spans="1:68" x14ac:dyDescent="0.25">
      <c r="A166" s="62" t="s">
        <v>842</v>
      </c>
      <c r="B166" s="63"/>
      <c r="C166" s="63"/>
      <c r="D166" s="64"/>
      <c r="E166" s="66"/>
      <c r="F166" s="103" t="str">
        <f>HYPERLINK("https://pbs.twimg.com/profile_images/1374151458556424192/fU_G7ZsD_normal.jpg")</f>
        <v>https://pbs.twimg.com/profile_images/1374151458556424192/fU_G7ZsD_normal.jpg</v>
      </c>
      <c r="G166" s="63"/>
      <c r="H166" s="67"/>
      <c r="I166" s="68"/>
      <c r="J166" s="68"/>
      <c r="K166" s="67" t="s">
        <v>14615</v>
      </c>
      <c r="L166" s="71"/>
      <c r="M166" s="72"/>
      <c r="N166" s="72"/>
      <c r="O166" s="73"/>
      <c r="P166" s="74"/>
      <c r="Q166" s="74"/>
      <c r="R166" s="87"/>
      <c r="S166" s="87"/>
      <c r="T166" s="87"/>
      <c r="U166" s="87"/>
      <c r="V166" s="48"/>
      <c r="W166" s="48"/>
      <c r="X166" s="48"/>
      <c r="Y166" s="48"/>
      <c r="Z166" s="47"/>
      <c r="AA166" s="69">
        <v>166</v>
      </c>
      <c r="AB166" s="69"/>
      <c r="AC166" s="70"/>
      <c r="AD166" s="76" t="s">
        <v>11907</v>
      </c>
      <c r="AE166" s="80" t="s">
        <v>12562</v>
      </c>
      <c r="AF166" s="76">
        <v>793</v>
      </c>
      <c r="AG166" s="76">
        <v>1962</v>
      </c>
      <c r="AH166" s="76">
        <v>8387</v>
      </c>
      <c r="AI166" s="76">
        <v>5</v>
      </c>
      <c r="AJ166" s="76">
        <v>7367</v>
      </c>
      <c r="AK166" s="76">
        <v>3316</v>
      </c>
      <c r="AL166" s="76" t="b">
        <v>0</v>
      </c>
      <c r="AM166" s="78">
        <v>42383.197418981479</v>
      </c>
      <c r="AN166" s="76" t="s">
        <v>12958</v>
      </c>
      <c r="AO166" s="76" t="s">
        <v>13370</v>
      </c>
      <c r="AP166" s="82" t="str">
        <f>HYPERLINK("https://t.co/mPUxtUvgbd")</f>
        <v>https://t.co/mPUxtUvgbd</v>
      </c>
      <c r="AQ166" s="82" t="str">
        <f>HYPERLINK("https://www.portavisa.edu.sv")</f>
        <v>https://www.portavisa.edu.sv</v>
      </c>
      <c r="AR166" s="76" t="s">
        <v>14003</v>
      </c>
      <c r="AS166" s="76"/>
      <c r="AT166" s="76"/>
      <c r="AU166" s="76"/>
      <c r="AV166" s="76">
        <v>1.56290905721602E+18</v>
      </c>
      <c r="AW166" s="82" t="str">
        <f>HYPERLINK("https://t.co/mPUxtUvgbd")</f>
        <v>https://t.co/mPUxtUvgbd</v>
      </c>
      <c r="AX166" s="76" t="b">
        <v>0</v>
      </c>
      <c r="AY166" s="76"/>
      <c r="AZ166" s="76"/>
      <c r="BA166" s="76" t="b">
        <v>1</v>
      </c>
      <c r="BB166" s="76" t="b">
        <v>1</v>
      </c>
      <c r="BC166" s="76" t="b">
        <v>1</v>
      </c>
      <c r="BD166" s="76" t="b">
        <v>0</v>
      </c>
      <c r="BE166" s="76" t="b">
        <v>1</v>
      </c>
      <c r="BF166" s="76" t="b">
        <v>0</v>
      </c>
      <c r="BG166" s="76" t="b">
        <v>0</v>
      </c>
      <c r="BH166" s="82" t="str">
        <f>HYPERLINK("https://pbs.twimg.com/profile_banners/4756262358/1659994254")</f>
        <v>https://pbs.twimg.com/profile_banners/4756262358/1659994254</v>
      </c>
      <c r="BI166" s="76"/>
      <c r="BJ166" s="76" t="s">
        <v>14450</v>
      </c>
      <c r="BK166" s="76" t="b">
        <v>0</v>
      </c>
      <c r="BL166" s="76"/>
      <c r="BM166" s="76" t="s">
        <v>66</v>
      </c>
      <c r="BN166" s="76" t="s">
        <v>14452</v>
      </c>
      <c r="BO166" s="82" t="str">
        <f>HYPERLINK("https://twitter.com/portavisa")</f>
        <v>https://twitter.com/portavisa</v>
      </c>
      <c r="BP166" s="2"/>
    </row>
    <row r="167" spans="1:68" x14ac:dyDescent="0.25">
      <c r="A167" s="62" t="s">
        <v>354</v>
      </c>
      <c r="B167" s="63"/>
      <c r="C167" s="63"/>
      <c r="D167" s="64"/>
      <c r="E167" s="66"/>
      <c r="F167" s="103" t="str">
        <f>HYPERLINK("https://pbs.twimg.com/profile_images/1687032721992798208/4gqR0gnb_normal.jpg")</f>
        <v>https://pbs.twimg.com/profile_images/1687032721992798208/4gqR0gnb_normal.jpg</v>
      </c>
      <c r="G167" s="63"/>
      <c r="H167" s="67"/>
      <c r="I167" s="68"/>
      <c r="J167" s="68"/>
      <c r="K167" s="67" t="s">
        <v>14616</v>
      </c>
      <c r="L167" s="71"/>
      <c r="M167" s="72"/>
      <c r="N167" s="72"/>
      <c r="O167" s="73"/>
      <c r="P167" s="74"/>
      <c r="Q167" s="74"/>
      <c r="R167" s="87"/>
      <c r="S167" s="87"/>
      <c r="T167" s="87"/>
      <c r="U167" s="87"/>
      <c r="V167" s="48"/>
      <c r="W167" s="48"/>
      <c r="X167" s="48"/>
      <c r="Y167" s="48"/>
      <c r="Z167" s="47"/>
      <c r="AA167" s="69">
        <v>167</v>
      </c>
      <c r="AB167" s="69"/>
      <c r="AC167" s="70"/>
      <c r="AD167" s="76" t="s">
        <v>11908</v>
      </c>
      <c r="AE167" s="80" t="s">
        <v>11468</v>
      </c>
      <c r="AF167" s="76">
        <v>43</v>
      </c>
      <c r="AG167" s="76">
        <v>1556</v>
      </c>
      <c r="AH167" s="76">
        <v>74</v>
      </c>
      <c r="AI167" s="76">
        <v>0</v>
      </c>
      <c r="AJ167" s="76">
        <v>1107</v>
      </c>
      <c r="AK167" s="76">
        <v>12</v>
      </c>
      <c r="AL167" s="76" t="b">
        <v>0</v>
      </c>
      <c r="AM167" s="78">
        <v>44955.647812499999</v>
      </c>
      <c r="AN167" s="76" t="s">
        <v>7809</v>
      </c>
      <c r="AO167" s="76" t="s">
        <v>13371</v>
      </c>
      <c r="AP167" s="76"/>
      <c r="AQ167" s="76"/>
      <c r="AR167" s="76"/>
      <c r="AS167" s="82" t="str">
        <f>HYPERLINK("https://t.co/DHQ9YMNMic")</f>
        <v>https://t.co/DHQ9YMNMic</v>
      </c>
      <c r="AT167" s="82" t="str">
        <f>HYPERLINK("https://instagram.com/oficialeudiego?igshid=MjEwN2IyYWYwYw==")</f>
        <v>https://instagram.com/oficialeudiego?igshid=MjEwN2IyYWYwYw==</v>
      </c>
      <c r="AU167" s="76" t="s">
        <v>14409</v>
      </c>
      <c r="AV167" s="76"/>
      <c r="AW167" s="76"/>
      <c r="AX167" s="76" t="b">
        <v>0</v>
      </c>
      <c r="AY167" s="76"/>
      <c r="AZ167" s="76"/>
      <c r="BA167" s="76" t="b">
        <v>1</v>
      </c>
      <c r="BB167" s="76" t="b">
        <v>1</v>
      </c>
      <c r="BC167" s="76" t="b">
        <v>1</v>
      </c>
      <c r="BD167" s="76" t="b">
        <v>0</v>
      </c>
      <c r="BE167" s="76" t="b">
        <v>0</v>
      </c>
      <c r="BF167" s="76" t="b">
        <v>0</v>
      </c>
      <c r="BG167" s="76" t="b">
        <v>1</v>
      </c>
      <c r="BH167" s="82" t="str">
        <f>HYPERLINK("https://pbs.twimg.com/profile_banners/1619720204585472001/1693590291")</f>
        <v>https://pbs.twimg.com/profile_banners/1619720204585472001/1693590291</v>
      </c>
      <c r="BI167" s="76"/>
      <c r="BJ167" s="76" t="s">
        <v>14450</v>
      </c>
      <c r="BK167" s="76" t="b">
        <v>0</v>
      </c>
      <c r="BL167" s="76"/>
      <c r="BM167" s="76" t="s">
        <v>66</v>
      </c>
      <c r="BN167" s="76" t="s">
        <v>14452</v>
      </c>
      <c r="BO167" s="82" t="str">
        <f>HYPERLINK("https://twitter.com/fmdlog")</f>
        <v>https://twitter.com/fmdlog</v>
      </c>
      <c r="BP167" s="2"/>
    </row>
    <row r="168" spans="1:68" x14ac:dyDescent="0.25">
      <c r="A168" s="62" t="s">
        <v>355</v>
      </c>
      <c r="B168" s="63"/>
      <c r="C168" s="63"/>
      <c r="D168" s="64"/>
      <c r="E168" s="66"/>
      <c r="F168" s="103" t="str">
        <f>HYPERLINK("https://pbs.twimg.com/profile_images/1611484074178236432/EhqfJ0zg_normal.jpg")</f>
        <v>https://pbs.twimg.com/profile_images/1611484074178236432/EhqfJ0zg_normal.jpg</v>
      </c>
      <c r="G168" s="63"/>
      <c r="H168" s="67"/>
      <c r="I168" s="68"/>
      <c r="J168" s="68"/>
      <c r="K168" s="67" t="s">
        <v>14617</v>
      </c>
      <c r="L168" s="71"/>
      <c r="M168" s="72"/>
      <c r="N168" s="72"/>
      <c r="O168" s="73"/>
      <c r="P168" s="74"/>
      <c r="Q168" s="74"/>
      <c r="R168" s="87"/>
      <c r="S168" s="87"/>
      <c r="T168" s="87"/>
      <c r="U168" s="87"/>
      <c r="V168" s="48"/>
      <c r="W168" s="48"/>
      <c r="X168" s="48"/>
      <c r="Y168" s="48"/>
      <c r="Z168" s="47"/>
      <c r="AA168" s="69">
        <v>168</v>
      </c>
      <c r="AB168" s="69"/>
      <c r="AC168" s="70"/>
      <c r="AD168" s="76" t="s">
        <v>11909</v>
      </c>
      <c r="AE168" s="80" t="s">
        <v>12563</v>
      </c>
      <c r="AF168" s="76">
        <v>315</v>
      </c>
      <c r="AG168" s="76">
        <v>139</v>
      </c>
      <c r="AH168" s="76">
        <v>2278</v>
      </c>
      <c r="AI168" s="76">
        <v>4</v>
      </c>
      <c r="AJ168" s="76">
        <v>52</v>
      </c>
      <c r="AK168" s="76">
        <v>1904</v>
      </c>
      <c r="AL168" s="76" t="b">
        <v>0</v>
      </c>
      <c r="AM168" s="78">
        <v>40801.942499999997</v>
      </c>
      <c r="AN168" s="76" t="s">
        <v>12959</v>
      </c>
      <c r="AO168" s="76" t="s">
        <v>13372</v>
      </c>
      <c r="AP168" s="82" t="str">
        <f>HYPERLINK("https://t.co/SsUOBcGr75")</f>
        <v>https://t.co/SsUOBcGr75</v>
      </c>
      <c r="AQ168" s="82" t="str">
        <f>HYPERLINK("http://linktr.ee/zcmayoristas")</f>
        <v>http://linktr.ee/zcmayoristas</v>
      </c>
      <c r="AR168" s="76" t="s">
        <v>14004</v>
      </c>
      <c r="AS168" s="76"/>
      <c r="AT168" s="76"/>
      <c r="AU168" s="76"/>
      <c r="AV168" s="76"/>
      <c r="AW168" s="82" t="str">
        <f>HYPERLINK("https://t.co/SsUOBcGr75")</f>
        <v>https://t.co/SsUOBcGr75</v>
      </c>
      <c r="AX168" s="76" t="b">
        <v>0</v>
      </c>
      <c r="AY168" s="76"/>
      <c r="AZ168" s="76"/>
      <c r="BA168" s="76" t="b">
        <v>0</v>
      </c>
      <c r="BB168" s="76" t="b">
        <v>1</v>
      </c>
      <c r="BC168" s="76" t="b">
        <v>1</v>
      </c>
      <c r="BD168" s="76" t="b">
        <v>0</v>
      </c>
      <c r="BE168" s="76" t="b">
        <v>0</v>
      </c>
      <c r="BF168" s="76" t="b">
        <v>0</v>
      </c>
      <c r="BG168" s="76" t="b">
        <v>0</v>
      </c>
      <c r="BH168" s="82" t="str">
        <f>HYPERLINK("https://pbs.twimg.com/profile_banners/374217830/1675197747")</f>
        <v>https://pbs.twimg.com/profile_banners/374217830/1675197747</v>
      </c>
      <c r="BI168" s="76"/>
      <c r="BJ168" s="76" t="s">
        <v>14450</v>
      </c>
      <c r="BK168" s="76" t="b">
        <v>0</v>
      </c>
      <c r="BL168" s="76"/>
      <c r="BM168" s="76" t="s">
        <v>66</v>
      </c>
      <c r="BN168" s="76" t="s">
        <v>14452</v>
      </c>
      <c r="BO168" s="82" t="str">
        <f>HYPERLINK("https://twitter.com/zcmayoristas")</f>
        <v>https://twitter.com/zcmayoristas</v>
      </c>
      <c r="BP168" s="2"/>
    </row>
    <row r="169" spans="1:68" x14ac:dyDescent="0.25">
      <c r="A169" s="62" t="s">
        <v>356</v>
      </c>
      <c r="B169" s="63"/>
      <c r="C169" s="63"/>
      <c r="D169" s="64"/>
      <c r="E169" s="66"/>
      <c r="F169" s="103" t="str">
        <f>HYPERLINK("https://pbs.twimg.com/profile_images/1656870658599526401/TH_MJtwv_normal.jpg")</f>
        <v>https://pbs.twimg.com/profile_images/1656870658599526401/TH_MJtwv_normal.jpg</v>
      </c>
      <c r="G169" s="63"/>
      <c r="H169" s="67"/>
      <c r="I169" s="68"/>
      <c r="J169" s="68"/>
      <c r="K169" s="67" t="s">
        <v>14618</v>
      </c>
      <c r="L169" s="71"/>
      <c r="M169" s="72"/>
      <c r="N169" s="72"/>
      <c r="O169" s="73"/>
      <c r="P169" s="74"/>
      <c r="Q169" s="74"/>
      <c r="R169" s="87"/>
      <c r="S169" s="87"/>
      <c r="T169" s="87"/>
      <c r="U169" s="87"/>
      <c r="V169" s="48"/>
      <c r="W169" s="48"/>
      <c r="X169" s="48"/>
      <c r="Y169" s="48"/>
      <c r="Z169" s="47"/>
      <c r="AA169" s="69">
        <v>169</v>
      </c>
      <c r="AB169" s="69"/>
      <c r="AC169" s="70"/>
      <c r="AD169" s="76" t="s">
        <v>11910</v>
      </c>
      <c r="AE169" s="80" t="s">
        <v>11469</v>
      </c>
      <c r="AF169" s="76">
        <v>172</v>
      </c>
      <c r="AG169" s="76">
        <v>341</v>
      </c>
      <c r="AH169" s="76">
        <v>47</v>
      </c>
      <c r="AI169" s="76">
        <v>1</v>
      </c>
      <c r="AJ169" s="76">
        <v>4</v>
      </c>
      <c r="AK169" s="76">
        <v>45</v>
      </c>
      <c r="AL169" s="76" t="b">
        <v>0</v>
      </c>
      <c r="AM169" s="78">
        <v>45054.443090277775</v>
      </c>
      <c r="AN169" s="76" t="s">
        <v>7791</v>
      </c>
      <c r="AO169" s="76" t="s">
        <v>13373</v>
      </c>
      <c r="AP169" s="82" t="str">
        <f>HYPERLINK("https://t.co/Wxrqm2lniC")</f>
        <v>https://t.co/Wxrqm2lniC</v>
      </c>
      <c r="AQ169" s="82" t="str">
        <f>HYPERLINK("http://www.rrsolucoesdigitais.online")</f>
        <v>http://www.rrsolucoesdigitais.online</v>
      </c>
      <c r="AR169" s="76" t="s">
        <v>14005</v>
      </c>
      <c r="AS169" s="76"/>
      <c r="AT169" s="76"/>
      <c r="AU169" s="76"/>
      <c r="AV169" s="76"/>
      <c r="AW169" s="82" t="str">
        <f>HYPERLINK("https://t.co/Wxrqm2lniC")</f>
        <v>https://t.co/Wxrqm2lniC</v>
      </c>
      <c r="AX169" s="76" t="b">
        <v>0</v>
      </c>
      <c r="AY169" s="76"/>
      <c r="AZ169" s="76"/>
      <c r="BA169" s="76" t="b">
        <v>0</v>
      </c>
      <c r="BB169" s="76" t="b">
        <v>1</v>
      </c>
      <c r="BC169" s="76" t="b">
        <v>1</v>
      </c>
      <c r="BD169" s="76" t="b">
        <v>0</v>
      </c>
      <c r="BE169" s="76" t="b">
        <v>0</v>
      </c>
      <c r="BF169" s="76" t="b">
        <v>0</v>
      </c>
      <c r="BG169" s="76" t="b">
        <v>0</v>
      </c>
      <c r="BH169" s="82" t="str">
        <f>HYPERLINK("https://pbs.twimg.com/profile_banners/1655522363906064384/1683863973")</f>
        <v>https://pbs.twimg.com/profile_banners/1655522363906064384/1683863973</v>
      </c>
      <c r="BI169" s="76"/>
      <c r="BJ169" s="76" t="s">
        <v>14450</v>
      </c>
      <c r="BK169" s="76" t="b">
        <v>0</v>
      </c>
      <c r="BL169" s="76"/>
      <c r="BM169" s="76" t="s">
        <v>66</v>
      </c>
      <c r="BN169" s="76" t="s">
        <v>14452</v>
      </c>
      <c r="BO169" s="82" t="str">
        <f>HYPERLINK("https://twitter.com/rrsolucdigitais")</f>
        <v>https://twitter.com/rrsolucdigitais</v>
      </c>
      <c r="BP169" s="2"/>
    </row>
    <row r="170" spans="1:68" x14ac:dyDescent="0.25">
      <c r="A170" s="62" t="s">
        <v>357</v>
      </c>
      <c r="B170" s="63"/>
      <c r="C170" s="63"/>
      <c r="D170" s="64"/>
      <c r="E170" s="66"/>
      <c r="F170" s="103" t="str">
        <f>HYPERLINK("https://pbs.twimg.com/profile_images/1472071415104954371/0UVd8f8j_normal.jpg")</f>
        <v>https://pbs.twimg.com/profile_images/1472071415104954371/0UVd8f8j_normal.jpg</v>
      </c>
      <c r="G170" s="63"/>
      <c r="H170" s="67"/>
      <c r="I170" s="68"/>
      <c r="J170" s="68"/>
      <c r="K170" s="67" t="s">
        <v>14619</v>
      </c>
      <c r="L170" s="71"/>
      <c r="M170" s="72"/>
      <c r="N170" s="72"/>
      <c r="O170" s="73"/>
      <c r="P170" s="74"/>
      <c r="Q170" s="74"/>
      <c r="R170" s="87"/>
      <c r="S170" s="87"/>
      <c r="T170" s="87"/>
      <c r="U170" s="87"/>
      <c r="V170" s="48"/>
      <c r="W170" s="48"/>
      <c r="X170" s="48"/>
      <c r="Y170" s="48"/>
      <c r="Z170" s="47"/>
      <c r="AA170" s="69">
        <v>170</v>
      </c>
      <c r="AB170" s="69"/>
      <c r="AC170" s="70"/>
      <c r="AD170" s="76" t="s">
        <v>11911</v>
      </c>
      <c r="AE170" s="80" t="s">
        <v>11470</v>
      </c>
      <c r="AF170" s="76">
        <v>64</v>
      </c>
      <c r="AG170" s="76">
        <v>191</v>
      </c>
      <c r="AH170" s="76">
        <v>450</v>
      </c>
      <c r="AI170" s="76">
        <v>0</v>
      </c>
      <c r="AJ170" s="76">
        <v>440</v>
      </c>
      <c r="AK170" s="76">
        <v>15</v>
      </c>
      <c r="AL170" s="76" t="b">
        <v>0</v>
      </c>
      <c r="AM170" s="78">
        <v>44150.170532407406</v>
      </c>
      <c r="AN170" s="76" t="s">
        <v>12960</v>
      </c>
      <c r="AO170" s="76" t="s">
        <v>13374</v>
      </c>
      <c r="AP170" s="76"/>
      <c r="AQ170" s="76"/>
      <c r="AR170" s="76"/>
      <c r="AS170" s="76"/>
      <c r="AT170" s="76"/>
      <c r="AU170" s="76"/>
      <c r="AV170" s="76">
        <v>1.4851114844768E+18</v>
      </c>
      <c r="AW170" s="76"/>
      <c r="AX170" s="76" t="b">
        <v>0</v>
      </c>
      <c r="AY170" s="76"/>
      <c r="AZ170" s="76"/>
      <c r="BA170" s="76" t="b">
        <v>0</v>
      </c>
      <c r="BB170" s="76" t="b">
        <v>1</v>
      </c>
      <c r="BC170" s="76" t="b">
        <v>1</v>
      </c>
      <c r="BD170" s="76" t="b">
        <v>0</v>
      </c>
      <c r="BE170" s="76" t="b">
        <v>0</v>
      </c>
      <c r="BF170" s="76" t="b">
        <v>0</v>
      </c>
      <c r="BG170" s="76" t="b">
        <v>0</v>
      </c>
      <c r="BH170" s="82" t="str">
        <f>HYPERLINK("https://pbs.twimg.com/profile_banners/1327824988863422464/1675194027")</f>
        <v>https://pbs.twimg.com/profile_banners/1327824988863422464/1675194027</v>
      </c>
      <c r="BI170" s="76"/>
      <c r="BJ170" s="76" t="s">
        <v>14450</v>
      </c>
      <c r="BK170" s="76" t="b">
        <v>0</v>
      </c>
      <c r="BL170" s="76"/>
      <c r="BM170" s="76" t="s">
        <v>66</v>
      </c>
      <c r="BN170" s="76" t="s">
        <v>14452</v>
      </c>
      <c r="BO170" s="82" t="str">
        <f>HYPERLINK("https://twitter.com/callhimrog")</f>
        <v>https://twitter.com/callhimrog</v>
      </c>
      <c r="BP170" s="2"/>
    </row>
    <row r="171" spans="1:68" x14ac:dyDescent="0.25">
      <c r="A171" s="62" t="s">
        <v>358</v>
      </c>
      <c r="B171" s="63"/>
      <c r="C171" s="63"/>
      <c r="D171" s="64"/>
      <c r="E171" s="66"/>
      <c r="F171" s="103" t="str">
        <f>HYPERLINK("https://pbs.twimg.com/profile_images/1706800607565152256/-sOH__Mt_normal.jpg")</f>
        <v>https://pbs.twimg.com/profile_images/1706800607565152256/-sOH__Mt_normal.jpg</v>
      </c>
      <c r="G171" s="63"/>
      <c r="H171" s="67"/>
      <c r="I171" s="68"/>
      <c r="J171" s="68"/>
      <c r="K171" s="67" t="s">
        <v>14620</v>
      </c>
      <c r="L171" s="71"/>
      <c r="M171" s="72"/>
      <c r="N171" s="72"/>
      <c r="O171" s="73"/>
      <c r="P171" s="74"/>
      <c r="Q171" s="74"/>
      <c r="R171" s="87"/>
      <c r="S171" s="87"/>
      <c r="T171" s="87"/>
      <c r="U171" s="87"/>
      <c r="V171" s="48"/>
      <c r="W171" s="48"/>
      <c r="X171" s="48"/>
      <c r="Y171" s="48"/>
      <c r="Z171" s="47"/>
      <c r="AA171" s="69">
        <v>171</v>
      </c>
      <c r="AB171" s="69"/>
      <c r="AC171" s="70"/>
      <c r="AD171" s="76" t="s">
        <v>11912</v>
      </c>
      <c r="AE171" s="80" t="s">
        <v>11327</v>
      </c>
      <c r="AF171" s="76">
        <v>750</v>
      </c>
      <c r="AG171" s="76">
        <v>161</v>
      </c>
      <c r="AH171" s="76">
        <v>2213</v>
      </c>
      <c r="AI171" s="76">
        <v>12</v>
      </c>
      <c r="AJ171" s="76">
        <v>1249</v>
      </c>
      <c r="AK171" s="76">
        <v>1972</v>
      </c>
      <c r="AL171" s="76" t="b">
        <v>0</v>
      </c>
      <c r="AM171" s="78">
        <v>40702.890266203707</v>
      </c>
      <c r="AN171" s="76" t="s">
        <v>7766</v>
      </c>
      <c r="AO171" s="76" t="s">
        <v>13375</v>
      </c>
      <c r="AP171" s="82" t="str">
        <f>HYPERLINK("https://t.co/6LUJg7Xb6T")</f>
        <v>https://t.co/6LUJg7Xb6T</v>
      </c>
      <c r="AQ171" s="82" t="str">
        <f>HYPERLINK("http://www.acovedi.org.co")</f>
        <v>http://www.acovedi.org.co</v>
      </c>
      <c r="AR171" s="76" t="s">
        <v>14006</v>
      </c>
      <c r="AS171" s="76"/>
      <c r="AT171" s="76"/>
      <c r="AU171" s="76"/>
      <c r="AV171" s="76">
        <v>1.56710348165522E+18</v>
      </c>
      <c r="AW171" s="82" t="str">
        <f>HYPERLINK("https://t.co/6LUJg7Xb6T")</f>
        <v>https://t.co/6LUJg7Xb6T</v>
      </c>
      <c r="AX171" s="76" t="b">
        <v>0</v>
      </c>
      <c r="AY171" s="76"/>
      <c r="AZ171" s="76"/>
      <c r="BA171" s="76" t="b">
        <v>0</v>
      </c>
      <c r="BB171" s="76" t="b">
        <v>1</v>
      </c>
      <c r="BC171" s="76" t="b">
        <v>1</v>
      </c>
      <c r="BD171" s="76" t="b">
        <v>0</v>
      </c>
      <c r="BE171" s="76" t="b">
        <v>0</v>
      </c>
      <c r="BF171" s="76" t="b">
        <v>0</v>
      </c>
      <c r="BG171" s="76" t="b">
        <v>0</v>
      </c>
      <c r="BH171" s="82" t="str">
        <f>HYPERLINK("https://pbs.twimg.com/profile_banners/313568046/1695367299")</f>
        <v>https://pbs.twimg.com/profile_banners/313568046/1695367299</v>
      </c>
      <c r="BI171" s="76"/>
      <c r="BJ171" s="76" t="s">
        <v>14450</v>
      </c>
      <c r="BK171" s="76" t="b">
        <v>0</v>
      </c>
      <c r="BL171" s="76"/>
      <c r="BM171" s="76" t="s">
        <v>66</v>
      </c>
      <c r="BN171" s="76" t="s">
        <v>14452</v>
      </c>
      <c r="BO171" s="82" t="str">
        <f>HYPERLINK("https://twitter.com/acovedi")</f>
        <v>https://twitter.com/acovedi</v>
      </c>
      <c r="BP171" s="2"/>
    </row>
    <row r="172" spans="1:68" x14ac:dyDescent="0.25">
      <c r="A172" s="62" t="s">
        <v>359</v>
      </c>
      <c r="B172" s="63"/>
      <c r="C172" s="63"/>
      <c r="D172" s="64"/>
      <c r="E172" s="66"/>
      <c r="F172" s="103" t="str">
        <f>HYPERLINK("https://pbs.twimg.com/profile_images/1401980365414219778/OWg7vmd4_normal.jpg")</f>
        <v>https://pbs.twimg.com/profile_images/1401980365414219778/OWg7vmd4_normal.jpg</v>
      </c>
      <c r="G172" s="63"/>
      <c r="H172" s="67"/>
      <c r="I172" s="68"/>
      <c r="J172" s="68"/>
      <c r="K172" s="67" t="s">
        <v>14621</v>
      </c>
      <c r="L172" s="71"/>
      <c r="M172" s="72"/>
      <c r="N172" s="72"/>
      <c r="O172" s="73"/>
      <c r="P172" s="74"/>
      <c r="Q172" s="74"/>
      <c r="R172" s="87"/>
      <c r="S172" s="87"/>
      <c r="T172" s="87"/>
      <c r="U172" s="87"/>
      <c r="V172" s="48"/>
      <c r="W172" s="48"/>
      <c r="X172" s="48"/>
      <c r="Y172" s="48"/>
      <c r="Z172" s="47"/>
      <c r="AA172" s="69">
        <v>172</v>
      </c>
      <c r="AB172" s="69"/>
      <c r="AC172" s="70"/>
      <c r="AD172" s="76" t="s">
        <v>11913</v>
      </c>
      <c r="AE172" s="80" t="s">
        <v>12564</v>
      </c>
      <c r="AF172" s="76">
        <v>576</v>
      </c>
      <c r="AG172" s="76">
        <v>6</v>
      </c>
      <c r="AH172" s="76">
        <v>18907</v>
      </c>
      <c r="AI172" s="76">
        <v>0</v>
      </c>
      <c r="AJ172" s="76">
        <v>7</v>
      </c>
      <c r="AK172" s="76">
        <v>3</v>
      </c>
      <c r="AL172" s="76" t="b">
        <v>0</v>
      </c>
      <c r="AM172" s="78">
        <v>40214.799074074072</v>
      </c>
      <c r="AN172" s="76" t="s">
        <v>7763</v>
      </c>
      <c r="AO172" s="76" t="s">
        <v>13376</v>
      </c>
      <c r="AP172" s="82" t="str">
        <f>HYPERLINK("https://t.co/DZX445QHIa")</f>
        <v>https://t.co/DZX445QHIa</v>
      </c>
      <c r="AQ172" s="82" t="str">
        <f>HYPERLINK("https://www.grandemomento.com")</f>
        <v>https://www.grandemomento.com</v>
      </c>
      <c r="AR172" s="76" t="s">
        <v>14007</v>
      </c>
      <c r="AS172" s="76"/>
      <c r="AT172" s="76"/>
      <c r="AU172" s="76"/>
      <c r="AV172" s="76"/>
      <c r="AW172" s="82" t="str">
        <f>HYPERLINK("https://t.co/DZX445QHIa")</f>
        <v>https://t.co/DZX445QHIa</v>
      </c>
      <c r="AX172" s="76" t="b">
        <v>0</v>
      </c>
      <c r="AY172" s="76"/>
      <c r="AZ172" s="76"/>
      <c r="BA172" s="76" t="b">
        <v>0</v>
      </c>
      <c r="BB172" s="76" t="b">
        <v>1</v>
      </c>
      <c r="BC172" s="76" t="b">
        <v>0</v>
      </c>
      <c r="BD172" s="76" t="b">
        <v>0</v>
      </c>
      <c r="BE172" s="76" t="b">
        <v>0</v>
      </c>
      <c r="BF172" s="76" t="b">
        <v>0</v>
      </c>
      <c r="BG172" s="76" t="b">
        <v>0</v>
      </c>
      <c r="BH172" s="82" t="str">
        <f>HYPERLINK("https://pbs.twimg.com/profile_banners/111669550/1623093142")</f>
        <v>https://pbs.twimg.com/profile_banners/111669550/1623093142</v>
      </c>
      <c r="BI172" s="76"/>
      <c r="BJ172" s="76" t="s">
        <v>14450</v>
      </c>
      <c r="BK172" s="76" t="b">
        <v>0</v>
      </c>
      <c r="BL172" s="76"/>
      <c r="BM172" s="76" t="s">
        <v>66</v>
      </c>
      <c r="BN172" s="76" t="s">
        <v>14452</v>
      </c>
      <c r="BO172" s="82" t="str">
        <f>HYPERLINK("https://twitter.com/grandemomento_")</f>
        <v>https://twitter.com/grandemomento_</v>
      </c>
      <c r="BP172" s="2"/>
    </row>
    <row r="173" spans="1:68" x14ac:dyDescent="0.25">
      <c r="A173" s="62" t="s">
        <v>899</v>
      </c>
      <c r="B173" s="63"/>
      <c r="C173" s="63"/>
      <c r="D173" s="64"/>
      <c r="E173" s="66"/>
      <c r="F173" s="103" t="str">
        <f>HYPERLINK("https://pbs.twimg.com/profile_images/1444059613935063041/Z3KladyY_normal.jpg")</f>
        <v>https://pbs.twimg.com/profile_images/1444059613935063041/Z3KladyY_normal.jpg</v>
      </c>
      <c r="G173" s="63"/>
      <c r="H173" s="67"/>
      <c r="I173" s="68"/>
      <c r="J173" s="68"/>
      <c r="K173" s="67" t="s">
        <v>14622</v>
      </c>
      <c r="L173" s="71"/>
      <c r="M173" s="72"/>
      <c r="N173" s="72"/>
      <c r="O173" s="73"/>
      <c r="P173" s="74"/>
      <c r="Q173" s="74"/>
      <c r="R173" s="87"/>
      <c r="S173" s="87"/>
      <c r="T173" s="87"/>
      <c r="U173" s="87"/>
      <c r="V173" s="48"/>
      <c r="W173" s="48"/>
      <c r="X173" s="48"/>
      <c r="Y173" s="48"/>
      <c r="Z173" s="47"/>
      <c r="AA173" s="69">
        <v>173</v>
      </c>
      <c r="AB173" s="69"/>
      <c r="AC173" s="70"/>
      <c r="AD173" s="76" t="s">
        <v>11914</v>
      </c>
      <c r="AE173" s="80" t="s">
        <v>12565</v>
      </c>
      <c r="AF173" s="76">
        <v>227963</v>
      </c>
      <c r="AG173" s="76">
        <v>8</v>
      </c>
      <c r="AH173" s="76">
        <v>2602</v>
      </c>
      <c r="AI173" s="76">
        <v>849</v>
      </c>
      <c r="AJ173" s="76">
        <v>392</v>
      </c>
      <c r="AK173" s="76">
        <v>199</v>
      </c>
      <c r="AL173" s="76" t="b">
        <v>0</v>
      </c>
      <c r="AM173" s="78">
        <v>39980.141655092593</v>
      </c>
      <c r="AN173" s="76"/>
      <c r="AO173" s="76" t="s">
        <v>13377</v>
      </c>
      <c r="AP173" s="82" t="str">
        <f>HYPERLINK("https://t.co/cz6off535m")</f>
        <v>https://t.co/cz6off535m</v>
      </c>
      <c r="AQ173" s="82" t="str">
        <f>HYPERLINK("http://www.augustocury.com.br/")</f>
        <v>http://www.augustocury.com.br/</v>
      </c>
      <c r="AR173" s="76" t="s">
        <v>14008</v>
      </c>
      <c r="AS173" s="76"/>
      <c r="AT173" s="76"/>
      <c r="AU173" s="76"/>
      <c r="AV173" s="76">
        <v>1.6002745936585999E+18</v>
      </c>
      <c r="AW173" s="82" t="str">
        <f>HYPERLINK("https://t.co/cz6off535m")</f>
        <v>https://t.co/cz6off535m</v>
      </c>
      <c r="AX173" s="76" t="b">
        <v>0</v>
      </c>
      <c r="AY173" s="76"/>
      <c r="AZ173" s="76"/>
      <c r="BA173" s="76" t="b">
        <v>0</v>
      </c>
      <c r="BB173" s="76" t="b">
        <v>1</v>
      </c>
      <c r="BC173" s="76" t="b">
        <v>0</v>
      </c>
      <c r="BD173" s="76" t="b">
        <v>0</v>
      </c>
      <c r="BE173" s="76" t="b">
        <v>0</v>
      </c>
      <c r="BF173" s="76" t="b">
        <v>0</v>
      </c>
      <c r="BG173" s="76" t="b">
        <v>0</v>
      </c>
      <c r="BH173" s="82" t="str">
        <f>HYPERLINK("https://pbs.twimg.com/profile_banners/47529845/1652292612")</f>
        <v>https://pbs.twimg.com/profile_banners/47529845/1652292612</v>
      </c>
      <c r="BI173" s="76"/>
      <c r="BJ173" s="76" t="s">
        <v>14450</v>
      </c>
      <c r="BK173" s="76" t="b">
        <v>0</v>
      </c>
      <c r="BL173" s="76"/>
      <c r="BM173" s="76" t="s">
        <v>65</v>
      </c>
      <c r="BN173" s="76" t="s">
        <v>14452</v>
      </c>
      <c r="BO173" s="82" t="str">
        <f>HYPERLINK("https://twitter.com/augustocury")</f>
        <v>https://twitter.com/augustocury</v>
      </c>
      <c r="BP173" s="2"/>
    </row>
    <row r="174" spans="1:68" x14ac:dyDescent="0.25">
      <c r="A174" s="62" t="s">
        <v>360</v>
      </c>
      <c r="B174" s="63"/>
      <c r="C174" s="63"/>
      <c r="D174" s="64"/>
      <c r="E174" s="66"/>
      <c r="F174" s="103" t="str">
        <f>HYPERLINK("https://pbs.twimg.com/profile_images/1533832664804900864/Ep2z71uD_normal.jpg")</f>
        <v>https://pbs.twimg.com/profile_images/1533832664804900864/Ep2z71uD_normal.jpg</v>
      </c>
      <c r="G174" s="63"/>
      <c r="H174" s="67"/>
      <c r="I174" s="68"/>
      <c r="J174" s="68"/>
      <c r="K174" s="67" t="s">
        <v>14623</v>
      </c>
      <c r="L174" s="71"/>
      <c r="M174" s="72"/>
      <c r="N174" s="72"/>
      <c r="O174" s="73"/>
      <c r="P174" s="74"/>
      <c r="Q174" s="74"/>
      <c r="R174" s="87"/>
      <c r="S174" s="87"/>
      <c r="T174" s="87"/>
      <c r="U174" s="87"/>
      <c r="V174" s="48"/>
      <c r="W174" s="48"/>
      <c r="X174" s="48"/>
      <c r="Y174" s="48"/>
      <c r="Z174" s="47"/>
      <c r="AA174" s="69">
        <v>174</v>
      </c>
      <c r="AB174" s="69"/>
      <c r="AC174" s="70"/>
      <c r="AD174" s="76" t="s">
        <v>11915</v>
      </c>
      <c r="AE174" s="80" t="s">
        <v>11471</v>
      </c>
      <c r="AF174" s="76">
        <v>69</v>
      </c>
      <c r="AG174" s="76">
        <v>57</v>
      </c>
      <c r="AH174" s="76">
        <v>2182</v>
      </c>
      <c r="AI174" s="76">
        <v>0</v>
      </c>
      <c r="AJ174" s="76">
        <v>55</v>
      </c>
      <c r="AK174" s="76">
        <v>2092</v>
      </c>
      <c r="AL174" s="76" t="b">
        <v>0</v>
      </c>
      <c r="AM174" s="78">
        <v>44718.641365740739</v>
      </c>
      <c r="AN174" s="76"/>
      <c r="AO174" s="76" t="s">
        <v>13378</v>
      </c>
      <c r="AP174" s="82" t="str">
        <f>HYPERLINK("https://t.co/HZGCQm4by9")</f>
        <v>https://t.co/HZGCQm4by9</v>
      </c>
      <c r="AQ174" s="82" t="str">
        <f>HYPERLINK("https://www.facebook.com/El-Informal-de-Mexico-107138221988254")</f>
        <v>https://www.facebook.com/El-Informal-de-Mexico-107138221988254</v>
      </c>
      <c r="AR174" s="76" t="s">
        <v>14009</v>
      </c>
      <c r="AS174" s="76"/>
      <c r="AT174" s="76"/>
      <c r="AU174" s="76"/>
      <c r="AV174" s="76">
        <v>1.5853082924019999E+18</v>
      </c>
      <c r="AW174" s="82" t="str">
        <f>HYPERLINK("https://t.co/HZGCQm4by9")</f>
        <v>https://t.co/HZGCQm4by9</v>
      </c>
      <c r="AX174" s="76" t="b">
        <v>0</v>
      </c>
      <c r="AY174" s="76"/>
      <c r="AZ174" s="76"/>
      <c r="BA174" s="76" t="b">
        <v>0</v>
      </c>
      <c r="BB174" s="76" t="b">
        <v>1</v>
      </c>
      <c r="BC174" s="76" t="b">
        <v>1</v>
      </c>
      <c r="BD174" s="76" t="b">
        <v>0</v>
      </c>
      <c r="BE174" s="76" t="b">
        <v>0</v>
      </c>
      <c r="BF174" s="76" t="b">
        <v>0</v>
      </c>
      <c r="BG174" s="76" t="b">
        <v>0</v>
      </c>
      <c r="BH174" s="82" t="str">
        <f>HYPERLINK("https://pbs.twimg.com/profile_banners/1533831827122692096/1654529207")</f>
        <v>https://pbs.twimg.com/profile_banners/1533831827122692096/1654529207</v>
      </c>
      <c r="BI174" s="76"/>
      <c r="BJ174" s="76" t="s">
        <v>14450</v>
      </c>
      <c r="BK174" s="76" t="b">
        <v>0</v>
      </c>
      <c r="BL174" s="76"/>
      <c r="BM174" s="76" t="s">
        <v>66</v>
      </c>
      <c r="BN174" s="76" t="s">
        <v>14452</v>
      </c>
      <c r="BO174" s="82" t="str">
        <f>HYPERLINK("https://twitter.com/deinformal")</f>
        <v>https://twitter.com/deinformal</v>
      </c>
      <c r="BP174" s="2"/>
    </row>
    <row r="175" spans="1:68" x14ac:dyDescent="0.25">
      <c r="A175" s="62" t="s">
        <v>361</v>
      </c>
      <c r="B175" s="63"/>
      <c r="C175" s="63"/>
      <c r="D175" s="64"/>
      <c r="E175" s="66"/>
      <c r="F175" s="103" t="str">
        <f>HYPERLINK("https://pbs.twimg.com/profile_images/1706699954155061249/2k1U1j1j_normal.jpg")</f>
        <v>https://pbs.twimg.com/profile_images/1706699954155061249/2k1U1j1j_normal.jpg</v>
      </c>
      <c r="G175" s="63"/>
      <c r="H175" s="67"/>
      <c r="I175" s="68"/>
      <c r="J175" s="68"/>
      <c r="K175" s="67" t="s">
        <v>14624</v>
      </c>
      <c r="L175" s="71"/>
      <c r="M175" s="72"/>
      <c r="N175" s="72"/>
      <c r="O175" s="73"/>
      <c r="P175" s="74"/>
      <c r="Q175" s="74"/>
      <c r="R175" s="87"/>
      <c r="S175" s="87"/>
      <c r="T175" s="87"/>
      <c r="U175" s="87"/>
      <c r="V175" s="48"/>
      <c r="W175" s="48"/>
      <c r="X175" s="48"/>
      <c r="Y175" s="48"/>
      <c r="Z175" s="47"/>
      <c r="AA175" s="69">
        <v>175</v>
      </c>
      <c r="AB175" s="69"/>
      <c r="AC175" s="70"/>
      <c r="AD175" s="76" t="s">
        <v>11916</v>
      </c>
      <c r="AE175" s="80" t="s">
        <v>11328</v>
      </c>
      <c r="AF175" s="76">
        <v>2553</v>
      </c>
      <c r="AG175" s="76">
        <v>2272</v>
      </c>
      <c r="AH175" s="76">
        <v>6264</v>
      </c>
      <c r="AI175" s="76">
        <v>0</v>
      </c>
      <c r="AJ175" s="76">
        <v>11698</v>
      </c>
      <c r="AK175" s="76">
        <v>662</v>
      </c>
      <c r="AL175" s="76" t="b">
        <v>0</v>
      </c>
      <c r="AM175" s="78">
        <v>42982.730763888889</v>
      </c>
      <c r="AN175" s="76" t="s">
        <v>12961</v>
      </c>
      <c r="AO175" s="76" t="s">
        <v>13379</v>
      </c>
      <c r="AP175" s="76"/>
      <c r="AQ175" s="76"/>
      <c r="AR175" s="76"/>
      <c r="AS175" s="76"/>
      <c r="AT175" s="76"/>
      <c r="AU175" s="76"/>
      <c r="AV175" s="76">
        <v>1.4693410320347899E+18</v>
      </c>
      <c r="AW175" s="76"/>
      <c r="AX175" s="76" t="b">
        <v>0</v>
      </c>
      <c r="AY175" s="76"/>
      <c r="AZ175" s="76"/>
      <c r="BA175" s="76" t="b">
        <v>1</v>
      </c>
      <c r="BB175" s="76" t="b">
        <v>1</v>
      </c>
      <c r="BC175" s="76" t="b">
        <v>1</v>
      </c>
      <c r="BD175" s="76" t="b">
        <v>0</v>
      </c>
      <c r="BE175" s="76" t="b">
        <v>1</v>
      </c>
      <c r="BF175" s="76" t="b">
        <v>0</v>
      </c>
      <c r="BG175" s="76" t="b">
        <v>0</v>
      </c>
      <c r="BH175" s="82" t="str">
        <f>HYPERLINK("https://pbs.twimg.com/profile_banners/904759037262254082/1598979732")</f>
        <v>https://pbs.twimg.com/profile_banners/904759037262254082/1598979732</v>
      </c>
      <c r="BI175" s="76"/>
      <c r="BJ175" s="76" t="s">
        <v>14450</v>
      </c>
      <c r="BK175" s="76" t="b">
        <v>0</v>
      </c>
      <c r="BL175" s="76"/>
      <c r="BM175" s="76" t="s">
        <v>66</v>
      </c>
      <c r="BN175" s="76" t="s">
        <v>14452</v>
      </c>
      <c r="BO175" s="82" t="str">
        <f>HYPERLINK("https://twitter.com/vavaarthur")</f>
        <v>https://twitter.com/vavaarthur</v>
      </c>
      <c r="BP175" s="2"/>
    </row>
    <row r="176" spans="1:68" x14ac:dyDescent="0.25">
      <c r="A176" s="62" t="s">
        <v>362</v>
      </c>
      <c r="B176" s="63"/>
      <c r="C176" s="63"/>
      <c r="D176" s="64"/>
      <c r="E176" s="66"/>
      <c r="F176" s="103" t="str">
        <f>HYPERLINK("https://pbs.twimg.com/profile_images/1010249344564555777/dQ0fpKdo_normal.jpg")</f>
        <v>https://pbs.twimg.com/profile_images/1010249344564555777/dQ0fpKdo_normal.jpg</v>
      </c>
      <c r="G176" s="63"/>
      <c r="H176" s="67"/>
      <c r="I176" s="68"/>
      <c r="J176" s="68"/>
      <c r="K176" s="67" t="s">
        <v>14625</v>
      </c>
      <c r="L176" s="71"/>
      <c r="M176" s="72"/>
      <c r="N176" s="72"/>
      <c r="O176" s="73"/>
      <c r="P176" s="74"/>
      <c r="Q176" s="74"/>
      <c r="R176" s="87"/>
      <c r="S176" s="87"/>
      <c r="T176" s="87"/>
      <c r="U176" s="87"/>
      <c r="V176" s="48"/>
      <c r="W176" s="48"/>
      <c r="X176" s="48"/>
      <c r="Y176" s="48"/>
      <c r="Z176" s="47"/>
      <c r="AA176" s="69">
        <v>176</v>
      </c>
      <c r="AB176" s="69"/>
      <c r="AC176" s="70"/>
      <c r="AD176" s="76" t="s">
        <v>11917</v>
      </c>
      <c r="AE176" s="80" t="s">
        <v>11329</v>
      </c>
      <c r="AF176" s="76">
        <v>2331</v>
      </c>
      <c r="AG176" s="76">
        <v>412</v>
      </c>
      <c r="AH176" s="76">
        <v>1665</v>
      </c>
      <c r="AI176" s="76">
        <v>0</v>
      </c>
      <c r="AJ176" s="76">
        <v>255</v>
      </c>
      <c r="AK176" s="76">
        <v>820</v>
      </c>
      <c r="AL176" s="76" t="b">
        <v>0</v>
      </c>
      <c r="AM176" s="78">
        <v>42843.952141203707</v>
      </c>
      <c r="AN176" s="76" t="s">
        <v>12962</v>
      </c>
      <c r="AO176" s="76" t="s">
        <v>13380</v>
      </c>
      <c r="AP176" s="82" t="str">
        <f>HYPERLINK("https://t.co/bGoffpIFi2")</f>
        <v>https://t.co/bGoffpIFi2</v>
      </c>
      <c r="AQ176" s="82" t="str">
        <f>HYPERLINK("http://www.talentoverde.com")</f>
        <v>http://www.talentoverde.com</v>
      </c>
      <c r="AR176" s="76" t="s">
        <v>4233</v>
      </c>
      <c r="AS176" s="76"/>
      <c r="AT176" s="76"/>
      <c r="AU176" s="76"/>
      <c r="AV176" s="76">
        <v>1.5987253271482199E+18</v>
      </c>
      <c r="AW176" s="82" t="str">
        <f>HYPERLINK("https://t.co/bGoffpIFi2")</f>
        <v>https://t.co/bGoffpIFi2</v>
      </c>
      <c r="AX176" s="76" t="b">
        <v>0</v>
      </c>
      <c r="AY176" s="76"/>
      <c r="AZ176" s="76"/>
      <c r="BA176" s="76" t="b">
        <v>0</v>
      </c>
      <c r="BB176" s="76" t="b">
        <v>1</v>
      </c>
      <c r="BC176" s="76" t="b">
        <v>1</v>
      </c>
      <c r="BD176" s="76" t="b">
        <v>0</v>
      </c>
      <c r="BE176" s="76" t="b">
        <v>1</v>
      </c>
      <c r="BF176" s="76" t="b">
        <v>0</v>
      </c>
      <c r="BG176" s="76" t="b">
        <v>0</v>
      </c>
      <c r="BH176" s="82" t="str">
        <f>HYPERLINK("https://pbs.twimg.com/profile_banners/854467348459335680/1497369578")</f>
        <v>https://pbs.twimg.com/profile_banners/854467348459335680/1497369578</v>
      </c>
      <c r="BI176" s="76"/>
      <c r="BJ176" s="76" t="s">
        <v>14450</v>
      </c>
      <c r="BK176" s="76" t="b">
        <v>0</v>
      </c>
      <c r="BL176" s="76"/>
      <c r="BM176" s="76" t="s">
        <v>66</v>
      </c>
      <c r="BN176" s="76" t="s">
        <v>14452</v>
      </c>
      <c r="BO176" s="82" t="str">
        <f>HYPERLINK("https://twitter.com/talentoverdeco")</f>
        <v>https://twitter.com/talentoverdeco</v>
      </c>
      <c r="BP176" s="2"/>
    </row>
    <row r="177" spans="1:68" x14ac:dyDescent="0.25">
      <c r="A177" s="62" t="s">
        <v>363</v>
      </c>
      <c r="B177" s="63"/>
      <c r="C177" s="63"/>
      <c r="D177" s="64"/>
      <c r="E177" s="66"/>
      <c r="F177" s="103" t="str">
        <f>HYPERLINK("https://pbs.twimg.com/profile_images/1517510788675772418/vuEdDwzH_normal.jpg")</f>
        <v>https://pbs.twimg.com/profile_images/1517510788675772418/vuEdDwzH_normal.jpg</v>
      </c>
      <c r="G177" s="63"/>
      <c r="H177" s="67"/>
      <c r="I177" s="68"/>
      <c r="J177" s="68"/>
      <c r="K177" s="67" t="s">
        <v>14626</v>
      </c>
      <c r="L177" s="71"/>
      <c r="M177" s="72"/>
      <c r="N177" s="72"/>
      <c r="O177" s="73"/>
      <c r="P177" s="74"/>
      <c r="Q177" s="74"/>
      <c r="R177" s="87"/>
      <c r="S177" s="87"/>
      <c r="T177" s="87"/>
      <c r="U177" s="87"/>
      <c r="V177" s="48"/>
      <c r="W177" s="48"/>
      <c r="X177" s="48"/>
      <c r="Y177" s="48"/>
      <c r="Z177" s="47"/>
      <c r="AA177" s="69">
        <v>177</v>
      </c>
      <c r="AB177" s="69"/>
      <c r="AC177" s="70"/>
      <c r="AD177" s="76" t="s">
        <v>11918</v>
      </c>
      <c r="AE177" s="80" t="s">
        <v>11472</v>
      </c>
      <c r="AF177" s="76">
        <v>20</v>
      </c>
      <c r="AG177" s="76">
        <v>5</v>
      </c>
      <c r="AH177" s="76">
        <v>226</v>
      </c>
      <c r="AI177" s="76">
        <v>0</v>
      </c>
      <c r="AJ177" s="76">
        <v>1</v>
      </c>
      <c r="AK177" s="76">
        <v>220</v>
      </c>
      <c r="AL177" s="76" t="b">
        <v>0</v>
      </c>
      <c r="AM177" s="78">
        <v>44671.754479166666</v>
      </c>
      <c r="AN177" s="76" t="s">
        <v>12963</v>
      </c>
      <c r="AO177" s="76" t="s">
        <v>13381</v>
      </c>
      <c r="AP177" s="82" t="str">
        <f>HYPERLINK("https://t.co/X9qXiq5ZnP")</f>
        <v>https://t.co/X9qXiq5ZnP</v>
      </c>
      <c r="AQ177" s="82" t="str">
        <f>HYPERLINK("http://www.meetlineup.com")</f>
        <v>http://www.meetlineup.com</v>
      </c>
      <c r="AR177" s="76" t="s">
        <v>4252</v>
      </c>
      <c r="AS177" s="76"/>
      <c r="AT177" s="76"/>
      <c r="AU177" s="76"/>
      <c r="AV177" s="76"/>
      <c r="AW177" s="82" t="str">
        <f>HYPERLINK("https://t.co/X9qXiq5ZnP")</f>
        <v>https://t.co/X9qXiq5ZnP</v>
      </c>
      <c r="AX177" s="76" t="b">
        <v>0</v>
      </c>
      <c r="AY177" s="76"/>
      <c r="AZ177" s="76"/>
      <c r="BA177" s="76" t="b">
        <v>0</v>
      </c>
      <c r="BB177" s="76" t="b">
        <v>1</v>
      </c>
      <c r="BC177" s="76" t="b">
        <v>1</v>
      </c>
      <c r="BD177" s="76" t="b">
        <v>0</v>
      </c>
      <c r="BE177" s="76" t="b">
        <v>0</v>
      </c>
      <c r="BF177" s="76" t="b">
        <v>0</v>
      </c>
      <c r="BG177" s="76" t="b">
        <v>0</v>
      </c>
      <c r="BH177" s="82" t="str">
        <f>HYPERLINK("https://pbs.twimg.com/profile_banners/1516840651161223172/1650637755")</f>
        <v>https://pbs.twimg.com/profile_banners/1516840651161223172/1650637755</v>
      </c>
      <c r="BI177" s="76"/>
      <c r="BJ177" s="76" t="s">
        <v>14450</v>
      </c>
      <c r="BK177" s="76" t="b">
        <v>0</v>
      </c>
      <c r="BL177" s="76"/>
      <c r="BM177" s="76" t="s">
        <v>66</v>
      </c>
      <c r="BN177" s="76" t="s">
        <v>14452</v>
      </c>
      <c r="BO177" s="82" t="str">
        <f>HYPERLINK("https://twitter.com/meetlineup")</f>
        <v>https://twitter.com/meetlineup</v>
      </c>
      <c r="BP177" s="2"/>
    </row>
    <row r="178" spans="1:68" x14ac:dyDescent="0.25">
      <c r="A178" s="62" t="s">
        <v>364</v>
      </c>
      <c r="B178" s="63"/>
      <c r="C178" s="63"/>
      <c r="D178" s="64"/>
      <c r="E178" s="66"/>
      <c r="F178" s="103" t="str">
        <f>HYPERLINK("https://pbs.twimg.com/profile_images/1696295052580999168/oLc1WazS_normal.jpg")</f>
        <v>https://pbs.twimg.com/profile_images/1696295052580999168/oLc1WazS_normal.jpg</v>
      </c>
      <c r="G178" s="63"/>
      <c r="H178" s="67"/>
      <c r="I178" s="68"/>
      <c r="J178" s="68"/>
      <c r="K178" s="67" t="s">
        <v>14627</v>
      </c>
      <c r="L178" s="71"/>
      <c r="M178" s="72"/>
      <c r="N178" s="72"/>
      <c r="O178" s="73"/>
      <c r="P178" s="74"/>
      <c r="Q178" s="74"/>
      <c r="R178" s="87"/>
      <c r="S178" s="87"/>
      <c r="T178" s="87"/>
      <c r="U178" s="87"/>
      <c r="V178" s="48"/>
      <c r="W178" s="48"/>
      <c r="X178" s="48"/>
      <c r="Y178" s="48"/>
      <c r="Z178" s="47"/>
      <c r="AA178" s="69">
        <v>178</v>
      </c>
      <c r="AB178" s="69"/>
      <c r="AC178" s="70"/>
      <c r="AD178" s="76" t="s">
        <v>11919</v>
      </c>
      <c r="AE178" s="80" t="s">
        <v>12566</v>
      </c>
      <c r="AF178" s="76">
        <v>89</v>
      </c>
      <c r="AG178" s="76">
        <v>63</v>
      </c>
      <c r="AH178" s="76">
        <v>347</v>
      </c>
      <c r="AI178" s="76">
        <v>3</v>
      </c>
      <c r="AJ178" s="76">
        <v>44</v>
      </c>
      <c r="AK178" s="76">
        <v>292</v>
      </c>
      <c r="AL178" s="76" t="b">
        <v>0</v>
      </c>
      <c r="AM178" s="78">
        <v>41424.667743055557</v>
      </c>
      <c r="AN178" s="76" t="s">
        <v>12964</v>
      </c>
      <c r="AO178" s="76" t="s">
        <v>13382</v>
      </c>
      <c r="AP178" s="82" t="str">
        <f>HYPERLINK("https://t.co/XnP4nR5iJf")</f>
        <v>https://t.co/XnP4nR5iJf</v>
      </c>
      <c r="AQ178" s="82" t="str">
        <f>HYPERLINK("http://www.calfer.com.mx")</f>
        <v>http://www.calfer.com.mx</v>
      </c>
      <c r="AR178" s="76" t="s">
        <v>14010</v>
      </c>
      <c r="AS178" s="82" t="str">
        <f>HYPERLINK("https://t.co/qzBzCeoYFK")</f>
        <v>https://t.co/qzBzCeoYFK</v>
      </c>
      <c r="AT178" s="82" t="str">
        <f>HYPERLINK("http://calfer.com.mx")</f>
        <v>http://calfer.com.mx</v>
      </c>
      <c r="AU178" s="76" t="s">
        <v>14010</v>
      </c>
      <c r="AV178" s="76"/>
      <c r="AW178" s="82" t="str">
        <f>HYPERLINK("https://t.co/XnP4nR5iJf")</f>
        <v>https://t.co/XnP4nR5iJf</v>
      </c>
      <c r="AX178" s="76" t="b">
        <v>0</v>
      </c>
      <c r="AY178" s="76"/>
      <c r="AZ178" s="76"/>
      <c r="BA178" s="76" t="b">
        <v>0</v>
      </c>
      <c r="BB178" s="76" t="b">
        <v>1</v>
      </c>
      <c r="BC178" s="76" t="b">
        <v>0</v>
      </c>
      <c r="BD178" s="76" t="b">
        <v>0</v>
      </c>
      <c r="BE178" s="76" t="b">
        <v>0</v>
      </c>
      <c r="BF178" s="76" t="b">
        <v>0</v>
      </c>
      <c r="BG178" s="76" t="b">
        <v>0</v>
      </c>
      <c r="BH178" s="82" t="str">
        <f>HYPERLINK("https://pbs.twimg.com/profile_banners/1470083264/1675444849")</f>
        <v>https://pbs.twimg.com/profile_banners/1470083264/1675444849</v>
      </c>
      <c r="BI178" s="76"/>
      <c r="BJ178" s="76" t="s">
        <v>14450</v>
      </c>
      <c r="BK178" s="76" t="b">
        <v>0</v>
      </c>
      <c r="BL178" s="76"/>
      <c r="BM178" s="76" t="s">
        <v>66</v>
      </c>
      <c r="BN178" s="76" t="s">
        <v>14452</v>
      </c>
      <c r="BO178" s="82" t="str">
        <f>HYPERLINK("https://twitter.com/calfermx")</f>
        <v>https://twitter.com/calfermx</v>
      </c>
      <c r="BP178" s="2"/>
    </row>
    <row r="179" spans="1:68" x14ac:dyDescent="0.25">
      <c r="A179" s="62" t="s">
        <v>365</v>
      </c>
      <c r="B179" s="63"/>
      <c r="C179" s="63"/>
      <c r="D179" s="64"/>
      <c r="E179" s="66"/>
      <c r="F179" s="103" t="str">
        <f>HYPERLINK("https://pbs.twimg.com/profile_images/1216750720621387778/3edVZb1H_normal.jpg")</f>
        <v>https://pbs.twimg.com/profile_images/1216750720621387778/3edVZb1H_normal.jpg</v>
      </c>
      <c r="G179" s="63"/>
      <c r="H179" s="67"/>
      <c r="I179" s="68"/>
      <c r="J179" s="68"/>
      <c r="K179" s="67" t="s">
        <v>14628</v>
      </c>
      <c r="L179" s="71"/>
      <c r="M179" s="72"/>
      <c r="N179" s="72"/>
      <c r="O179" s="73"/>
      <c r="P179" s="74"/>
      <c r="Q179" s="74"/>
      <c r="R179" s="87"/>
      <c r="S179" s="87"/>
      <c r="T179" s="87"/>
      <c r="U179" s="87"/>
      <c r="V179" s="48"/>
      <c r="W179" s="48"/>
      <c r="X179" s="48"/>
      <c r="Y179" s="48"/>
      <c r="Z179" s="47"/>
      <c r="AA179" s="69">
        <v>179</v>
      </c>
      <c r="AB179" s="69"/>
      <c r="AC179" s="70"/>
      <c r="AD179" s="76" t="s">
        <v>11920</v>
      </c>
      <c r="AE179" s="80" t="s">
        <v>11473</v>
      </c>
      <c r="AF179" s="76">
        <v>138</v>
      </c>
      <c r="AG179" s="76">
        <v>62</v>
      </c>
      <c r="AH179" s="76">
        <v>967</v>
      </c>
      <c r="AI179" s="76">
        <v>3</v>
      </c>
      <c r="AJ179" s="76">
        <v>222</v>
      </c>
      <c r="AK179" s="76">
        <v>868</v>
      </c>
      <c r="AL179" s="76" t="b">
        <v>0</v>
      </c>
      <c r="AM179" s="78">
        <v>43843.663460648146</v>
      </c>
      <c r="AN179" s="76" t="s">
        <v>12965</v>
      </c>
      <c r="AO179" s="76" t="s">
        <v>13383</v>
      </c>
      <c r="AP179" s="82" t="str">
        <f>HYPERLINK("https://t.co/3k8sE1vs4H")</f>
        <v>https://t.co/3k8sE1vs4H</v>
      </c>
      <c r="AQ179" s="82" t="str">
        <f>HYPERLINK("https://ec.moore-global.com/")</f>
        <v>https://ec.moore-global.com/</v>
      </c>
      <c r="AR179" s="76" t="s">
        <v>14011</v>
      </c>
      <c r="AS179" s="76"/>
      <c r="AT179" s="76"/>
      <c r="AU179" s="76"/>
      <c r="AV179" s="76"/>
      <c r="AW179" s="82" t="str">
        <f>HYPERLINK("https://t.co/3k8sE1vs4H")</f>
        <v>https://t.co/3k8sE1vs4H</v>
      </c>
      <c r="AX179" s="76" t="b">
        <v>0</v>
      </c>
      <c r="AY179" s="76"/>
      <c r="AZ179" s="76"/>
      <c r="BA179" s="76" t="b">
        <v>0</v>
      </c>
      <c r="BB179" s="76" t="b">
        <v>1</v>
      </c>
      <c r="BC179" s="76" t="b">
        <v>1</v>
      </c>
      <c r="BD179" s="76" t="b">
        <v>0</v>
      </c>
      <c r="BE179" s="76" t="b">
        <v>0</v>
      </c>
      <c r="BF179" s="76" t="b">
        <v>0</v>
      </c>
      <c r="BG179" s="76" t="b">
        <v>0</v>
      </c>
      <c r="BH179" s="82" t="str">
        <f>HYPERLINK("https://pbs.twimg.com/profile_banners/1216750527515631618/1641228105")</f>
        <v>https://pbs.twimg.com/profile_banners/1216750527515631618/1641228105</v>
      </c>
      <c r="BI179" s="76"/>
      <c r="BJ179" s="76" t="s">
        <v>14450</v>
      </c>
      <c r="BK179" s="76" t="b">
        <v>0</v>
      </c>
      <c r="BL179" s="76"/>
      <c r="BM179" s="76" t="s">
        <v>66</v>
      </c>
      <c r="BN179" s="76" t="s">
        <v>14452</v>
      </c>
      <c r="BO179" s="82" t="str">
        <f>HYPERLINK("https://twitter.com/mooreecuador")</f>
        <v>https://twitter.com/mooreecuador</v>
      </c>
      <c r="BP179" s="2"/>
    </row>
    <row r="180" spans="1:68" x14ac:dyDescent="0.25">
      <c r="A180" s="62" t="s">
        <v>366</v>
      </c>
      <c r="B180" s="63"/>
      <c r="C180" s="63"/>
      <c r="D180" s="64"/>
      <c r="E180" s="66"/>
      <c r="F180" s="103" t="str">
        <f>HYPERLINK("https://pbs.twimg.com/profile_images/1697696358222987264/pLypiu1R_normal.jpg")</f>
        <v>https://pbs.twimg.com/profile_images/1697696358222987264/pLypiu1R_normal.jpg</v>
      </c>
      <c r="G180" s="63"/>
      <c r="H180" s="67"/>
      <c r="I180" s="68"/>
      <c r="J180" s="68"/>
      <c r="K180" s="67" t="s">
        <v>14629</v>
      </c>
      <c r="L180" s="71"/>
      <c r="M180" s="72"/>
      <c r="N180" s="72"/>
      <c r="O180" s="73"/>
      <c r="P180" s="74"/>
      <c r="Q180" s="74"/>
      <c r="R180" s="87"/>
      <c r="S180" s="87"/>
      <c r="T180" s="87"/>
      <c r="U180" s="87"/>
      <c r="V180" s="48"/>
      <c r="W180" s="48"/>
      <c r="X180" s="48"/>
      <c r="Y180" s="48"/>
      <c r="Z180" s="47"/>
      <c r="AA180" s="69">
        <v>180</v>
      </c>
      <c r="AB180" s="69"/>
      <c r="AC180" s="70"/>
      <c r="AD180" s="76" t="s">
        <v>11921</v>
      </c>
      <c r="AE180" s="80" t="s">
        <v>12567</v>
      </c>
      <c r="AF180" s="76">
        <v>14422</v>
      </c>
      <c r="AG180" s="76">
        <v>520</v>
      </c>
      <c r="AH180" s="76">
        <v>236628</v>
      </c>
      <c r="AI180" s="76">
        <v>127</v>
      </c>
      <c r="AJ180" s="76">
        <v>2657</v>
      </c>
      <c r="AK180" s="76">
        <v>143095</v>
      </c>
      <c r="AL180" s="76" t="b">
        <v>0</v>
      </c>
      <c r="AM180" s="78">
        <v>40774.618576388886</v>
      </c>
      <c r="AN180" s="76" t="s">
        <v>12966</v>
      </c>
      <c r="AO180" s="76" t="s">
        <v>13384</v>
      </c>
      <c r="AP180" s="82" t="str">
        <f>HYPERLINK("https://t.co/0myBGEdzgI")</f>
        <v>https://t.co/0myBGEdzgI</v>
      </c>
      <c r="AQ180" s="82" t="str">
        <f>HYPERLINK("http://www.eldiariomx.com")</f>
        <v>http://www.eldiariomx.com</v>
      </c>
      <c r="AR180" s="76" t="s">
        <v>4253</v>
      </c>
      <c r="AS180" s="76"/>
      <c r="AT180" s="76"/>
      <c r="AU180" s="76"/>
      <c r="AV180" s="76"/>
      <c r="AW180" s="82" t="str">
        <f>HYPERLINK("https://t.co/0myBGEdzgI")</f>
        <v>https://t.co/0myBGEdzgI</v>
      </c>
      <c r="AX180" s="76" t="b">
        <v>0</v>
      </c>
      <c r="AY180" s="76"/>
      <c r="AZ180" s="76"/>
      <c r="BA180" s="76" t="b">
        <v>0</v>
      </c>
      <c r="BB180" s="76" t="b">
        <v>1</v>
      </c>
      <c r="BC180" s="76" t="b">
        <v>0</v>
      </c>
      <c r="BD180" s="76" t="b">
        <v>0</v>
      </c>
      <c r="BE180" s="76" t="b">
        <v>1</v>
      </c>
      <c r="BF180" s="76" t="b">
        <v>0</v>
      </c>
      <c r="BG180" s="76" t="b">
        <v>0</v>
      </c>
      <c r="BH180" s="82" t="str">
        <f>HYPERLINK("https://pbs.twimg.com/profile_banners/358195737/1643646576")</f>
        <v>https://pbs.twimg.com/profile_banners/358195737/1643646576</v>
      </c>
      <c r="BI180" s="76"/>
      <c r="BJ180" s="76" t="s">
        <v>14450</v>
      </c>
      <c r="BK180" s="76" t="b">
        <v>0</v>
      </c>
      <c r="BL180" s="76"/>
      <c r="BM180" s="76" t="s">
        <v>66</v>
      </c>
      <c r="BN180" s="76" t="s">
        <v>14452</v>
      </c>
      <c r="BO180" s="82" t="str">
        <f>HYPERLINK("https://twitter.com/el_diariomx")</f>
        <v>https://twitter.com/el_diariomx</v>
      </c>
      <c r="BP180" s="2"/>
    </row>
    <row r="181" spans="1:68" x14ac:dyDescent="0.25">
      <c r="A181" s="62" t="s">
        <v>367</v>
      </c>
      <c r="B181" s="63"/>
      <c r="C181" s="63"/>
      <c r="D181" s="64"/>
      <c r="E181" s="66"/>
      <c r="F181" s="103" t="str">
        <f>HYPERLINK("https://pbs.twimg.com/profile_images/1633446762550636546/-GJyyHxE_normal.jpg")</f>
        <v>https://pbs.twimg.com/profile_images/1633446762550636546/-GJyyHxE_normal.jpg</v>
      </c>
      <c r="G181" s="63"/>
      <c r="H181" s="67"/>
      <c r="I181" s="68"/>
      <c r="J181" s="68"/>
      <c r="K181" s="67" t="s">
        <v>14630</v>
      </c>
      <c r="L181" s="71"/>
      <c r="M181" s="72"/>
      <c r="N181" s="72"/>
      <c r="O181" s="73"/>
      <c r="P181" s="74"/>
      <c r="Q181" s="74"/>
      <c r="R181" s="87"/>
      <c r="S181" s="87"/>
      <c r="T181" s="87"/>
      <c r="U181" s="87"/>
      <c r="V181" s="48"/>
      <c r="W181" s="48"/>
      <c r="X181" s="48"/>
      <c r="Y181" s="48"/>
      <c r="Z181" s="47"/>
      <c r="AA181" s="69">
        <v>181</v>
      </c>
      <c r="AB181" s="69"/>
      <c r="AC181" s="70"/>
      <c r="AD181" s="76" t="s">
        <v>11922</v>
      </c>
      <c r="AE181" s="80" t="s">
        <v>12568</v>
      </c>
      <c r="AF181" s="76">
        <v>41</v>
      </c>
      <c r="AG181" s="76">
        <v>129</v>
      </c>
      <c r="AH181" s="76">
        <v>2553</v>
      </c>
      <c r="AI181" s="76">
        <v>0</v>
      </c>
      <c r="AJ181" s="76">
        <v>3794</v>
      </c>
      <c r="AK181" s="76">
        <v>144</v>
      </c>
      <c r="AL181" s="76" t="b">
        <v>0</v>
      </c>
      <c r="AM181" s="78">
        <v>41248.558645833335</v>
      </c>
      <c r="AN181" s="76" t="s">
        <v>7863</v>
      </c>
      <c r="AO181" s="76" t="s">
        <v>13385</v>
      </c>
      <c r="AP181" s="76"/>
      <c r="AQ181" s="76"/>
      <c r="AR181" s="76"/>
      <c r="AS181" s="76"/>
      <c r="AT181" s="76"/>
      <c r="AU181" s="76"/>
      <c r="AV181" s="76"/>
      <c r="AW181" s="76"/>
      <c r="AX181" s="76" t="b">
        <v>0</v>
      </c>
      <c r="AY181" s="76"/>
      <c r="AZ181" s="76"/>
      <c r="BA181" s="76" t="b">
        <v>0</v>
      </c>
      <c r="BB181" s="76" t="b">
        <v>1</v>
      </c>
      <c r="BC181" s="76" t="b">
        <v>1</v>
      </c>
      <c r="BD181" s="76" t="b">
        <v>0</v>
      </c>
      <c r="BE181" s="76" t="b">
        <v>0</v>
      </c>
      <c r="BF181" s="76" t="b">
        <v>0</v>
      </c>
      <c r="BG181" s="76" t="b">
        <v>0</v>
      </c>
      <c r="BH181" s="82" t="str">
        <f>HYPERLINK("https://pbs.twimg.com/profile_banners/990945925/1531342254")</f>
        <v>https://pbs.twimg.com/profile_banners/990945925/1531342254</v>
      </c>
      <c r="BI181" s="76"/>
      <c r="BJ181" s="76" t="s">
        <v>14450</v>
      </c>
      <c r="BK181" s="76" t="b">
        <v>0</v>
      </c>
      <c r="BL181" s="76"/>
      <c r="BM181" s="76" t="s">
        <v>66</v>
      </c>
      <c r="BN181" s="76" t="s">
        <v>14452</v>
      </c>
      <c r="BO181" s="82" t="str">
        <f>HYPERLINK("https://twitter.com/adrianabacic")</f>
        <v>https://twitter.com/adrianabacic</v>
      </c>
      <c r="BP181" s="2"/>
    </row>
    <row r="182" spans="1:68" x14ac:dyDescent="0.25">
      <c r="A182" s="62" t="s">
        <v>368</v>
      </c>
      <c r="B182" s="63"/>
      <c r="C182" s="63"/>
      <c r="D182" s="64"/>
      <c r="E182" s="66"/>
      <c r="F182" s="103" t="str">
        <f>HYPERLINK("https://pbs.twimg.com/profile_images/1410645105560723462/rgWjy0h5_normal.jpg")</f>
        <v>https://pbs.twimg.com/profile_images/1410645105560723462/rgWjy0h5_normal.jpg</v>
      </c>
      <c r="G182" s="63"/>
      <c r="H182" s="67"/>
      <c r="I182" s="68"/>
      <c r="J182" s="68"/>
      <c r="K182" s="67" t="s">
        <v>14631</v>
      </c>
      <c r="L182" s="71"/>
      <c r="M182" s="72"/>
      <c r="N182" s="72"/>
      <c r="O182" s="73"/>
      <c r="P182" s="74"/>
      <c r="Q182" s="74"/>
      <c r="R182" s="87"/>
      <c r="S182" s="87"/>
      <c r="T182" s="87"/>
      <c r="U182" s="87"/>
      <c r="V182" s="48"/>
      <c r="W182" s="48"/>
      <c r="X182" s="48"/>
      <c r="Y182" s="48"/>
      <c r="Z182" s="47"/>
      <c r="AA182" s="69">
        <v>182</v>
      </c>
      <c r="AB182" s="69"/>
      <c r="AC182" s="70"/>
      <c r="AD182" s="76" t="s">
        <v>11923</v>
      </c>
      <c r="AE182" s="80" t="s">
        <v>12569</v>
      </c>
      <c r="AF182" s="76">
        <v>19281</v>
      </c>
      <c r="AG182" s="76">
        <v>11397</v>
      </c>
      <c r="AH182" s="76">
        <v>9543</v>
      </c>
      <c r="AI182" s="76">
        <v>260</v>
      </c>
      <c r="AJ182" s="76">
        <v>11754</v>
      </c>
      <c r="AK182" s="76">
        <v>2100</v>
      </c>
      <c r="AL182" s="76" t="b">
        <v>0</v>
      </c>
      <c r="AM182" s="78">
        <v>40617.920405092591</v>
      </c>
      <c r="AN182" s="76" t="s">
        <v>12967</v>
      </c>
      <c r="AO182" s="76" t="s">
        <v>13386</v>
      </c>
      <c r="AP182" s="82" t="str">
        <f>HYPERLINK("https://t.co/SH4NKfespH")</f>
        <v>https://t.co/SH4NKfespH</v>
      </c>
      <c r="AQ182" s="82" t="str">
        <f>HYPERLINK("https://www.expopublicitas.com")</f>
        <v>https://www.expopublicitas.com</v>
      </c>
      <c r="AR182" s="76" t="s">
        <v>14012</v>
      </c>
      <c r="AS182" s="76"/>
      <c r="AT182" s="76"/>
      <c r="AU182" s="76"/>
      <c r="AV182" s="76">
        <v>1.67730269665378E+18</v>
      </c>
      <c r="AW182" s="82" t="str">
        <f>HYPERLINK("https://t.co/SH4NKfespH")</f>
        <v>https://t.co/SH4NKfespH</v>
      </c>
      <c r="AX182" s="76" t="b">
        <v>0</v>
      </c>
      <c r="AY182" s="76"/>
      <c r="AZ182" s="76"/>
      <c r="BA182" s="76" t="b">
        <v>0</v>
      </c>
      <c r="BB182" s="76" t="b">
        <v>0</v>
      </c>
      <c r="BC182" s="76" t="b">
        <v>0</v>
      </c>
      <c r="BD182" s="76" t="b">
        <v>0</v>
      </c>
      <c r="BE182" s="76" t="b">
        <v>0</v>
      </c>
      <c r="BF182" s="76" t="b">
        <v>0</v>
      </c>
      <c r="BG182" s="76" t="b">
        <v>0</v>
      </c>
      <c r="BH182" s="82" t="str">
        <f>HYPERLINK("https://pbs.twimg.com/profile_banners/266828087/1685308172")</f>
        <v>https://pbs.twimg.com/profile_banners/266828087/1685308172</v>
      </c>
      <c r="BI182" s="76"/>
      <c r="BJ182" s="76" t="s">
        <v>14450</v>
      </c>
      <c r="BK182" s="76" t="b">
        <v>0</v>
      </c>
      <c r="BL182" s="76"/>
      <c r="BM182" s="76" t="s">
        <v>66</v>
      </c>
      <c r="BN182" s="76" t="s">
        <v>14452</v>
      </c>
      <c r="BO182" s="82" t="str">
        <f>HYPERLINK("https://twitter.com/expopublicitas_")</f>
        <v>https://twitter.com/expopublicitas_</v>
      </c>
      <c r="BP182" s="2"/>
    </row>
    <row r="183" spans="1:68" x14ac:dyDescent="0.25">
      <c r="A183" s="62" t="s">
        <v>369</v>
      </c>
      <c r="B183" s="63"/>
      <c r="C183" s="63"/>
      <c r="D183" s="64"/>
      <c r="E183" s="66"/>
      <c r="F183" s="103" t="str">
        <f>HYPERLINK("https://pbs.twimg.com/profile_images/1479487650390286337/To2P4Eib_normal.jpg")</f>
        <v>https://pbs.twimg.com/profile_images/1479487650390286337/To2P4Eib_normal.jpg</v>
      </c>
      <c r="G183" s="63"/>
      <c r="H183" s="67"/>
      <c r="I183" s="68"/>
      <c r="J183" s="68"/>
      <c r="K183" s="67" t="s">
        <v>14632</v>
      </c>
      <c r="L183" s="71"/>
      <c r="M183" s="72"/>
      <c r="N183" s="72"/>
      <c r="O183" s="73"/>
      <c r="P183" s="74"/>
      <c r="Q183" s="74"/>
      <c r="R183" s="87"/>
      <c r="S183" s="87"/>
      <c r="T183" s="87"/>
      <c r="U183" s="87"/>
      <c r="V183" s="48"/>
      <c r="W183" s="48"/>
      <c r="X183" s="48"/>
      <c r="Y183" s="48"/>
      <c r="Z183" s="47"/>
      <c r="AA183" s="69">
        <v>183</v>
      </c>
      <c r="AB183" s="69"/>
      <c r="AC183" s="70"/>
      <c r="AD183" s="76" t="s">
        <v>11924</v>
      </c>
      <c r="AE183" s="80" t="s">
        <v>11474</v>
      </c>
      <c r="AF183" s="76">
        <v>3164</v>
      </c>
      <c r="AG183" s="76">
        <v>192</v>
      </c>
      <c r="AH183" s="76">
        <v>66861</v>
      </c>
      <c r="AI183" s="76">
        <v>22</v>
      </c>
      <c r="AJ183" s="76">
        <v>975</v>
      </c>
      <c r="AK183" s="76">
        <v>7582</v>
      </c>
      <c r="AL183" s="76" t="b">
        <v>0</v>
      </c>
      <c r="AM183" s="78">
        <v>43171.809861111113</v>
      </c>
      <c r="AN183" s="76" t="s">
        <v>12968</v>
      </c>
      <c r="AO183" s="76" t="s">
        <v>13387</v>
      </c>
      <c r="AP183" s="82" t="str">
        <f>HYPERLINK("https://t.co/MwK4CVtUjb")</f>
        <v>https://t.co/MwK4CVtUjb</v>
      </c>
      <c r="AQ183" s="82" t="str">
        <f>HYPERLINK("http://www.eleditorplatense.com")</f>
        <v>http://www.eleditorplatense.com</v>
      </c>
      <c r="AR183" s="76" t="s">
        <v>14013</v>
      </c>
      <c r="AS183" s="76"/>
      <c r="AT183" s="76"/>
      <c r="AU183" s="76"/>
      <c r="AV183" s="76"/>
      <c r="AW183" s="82" t="str">
        <f>HYPERLINK("https://t.co/MwK4CVtUjb")</f>
        <v>https://t.co/MwK4CVtUjb</v>
      </c>
      <c r="AX183" s="76" t="b">
        <v>0</v>
      </c>
      <c r="AY183" s="76"/>
      <c r="AZ183" s="76"/>
      <c r="BA183" s="76" t="b">
        <v>0</v>
      </c>
      <c r="BB183" s="76" t="b">
        <v>1</v>
      </c>
      <c r="BC183" s="76" t="b">
        <v>0</v>
      </c>
      <c r="BD183" s="76" t="b">
        <v>0</v>
      </c>
      <c r="BE183" s="76" t="b">
        <v>1</v>
      </c>
      <c r="BF183" s="76" t="b">
        <v>0</v>
      </c>
      <c r="BG183" s="76" t="b">
        <v>0</v>
      </c>
      <c r="BH183" s="82" t="str">
        <f>HYPERLINK("https://pbs.twimg.com/profile_banners/973279006102622209/1683560285")</f>
        <v>https://pbs.twimg.com/profile_banners/973279006102622209/1683560285</v>
      </c>
      <c r="BI183" s="76"/>
      <c r="BJ183" s="76" t="s">
        <v>14450</v>
      </c>
      <c r="BK183" s="76" t="b">
        <v>0</v>
      </c>
      <c r="BL183" s="76"/>
      <c r="BM183" s="76" t="s">
        <v>66</v>
      </c>
      <c r="BN183" s="76" t="s">
        <v>14452</v>
      </c>
      <c r="BO183" s="82" t="str">
        <f>HYPERLINK("https://twitter.com/editor_platense")</f>
        <v>https://twitter.com/editor_platense</v>
      </c>
      <c r="BP183" s="2"/>
    </row>
    <row r="184" spans="1:68" x14ac:dyDescent="0.25">
      <c r="A184" s="62" t="s">
        <v>370</v>
      </c>
      <c r="B184" s="63"/>
      <c r="C184" s="63"/>
      <c r="D184" s="64"/>
      <c r="E184" s="66"/>
      <c r="F184" s="103" t="str">
        <f>HYPERLINK("https://pbs.twimg.com/profile_images/1649422357335777281/SuUWfsDf_normal.jpg")</f>
        <v>https://pbs.twimg.com/profile_images/1649422357335777281/SuUWfsDf_normal.jpg</v>
      </c>
      <c r="G184" s="63"/>
      <c r="H184" s="67"/>
      <c r="I184" s="68"/>
      <c r="J184" s="68"/>
      <c r="K184" s="67" t="s">
        <v>14633</v>
      </c>
      <c r="L184" s="71"/>
      <c r="M184" s="72"/>
      <c r="N184" s="72"/>
      <c r="O184" s="73"/>
      <c r="P184" s="74"/>
      <c r="Q184" s="74"/>
      <c r="R184" s="87"/>
      <c r="S184" s="87"/>
      <c r="T184" s="87"/>
      <c r="U184" s="87"/>
      <c r="V184" s="48"/>
      <c r="W184" s="48"/>
      <c r="X184" s="48"/>
      <c r="Y184" s="48"/>
      <c r="Z184" s="47"/>
      <c r="AA184" s="69">
        <v>184</v>
      </c>
      <c r="AB184" s="69"/>
      <c r="AC184" s="70"/>
      <c r="AD184" s="76" t="s">
        <v>11925</v>
      </c>
      <c r="AE184" s="80" t="s">
        <v>12570</v>
      </c>
      <c r="AF184" s="76">
        <v>474</v>
      </c>
      <c r="AG184" s="76">
        <v>162</v>
      </c>
      <c r="AH184" s="76">
        <v>515</v>
      </c>
      <c r="AI184" s="76">
        <v>1</v>
      </c>
      <c r="AJ184" s="76">
        <v>174</v>
      </c>
      <c r="AK184" s="76">
        <v>59</v>
      </c>
      <c r="AL184" s="76" t="b">
        <v>0</v>
      </c>
      <c r="AM184" s="78">
        <v>41125.856759259259</v>
      </c>
      <c r="AN184" s="76" t="s">
        <v>12969</v>
      </c>
      <c r="AO184" s="76" t="s">
        <v>13388</v>
      </c>
      <c r="AP184" s="82" t="str">
        <f>HYPERLINK("https://t.co/7oV0mMrqKg")</f>
        <v>https://t.co/7oV0mMrqKg</v>
      </c>
      <c r="AQ184" s="82" t="str">
        <f>HYPERLINK("https://elogiou.com.br")</f>
        <v>https://elogiou.com.br</v>
      </c>
      <c r="AR184" s="76" t="s">
        <v>14014</v>
      </c>
      <c r="AS184" s="82" t="str">
        <f>HYPERLINK("https://t.co/vw5UU99Irz")</f>
        <v>https://t.co/vw5UU99Irz</v>
      </c>
      <c r="AT184" s="82" t="str">
        <f>HYPERLINK("http://elogiou.com.br")</f>
        <v>http://elogiou.com.br</v>
      </c>
      <c r="AU184" s="76" t="s">
        <v>14014</v>
      </c>
      <c r="AV184" s="76">
        <v>1.6988250879887401E+18</v>
      </c>
      <c r="AW184" s="82" t="str">
        <f>HYPERLINK("https://t.co/7oV0mMrqKg")</f>
        <v>https://t.co/7oV0mMrqKg</v>
      </c>
      <c r="AX184" s="76" t="b">
        <v>1</v>
      </c>
      <c r="AY184" s="76"/>
      <c r="AZ184" s="76"/>
      <c r="BA184" s="76" t="b">
        <v>1</v>
      </c>
      <c r="BB184" s="76" t="b">
        <v>1</v>
      </c>
      <c r="BC184" s="76" t="b">
        <v>0</v>
      </c>
      <c r="BD184" s="76" t="b">
        <v>0</v>
      </c>
      <c r="BE184" s="76" t="b">
        <v>0</v>
      </c>
      <c r="BF184" s="76" t="b">
        <v>0</v>
      </c>
      <c r="BG184" s="76" t="b">
        <v>0</v>
      </c>
      <c r="BH184" s="82" t="str">
        <f>HYPERLINK("https://pbs.twimg.com/profile_banners/737371927/1690302840")</f>
        <v>https://pbs.twimg.com/profile_banners/737371927/1690302840</v>
      </c>
      <c r="BI184" s="76"/>
      <c r="BJ184" s="76" t="s">
        <v>14450</v>
      </c>
      <c r="BK184" s="76" t="b">
        <v>0</v>
      </c>
      <c r="BL184" s="76"/>
      <c r="BM184" s="76" t="s">
        <v>66</v>
      </c>
      <c r="BN184" s="76" t="s">
        <v>14452</v>
      </c>
      <c r="BO184" s="82" t="str">
        <f>HYPERLINK("https://twitter.com/henriquesbno")</f>
        <v>https://twitter.com/henriquesbno</v>
      </c>
      <c r="BP184" s="2"/>
    </row>
    <row r="185" spans="1:68" x14ac:dyDescent="0.25">
      <c r="A185" s="62" t="s">
        <v>900</v>
      </c>
      <c r="B185" s="63"/>
      <c r="C185" s="63"/>
      <c r="D185" s="64"/>
      <c r="E185" s="66"/>
      <c r="F185" s="103" t="str">
        <f>HYPERLINK("https://pbs.twimg.com/profile_images/438959827008512001/fsjDWP1E_normal.jpeg")</f>
        <v>https://pbs.twimg.com/profile_images/438959827008512001/fsjDWP1E_normal.jpeg</v>
      </c>
      <c r="G185" s="63"/>
      <c r="H185" s="67"/>
      <c r="I185" s="68"/>
      <c r="J185" s="68"/>
      <c r="K185" s="67" t="s">
        <v>14634</v>
      </c>
      <c r="L185" s="71"/>
      <c r="M185" s="72"/>
      <c r="N185" s="72"/>
      <c r="O185" s="73"/>
      <c r="P185" s="74"/>
      <c r="Q185" s="74"/>
      <c r="R185" s="87"/>
      <c r="S185" s="87"/>
      <c r="T185" s="87"/>
      <c r="U185" s="87"/>
      <c r="V185" s="48"/>
      <c r="W185" s="48"/>
      <c r="X185" s="48"/>
      <c r="Y185" s="48"/>
      <c r="Z185" s="47"/>
      <c r="AA185" s="69">
        <v>185</v>
      </c>
      <c r="AB185" s="69"/>
      <c r="AC185" s="70"/>
      <c r="AD185" s="76" t="s">
        <v>900</v>
      </c>
      <c r="AE185" s="80" t="s">
        <v>12571</v>
      </c>
      <c r="AF185" s="76">
        <v>0</v>
      </c>
      <c r="AG185" s="76">
        <v>2</v>
      </c>
      <c r="AH185" s="76">
        <v>0</v>
      </c>
      <c r="AI185" s="76">
        <v>0</v>
      </c>
      <c r="AJ185" s="76">
        <v>0</v>
      </c>
      <c r="AK185" s="76">
        <v>0</v>
      </c>
      <c r="AL185" s="76" t="b">
        <v>0</v>
      </c>
      <c r="AM185" s="78">
        <v>41695.180648148147</v>
      </c>
      <c r="AN185" s="76"/>
      <c r="AO185" s="76"/>
      <c r="AP185" s="76"/>
      <c r="AQ185" s="76"/>
      <c r="AR185" s="76"/>
      <c r="AS185" s="76"/>
      <c r="AT185" s="76"/>
      <c r="AU185" s="76"/>
      <c r="AV185" s="76"/>
      <c r="AW185" s="76"/>
      <c r="AX185" s="76" t="b">
        <v>0</v>
      </c>
      <c r="AY185" s="76"/>
      <c r="AZ185" s="76"/>
      <c r="BA185" s="76" t="b">
        <v>0</v>
      </c>
      <c r="BB185" s="76" t="b">
        <v>1</v>
      </c>
      <c r="BC185" s="76" t="b">
        <v>1</v>
      </c>
      <c r="BD185" s="76" t="b">
        <v>0</v>
      </c>
      <c r="BE185" s="76" t="b">
        <v>0</v>
      </c>
      <c r="BF185" s="76" t="b">
        <v>0</v>
      </c>
      <c r="BG185" s="76" t="b">
        <v>0</v>
      </c>
      <c r="BH185" s="76"/>
      <c r="BI185" s="76"/>
      <c r="BJ185" s="76" t="s">
        <v>14450</v>
      </c>
      <c r="BK185" s="76" t="b">
        <v>0</v>
      </c>
      <c r="BL185" s="76"/>
      <c r="BM185" s="76" t="s">
        <v>65</v>
      </c>
      <c r="BN185" s="76" t="s">
        <v>14452</v>
      </c>
      <c r="BO185" s="82" t="str">
        <f>HYPERLINK("https://twitter.com/elogiou")</f>
        <v>https://twitter.com/elogiou</v>
      </c>
      <c r="BP185" s="2"/>
    </row>
    <row r="186" spans="1:68" x14ac:dyDescent="0.25">
      <c r="A186" s="62" t="s">
        <v>371</v>
      </c>
      <c r="B186" s="63"/>
      <c r="C186" s="63"/>
      <c r="D186" s="64"/>
      <c r="E186" s="66"/>
      <c r="F186" s="103" t="str">
        <f>HYPERLINK("https://pbs.twimg.com/profile_images/1554851404153511936/62Q_jy7t_normal.jpg")</f>
        <v>https://pbs.twimg.com/profile_images/1554851404153511936/62Q_jy7t_normal.jpg</v>
      </c>
      <c r="G186" s="63"/>
      <c r="H186" s="67"/>
      <c r="I186" s="68"/>
      <c r="J186" s="68"/>
      <c r="K186" s="67" t="s">
        <v>14635</v>
      </c>
      <c r="L186" s="71"/>
      <c r="M186" s="72"/>
      <c r="N186" s="72"/>
      <c r="O186" s="73"/>
      <c r="P186" s="74"/>
      <c r="Q186" s="74"/>
      <c r="R186" s="87"/>
      <c r="S186" s="87"/>
      <c r="T186" s="87"/>
      <c r="U186" s="87"/>
      <c r="V186" s="48"/>
      <c r="W186" s="48"/>
      <c r="X186" s="48"/>
      <c r="Y186" s="48"/>
      <c r="Z186" s="47"/>
      <c r="AA186" s="69">
        <v>186</v>
      </c>
      <c r="AB186" s="69"/>
      <c r="AC186" s="70"/>
      <c r="AD186" s="76" t="s">
        <v>11926</v>
      </c>
      <c r="AE186" s="80" t="s">
        <v>11475</v>
      </c>
      <c r="AF186" s="76">
        <v>2619</v>
      </c>
      <c r="AG186" s="76">
        <v>24</v>
      </c>
      <c r="AH186" s="76">
        <v>91</v>
      </c>
      <c r="AI186" s="76">
        <v>1</v>
      </c>
      <c r="AJ186" s="76">
        <v>75</v>
      </c>
      <c r="AK186" s="76">
        <v>32</v>
      </c>
      <c r="AL186" s="76" t="b">
        <v>0</v>
      </c>
      <c r="AM186" s="78">
        <v>44775.623888888891</v>
      </c>
      <c r="AN186" s="76"/>
      <c r="AO186" s="76" t="s">
        <v>13389</v>
      </c>
      <c r="AP186" s="82" t="str">
        <f>HYPERLINK("https://t.co/Updl8NDFDc")</f>
        <v>https://t.co/Updl8NDFDc</v>
      </c>
      <c r="AQ186" s="82" t="str">
        <f>HYPERLINK("https://linktr.ee/pratiscrm")</f>
        <v>https://linktr.ee/pratiscrm</v>
      </c>
      <c r="AR186" s="76" t="s">
        <v>14015</v>
      </c>
      <c r="AS186" s="76"/>
      <c r="AT186" s="76"/>
      <c r="AU186" s="76"/>
      <c r="AV186" s="76">
        <v>1.6244170562999099E+18</v>
      </c>
      <c r="AW186" s="82" t="str">
        <f>HYPERLINK("https://t.co/Updl8NDFDc")</f>
        <v>https://t.co/Updl8NDFDc</v>
      </c>
      <c r="AX186" s="76" t="b">
        <v>0</v>
      </c>
      <c r="AY186" s="76"/>
      <c r="AZ186" s="76"/>
      <c r="BA186" s="76" t="b">
        <v>1</v>
      </c>
      <c r="BB186" s="76" t="b">
        <v>1</v>
      </c>
      <c r="BC186" s="76" t="b">
        <v>1</v>
      </c>
      <c r="BD186" s="76" t="b">
        <v>0</v>
      </c>
      <c r="BE186" s="76" t="b">
        <v>0</v>
      </c>
      <c r="BF186" s="76" t="b">
        <v>0</v>
      </c>
      <c r="BG186" s="76" t="b">
        <v>0</v>
      </c>
      <c r="BH186" s="82" t="str">
        <f>HYPERLINK("https://pbs.twimg.com/profile_banners/1554481694274686976/1659540438")</f>
        <v>https://pbs.twimg.com/profile_banners/1554481694274686976/1659540438</v>
      </c>
      <c r="BI186" s="76"/>
      <c r="BJ186" s="76" t="s">
        <v>14450</v>
      </c>
      <c r="BK186" s="76" t="b">
        <v>0</v>
      </c>
      <c r="BL186" s="76"/>
      <c r="BM186" s="76" t="s">
        <v>66</v>
      </c>
      <c r="BN186" s="76" t="s">
        <v>14452</v>
      </c>
      <c r="BO186" s="82" t="str">
        <f>HYPERLINK("https://twitter.com/pratiscrm")</f>
        <v>https://twitter.com/pratiscrm</v>
      </c>
      <c r="BP186" s="2"/>
    </row>
    <row r="187" spans="1:68" x14ac:dyDescent="0.25">
      <c r="A187" s="62" t="s">
        <v>372</v>
      </c>
      <c r="B187" s="63"/>
      <c r="C187" s="63"/>
      <c r="D187" s="64"/>
      <c r="E187" s="66"/>
      <c r="F187" s="103" t="str">
        <f>HYPERLINK("https://pbs.twimg.com/profile_images/1616525958441308166/vrMX58RQ_normal.jpg")</f>
        <v>https://pbs.twimg.com/profile_images/1616525958441308166/vrMX58RQ_normal.jpg</v>
      </c>
      <c r="G187" s="63"/>
      <c r="H187" s="67"/>
      <c r="I187" s="68"/>
      <c r="J187" s="68"/>
      <c r="K187" s="67" t="s">
        <v>14636</v>
      </c>
      <c r="L187" s="71"/>
      <c r="M187" s="72"/>
      <c r="N187" s="72"/>
      <c r="O187" s="73"/>
      <c r="P187" s="74"/>
      <c r="Q187" s="74"/>
      <c r="R187" s="87"/>
      <c r="S187" s="87"/>
      <c r="T187" s="87"/>
      <c r="U187" s="87"/>
      <c r="V187" s="48"/>
      <c r="W187" s="48"/>
      <c r="X187" s="48"/>
      <c r="Y187" s="48"/>
      <c r="Z187" s="47"/>
      <c r="AA187" s="69">
        <v>187</v>
      </c>
      <c r="AB187" s="69"/>
      <c r="AC187" s="70"/>
      <c r="AD187" s="76" t="s">
        <v>11927</v>
      </c>
      <c r="AE187" s="80" t="s">
        <v>12572</v>
      </c>
      <c r="AF187" s="76">
        <v>196</v>
      </c>
      <c r="AG187" s="76">
        <v>86</v>
      </c>
      <c r="AH187" s="76">
        <v>5539</v>
      </c>
      <c r="AI187" s="76">
        <v>0</v>
      </c>
      <c r="AJ187" s="76">
        <v>927</v>
      </c>
      <c r="AK187" s="76">
        <v>3889</v>
      </c>
      <c r="AL187" s="76" t="b">
        <v>0</v>
      </c>
      <c r="AM187" s="78">
        <v>42397.702060185184</v>
      </c>
      <c r="AN187" s="76" t="s">
        <v>7795</v>
      </c>
      <c r="AO187" s="76" t="s">
        <v>13390</v>
      </c>
      <c r="AP187" s="82" t="str">
        <f>HYPERLINK("https://t.co/GdAVtAk5DT")</f>
        <v>https://t.co/GdAVtAk5DT</v>
      </c>
      <c r="AQ187" s="82" t="str">
        <f>HYPERLINK("https://linktr.ee/RegionNET")</f>
        <v>https://linktr.ee/RegionNET</v>
      </c>
      <c r="AR187" s="76" t="s">
        <v>14016</v>
      </c>
      <c r="AS187" s="76"/>
      <c r="AT187" s="76"/>
      <c r="AU187" s="76"/>
      <c r="AV187" s="76">
        <v>1.2260567417349701E+18</v>
      </c>
      <c r="AW187" s="82" t="str">
        <f>HYPERLINK("https://t.co/GdAVtAk5DT")</f>
        <v>https://t.co/GdAVtAk5DT</v>
      </c>
      <c r="AX187" s="76" t="b">
        <v>0</v>
      </c>
      <c r="AY187" s="76"/>
      <c r="AZ187" s="76"/>
      <c r="BA187" s="76" t="b">
        <v>1</v>
      </c>
      <c r="BB187" s="76" t="b">
        <v>1</v>
      </c>
      <c r="BC187" s="76" t="b">
        <v>0</v>
      </c>
      <c r="BD187" s="76" t="b">
        <v>0</v>
      </c>
      <c r="BE187" s="76" t="b">
        <v>1</v>
      </c>
      <c r="BF187" s="76" t="b">
        <v>0</v>
      </c>
      <c r="BG187" s="76" t="b">
        <v>0</v>
      </c>
      <c r="BH187" s="82" t="str">
        <f>HYPERLINK("https://pbs.twimg.com/profile_banners/4857804755/1553013064")</f>
        <v>https://pbs.twimg.com/profile_banners/4857804755/1553013064</v>
      </c>
      <c r="BI187" s="76"/>
      <c r="BJ187" s="76" t="s">
        <v>14450</v>
      </c>
      <c r="BK187" s="76" t="b">
        <v>0</v>
      </c>
      <c r="BL187" s="76"/>
      <c r="BM187" s="76" t="s">
        <v>66</v>
      </c>
      <c r="BN187" s="76" t="s">
        <v>14452</v>
      </c>
      <c r="BO187" s="82" t="str">
        <f>HYPERLINK("https://twitter.com/regionnet_ar")</f>
        <v>https://twitter.com/regionnet_ar</v>
      </c>
      <c r="BP187" s="2"/>
    </row>
    <row r="188" spans="1:68" x14ac:dyDescent="0.25">
      <c r="A188" s="62" t="s">
        <v>373</v>
      </c>
      <c r="B188" s="63"/>
      <c r="C188" s="63"/>
      <c r="D188" s="64"/>
      <c r="E188" s="66"/>
      <c r="F188" s="103" t="str">
        <f>HYPERLINK("https://pbs.twimg.com/profile_images/1494327238124134404/5DR7668D_normal.jpg")</f>
        <v>https://pbs.twimg.com/profile_images/1494327238124134404/5DR7668D_normal.jpg</v>
      </c>
      <c r="G188" s="63"/>
      <c r="H188" s="67"/>
      <c r="I188" s="68"/>
      <c r="J188" s="68"/>
      <c r="K188" s="67" t="s">
        <v>14637</v>
      </c>
      <c r="L188" s="71"/>
      <c r="M188" s="72"/>
      <c r="N188" s="72"/>
      <c r="O188" s="73"/>
      <c r="P188" s="74"/>
      <c r="Q188" s="74"/>
      <c r="R188" s="87"/>
      <c r="S188" s="87"/>
      <c r="T188" s="87"/>
      <c r="U188" s="87"/>
      <c r="V188" s="48"/>
      <c r="W188" s="48"/>
      <c r="X188" s="48"/>
      <c r="Y188" s="48"/>
      <c r="Z188" s="47"/>
      <c r="AA188" s="69">
        <v>188</v>
      </c>
      <c r="AB188" s="69"/>
      <c r="AC188" s="70"/>
      <c r="AD188" s="76" t="s">
        <v>11928</v>
      </c>
      <c r="AE188" s="80" t="s">
        <v>11476</v>
      </c>
      <c r="AF188" s="76">
        <v>23</v>
      </c>
      <c r="AG188" s="76">
        <v>0</v>
      </c>
      <c r="AH188" s="76">
        <v>821</v>
      </c>
      <c r="AI188" s="76">
        <v>0</v>
      </c>
      <c r="AJ188" s="76">
        <v>119</v>
      </c>
      <c r="AK188" s="76">
        <v>155</v>
      </c>
      <c r="AL188" s="76" t="b">
        <v>0</v>
      </c>
      <c r="AM188" s="78">
        <v>44212.802719907406</v>
      </c>
      <c r="AN188" s="76" t="s">
        <v>12970</v>
      </c>
      <c r="AO188" s="76" t="s">
        <v>13391</v>
      </c>
      <c r="AP188" s="82" t="str">
        <f>HYPERLINK("https://t.co/UN7nuRCqVa")</f>
        <v>https://t.co/UN7nuRCqVa</v>
      </c>
      <c r="AQ188" s="82" t="str">
        <f>HYPERLINK("http://www.perfilcomercial.com")</f>
        <v>http://www.perfilcomercial.com</v>
      </c>
      <c r="AR188" s="76" t="s">
        <v>14017</v>
      </c>
      <c r="AS188" s="76"/>
      <c r="AT188" s="76"/>
      <c r="AU188" s="76"/>
      <c r="AV188" s="76"/>
      <c r="AW188" s="82" t="str">
        <f>HYPERLINK("https://t.co/UN7nuRCqVa")</f>
        <v>https://t.co/UN7nuRCqVa</v>
      </c>
      <c r="AX188" s="76" t="b">
        <v>1</v>
      </c>
      <c r="AY188" s="76"/>
      <c r="AZ188" s="76"/>
      <c r="BA188" s="76" t="b">
        <v>1</v>
      </c>
      <c r="BB188" s="76" t="b">
        <v>0</v>
      </c>
      <c r="BC188" s="76" t="b">
        <v>1</v>
      </c>
      <c r="BD188" s="76" t="b">
        <v>0</v>
      </c>
      <c r="BE188" s="76" t="b">
        <v>1</v>
      </c>
      <c r="BF188" s="76" t="b">
        <v>0</v>
      </c>
      <c r="BG188" s="76" t="b">
        <v>0</v>
      </c>
      <c r="BH188" s="82" t="str">
        <f>HYPERLINK("https://pbs.twimg.com/profile_banners/1350522146045485057/1613338954")</f>
        <v>https://pbs.twimg.com/profile_banners/1350522146045485057/1613338954</v>
      </c>
      <c r="BI188" s="76"/>
      <c r="BJ188" s="76" t="s">
        <v>14450</v>
      </c>
      <c r="BK188" s="76" t="b">
        <v>0</v>
      </c>
      <c r="BL188" s="76"/>
      <c r="BM188" s="76" t="s">
        <v>66</v>
      </c>
      <c r="BN188" s="76" t="s">
        <v>14452</v>
      </c>
      <c r="BO188" s="82" t="str">
        <f>HYPERLINK("https://twitter.com/perfilecuador")</f>
        <v>https://twitter.com/perfilecuador</v>
      </c>
      <c r="BP188" s="2"/>
    </row>
    <row r="189" spans="1:68" x14ac:dyDescent="0.25">
      <c r="A189" s="62" t="s">
        <v>374</v>
      </c>
      <c r="B189" s="63"/>
      <c r="C189" s="63"/>
      <c r="D189" s="64"/>
      <c r="E189" s="66"/>
      <c r="F189" s="103" t="str">
        <f>HYPERLINK("https://pbs.twimg.com/profile_images/1645436178017968135/6qos48Jo_normal.jpg")</f>
        <v>https://pbs.twimg.com/profile_images/1645436178017968135/6qos48Jo_normal.jpg</v>
      </c>
      <c r="G189" s="63"/>
      <c r="H189" s="67"/>
      <c r="I189" s="68"/>
      <c r="J189" s="68"/>
      <c r="K189" s="67" t="s">
        <v>14638</v>
      </c>
      <c r="L189" s="71"/>
      <c r="M189" s="72"/>
      <c r="N189" s="72"/>
      <c r="O189" s="73"/>
      <c r="P189" s="74"/>
      <c r="Q189" s="74"/>
      <c r="R189" s="87"/>
      <c r="S189" s="87"/>
      <c r="T189" s="87"/>
      <c r="U189" s="87"/>
      <c r="V189" s="48"/>
      <c r="W189" s="48"/>
      <c r="X189" s="48"/>
      <c r="Y189" s="48"/>
      <c r="Z189" s="47"/>
      <c r="AA189" s="69">
        <v>189</v>
      </c>
      <c r="AB189" s="69"/>
      <c r="AC189" s="70"/>
      <c r="AD189" s="76" t="s">
        <v>11929</v>
      </c>
      <c r="AE189" s="80" t="s">
        <v>12573</v>
      </c>
      <c r="AF189" s="76">
        <v>24648</v>
      </c>
      <c r="AG189" s="76">
        <v>157</v>
      </c>
      <c r="AH189" s="76">
        <v>178182</v>
      </c>
      <c r="AI189" s="76">
        <v>159</v>
      </c>
      <c r="AJ189" s="76">
        <v>137</v>
      </c>
      <c r="AK189" s="76">
        <v>5263</v>
      </c>
      <c r="AL189" s="76" t="b">
        <v>0</v>
      </c>
      <c r="AM189" s="78">
        <v>39947.469293981485</v>
      </c>
      <c r="AN189" s="76" t="s">
        <v>12971</v>
      </c>
      <c r="AO189" s="76" t="s">
        <v>13392</v>
      </c>
      <c r="AP189" s="82" t="str">
        <f>HYPERLINK("https://t.co/iJnNBbIlne")</f>
        <v>https://t.co/iJnNBbIlne</v>
      </c>
      <c r="AQ189" s="82" t="str">
        <f>HYPERLINK("https://www.meionorte.com")</f>
        <v>https://www.meionorte.com</v>
      </c>
      <c r="AR189" s="76" t="s">
        <v>4255</v>
      </c>
      <c r="AS189" s="82" t="str">
        <f>HYPERLINK("https://t.co/uW3QrXn8iK")</f>
        <v>https://t.co/uW3QrXn8iK</v>
      </c>
      <c r="AT189" s="82" t="str">
        <f>HYPERLINK("http://meionorte.com")</f>
        <v>http://meionorte.com</v>
      </c>
      <c r="AU189" s="76" t="s">
        <v>4255</v>
      </c>
      <c r="AV189" s="76"/>
      <c r="AW189" s="82" t="str">
        <f>HYPERLINK("https://t.co/iJnNBbIlne")</f>
        <v>https://t.co/iJnNBbIlne</v>
      </c>
      <c r="AX189" s="76" t="b">
        <v>1</v>
      </c>
      <c r="AY189" s="76"/>
      <c r="AZ189" s="76"/>
      <c r="BA189" s="76" t="b">
        <v>0</v>
      </c>
      <c r="BB189" s="76" t="b">
        <v>1</v>
      </c>
      <c r="BC189" s="76" t="b">
        <v>0</v>
      </c>
      <c r="BD189" s="76" t="b">
        <v>0</v>
      </c>
      <c r="BE189" s="76" t="b">
        <v>1</v>
      </c>
      <c r="BF189" s="76" t="b">
        <v>0</v>
      </c>
      <c r="BG189" s="76" t="b">
        <v>0</v>
      </c>
      <c r="BH189" s="82" t="str">
        <f>HYPERLINK("https://pbs.twimg.com/profile_banners/39973121/1681137829")</f>
        <v>https://pbs.twimg.com/profile_banners/39973121/1681137829</v>
      </c>
      <c r="BI189" s="76"/>
      <c r="BJ189" s="76" t="s">
        <v>14450</v>
      </c>
      <c r="BK189" s="76" t="b">
        <v>0</v>
      </c>
      <c r="BL189" s="76"/>
      <c r="BM189" s="76" t="s">
        <v>66</v>
      </c>
      <c r="BN189" s="76" t="s">
        <v>14452</v>
      </c>
      <c r="BO189" s="82" t="str">
        <f>HYPERLINK("https://twitter.com/meionorte")</f>
        <v>https://twitter.com/meionorte</v>
      </c>
      <c r="BP189" s="2"/>
    </row>
    <row r="190" spans="1:68" x14ac:dyDescent="0.25">
      <c r="A190" s="62" t="s">
        <v>375</v>
      </c>
      <c r="B190" s="63"/>
      <c r="C190" s="63"/>
      <c r="D190" s="64"/>
      <c r="E190" s="66"/>
      <c r="F190" s="103" t="str">
        <f>HYPERLINK("https://pbs.twimg.com/profile_images/1611531531201150977/gYyjRmja_normal.jpg")</f>
        <v>https://pbs.twimg.com/profile_images/1611531531201150977/gYyjRmja_normal.jpg</v>
      </c>
      <c r="G190" s="63"/>
      <c r="H190" s="67"/>
      <c r="I190" s="68"/>
      <c r="J190" s="68"/>
      <c r="K190" s="67" t="s">
        <v>14639</v>
      </c>
      <c r="L190" s="71"/>
      <c r="M190" s="72"/>
      <c r="N190" s="72"/>
      <c r="O190" s="73"/>
      <c r="P190" s="74"/>
      <c r="Q190" s="74"/>
      <c r="R190" s="87"/>
      <c r="S190" s="87"/>
      <c r="T190" s="87"/>
      <c r="U190" s="87"/>
      <c r="V190" s="48"/>
      <c r="W190" s="48"/>
      <c r="X190" s="48"/>
      <c r="Y190" s="48"/>
      <c r="Z190" s="47"/>
      <c r="AA190" s="69">
        <v>190</v>
      </c>
      <c r="AB190" s="69"/>
      <c r="AC190" s="70"/>
      <c r="AD190" s="76" t="s">
        <v>11930</v>
      </c>
      <c r="AE190" s="80" t="s">
        <v>12574</v>
      </c>
      <c r="AF190" s="76">
        <v>609</v>
      </c>
      <c r="AG190" s="76">
        <v>470</v>
      </c>
      <c r="AH190" s="76">
        <v>14083</v>
      </c>
      <c r="AI190" s="76">
        <v>11</v>
      </c>
      <c r="AJ190" s="76">
        <v>25968</v>
      </c>
      <c r="AK190" s="76">
        <v>588</v>
      </c>
      <c r="AL190" s="76" t="b">
        <v>0</v>
      </c>
      <c r="AM190" s="78">
        <v>40237.074872685182</v>
      </c>
      <c r="AN190" s="76" t="s">
        <v>7795</v>
      </c>
      <c r="AO190" s="76" t="s">
        <v>13393</v>
      </c>
      <c r="AP190" s="82" t="str">
        <f>HYPERLINK("https://t.co/aWu8aCrXUy")</f>
        <v>https://t.co/aWu8aCrXUy</v>
      </c>
      <c r="AQ190" s="82" t="str">
        <f>HYPERLINK("http://www.infopymes.info")</f>
        <v>http://www.infopymes.info</v>
      </c>
      <c r="AR190" s="76" t="s">
        <v>14018</v>
      </c>
      <c r="AS190" s="82" t="str">
        <f>HYPERLINK("https://t.co/mppEF4TEDN")</f>
        <v>https://t.co/mppEF4TEDN</v>
      </c>
      <c r="AT190" s="82" t="str">
        <f>HYPERLINK("http://infopymes.info")</f>
        <v>http://infopymes.info</v>
      </c>
      <c r="AU190" s="76" t="s">
        <v>14018</v>
      </c>
      <c r="AV190" s="76"/>
      <c r="AW190" s="82" t="str">
        <f>HYPERLINK("https://t.co/aWu8aCrXUy")</f>
        <v>https://t.co/aWu8aCrXUy</v>
      </c>
      <c r="AX190" s="76" t="b">
        <v>0</v>
      </c>
      <c r="AY190" s="76"/>
      <c r="AZ190" s="76"/>
      <c r="BA190" s="76" t="b">
        <v>1</v>
      </c>
      <c r="BB190" s="76" t="b">
        <v>0</v>
      </c>
      <c r="BC190" s="76" t="b">
        <v>0</v>
      </c>
      <c r="BD190" s="76" t="b">
        <v>0</v>
      </c>
      <c r="BE190" s="76" t="b">
        <v>1</v>
      </c>
      <c r="BF190" s="76" t="b">
        <v>0</v>
      </c>
      <c r="BG190" s="76" t="b">
        <v>0</v>
      </c>
      <c r="BH190" s="82" t="str">
        <f>HYPERLINK("https://pbs.twimg.com/profile_banners/118241786/1673054030")</f>
        <v>https://pbs.twimg.com/profile_banners/118241786/1673054030</v>
      </c>
      <c r="BI190" s="76"/>
      <c r="BJ190" s="76" t="s">
        <v>14450</v>
      </c>
      <c r="BK190" s="76" t="b">
        <v>0</v>
      </c>
      <c r="BL190" s="76"/>
      <c r="BM190" s="76" t="s">
        <v>66</v>
      </c>
      <c r="BN190" s="76" t="s">
        <v>14452</v>
      </c>
      <c r="BO190" s="82" t="str">
        <f>HYPERLINK("https://twitter.com/jlatencio")</f>
        <v>https://twitter.com/jlatencio</v>
      </c>
      <c r="BP190" s="2"/>
    </row>
    <row r="191" spans="1:68" x14ac:dyDescent="0.25">
      <c r="A191" s="62" t="s">
        <v>376</v>
      </c>
      <c r="B191" s="63"/>
      <c r="C191" s="63"/>
      <c r="D191" s="64"/>
      <c r="E191" s="66"/>
      <c r="F191" s="103" t="str">
        <f>HYPERLINK("https://pbs.twimg.com/profile_images/1650585046552649728/bB919Cvl_normal.jpg")</f>
        <v>https://pbs.twimg.com/profile_images/1650585046552649728/bB919Cvl_normal.jpg</v>
      </c>
      <c r="G191" s="63"/>
      <c r="H191" s="67"/>
      <c r="I191" s="68"/>
      <c r="J191" s="68"/>
      <c r="K191" s="67" t="s">
        <v>14640</v>
      </c>
      <c r="L191" s="71"/>
      <c r="M191" s="72"/>
      <c r="N191" s="72"/>
      <c r="O191" s="73"/>
      <c r="P191" s="74"/>
      <c r="Q191" s="74"/>
      <c r="R191" s="87"/>
      <c r="S191" s="87"/>
      <c r="T191" s="87"/>
      <c r="U191" s="87"/>
      <c r="V191" s="48"/>
      <c r="W191" s="48"/>
      <c r="X191" s="48"/>
      <c r="Y191" s="48"/>
      <c r="Z191" s="47"/>
      <c r="AA191" s="69">
        <v>191</v>
      </c>
      <c r="AB191" s="69"/>
      <c r="AC191" s="70"/>
      <c r="AD191" s="76" t="s">
        <v>11931</v>
      </c>
      <c r="AE191" s="80" t="s">
        <v>11477</v>
      </c>
      <c r="AF191" s="76">
        <v>0</v>
      </c>
      <c r="AG191" s="76">
        <v>18</v>
      </c>
      <c r="AH191" s="76">
        <v>58</v>
      </c>
      <c r="AI191" s="76">
        <v>0</v>
      </c>
      <c r="AJ191" s="76">
        <v>29</v>
      </c>
      <c r="AK191" s="76">
        <v>3</v>
      </c>
      <c r="AL191" s="76" t="b">
        <v>0</v>
      </c>
      <c r="AM191" s="78">
        <v>44980.858518518522</v>
      </c>
      <c r="AN191" s="76"/>
      <c r="AO191" s="76"/>
      <c r="AP191" s="76"/>
      <c r="AQ191" s="76"/>
      <c r="AR191" s="76"/>
      <c r="AS191" s="76"/>
      <c r="AT191" s="76"/>
      <c r="AU191" s="76"/>
      <c r="AV191" s="76"/>
      <c r="AW191" s="76"/>
      <c r="AX191" s="76" t="b">
        <v>0</v>
      </c>
      <c r="AY191" s="76"/>
      <c r="AZ191" s="76"/>
      <c r="BA191" s="76" t="b">
        <v>0</v>
      </c>
      <c r="BB191" s="76" t="b">
        <v>1</v>
      </c>
      <c r="BC191" s="76" t="b">
        <v>1</v>
      </c>
      <c r="BD191" s="76" t="b">
        <v>0</v>
      </c>
      <c r="BE191" s="76" t="b">
        <v>0</v>
      </c>
      <c r="BF191" s="76" t="b">
        <v>0</v>
      </c>
      <c r="BG191" s="76" t="b">
        <v>0</v>
      </c>
      <c r="BH191" s="76"/>
      <c r="BI191" s="76"/>
      <c r="BJ191" s="76" t="s">
        <v>14450</v>
      </c>
      <c r="BK191" s="76" t="b">
        <v>0</v>
      </c>
      <c r="BL191" s="76"/>
      <c r="BM191" s="76" t="s">
        <v>66</v>
      </c>
      <c r="BN191" s="76" t="s">
        <v>14452</v>
      </c>
      <c r="BO191" s="82" t="str">
        <f>HYPERLINK("https://twitter.com/laucierigomez")</f>
        <v>https://twitter.com/laucierigomez</v>
      </c>
      <c r="BP191" s="2"/>
    </row>
    <row r="192" spans="1:68" x14ac:dyDescent="0.25">
      <c r="A192" s="62" t="s">
        <v>377</v>
      </c>
      <c r="B192" s="63"/>
      <c r="C192" s="63"/>
      <c r="D192" s="64"/>
      <c r="E192" s="66"/>
      <c r="F192" s="103" t="str">
        <f>HYPERLINK("https://pbs.twimg.com/profile_images/1608005839071109121/4At01Qs7_normal.jpg")</f>
        <v>https://pbs.twimg.com/profile_images/1608005839071109121/4At01Qs7_normal.jpg</v>
      </c>
      <c r="G192" s="63"/>
      <c r="H192" s="67"/>
      <c r="I192" s="68"/>
      <c r="J192" s="68"/>
      <c r="K192" s="67" t="s">
        <v>14641</v>
      </c>
      <c r="L192" s="71"/>
      <c r="M192" s="72"/>
      <c r="N192" s="72"/>
      <c r="O192" s="73"/>
      <c r="P192" s="74"/>
      <c r="Q192" s="74"/>
      <c r="R192" s="87"/>
      <c r="S192" s="87"/>
      <c r="T192" s="87"/>
      <c r="U192" s="87"/>
      <c r="V192" s="48"/>
      <c r="W192" s="48"/>
      <c r="X192" s="48"/>
      <c r="Y192" s="48"/>
      <c r="Z192" s="47"/>
      <c r="AA192" s="69">
        <v>192</v>
      </c>
      <c r="AB192" s="69"/>
      <c r="AC192" s="70"/>
      <c r="AD192" s="76" t="s">
        <v>11932</v>
      </c>
      <c r="AE192" s="80" t="s">
        <v>11478</v>
      </c>
      <c r="AF192" s="76">
        <v>13</v>
      </c>
      <c r="AG192" s="76">
        <v>89</v>
      </c>
      <c r="AH192" s="76">
        <v>750</v>
      </c>
      <c r="AI192" s="76">
        <v>0</v>
      </c>
      <c r="AJ192" s="76">
        <v>116</v>
      </c>
      <c r="AK192" s="76">
        <v>66</v>
      </c>
      <c r="AL192" s="76" t="b">
        <v>0</v>
      </c>
      <c r="AM192" s="78">
        <v>44898.706018518518</v>
      </c>
      <c r="AN192" s="76" t="s">
        <v>12972</v>
      </c>
      <c r="AO192" s="76" t="s">
        <v>13394</v>
      </c>
      <c r="AP192" s="82" t="str">
        <f>HYPERLINK("https://t.co/y3Y7Kk0zcd")</f>
        <v>https://t.co/y3Y7Kk0zcd</v>
      </c>
      <c r="AQ192" s="82" t="str">
        <f>HYPERLINK("http://www.tetransformamos.com")</f>
        <v>http://www.tetransformamos.com</v>
      </c>
      <c r="AR192" s="76" t="s">
        <v>14019</v>
      </c>
      <c r="AS192" s="76"/>
      <c r="AT192" s="76"/>
      <c r="AU192" s="76"/>
      <c r="AV192" s="76">
        <v>1.6078581526066801E+18</v>
      </c>
      <c r="AW192" s="82" t="str">
        <f>HYPERLINK("https://t.co/y3Y7Kk0zcd")</f>
        <v>https://t.co/y3Y7Kk0zcd</v>
      </c>
      <c r="AX192" s="76" t="b">
        <v>0</v>
      </c>
      <c r="AY192" s="76"/>
      <c r="AZ192" s="76"/>
      <c r="BA192" s="76" t="b">
        <v>1</v>
      </c>
      <c r="BB192" s="76" t="b">
        <v>1</v>
      </c>
      <c r="BC192" s="76" t="b">
        <v>1</v>
      </c>
      <c r="BD192" s="76" t="b">
        <v>0</v>
      </c>
      <c r="BE192" s="76" t="b">
        <v>0</v>
      </c>
      <c r="BF192" s="76" t="b">
        <v>0</v>
      </c>
      <c r="BG192" s="76" t="b">
        <v>0</v>
      </c>
      <c r="BH192" s="82" t="str">
        <f>HYPERLINK("https://pbs.twimg.com/profile_banners/1599085122556395522/1672215235")</f>
        <v>https://pbs.twimg.com/profile_banners/1599085122556395522/1672215235</v>
      </c>
      <c r="BI192" s="76"/>
      <c r="BJ192" s="76" t="s">
        <v>14450</v>
      </c>
      <c r="BK192" s="76" t="b">
        <v>0</v>
      </c>
      <c r="BL192" s="76"/>
      <c r="BM192" s="76" t="s">
        <v>66</v>
      </c>
      <c r="BN192" s="76" t="s">
        <v>14452</v>
      </c>
      <c r="BO192" s="82" t="str">
        <f>HYPERLINK("https://twitter.com/tetransformamos")</f>
        <v>https://twitter.com/tetransformamos</v>
      </c>
      <c r="BP192" s="2"/>
    </row>
    <row r="193" spans="1:68" x14ac:dyDescent="0.25">
      <c r="A193" s="62" t="s">
        <v>378</v>
      </c>
      <c r="B193" s="63"/>
      <c r="C193" s="63"/>
      <c r="D193" s="64"/>
      <c r="E193" s="66"/>
      <c r="F193" s="103" t="str">
        <f>HYPERLINK("https://pbs.twimg.com/profile_images/1703484146486804480/JBQ6XOMu_normal.jpg")</f>
        <v>https://pbs.twimg.com/profile_images/1703484146486804480/JBQ6XOMu_normal.jpg</v>
      </c>
      <c r="G193" s="63"/>
      <c r="H193" s="67"/>
      <c r="I193" s="68"/>
      <c r="J193" s="68"/>
      <c r="K193" s="67" t="s">
        <v>14642</v>
      </c>
      <c r="L193" s="71"/>
      <c r="M193" s="72"/>
      <c r="N193" s="72"/>
      <c r="O193" s="73"/>
      <c r="P193" s="74"/>
      <c r="Q193" s="74"/>
      <c r="R193" s="87"/>
      <c r="S193" s="87"/>
      <c r="T193" s="87"/>
      <c r="U193" s="87"/>
      <c r="V193" s="48"/>
      <c r="W193" s="48"/>
      <c r="X193" s="48"/>
      <c r="Y193" s="48"/>
      <c r="Z193" s="47"/>
      <c r="AA193" s="69">
        <v>193</v>
      </c>
      <c r="AB193" s="69"/>
      <c r="AC193" s="70"/>
      <c r="AD193" s="76" t="s">
        <v>11933</v>
      </c>
      <c r="AE193" s="80" t="s">
        <v>11479</v>
      </c>
      <c r="AF193" s="76">
        <v>0</v>
      </c>
      <c r="AG193" s="76">
        <v>3</v>
      </c>
      <c r="AH193" s="76">
        <v>20</v>
      </c>
      <c r="AI193" s="76">
        <v>0</v>
      </c>
      <c r="AJ193" s="76">
        <v>57</v>
      </c>
      <c r="AK193" s="76">
        <v>6</v>
      </c>
      <c r="AL193" s="76" t="b">
        <v>0</v>
      </c>
      <c r="AM193" s="78">
        <v>44790.90421296296</v>
      </c>
      <c r="AN193" s="76" t="s">
        <v>12973</v>
      </c>
      <c r="AO193" s="76" t="s">
        <v>13395</v>
      </c>
      <c r="AP193" s="82" t="str">
        <f>HYPERLINK("https://t.co/X2aHTq7oQj")</f>
        <v>https://t.co/X2aHTq7oQj</v>
      </c>
      <c r="AQ193" s="82" t="str">
        <f>HYPERLINK("https://treinta.shop/nicols")</f>
        <v>https://treinta.shop/nicols</v>
      </c>
      <c r="AR193" s="76" t="s">
        <v>14020</v>
      </c>
      <c r="AS193" s="76"/>
      <c r="AT193" s="76"/>
      <c r="AU193" s="76"/>
      <c r="AV193" s="76"/>
      <c r="AW193" s="82" t="str">
        <f>HYPERLINK("https://t.co/X2aHTq7oQj")</f>
        <v>https://t.co/X2aHTq7oQj</v>
      </c>
      <c r="AX193" s="76" t="b">
        <v>0</v>
      </c>
      <c r="AY193" s="76"/>
      <c r="AZ193" s="76"/>
      <c r="BA193" s="76" t="b">
        <v>0</v>
      </c>
      <c r="BB193" s="76" t="b">
        <v>1</v>
      </c>
      <c r="BC193" s="76" t="b">
        <v>1</v>
      </c>
      <c r="BD193" s="76" t="b">
        <v>0</v>
      </c>
      <c r="BE193" s="76" t="b">
        <v>0</v>
      </c>
      <c r="BF193" s="76" t="b">
        <v>0</v>
      </c>
      <c r="BG193" s="76" t="b">
        <v>0</v>
      </c>
      <c r="BH193" s="82" t="str">
        <f>HYPERLINK("https://pbs.twimg.com/profile_banners/1560018987219668994/1660779001")</f>
        <v>https://pbs.twimg.com/profile_banners/1560018987219668994/1660779001</v>
      </c>
      <c r="BI193" s="76"/>
      <c r="BJ193" s="76" t="s">
        <v>14450</v>
      </c>
      <c r="BK193" s="76" t="b">
        <v>0</v>
      </c>
      <c r="BL193" s="76"/>
      <c r="BM193" s="76" t="s">
        <v>66</v>
      </c>
      <c r="BN193" s="76" t="s">
        <v>14452</v>
      </c>
      <c r="BO193" s="82" t="str">
        <f>HYPERLINK("https://twitter.com/nicolsproorg")</f>
        <v>https://twitter.com/nicolsproorg</v>
      </c>
      <c r="BP193" s="2"/>
    </row>
    <row r="194" spans="1:68" x14ac:dyDescent="0.25">
      <c r="A194" s="62" t="s">
        <v>379</v>
      </c>
      <c r="B194" s="63"/>
      <c r="C194" s="63"/>
      <c r="D194" s="64"/>
      <c r="E194" s="66"/>
      <c r="F194" s="103" t="str">
        <f>HYPERLINK("https://pbs.twimg.com/profile_images/1646886332948525057/dKllyCL0_normal.jpg")</f>
        <v>https://pbs.twimg.com/profile_images/1646886332948525057/dKllyCL0_normal.jpg</v>
      </c>
      <c r="G194" s="63"/>
      <c r="H194" s="67"/>
      <c r="I194" s="68"/>
      <c r="J194" s="68"/>
      <c r="K194" s="67" t="s">
        <v>14643</v>
      </c>
      <c r="L194" s="71"/>
      <c r="M194" s="72"/>
      <c r="N194" s="72"/>
      <c r="O194" s="73"/>
      <c r="P194" s="74"/>
      <c r="Q194" s="74"/>
      <c r="R194" s="87"/>
      <c r="S194" s="87"/>
      <c r="T194" s="87"/>
      <c r="U194" s="87"/>
      <c r="V194" s="48"/>
      <c r="W194" s="48"/>
      <c r="X194" s="48"/>
      <c r="Y194" s="48"/>
      <c r="Z194" s="47"/>
      <c r="AA194" s="69">
        <v>194</v>
      </c>
      <c r="AB194" s="69"/>
      <c r="AC194" s="70"/>
      <c r="AD194" s="76" t="s">
        <v>11934</v>
      </c>
      <c r="AE194" s="80" t="s">
        <v>12575</v>
      </c>
      <c r="AF194" s="76">
        <v>332</v>
      </c>
      <c r="AG194" s="76">
        <v>2350</v>
      </c>
      <c r="AH194" s="76">
        <v>9889</v>
      </c>
      <c r="AI194" s="76">
        <v>0</v>
      </c>
      <c r="AJ194" s="76">
        <v>12611</v>
      </c>
      <c r="AK194" s="76">
        <v>212</v>
      </c>
      <c r="AL194" s="76" t="b">
        <v>0</v>
      </c>
      <c r="AM194" s="78">
        <v>41378.03837962963</v>
      </c>
      <c r="AN194" s="76" t="s">
        <v>12974</v>
      </c>
      <c r="AO194" s="76" t="s">
        <v>13396</v>
      </c>
      <c r="AP194" s="76"/>
      <c r="AQ194" s="76"/>
      <c r="AR194" s="76"/>
      <c r="AS194" s="76"/>
      <c r="AT194" s="76"/>
      <c r="AU194" s="76"/>
      <c r="AV194" s="76"/>
      <c r="AW194" s="76"/>
      <c r="AX194" s="76" t="b">
        <v>0</v>
      </c>
      <c r="AY194" s="76"/>
      <c r="AZ194" s="76"/>
      <c r="BA194" s="76" t="b">
        <v>0</v>
      </c>
      <c r="BB194" s="76" t="b">
        <v>1</v>
      </c>
      <c r="BC194" s="76" t="b">
        <v>1</v>
      </c>
      <c r="BD194" s="76" t="b">
        <v>0</v>
      </c>
      <c r="BE194" s="76" t="b">
        <v>1</v>
      </c>
      <c r="BF194" s="76" t="b">
        <v>0</v>
      </c>
      <c r="BG194" s="76" t="b">
        <v>0</v>
      </c>
      <c r="BH194" s="82" t="str">
        <f>HYPERLINK("https://pbs.twimg.com/profile_banners/1350628897/1413071986")</f>
        <v>https://pbs.twimg.com/profile_banners/1350628897/1413071986</v>
      </c>
      <c r="BI194" s="76"/>
      <c r="BJ194" s="76" t="s">
        <v>14450</v>
      </c>
      <c r="BK194" s="76" t="b">
        <v>0</v>
      </c>
      <c r="BL194" s="76"/>
      <c r="BM194" s="76" t="s">
        <v>66</v>
      </c>
      <c r="BN194" s="76" t="s">
        <v>14452</v>
      </c>
      <c r="BO194" s="82" t="str">
        <f>HYPERLINK("https://twitter.com/claudia_ardon")</f>
        <v>https://twitter.com/claudia_ardon</v>
      </c>
      <c r="BP194" s="2"/>
    </row>
    <row r="195" spans="1:68" x14ac:dyDescent="0.25">
      <c r="A195" s="62" t="s">
        <v>380</v>
      </c>
      <c r="B195" s="63"/>
      <c r="C195" s="63"/>
      <c r="D195" s="64"/>
      <c r="E195" s="66"/>
      <c r="F195" s="103" t="str">
        <f>HYPERLINK("https://pbs.twimg.com/profile_images/1679926670755545100/11G8f7Fk_normal.jpg")</f>
        <v>https://pbs.twimg.com/profile_images/1679926670755545100/11G8f7Fk_normal.jpg</v>
      </c>
      <c r="G195" s="63"/>
      <c r="H195" s="67"/>
      <c r="I195" s="68"/>
      <c r="J195" s="68"/>
      <c r="K195" s="67" t="s">
        <v>14644</v>
      </c>
      <c r="L195" s="71"/>
      <c r="M195" s="72"/>
      <c r="N195" s="72"/>
      <c r="O195" s="73"/>
      <c r="P195" s="74"/>
      <c r="Q195" s="74"/>
      <c r="R195" s="87"/>
      <c r="S195" s="87"/>
      <c r="T195" s="87"/>
      <c r="U195" s="87"/>
      <c r="V195" s="48"/>
      <c r="W195" s="48"/>
      <c r="X195" s="48"/>
      <c r="Y195" s="48"/>
      <c r="Z195" s="47"/>
      <c r="AA195" s="69">
        <v>195</v>
      </c>
      <c r="AB195" s="69"/>
      <c r="AC195" s="70"/>
      <c r="AD195" s="76" t="s">
        <v>11935</v>
      </c>
      <c r="AE195" s="80" t="s">
        <v>12576</v>
      </c>
      <c r="AF195" s="76">
        <v>223</v>
      </c>
      <c r="AG195" s="76">
        <v>429</v>
      </c>
      <c r="AH195" s="76">
        <v>3194</v>
      </c>
      <c r="AI195" s="76">
        <v>1</v>
      </c>
      <c r="AJ195" s="76">
        <v>16</v>
      </c>
      <c r="AK195" s="76">
        <v>766</v>
      </c>
      <c r="AL195" s="76" t="b">
        <v>0</v>
      </c>
      <c r="AM195" s="78">
        <v>40421.470046296294</v>
      </c>
      <c r="AN195" s="76" t="s">
        <v>7763</v>
      </c>
      <c r="AO195" s="76" t="s">
        <v>13397</v>
      </c>
      <c r="AP195" s="82" t="str">
        <f>HYPERLINK("https://t.co/9oEIRDAZhN")</f>
        <v>https://t.co/9oEIRDAZhN</v>
      </c>
      <c r="AQ195" s="82" t="str">
        <f>HYPERLINK("http://biolinky.co/orobertovilelaoficial")</f>
        <v>http://biolinky.co/orobertovilelaoficial</v>
      </c>
      <c r="AR195" s="76" t="s">
        <v>14021</v>
      </c>
      <c r="AS195" s="76"/>
      <c r="AT195" s="76"/>
      <c r="AU195" s="76"/>
      <c r="AV195" s="76"/>
      <c r="AW195" s="82" t="str">
        <f>HYPERLINK("https://t.co/9oEIRDAZhN")</f>
        <v>https://t.co/9oEIRDAZhN</v>
      </c>
      <c r="AX195" s="76" t="b">
        <v>0</v>
      </c>
      <c r="AY195" s="76"/>
      <c r="AZ195" s="76"/>
      <c r="BA195" s="76" t="b">
        <v>0</v>
      </c>
      <c r="BB195" s="76" t="b">
        <v>1</v>
      </c>
      <c r="BC195" s="76" t="b">
        <v>0</v>
      </c>
      <c r="BD195" s="76" t="b">
        <v>0</v>
      </c>
      <c r="BE195" s="76" t="b">
        <v>1</v>
      </c>
      <c r="BF195" s="76" t="b">
        <v>0</v>
      </c>
      <c r="BG195" s="76" t="b">
        <v>0</v>
      </c>
      <c r="BH195" s="82" t="str">
        <f>HYPERLINK("https://pbs.twimg.com/profile_banners/185164195/1662154967")</f>
        <v>https://pbs.twimg.com/profile_banners/185164195/1662154967</v>
      </c>
      <c r="BI195" s="76"/>
      <c r="BJ195" s="76" t="s">
        <v>14450</v>
      </c>
      <c r="BK195" s="76" t="b">
        <v>0</v>
      </c>
      <c r="BL195" s="76"/>
      <c r="BM195" s="76" t="s">
        <v>66</v>
      </c>
      <c r="BN195" s="76" t="s">
        <v>14452</v>
      </c>
      <c r="BO195" s="82" t="str">
        <f>HYPERLINK("https://twitter.com/roberto_vilela")</f>
        <v>https://twitter.com/roberto_vilela</v>
      </c>
      <c r="BP195" s="2"/>
    </row>
    <row r="196" spans="1:68" x14ac:dyDescent="0.25">
      <c r="A196" s="62" t="s">
        <v>381</v>
      </c>
      <c r="B196" s="63"/>
      <c r="C196" s="63"/>
      <c r="D196" s="64"/>
      <c r="E196" s="66"/>
      <c r="F196" s="103" t="str">
        <f>HYPERLINK("https://pbs.twimg.com/profile_images/1514134259757469696/PHTzfViX_normal.jpg")</f>
        <v>https://pbs.twimg.com/profile_images/1514134259757469696/PHTzfViX_normal.jpg</v>
      </c>
      <c r="G196" s="63"/>
      <c r="H196" s="67"/>
      <c r="I196" s="68"/>
      <c r="J196" s="68"/>
      <c r="K196" s="67" t="s">
        <v>14645</v>
      </c>
      <c r="L196" s="71"/>
      <c r="M196" s="72"/>
      <c r="N196" s="72"/>
      <c r="O196" s="73"/>
      <c r="P196" s="74"/>
      <c r="Q196" s="74"/>
      <c r="R196" s="87"/>
      <c r="S196" s="87"/>
      <c r="T196" s="87"/>
      <c r="U196" s="87"/>
      <c r="V196" s="48"/>
      <c r="W196" s="48"/>
      <c r="X196" s="48"/>
      <c r="Y196" s="48"/>
      <c r="Z196" s="47"/>
      <c r="AA196" s="69">
        <v>196</v>
      </c>
      <c r="AB196" s="69"/>
      <c r="AC196" s="70"/>
      <c r="AD196" s="76" t="s">
        <v>11936</v>
      </c>
      <c r="AE196" s="80" t="s">
        <v>11330</v>
      </c>
      <c r="AF196" s="76">
        <v>6276</v>
      </c>
      <c r="AG196" s="76">
        <v>485</v>
      </c>
      <c r="AH196" s="76">
        <v>4878</v>
      </c>
      <c r="AI196" s="76">
        <v>34</v>
      </c>
      <c r="AJ196" s="76">
        <v>1869</v>
      </c>
      <c r="AK196" s="76">
        <v>1350</v>
      </c>
      <c r="AL196" s="76" t="b">
        <v>0</v>
      </c>
      <c r="AM196" s="78">
        <v>40618.925659722219</v>
      </c>
      <c r="AN196" s="76" t="s">
        <v>12974</v>
      </c>
      <c r="AO196" s="76" t="s">
        <v>13398</v>
      </c>
      <c r="AP196" s="82" t="str">
        <f>HYPERLINK("https://t.co/XX4X1woAC7")</f>
        <v>https://t.co/XX4X1woAC7</v>
      </c>
      <c r="AQ196" s="82" t="str">
        <f>HYPERLINK("http://www.joven360.com")</f>
        <v>http://www.joven360.com</v>
      </c>
      <c r="AR196" s="76" t="s">
        <v>4256</v>
      </c>
      <c r="AS196" s="76"/>
      <c r="AT196" s="76"/>
      <c r="AU196" s="76"/>
      <c r="AV196" s="76"/>
      <c r="AW196" s="82" t="str">
        <f>HYPERLINK("https://t.co/XX4X1woAC7")</f>
        <v>https://t.co/XX4X1woAC7</v>
      </c>
      <c r="AX196" s="76" t="b">
        <v>0</v>
      </c>
      <c r="AY196" s="76"/>
      <c r="AZ196" s="76"/>
      <c r="BA196" s="76" t="b">
        <v>0</v>
      </c>
      <c r="BB196" s="76" t="b">
        <v>1</v>
      </c>
      <c r="BC196" s="76" t="b">
        <v>0</v>
      </c>
      <c r="BD196" s="76" t="b">
        <v>0</v>
      </c>
      <c r="BE196" s="76" t="b">
        <v>1</v>
      </c>
      <c r="BF196" s="76" t="b">
        <v>0</v>
      </c>
      <c r="BG196" s="76" t="b">
        <v>0</v>
      </c>
      <c r="BH196" s="82" t="str">
        <f>HYPERLINK("https://pbs.twimg.com/profile_banners/267405364/1685139502")</f>
        <v>https://pbs.twimg.com/profile_banners/267405364/1685139502</v>
      </c>
      <c r="BI196" s="76"/>
      <c r="BJ196" s="76" t="s">
        <v>14450</v>
      </c>
      <c r="BK196" s="76" t="b">
        <v>0</v>
      </c>
      <c r="BL196" s="76"/>
      <c r="BM196" s="76" t="s">
        <v>66</v>
      </c>
      <c r="BN196" s="76" t="s">
        <v>14452</v>
      </c>
      <c r="BO196" s="82" t="str">
        <f>HYPERLINK("https://twitter.com/joven360")</f>
        <v>https://twitter.com/joven360</v>
      </c>
      <c r="BP196" s="2"/>
    </row>
    <row r="197" spans="1:68" x14ac:dyDescent="0.25">
      <c r="A197" s="62" t="s">
        <v>382</v>
      </c>
      <c r="B197" s="63"/>
      <c r="C197" s="63"/>
      <c r="D197" s="64"/>
      <c r="E197" s="66"/>
      <c r="F197" s="103" t="str">
        <f>HYPERLINK("https://pbs.twimg.com/profile_images/1658524704758456320/9vbMuP2r_normal.jpg")</f>
        <v>https://pbs.twimg.com/profile_images/1658524704758456320/9vbMuP2r_normal.jpg</v>
      </c>
      <c r="G197" s="63"/>
      <c r="H197" s="67"/>
      <c r="I197" s="68"/>
      <c r="J197" s="68"/>
      <c r="K197" s="67" t="s">
        <v>14646</v>
      </c>
      <c r="L197" s="71"/>
      <c r="M197" s="72"/>
      <c r="N197" s="72"/>
      <c r="O197" s="73"/>
      <c r="P197" s="74"/>
      <c r="Q197" s="74"/>
      <c r="R197" s="87"/>
      <c r="S197" s="87"/>
      <c r="T197" s="87"/>
      <c r="U197" s="87"/>
      <c r="V197" s="48"/>
      <c r="W197" s="48"/>
      <c r="X197" s="48"/>
      <c r="Y197" s="48"/>
      <c r="Z197" s="47"/>
      <c r="AA197" s="69">
        <v>197</v>
      </c>
      <c r="AB197" s="69"/>
      <c r="AC197" s="70"/>
      <c r="AD197" s="76" t="s">
        <v>11937</v>
      </c>
      <c r="AE197" s="80" t="s">
        <v>11480</v>
      </c>
      <c r="AF197" s="76">
        <v>10</v>
      </c>
      <c r="AG197" s="76">
        <v>104</v>
      </c>
      <c r="AH197" s="76">
        <v>35</v>
      </c>
      <c r="AI197" s="76">
        <v>0</v>
      </c>
      <c r="AJ197" s="76">
        <v>13</v>
      </c>
      <c r="AK197" s="76">
        <v>24</v>
      </c>
      <c r="AL197" s="76" t="b">
        <v>0</v>
      </c>
      <c r="AM197" s="78">
        <v>44833.807511574072</v>
      </c>
      <c r="AN197" s="76"/>
      <c r="AO197" s="76" t="s">
        <v>13399</v>
      </c>
      <c r="AP197" s="76"/>
      <c r="AQ197" s="76"/>
      <c r="AR197" s="76"/>
      <c r="AS197" s="76"/>
      <c r="AT197" s="76"/>
      <c r="AU197" s="76"/>
      <c r="AV197" s="76"/>
      <c r="AW197" s="76"/>
      <c r="AX197" s="76" t="b">
        <v>0</v>
      </c>
      <c r="AY197" s="76"/>
      <c r="AZ197" s="76"/>
      <c r="BA197" s="76" t="b">
        <v>1</v>
      </c>
      <c r="BB197" s="76" t="b">
        <v>1</v>
      </c>
      <c r="BC197" s="76" t="b">
        <v>1</v>
      </c>
      <c r="BD197" s="76" t="b">
        <v>0</v>
      </c>
      <c r="BE197" s="76" t="b">
        <v>0</v>
      </c>
      <c r="BF197" s="76" t="b">
        <v>0</v>
      </c>
      <c r="BG197" s="76" t="b">
        <v>0</v>
      </c>
      <c r="BH197" s="82" t="str">
        <f>HYPERLINK("https://pbs.twimg.com/profile_banners/1575566716012298248/1684258079")</f>
        <v>https://pbs.twimg.com/profile_banners/1575566716012298248/1684258079</v>
      </c>
      <c r="BI197" s="76"/>
      <c r="BJ197" s="76" t="s">
        <v>14450</v>
      </c>
      <c r="BK197" s="76" t="b">
        <v>0</v>
      </c>
      <c r="BL197" s="76"/>
      <c r="BM197" s="76" t="s">
        <v>66</v>
      </c>
      <c r="BN197" s="76" t="s">
        <v>14452</v>
      </c>
      <c r="BO197" s="82" t="str">
        <f>HYPERLINK("https://twitter.com/jg_humanr")</f>
        <v>https://twitter.com/jg_humanr</v>
      </c>
      <c r="BP197" s="2"/>
    </row>
    <row r="198" spans="1:68" x14ac:dyDescent="0.25">
      <c r="A198" s="62" t="s">
        <v>383</v>
      </c>
      <c r="B198" s="63"/>
      <c r="C198" s="63"/>
      <c r="D198" s="64"/>
      <c r="E198" s="66"/>
      <c r="F198" s="103" t="str">
        <f>HYPERLINK("https://pbs.twimg.com/profile_images/1706740715068276736/6K3jddgN_normal.jpg")</f>
        <v>https://pbs.twimg.com/profile_images/1706740715068276736/6K3jddgN_normal.jpg</v>
      </c>
      <c r="G198" s="63"/>
      <c r="H198" s="67"/>
      <c r="I198" s="68"/>
      <c r="J198" s="68"/>
      <c r="K198" s="67" t="s">
        <v>14647</v>
      </c>
      <c r="L198" s="71"/>
      <c r="M198" s="72"/>
      <c r="N198" s="72"/>
      <c r="O198" s="73"/>
      <c r="P198" s="74"/>
      <c r="Q198" s="74"/>
      <c r="R198" s="87"/>
      <c r="S198" s="87"/>
      <c r="T198" s="87"/>
      <c r="U198" s="87"/>
      <c r="V198" s="48"/>
      <c r="W198" s="48"/>
      <c r="X198" s="48"/>
      <c r="Y198" s="48"/>
      <c r="Z198" s="47"/>
      <c r="AA198" s="69">
        <v>198</v>
      </c>
      <c r="AB198" s="69"/>
      <c r="AC198" s="70"/>
      <c r="AD198" s="76" t="s">
        <v>11938</v>
      </c>
      <c r="AE198" s="80" t="s">
        <v>11481</v>
      </c>
      <c r="AF198" s="76">
        <v>30</v>
      </c>
      <c r="AG198" s="76">
        <v>19</v>
      </c>
      <c r="AH198" s="76">
        <v>727</v>
      </c>
      <c r="AI198" s="76">
        <v>0</v>
      </c>
      <c r="AJ198" s="76">
        <v>6</v>
      </c>
      <c r="AK198" s="76">
        <v>722</v>
      </c>
      <c r="AL198" s="76" t="b">
        <v>0</v>
      </c>
      <c r="AM198" s="78">
        <v>43447.960231481484</v>
      </c>
      <c r="AN198" s="76" t="s">
        <v>12975</v>
      </c>
      <c r="AO198" s="76" t="s">
        <v>13400</v>
      </c>
      <c r="AP198" s="76"/>
      <c r="AQ198" s="76"/>
      <c r="AR198" s="76"/>
      <c r="AS198" s="76"/>
      <c r="AT198" s="76"/>
      <c r="AU198" s="76"/>
      <c r="AV198" s="76"/>
      <c r="AW198" s="76"/>
      <c r="AX198" s="76" t="b">
        <v>0</v>
      </c>
      <c r="AY198" s="76"/>
      <c r="AZ198" s="76"/>
      <c r="BA198" s="76" t="b">
        <v>0</v>
      </c>
      <c r="BB198" s="76" t="b">
        <v>1</v>
      </c>
      <c r="BC198" s="76" t="b">
        <v>1</v>
      </c>
      <c r="BD198" s="76" t="b">
        <v>0</v>
      </c>
      <c r="BE198" s="76" t="b">
        <v>0</v>
      </c>
      <c r="BF198" s="76" t="b">
        <v>0</v>
      </c>
      <c r="BG198" s="76" t="b">
        <v>0</v>
      </c>
      <c r="BH198" s="82" t="str">
        <f>HYPERLINK("https://pbs.twimg.com/profile_banners/1073352549263015938/1687819013")</f>
        <v>https://pbs.twimg.com/profile_banners/1073352549263015938/1687819013</v>
      </c>
      <c r="BI198" s="76"/>
      <c r="BJ198" s="76" t="s">
        <v>14450</v>
      </c>
      <c r="BK198" s="76" t="b">
        <v>0</v>
      </c>
      <c r="BL198" s="76"/>
      <c r="BM198" s="76" t="s">
        <v>66</v>
      </c>
      <c r="BN198" s="76" t="s">
        <v>14452</v>
      </c>
      <c r="BO198" s="82" t="str">
        <f>HYPERLINK("https://twitter.com/clauromorh231")</f>
        <v>https://twitter.com/clauromorh231</v>
      </c>
      <c r="BP198" s="2"/>
    </row>
    <row r="199" spans="1:68" x14ac:dyDescent="0.25">
      <c r="A199" s="62" t="s">
        <v>384</v>
      </c>
      <c r="B199" s="63"/>
      <c r="C199" s="63"/>
      <c r="D199" s="64"/>
      <c r="E199" s="66"/>
      <c r="F199" s="103" t="str">
        <f>HYPERLINK("https://pbs.twimg.com/profile_images/922793637020422144/8URCLpZH_normal.jpg")</f>
        <v>https://pbs.twimg.com/profile_images/922793637020422144/8URCLpZH_normal.jpg</v>
      </c>
      <c r="G199" s="63"/>
      <c r="H199" s="67"/>
      <c r="I199" s="68"/>
      <c r="J199" s="68"/>
      <c r="K199" s="67" t="s">
        <v>14648</v>
      </c>
      <c r="L199" s="71"/>
      <c r="M199" s="72"/>
      <c r="N199" s="72"/>
      <c r="O199" s="73"/>
      <c r="P199" s="74"/>
      <c r="Q199" s="74"/>
      <c r="R199" s="87"/>
      <c r="S199" s="87"/>
      <c r="T199" s="87"/>
      <c r="U199" s="87"/>
      <c r="V199" s="48"/>
      <c r="W199" s="48"/>
      <c r="X199" s="48"/>
      <c r="Y199" s="48"/>
      <c r="Z199" s="47"/>
      <c r="AA199" s="69">
        <v>199</v>
      </c>
      <c r="AB199" s="69"/>
      <c r="AC199" s="70"/>
      <c r="AD199" s="76" t="s">
        <v>11939</v>
      </c>
      <c r="AE199" s="80" t="s">
        <v>11482</v>
      </c>
      <c r="AF199" s="76">
        <v>70</v>
      </c>
      <c r="AG199" s="76">
        <v>71</v>
      </c>
      <c r="AH199" s="76">
        <v>349</v>
      </c>
      <c r="AI199" s="76">
        <v>0</v>
      </c>
      <c r="AJ199" s="76">
        <v>119</v>
      </c>
      <c r="AK199" s="76">
        <v>64</v>
      </c>
      <c r="AL199" s="76" t="b">
        <v>0</v>
      </c>
      <c r="AM199" s="78">
        <v>42617.430381944447</v>
      </c>
      <c r="AN199" s="76" t="s">
        <v>12976</v>
      </c>
      <c r="AO199" s="76" t="s">
        <v>13401</v>
      </c>
      <c r="AP199" s="82" t="str">
        <f>HYPERLINK("https://t.co/OZD9bJrIJz")</f>
        <v>https://t.co/OZD9bJrIJz</v>
      </c>
      <c r="AQ199" s="82" t="str">
        <f>HYPERLINK("https://linktr.ee/oevandroazevedo")</f>
        <v>https://linktr.ee/oevandroazevedo</v>
      </c>
      <c r="AR199" s="76" t="s">
        <v>14022</v>
      </c>
      <c r="AS199" s="76"/>
      <c r="AT199" s="76"/>
      <c r="AU199" s="76"/>
      <c r="AV199" s="76"/>
      <c r="AW199" s="82" t="str">
        <f>HYPERLINK("https://t.co/OZD9bJrIJz")</f>
        <v>https://t.co/OZD9bJrIJz</v>
      </c>
      <c r="AX199" s="76" t="b">
        <v>0</v>
      </c>
      <c r="AY199" s="76"/>
      <c r="AZ199" s="76"/>
      <c r="BA199" s="76" t="b">
        <v>0</v>
      </c>
      <c r="BB199" s="76" t="b">
        <v>1</v>
      </c>
      <c r="BC199" s="76" t="b">
        <v>1</v>
      </c>
      <c r="BD199" s="76" t="b">
        <v>0</v>
      </c>
      <c r="BE199" s="76" t="b">
        <v>1</v>
      </c>
      <c r="BF199" s="76" t="b">
        <v>0</v>
      </c>
      <c r="BG199" s="76" t="b">
        <v>0</v>
      </c>
      <c r="BH199" s="82" t="str">
        <f>HYPERLINK("https://pbs.twimg.com/profile_banners/772378611282247680/1578774341")</f>
        <v>https://pbs.twimg.com/profile_banners/772378611282247680/1578774341</v>
      </c>
      <c r="BI199" s="76"/>
      <c r="BJ199" s="76" t="s">
        <v>14450</v>
      </c>
      <c r="BK199" s="76" t="b">
        <v>0</v>
      </c>
      <c r="BL199" s="76"/>
      <c r="BM199" s="76" t="s">
        <v>66</v>
      </c>
      <c r="BN199" s="76" t="s">
        <v>14452</v>
      </c>
      <c r="BO199" s="82" t="str">
        <f>HYPERLINK("https://twitter.com/oevandroazevedo")</f>
        <v>https://twitter.com/oevandroazevedo</v>
      </c>
      <c r="BP199" s="2"/>
    </row>
    <row r="200" spans="1:68" x14ac:dyDescent="0.25">
      <c r="A200" s="62" t="s">
        <v>385</v>
      </c>
      <c r="B200" s="63"/>
      <c r="C200" s="63"/>
      <c r="D200" s="64"/>
      <c r="E200" s="66"/>
      <c r="F200" s="103" t="str">
        <f>HYPERLINK("https://pbs.twimg.com/profile_images/1547239434638204930/JASI0K99_normal.jpg")</f>
        <v>https://pbs.twimg.com/profile_images/1547239434638204930/JASI0K99_normal.jpg</v>
      </c>
      <c r="G200" s="63"/>
      <c r="H200" s="67"/>
      <c r="I200" s="68"/>
      <c r="J200" s="68"/>
      <c r="K200" s="67" t="s">
        <v>14649</v>
      </c>
      <c r="L200" s="71"/>
      <c r="M200" s="72"/>
      <c r="N200" s="72"/>
      <c r="O200" s="73"/>
      <c r="P200" s="74"/>
      <c r="Q200" s="74"/>
      <c r="R200" s="87"/>
      <c r="S200" s="87"/>
      <c r="T200" s="87"/>
      <c r="U200" s="87"/>
      <c r="V200" s="48"/>
      <c r="W200" s="48"/>
      <c r="X200" s="48"/>
      <c r="Y200" s="48"/>
      <c r="Z200" s="47"/>
      <c r="AA200" s="69">
        <v>200</v>
      </c>
      <c r="AB200" s="69"/>
      <c r="AC200" s="70"/>
      <c r="AD200" s="76" t="s">
        <v>11940</v>
      </c>
      <c r="AE200" s="80" t="s">
        <v>11483</v>
      </c>
      <c r="AF200" s="76">
        <v>5</v>
      </c>
      <c r="AG200" s="76">
        <v>3</v>
      </c>
      <c r="AH200" s="76">
        <v>54</v>
      </c>
      <c r="AI200" s="76">
        <v>0</v>
      </c>
      <c r="AJ200" s="76">
        <v>1</v>
      </c>
      <c r="AK200" s="76">
        <v>32</v>
      </c>
      <c r="AL200" s="76" t="b">
        <v>0</v>
      </c>
      <c r="AM200" s="78">
        <v>44202.547766203701</v>
      </c>
      <c r="AN200" s="76" t="s">
        <v>12977</v>
      </c>
      <c r="AO200" s="76" t="s">
        <v>13402</v>
      </c>
      <c r="AP200" s="82" t="str">
        <f>HYPERLINK("https://t.co/IE5BRxwiOJ")</f>
        <v>https://t.co/IE5BRxwiOJ</v>
      </c>
      <c r="AQ200" s="82" t="str">
        <f>HYPERLINK("https://linktr.ee/rhprojettar")</f>
        <v>https://linktr.ee/rhprojettar</v>
      </c>
      <c r="AR200" s="76" t="s">
        <v>14023</v>
      </c>
      <c r="AS200" s="76"/>
      <c r="AT200" s="76"/>
      <c r="AU200" s="76"/>
      <c r="AV200" s="76"/>
      <c r="AW200" s="82" t="str">
        <f>HYPERLINK("https://t.co/IE5BRxwiOJ")</f>
        <v>https://t.co/IE5BRxwiOJ</v>
      </c>
      <c r="AX200" s="76" t="b">
        <v>0</v>
      </c>
      <c r="AY200" s="76"/>
      <c r="AZ200" s="76"/>
      <c r="BA200" s="76" t="b">
        <v>0</v>
      </c>
      <c r="BB200" s="76" t="b">
        <v>1</v>
      </c>
      <c r="BC200" s="76" t="b">
        <v>1</v>
      </c>
      <c r="BD200" s="76" t="b">
        <v>0</v>
      </c>
      <c r="BE200" s="76" t="b">
        <v>0</v>
      </c>
      <c r="BF200" s="76" t="b">
        <v>0</v>
      </c>
      <c r="BG200" s="76" t="b">
        <v>0</v>
      </c>
      <c r="BH200" s="82" t="str">
        <f>HYPERLINK("https://pbs.twimg.com/profile_banners/1346805867585404928/1657725603")</f>
        <v>https://pbs.twimg.com/profile_banners/1346805867585404928/1657725603</v>
      </c>
      <c r="BI200" s="76"/>
      <c r="BJ200" s="76" t="s">
        <v>14450</v>
      </c>
      <c r="BK200" s="76" t="b">
        <v>0</v>
      </c>
      <c r="BL200" s="76"/>
      <c r="BM200" s="76" t="s">
        <v>66</v>
      </c>
      <c r="BN200" s="76" t="s">
        <v>14452</v>
      </c>
      <c r="BO200" s="82" t="str">
        <f>HYPERLINK("https://twitter.com/rhprojettar")</f>
        <v>https://twitter.com/rhprojettar</v>
      </c>
      <c r="BP200" s="2"/>
    </row>
    <row r="201" spans="1:68" x14ac:dyDescent="0.25">
      <c r="A201" s="62" t="s">
        <v>386</v>
      </c>
      <c r="B201" s="63"/>
      <c r="C201" s="63"/>
      <c r="D201" s="64"/>
      <c r="E201" s="66"/>
      <c r="F201" s="103" t="str">
        <f>HYPERLINK("https://pbs.twimg.com/profile_images/1321788108850008065/1_2WiY-b_normal.jpg")</f>
        <v>https://pbs.twimg.com/profile_images/1321788108850008065/1_2WiY-b_normal.jpg</v>
      </c>
      <c r="G201" s="63"/>
      <c r="H201" s="67"/>
      <c r="I201" s="68"/>
      <c r="J201" s="68"/>
      <c r="K201" s="67" t="s">
        <v>14650</v>
      </c>
      <c r="L201" s="71"/>
      <c r="M201" s="72"/>
      <c r="N201" s="72"/>
      <c r="O201" s="73"/>
      <c r="P201" s="74"/>
      <c r="Q201" s="74"/>
      <c r="R201" s="87"/>
      <c r="S201" s="87"/>
      <c r="T201" s="87"/>
      <c r="U201" s="87"/>
      <c r="V201" s="48"/>
      <c r="W201" s="48"/>
      <c r="X201" s="48"/>
      <c r="Y201" s="48"/>
      <c r="Z201" s="47"/>
      <c r="AA201" s="69">
        <v>201</v>
      </c>
      <c r="AB201" s="69"/>
      <c r="AC201" s="70"/>
      <c r="AD201" s="76" t="s">
        <v>11941</v>
      </c>
      <c r="AE201" s="80" t="s">
        <v>11484</v>
      </c>
      <c r="AF201" s="76">
        <v>1041</v>
      </c>
      <c r="AG201" s="76">
        <v>359</v>
      </c>
      <c r="AH201" s="76">
        <v>5726</v>
      </c>
      <c r="AI201" s="76">
        <v>0</v>
      </c>
      <c r="AJ201" s="76">
        <v>6578</v>
      </c>
      <c r="AK201" s="76">
        <v>5387</v>
      </c>
      <c r="AL201" s="76" t="b">
        <v>0</v>
      </c>
      <c r="AM201" s="78">
        <v>44045.127905092595</v>
      </c>
      <c r="AN201" s="76" t="s">
        <v>7790</v>
      </c>
      <c r="AO201" s="76" t="s">
        <v>13403</v>
      </c>
      <c r="AP201" s="82" t="str">
        <f>HYPERLINK("https://t.co/Sp4Eh0Z6pQ")</f>
        <v>https://t.co/Sp4Eh0Z6pQ</v>
      </c>
      <c r="AQ201" s="82" t="str">
        <f>HYPERLINK("http://www.olemanocomunicaciones.com")</f>
        <v>http://www.olemanocomunicaciones.com</v>
      </c>
      <c r="AR201" s="76" t="s">
        <v>14024</v>
      </c>
      <c r="AS201" s="76"/>
      <c r="AT201" s="76"/>
      <c r="AU201" s="76"/>
      <c r="AV201" s="76"/>
      <c r="AW201" s="82" t="str">
        <f>HYPERLINK("https://t.co/Sp4Eh0Z6pQ")</f>
        <v>https://t.co/Sp4Eh0Z6pQ</v>
      </c>
      <c r="AX201" s="76" t="b">
        <v>0</v>
      </c>
      <c r="AY201" s="76"/>
      <c r="AZ201" s="76"/>
      <c r="BA201" s="76" t="b">
        <v>0</v>
      </c>
      <c r="BB201" s="76" t="b">
        <v>1</v>
      </c>
      <c r="BC201" s="76" t="b">
        <v>1</v>
      </c>
      <c r="BD201" s="76" t="b">
        <v>0</v>
      </c>
      <c r="BE201" s="76" t="b">
        <v>1</v>
      </c>
      <c r="BF201" s="76" t="b">
        <v>0</v>
      </c>
      <c r="BG201" s="76" t="b">
        <v>0</v>
      </c>
      <c r="BH201" s="82" t="str">
        <f>HYPERLINK("https://pbs.twimg.com/profile_banners/1289758756088221697/1605134855")</f>
        <v>https://pbs.twimg.com/profile_banners/1289758756088221697/1605134855</v>
      </c>
      <c r="BI201" s="76"/>
      <c r="BJ201" s="76" t="s">
        <v>14450</v>
      </c>
      <c r="BK201" s="76" t="b">
        <v>0</v>
      </c>
      <c r="BL201" s="76"/>
      <c r="BM201" s="76" t="s">
        <v>66</v>
      </c>
      <c r="BN201" s="76" t="s">
        <v>14452</v>
      </c>
      <c r="BO201" s="82" t="str">
        <f>HYPERLINK("https://twitter.com/olemanocomunica")</f>
        <v>https://twitter.com/olemanocomunica</v>
      </c>
      <c r="BP201" s="2"/>
    </row>
    <row r="202" spans="1:68" x14ac:dyDescent="0.25">
      <c r="A202" s="62" t="s">
        <v>387</v>
      </c>
      <c r="B202" s="63"/>
      <c r="C202" s="63"/>
      <c r="D202" s="64"/>
      <c r="E202" s="66"/>
      <c r="F202" s="103" t="str">
        <f>HYPERLINK("https://pbs.twimg.com/profile_images/1484233220027822089/k_oD8Iy4_normal.jpg")</f>
        <v>https://pbs.twimg.com/profile_images/1484233220027822089/k_oD8Iy4_normal.jpg</v>
      </c>
      <c r="G202" s="63"/>
      <c r="H202" s="67"/>
      <c r="I202" s="68"/>
      <c r="J202" s="68"/>
      <c r="K202" s="67" t="s">
        <v>14651</v>
      </c>
      <c r="L202" s="71"/>
      <c r="M202" s="72"/>
      <c r="N202" s="72"/>
      <c r="O202" s="73"/>
      <c r="P202" s="74"/>
      <c r="Q202" s="74"/>
      <c r="R202" s="87"/>
      <c r="S202" s="87"/>
      <c r="T202" s="87"/>
      <c r="U202" s="87"/>
      <c r="V202" s="48"/>
      <c r="W202" s="48"/>
      <c r="X202" s="48"/>
      <c r="Y202" s="48"/>
      <c r="Z202" s="47"/>
      <c r="AA202" s="69">
        <v>202</v>
      </c>
      <c r="AB202" s="69"/>
      <c r="AC202" s="70"/>
      <c r="AD202" s="76" t="s">
        <v>11942</v>
      </c>
      <c r="AE202" s="80" t="s">
        <v>11485</v>
      </c>
      <c r="AF202" s="76">
        <v>1854</v>
      </c>
      <c r="AG202" s="76">
        <v>2041</v>
      </c>
      <c r="AH202" s="76">
        <v>819</v>
      </c>
      <c r="AI202" s="76">
        <v>0</v>
      </c>
      <c r="AJ202" s="76">
        <v>3219</v>
      </c>
      <c r="AK202" s="76">
        <v>181</v>
      </c>
      <c r="AL202" s="76" t="b">
        <v>0</v>
      </c>
      <c r="AM202" s="78">
        <v>44580.724687499998</v>
      </c>
      <c r="AN202" s="76" t="s">
        <v>12978</v>
      </c>
      <c r="AO202" s="76" t="s">
        <v>13404</v>
      </c>
      <c r="AP202" s="76"/>
      <c r="AQ202" s="76"/>
      <c r="AR202" s="76"/>
      <c r="AS202" s="82" t="str">
        <f>HYPERLINK("https://t.co/2mRBBmDh8I")</f>
        <v>https://t.co/2mRBBmDh8I</v>
      </c>
      <c r="AT202" s="82" t="str">
        <f>HYPERLINK("http://www.gringo.meuspedidos.com.br")</f>
        <v>http://www.gringo.meuspedidos.com.br</v>
      </c>
      <c r="AU202" s="76" t="s">
        <v>14410</v>
      </c>
      <c r="AV202" s="76"/>
      <c r="AW202" s="76"/>
      <c r="AX202" s="76" t="b">
        <v>0</v>
      </c>
      <c r="AY202" s="76"/>
      <c r="AZ202" s="76"/>
      <c r="BA202" s="76" t="b">
        <v>0</v>
      </c>
      <c r="BB202" s="76" t="b">
        <v>1</v>
      </c>
      <c r="BC202" s="76" t="b">
        <v>1</v>
      </c>
      <c r="BD202" s="76" t="b">
        <v>0</v>
      </c>
      <c r="BE202" s="76" t="b">
        <v>0</v>
      </c>
      <c r="BF202" s="76" t="b">
        <v>0</v>
      </c>
      <c r="BG202" s="76" t="b">
        <v>0</v>
      </c>
      <c r="BH202" s="82" t="str">
        <f>HYPERLINK("https://pbs.twimg.com/profile_banners/1483852471130890244/1642703874")</f>
        <v>https://pbs.twimg.com/profile_banners/1483852471130890244/1642703874</v>
      </c>
      <c r="BI202" s="76"/>
      <c r="BJ202" s="76" t="s">
        <v>14450</v>
      </c>
      <c r="BK202" s="76" t="b">
        <v>0</v>
      </c>
      <c r="BL202" s="76"/>
      <c r="BM202" s="76" t="s">
        <v>66</v>
      </c>
      <c r="BN202" s="76" t="s">
        <v>14452</v>
      </c>
      <c r="BO202" s="82" t="str">
        <f>HYPERLINK("https://twitter.com/gringodist")</f>
        <v>https://twitter.com/gringodist</v>
      </c>
      <c r="BP202" s="2"/>
    </row>
    <row r="203" spans="1:68" x14ac:dyDescent="0.25">
      <c r="A203" s="62" t="s">
        <v>388</v>
      </c>
      <c r="B203" s="63"/>
      <c r="C203" s="63"/>
      <c r="D203" s="64"/>
      <c r="E203" s="66"/>
      <c r="F203" s="103" t="str">
        <f>HYPERLINK("https://pbs.twimg.com/profile_images/1612228888016392194/q3HX18Zr_normal.jpg")</f>
        <v>https://pbs.twimg.com/profile_images/1612228888016392194/q3HX18Zr_normal.jpg</v>
      </c>
      <c r="G203" s="63"/>
      <c r="H203" s="67"/>
      <c r="I203" s="68"/>
      <c r="J203" s="68"/>
      <c r="K203" s="67" t="s">
        <v>14652</v>
      </c>
      <c r="L203" s="71"/>
      <c r="M203" s="72"/>
      <c r="N203" s="72"/>
      <c r="O203" s="73"/>
      <c r="P203" s="74"/>
      <c r="Q203" s="74"/>
      <c r="R203" s="87"/>
      <c r="S203" s="87"/>
      <c r="T203" s="87"/>
      <c r="U203" s="87"/>
      <c r="V203" s="48"/>
      <c r="W203" s="48"/>
      <c r="X203" s="48"/>
      <c r="Y203" s="48"/>
      <c r="Z203" s="47"/>
      <c r="AA203" s="69">
        <v>203</v>
      </c>
      <c r="AB203" s="69"/>
      <c r="AC203" s="70"/>
      <c r="AD203" s="76" t="s">
        <v>11943</v>
      </c>
      <c r="AE203" s="80" t="s">
        <v>11486</v>
      </c>
      <c r="AF203" s="76">
        <v>57</v>
      </c>
      <c r="AG203" s="76">
        <v>129</v>
      </c>
      <c r="AH203" s="76">
        <v>235</v>
      </c>
      <c r="AI203" s="76">
        <v>0</v>
      </c>
      <c r="AJ203" s="76">
        <v>187</v>
      </c>
      <c r="AK203" s="76">
        <v>97</v>
      </c>
      <c r="AL203" s="76" t="b">
        <v>0</v>
      </c>
      <c r="AM203" s="78">
        <v>43747.941041666665</v>
      </c>
      <c r="AN203" s="76" t="s">
        <v>12979</v>
      </c>
      <c r="AO203" s="76" t="s">
        <v>13405</v>
      </c>
      <c r="AP203" s="82" t="str">
        <f>HYPERLINK("https://t.co/AUwi5KBogH")</f>
        <v>https://t.co/AUwi5KBogH</v>
      </c>
      <c r="AQ203" s="82" t="str">
        <f>HYPERLINK("http://www.redesvisuales.com")</f>
        <v>http://www.redesvisuales.com</v>
      </c>
      <c r="AR203" s="76" t="s">
        <v>14025</v>
      </c>
      <c r="AS203" s="76"/>
      <c r="AT203" s="76"/>
      <c r="AU203" s="76"/>
      <c r="AV203" s="76">
        <v>1.6973326799543199E+18</v>
      </c>
      <c r="AW203" s="82" t="str">
        <f>HYPERLINK("https://t.co/AUwi5KBogH")</f>
        <v>https://t.co/AUwi5KBogH</v>
      </c>
      <c r="AX203" s="76" t="b">
        <v>0</v>
      </c>
      <c r="AY203" s="76"/>
      <c r="AZ203" s="76"/>
      <c r="BA203" s="76" t="b">
        <v>0</v>
      </c>
      <c r="BB203" s="76" t="b">
        <v>1</v>
      </c>
      <c r="BC203" s="76" t="b">
        <v>1</v>
      </c>
      <c r="BD203" s="76" t="b">
        <v>0</v>
      </c>
      <c r="BE203" s="76" t="b">
        <v>0</v>
      </c>
      <c r="BF203" s="76" t="b">
        <v>0</v>
      </c>
      <c r="BG203" s="76" t="b">
        <v>0</v>
      </c>
      <c r="BH203" s="82" t="str">
        <f>HYPERLINK("https://pbs.twimg.com/profile_banners/1182061911661334535/1686755734")</f>
        <v>https://pbs.twimg.com/profile_banners/1182061911661334535/1686755734</v>
      </c>
      <c r="BI203" s="76"/>
      <c r="BJ203" s="76" t="s">
        <v>14450</v>
      </c>
      <c r="BK203" s="76" t="b">
        <v>0</v>
      </c>
      <c r="BL203" s="76"/>
      <c r="BM203" s="76" t="s">
        <v>66</v>
      </c>
      <c r="BN203" s="76" t="s">
        <v>14452</v>
      </c>
      <c r="BO203" s="82" t="str">
        <f>HYPERLINK("https://twitter.com/redesvisualesve")</f>
        <v>https://twitter.com/redesvisualesve</v>
      </c>
      <c r="BP203" s="2"/>
    </row>
    <row r="204" spans="1:68" x14ac:dyDescent="0.25">
      <c r="A204" s="62" t="s">
        <v>389</v>
      </c>
      <c r="B204" s="63"/>
      <c r="C204" s="63"/>
      <c r="D204" s="64"/>
      <c r="E204" s="66"/>
      <c r="F204" s="103" t="str">
        <f>HYPERLINK("https://pbs.twimg.com/profile_images/1617833056378753024/h67uRI-A_normal.jpg")</f>
        <v>https://pbs.twimg.com/profile_images/1617833056378753024/h67uRI-A_normal.jpg</v>
      </c>
      <c r="G204" s="63"/>
      <c r="H204" s="67"/>
      <c r="I204" s="68"/>
      <c r="J204" s="68"/>
      <c r="K204" s="67" t="s">
        <v>14653</v>
      </c>
      <c r="L204" s="71"/>
      <c r="M204" s="72"/>
      <c r="N204" s="72"/>
      <c r="O204" s="73"/>
      <c r="P204" s="74"/>
      <c r="Q204" s="74"/>
      <c r="R204" s="87"/>
      <c r="S204" s="87"/>
      <c r="T204" s="87"/>
      <c r="U204" s="87"/>
      <c r="V204" s="48"/>
      <c r="W204" s="48"/>
      <c r="X204" s="48"/>
      <c r="Y204" s="48"/>
      <c r="Z204" s="47"/>
      <c r="AA204" s="69">
        <v>204</v>
      </c>
      <c r="AB204" s="69"/>
      <c r="AC204" s="70"/>
      <c r="AD204" s="76" t="s">
        <v>11944</v>
      </c>
      <c r="AE204" s="80" t="s">
        <v>12577</v>
      </c>
      <c r="AF204" s="76">
        <v>27</v>
      </c>
      <c r="AG204" s="76">
        <v>27</v>
      </c>
      <c r="AH204" s="76">
        <v>862</v>
      </c>
      <c r="AI204" s="76">
        <v>0</v>
      </c>
      <c r="AJ204" s="76">
        <v>327</v>
      </c>
      <c r="AK204" s="76">
        <v>128</v>
      </c>
      <c r="AL204" s="76" t="b">
        <v>0</v>
      </c>
      <c r="AM204" s="78">
        <v>41995.948553240742</v>
      </c>
      <c r="AN204" s="76" t="s">
        <v>7791</v>
      </c>
      <c r="AO204" s="76" t="s">
        <v>13406</v>
      </c>
      <c r="AP204" s="82" t="str">
        <f>HYPERLINK("https://t.co/vRNqTZBoyA")</f>
        <v>https://t.co/vRNqTZBoyA</v>
      </c>
      <c r="AQ204" s="82" t="str">
        <f>HYPERLINK("https://www.tilsobataglia.com.br")</f>
        <v>https://www.tilsobataglia.com.br</v>
      </c>
      <c r="AR204" s="76" t="s">
        <v>14026</v>
      </c>
      <c r="AS204" s="76"/>
      <c r="AT204" s="76"/>
      <c r="AU204" s="76"/>
      <c r="AV204" s="76"/>
      <c r="AW204" s="82" t="str">
        <f>HYPERLINK("https://t.co/vRNqTZBoyA")</f>
        <v>https://t.co/vRNqTZBoyA</v>
      </c>
      <c r="AX204" s="76" t="b">
        <v>0</v>
      </c>
      <c r="AY204" s="76"/>
      <c r="AZ204" s="76"/>
      <c r="BA204" s="76" t="b">
        <v>0</v>
      </c>
      <c r="BB204" s="76" t="b">
        <v>1</v>
      </c>
      <c r="BC204" s="76" t="b">
        <v>1</v>
      </c>
      <c r="BD204" s="76" t="b">
        <v>0</v>
      </c>
      <c r="BE204" s="76" t="b">
        <v>1</v>
      </c>
      <c r="BF204" s="76" t="b">
        <v>0</v>
      </c>
      <c r="BG204" s="76" t="b">
        <v>0</v>
      </c>
      <c r="BH204" s="82" t="str">
        <f>HYPERLINK("https://pbs.twimg.com/profile_banners/2937614243/1674660324")</f>
        <v>https://pbs.twimg.com/profile_banners/2937614243/1674660324</v>
      </c>
      <c r="BI204" s="76"/>
      <c r="BJ204" s="76" t="s">
        <v>14450</v>
      </c>
      <c r="BK204" s="76" t="b">
        <v>0</v>
      </c>
      <c r="BL204" s="76"/>
      <c r="BM204" s="76" t="s">
        <v>66</v>
      </c>
      <c r="BN204" s="76" t="s">
        <v>14452</v>
      </c>
      <c r="BO204" s="82" t="str">
        <f>HYPERLINK("https://twitter.com/tilsobataglia")</f>
        <v>https://twitter.com/tilsobataglia</v>
      </c>
      <c r="BP204" s="2"/>
    </row>
    <row r="205" spans="1:68" x14ac:dyDescent="0.25">
      <c r="A205" s="62" t="s">
        <v>390</v>
      </c>
      <c r="B205" s="63"/>
      <c r="C205" s="63"/>
      <c r="D205" s="64"/>
      <c r="E205" s="66"/>
      <c r="F205" s="103" t="str">
        <f>HYPERLINK("https://pbs.twimg.com/profile_images/1321815544807436288/-UHlM7q0_normal.jpg")</f>
        <v>https://pbs.twimg.com/profile_images/1321815544807436288/-UHlM7q0_normal.jpg</v>
      </c>
      <c r="G205" s="63"/>
      <c r="H205" s="67"/>
      <c r="I205" s="68"/>
      <c r="J205" s="68"/>
      <c r="K205" s="67" t="s">
        <v>14654</v>
      </c>
      <c r="L205" s="71"/>
      <c r="M205" s="72"/>
      <c r="N205" s="72"/>
      <c r="O205" s="73"/>
      <c r="P205" s="74"/>
      <c r="Q205" s="74"/>
      <c r="R205" s="87"/>
      <c r="S205" s="87"/>
      <c r="T205" s="87"/>
      <c r="U205" s="87"/>
      <c r="V205" s="48"/>
      <c r="W205" s="48"/>
      <c r="X205" s="48"/>
      <c r="Y205" s="48"/>
      <c r="Z205" s="47"/>
      <c r="AA205" s="69">
        <v>205</v>
      </c>
      <c r="AB205" s="69"/>
      <c r="AC205" s="70"/>
      <c r="AD205" s="76" t="s">
        <v>11945</v>
      </c>
      <c r="AE205" s="80" t="s">
        <v>11487</v>
      </c>
      <c r="AF205" s="76">
        <v>49</v>
      </c>
      <c r="AG205" s="76">
        <v>340</v>
      </c>
      <c r="AH205" s="76">
        <v>321</v>
      </c>
      <c r="AI205" s="76">
        <v>3</v>
      </c>
      <c r="AJ205" s="76">
        <v>124</v>
      </c>
      <c r="AK205" s="76">
        <v>211</v>
      </c>
      <c r="AL205" s="76" t="b">
        <v>0</v>
      </c>
      <c r="AM205" s="78">
        <v>43631.318761574075</v>
      </c>
      <c r="AN205" s="76" t="s">
        <v>12888</v>
      </c>
      <c r="AO205" s="76" t="s">
        <v>13407</v>
      </c>
      <c r="AP205" s="82" t="str">
        <f>HYPERLINK("https://t.co/U1mDlUCZpz")</f>
        <v>https://t.co/U1mDlUCZpz</v>
      </c>
      <c r="AQ205" s="82" t="str">
        <f>HYPERLINK("http://www.wautechnologies.com")</f>
        <v>http://www.wautechnologies.com</v>
      </c>
      <c r="AR205" s="76" t="s">
        <v>14027</v>
      </c>
      <c r="AS205" s="76"/>
      <c r="AT205" s="76"/>
      <c r="AU205" s="76"/>
      <c r="AV205" s="76">
        <v>1.7037350204252101E+18</v>
      </c>
      <c r="AW205" s="82" t="str">
        <f>HYPERLINK("https://t.co/U1mDlUCZpz")</f>
        <v>https://t.co/U1mDlUCZpz</v>
      </c>
      <c r="AX205" s="76" t="b">
        <v>0</v>
      </c>
      <c r="AY205" s="76"/>
      <c r="AZ205" s="76"/>
      <c r="BA205" s="76" t="b">
        <v>0</v>
      </c>
      <c r="BB205" s="76" t="b">
        <v>1</v>
      </c>
      <c r="BC205" s="76" t="b">
        <v>1</v>
      </c>
      <c r="BD205" s="76" t="b">
        <v>0</v>
      </c>
      <c r="BE205" s="76" t="b">
        <v>0</v>
      </c>
      <c r="BF205" s="76" t="b">
        <v>0</v>
      </c>
      <c r="BG205" s="76" t="b">
        <v>0</v>
      </c>
      <c r="BH205" s="82" t="str">
        <f>HYPERLINK("https://pbs.twimg.com/profile_banners/1139799454033338369/1620976695")</f>
        <v>https://pbs.twimg.com/profile_banners/1139799454033338369/1620976695</v>
      </c>
      <c r="BI205" s="76"/>
      <c r="BJ205" s="76" t="s">
        <v>14450</v>
      </c>
      <c r="BK205" s="76" t="b">
        <v>0</v>
      </c>
      <c r="BL205" s="76"/>
      <c r="BM205" s="76" t="s">
        <v>66</v>
      </c>
      <c r="BN205" s="76" t="s">
        <v>14452</v>
      </c>
      <c r="BO205" s="82" t="str">
        <f>HYPERLINK("https://twitter.com/wautechnologies")</f>
        <v>https://twitter.com/wautechnologies</v>
      </c>
      <c r="BP205" s="2"/>
    </row>
    <row r="206" spans="1:68" x14ac:dyDescent="0.25">
      <c r="A206" s="62" t="s">
        <v>391</v>
      </c>
      <c r="B206" s="63"/>
      <c r="C206" s="63"/>
      <c r="D206" s="64"/>
      <c r="E206" s="66"/>
      <c r="F206" s="103" t="str">
        <f>HYPERLINK("https://pbs.twimg.com/profile_images/1268622294248759297/MotusrlR_normal.jpg")</f>
        <v>https://pbs.twimg.com/profile_images/1268622294248759297/MotusrlR_normal.jpg</v>
      </c>
      <c r="G206" s="63"/>
      <c r="H206" s="67"/>
      <c r="I206" s="68"/>
      <c r="J206" s="68"/>
      <c r="K206" s="67" t="s">
        <v>14655</v>
      </c>
      <c r="L206" s="71"/>
      <c r="M206" s="72"/>
      <c r="N206" s="72"/>
      <c r="O206" s="73"/>
      <c r="P206" s="74"/>
      <c r="Q206" s="74"/>
      <c r="R206" s="87"/>
      <c r="S206" s="87"/>
      <c r="T206" s="87"/>
      <c r="U206" s="87"/>
      <c r="V206" s="48"/>
      <c r="W206" s="48"/>
      <c r="X206" s="48"/>
      <c r="Y206" s="48"/>
      <c r="Z206" s="47"/>
      <c r="AA206" s="69">
        <v>206</v>
      </c>
      <c r="AB206" s="69"/>
      <c r="AC206" s="70"/>
      <c r="AD206" s="76" t="s">
        <v>11946</v>
      </c>
      <c r="AE206" s="80" t="s">
        <v>12578</v>
      </c>
      <c r="AF206" s="76">
        <v>135</v>
      </c>
      <c r="AG206" s="76">
        <v>197</v>
      </c>
      <c r="AH206" s="76">
        <v>365</v>
      </c>
      <c r="AI206" s="76">
        <v>0</v>
      </c>
      <c r="AJ206" s="76">
        <v>42</v>
      </c>
      <c r="AK206" s="76">
        <v>41</v>
      </c>
      <c r="AL206" s="76" t="b">
        <v>0</v>
      </c>
      <c r="AM206" s="78">
        <v>41731.594490740739</v>
      </c>
      <c r="AN206" s="76"/>
      <c r="AO206" s="76"/>
      <c r="AP206" s="76"/>
      <c r="AQ206" s="76"/>
      <c r="AR206" s="76"/>
      <c r="AS206" s="76"/>
      <c r="AT206" s="76"/>
      <c r="AU206" s="76"/>
      <c r="AV206" s="76">
        <v>1.25549445565582E+18</v>
      </c>
      <c r="AW206" s="76"/>
      <c r="AX206" s="76" t="b">
        <v>0</v>
      </c>
      <c r="AY206" s="76"/>
      <c r="AZ206" s="76"/>
      <c r="BA206" s="76" t="b">
        <v>0</v>
      </c>
      <c r="BB206" s="76" t="b">
        <v>1</v>
      </c>
      <c r="BC206" s="76" t="b">
        <v>1</v>
      </c>
      <c r="BD206" s="76" t="b">
        <v>0</v>
      </c>
      <c r="BE206" s="76" t="b">
        <v>0</v>
      </c>
      <c r="BF206" s="76" t="b">
        <v>0</v>
      </c>
      <c r="BG206" s="76" t="b">
        <v>0</v>
      </c>
      <c r="BH206" s="76"/>
      <c r="BI206" s="76"/>
      <c r="BJ206" s="76" t="s">
        <v>14450</v>
      </c>
      <c r="BK206" s="76" t="b">
        <v>0</v>
      </c>
      <c r="BL206" s="76"/>
      <c r="BM206" s="76" t="s">
        <v>66</v>
      </c>
      <c r="BN206" s="76" t="s">
        <v>14452</v>
      </c>
      <c r="BO206" s="82" t="str">
        <f>HYPERLINK("https://twitter.com/jgribbell")</f>
        <v>https://twitter.com/jgribbell</v>
      </c>
      <c r="BP206" s="2"/>
    </row>
    <row r="207" spans="1:68" x14ac:dyDescent="0.25">
      <c r="A207" s="62" t="s">
        <v>392</v>
      </c>
      <c r="B207" s="63"/>
      <c r="C207" s="63"/>
      <c r="D207" s="64"/>
      <c r="E207" s="66"/>
      <c r="F207" s="103" t="str">
        <f>HYPERLINK("https://pbs.twimg.com/profile_images/1360346885446377473/P7onv9Uk_normal.jpg")</f>
        <v>https://pbs.twimg.com/profile_images/1360346885446377473/P7onv9Uk_normal.jpg</v>
      </c>
      <c r="G207" s="63"/>
      <c r="H207" s="67"/>
      <c r="I207" s="68"/>
      <c r="J207" s="68"/>
      <c r="K207" s="67" t="s">
        <v>14656</v>
      </c>
      <c r="L207" s="71"/>
      <c r="M207" s="72"/>
      <c r="N207" s="72"/>
      <c r="O207" s="73"/>
      <c r="P207" s="74"/>
      <c r="Q207" s="74"/>
      <c r="R207" s="87"/>
      <c r="S207" s="87"/>
      <c r="T207" s="87"/>
      <c r="U207" s="87"/>
      <c r="V207" s="48"/>
      <c r="W207" s="48"/>
      <c r="X207" s="48"/>
      <c r="Y207" s="48"/>
      <c r="Z207" s="47"/>
      <c r="AA207" s="69">
        <v>207</v>
      </c>
      <c r="AB207" s="69"/>
      <c r="AC207" s="70"/>
      <c r="AD207" s="76" t="s">
        <v>11947</v>
      </c>
      <c r="AE207" s="80" t="s">
        <v>12579</v>
      </c>
      <c r="AF207" s="76">
        <v>482</v>
      </c>
      <c r="AG207" s="76">
        <v>1036</v>
      </c>
      <c r="AH207" s="76">
        <v>1324</v>
      </c>
      <c r="AI207" s="76">
        <v>17</v>
      </c>
      <c r="AJ207" s="76">
        <v>540</v>
      </c>
      <c r="AK207" s="76">
        <v>689</v>
      </c>
      <c r="AL207" s="76" t="b">
        <v>0</v>
      </c>
      <c r="AM207" s="78">
        <v>41358.506388888891</v>
      </c>
      <c r="AN207" s="76" t="s">
        <v>12980</v>
      </c>
      <c r="AO207" s="76"/>
      <c r="AP207" s="82" t="str">
        <f>HYPERLINK("https://t.co/7LbtJ1X46e")</f>
        <v>https://t.co/7LbtJ1X46e</v>
      </c>
      <c r="AQ207" s="82" t="str">
        <f>HYPERLINK("https://bit.ly/CertificatCcial")</f>
        <v>https://bit.ly/CertificatCcial</v>
      </c>
      <c r="AR207" s="76" t="s">
        <v>14028</v>
      </c>
      <c r="AS207" s="76"/>
      <c r="AT207" s="76"/>
      <c r="AU207" s="76"/>
      <c r="AV207" s="76">
        <v>1.57166175052877E+18</v>
      </c>
      <c r="AW207" s="82" t="str">
        <f>HYPERLINK("https://t.co/7LbtJ1X46e")</f>
        <v>https://t.co/7LbtJ1X46e</v>
      </c>
      <c r="AX207" s="76" t="b">
        <v>0</v>
      </c>
      <c r="AY207" s="76"/>
      <c r="AZ207" s="76"/>
      <c r="BA207" s="76" t="b">
        <v>0</v>
      </c>
      <c r="BB207" s="76" t="b">
        <v>1</v>
      </c>
      <c r="BC207" s="76" t="b">
        <v>0</v>
      </c>
      <c r="BD207" s="76" t="b">
        <v>0</v>
      </c>
      <c r="BE207" s="76" t="b">
        <v>0</v>
      </c>
      <c r="BF207" s="76" t="b">
        <v>0</v>
      </c>
      <c r="BG207" s="76" t="b">
        <v>1</v>
      </c>
      <c r="BH207" s="82" t="str">
        <f>HYPERLINK("https://pbs.twimg.com/profile_banners/1299158322/1611024312")</f>
        <v>https://pbs.twimg.com/profile_banners/1299158322/1611024312</v>
      </c>
      <c r="BI207" s="76"/>
      <c r="BJ207" s="76" t="s">
        <v>14450</v>
      </c>
      <c r="BK207" s="76" t="b">
        <v>0</v>
      </c>
      <c r="BL207" s="76"/>
      <c r="BM207" s="76" t="s">
        <v>66</v>
      </c>
      <c r="BN207" s="76" t="s">
        <v>14452</v>
      </c>
      <c r="BO207" s="82" t="str">
        <f>HYPERLINK("https://twitter.com/coachingcialcie")</f>
        <v>https://twitter.com/coachingcialcie</v>
      </c>
      <c r="BP207" s="2"/>
    </row>
    <row r="208" spans="1:68" x14ac:dyDescent="0.25">
      <c r="A208" s="62" t="s">
        <v>393</v>
      </c>
      <c r="B208" s="63"/>
      <c r="C208" s="63"/>
      <c r="D208" s="64"/>
      <c r="E208" s="66"/>
      <c r="F208" s="103" t="str">
        <f>HYPERLINK("https://pbs.twimg.com/profile_images/1486668905716359169/_StpPob5_normal.jpg")</f>
        <v>https://pbs.twimg.com/profile_images/1486668905716359169/_StpPob5_normal.jpg</v>
      </c>
      <c r="G208" s="63"/>
      <c r="H208" s="67"/>
      <c r="I208" s="68"/>
      <c r="J208" s="68"/>
      <c r="K208" s="67" t="s">
        <v>14657</v>
      </c>
      <c r="L208" s="71"/>
      <c r="M208" s="72"/>
      <c r="N208" s="72"/>
      <c r="O208" s="73"/>
      <c r="P208" s="74"/>
      <c r="Q208" s="74"/>
      <c r="R208" s="87"/>
      <c r="S208" s="87"/>
      <c r="T208" s="87"/>
      <c r="U208" s="87"/>
      <c r="V208" s="48"/>
      <c r="W208" s="48"/>
      <c r="X208" s="48"/>
      <c r="Y208" s="48"/>
      <c r="Z208" s="47"/>
      <c r="AA208" s="69">
        <v>208</v>
      </c>
      <c r="AB208" s="69"/>
      <c r="AC208" s="70"/>
      <c r="AD208" s="76" t="s">
        <v>11948</v>
      </c>
      <c r="AE208" s="80" t="s">
        <v>12580</v>
      </c>
      <c r="AF208" s="76">
        <v>11997</v>
      </c>
      <c r="AG208" s="76">
        <v>6</v>
      </c>
      <c r="AH208" s="76">
        <v>5573</v>
      </c>
      <c r="AI208" s="76">
        <v>22</v>
      </c>
      <c r="AJ208" s="76">
        <v>553</v>
      </c>
      <c r="AK208" s="76">
        <v>975</v>
      </c>
      <c r="AL208" s="76" t="b">
        <v>0</v>
      </c>
      <c r="AM208" s="78">
        <v>40744.640335648146</v>
      </c>
      <c r="AN208" s="76"/>
      <c r="AO208" s="76" t="s">
        <v>13408</v>
      </c>
      <c r="AP208" s="82" t="str">
        <f>HYPERLINK("https://t.co/4vTzfMX91y")</f>
        <v>https://t.co/4vTzfMX91y</v>
      </c>
      <c r="AQ208" s="82" t="str">
        <f>HYPERLINK("https://linktr.ee/helio.couto")</f>
        <v>https://linktr.ee/helio.couto</v>
      </c>
      <c r="AR208" s="76" t="s">
        <v>14029</v>
      </c>
      <c r="AS208" s="76"/>
      <c r="AT208" s="76"/>
      <c r="AU208" s="76"/>
      <c r="AV208" s="76">
        <v>1.6146496077822799E+18</v>
      </c>
      <c r="AW208" s="82" t="str">
        <f>HYPERLINK("https://t.co/4vTzfMX91y")</f>
        <v>https://t.co/4vTzfMX91y</v>
      </c>
      <c r="AX208" s="76" t="b">
        <v>0</v>
      </c>
      <c r="AY208" s="76"/>
      <c r="AZ208" s="76"/>
      <c r="BA208" s="76" t="b">
        <v>0</v>
      </c>
      <c r="BB208" s="76" t="b">
        <v>1</v>
      </c>
      <c r="BC208" s="76" t="b">
        <v>0</v>
      </c>
      <c r="BD208" s="76" t="b">
        <v>0</v>
      </c>
      <c r="BE208" s="76" t="b">
        <v>1</v>
      </c>
      <c r="BF208" s="76" t="b">
        <v>0</v>
      </c>
      <c r="BG208" s="76" t="b">
        <v>0</v>
      </c>
      <c r="BH208" s="82" t="str">
        <f>HYPERLINK("https://pbs.twimg.com/profile_banners/339081837/1643284336")</f>
        <v>https://pbs.twimg.com/profile_banners/339081837/1643284336</v>
      </c>
      <c r="BI208" s="76"/>
      <c r="BJ208" s="76" t="s">
        <v>14450</v>
      </c>
      <c r="BK208" s="76" t="b">
        <v>0</v>
      </c>
      <c r="BL208" s="76"/>
      <c r="BM208" s="76" t="s">
        <v>66</v>
      </c>
      <c r="BN208" s="76" t="s">
        <v>14452</v>
      </c>
      <c r="BO208" s="82" t="str">
        <f>HYPERLINK("https://twitter.com/helio_couto")</f>
        <v>https://twitter.com/helio_couto</v>
      </c>
      <c r="BP208" s="2"/>
    </row>
    <row r="209" spans="1:68" x14ac:dyDescent="0.25">
      <c r="A209" s="62" t="s">
        <v>394</v>
      </c>
      <c r="B209" s="63"/>
      <c r="C209" s="63"/>
      <c r="D209" s="64"/>
      <c r="E209" s="66"/>
      <c r="F209" s="103" t="str">
        <f>HYPERLINK("https://pbs.twimg.com/profile_images/1504234722465046535/WS6YGwgI_normal.jpg")</f>
        <v>https://pbs.twimg.com/profile_images/1504234722465046535/WS6YGwgI_normal.jpg</v>
      </c>
      <c r="G209" s="63"/>
      <c r="H209" s="67"/>
      <c r="I209" s="68"/>
      <c r="J209" s="68"/>
      <c r="K209" s="67" t="s">
        <v>14658</v>
      </c>
      <c r="L209" s="71"/>
      <c r="M209" s="72"/>
      <c r="N209" s="72"/>
      <c r="O209" s="73"/>
      <c r="P209" s="74"/>
      <c r="Q209" s="74"/>
      <c r="R209" s="87"/>
      <c r="S209" s="87"/>
      <c r="T209" s="87"/>
      <c r="U209" s="87"/>
      <c r="V209" s="48"/>
      <c r="W209" s="48"/>
      <c r="X209" s="48"/>
      <c r="Y209" s="48"/>
      <c r="Z209" s="47"/>
      <c r="AA209" s="69">
        <v>209</v>
      </c>
      <c r="AB209" s="69"/>
      <c r="AC209" s="70"/>
      <c r="AD209" s="76" t="s">
        <v>11949</v>
      </c>
      <c r="AE209" s="80" t="s">
        <v>12581</v>
      </c>
      <c r="AF209" s="76">
        <v>247355</v>
      </c>
      <c r="AG209" s="76">
        <v>183</v>
      </c>
      <c r="AH209" s="76">
        <v>68668</v>
      </c>
      <c r="AI209" s="76">
        <v>790</v>
      </c>
      <c r="AJ209" s="76">
        <v>74</v>
      </c>
      <c r="AK209" s="76">
        <v>6590</v>
      </c>
      <c r="AL209" s="76" t="b">
        <v>0</v>
      </c>
      <c r="AM209" s="78">
        <v>39990.575925925928</v>
      </c>
      <c r="AN209" s="76" t="s">
        <v>7763</v>
      </c>
      <c r="AO209" s="76" t="s">
        <v>13409</v>
      </c>
      <c r="AP209" s="82" t="str">
        <f>HYPERLINK("http://t.co/4CsRrBpBnE")</f>
        <v>http://t.co/4CsRrBpBnE</v>
      </c>
      <c r="AQ209" s="82" t="str">
        <f>HYPERLINK("http://www.mucao.com.br")</f>
        <v>http://www.mucao.com.br</v>
      </c>
      <c r="AR209" s="76" t="s">
        <v>14030</v>
      </c>
      <c r="AS209" s="76"/>
      <c r="AT209" s="76"/>
      <c r="AU209" s="76"/>
      <c r="AV209" s="76"/>
      <c r="AW209" s="82" t="str">
        <f>HYPERLINK("http://t.co/4CsRrBpBnE")</f>
        <v>http://t.co/4CsRrBpBnE</v>
      </c>
      <c r="AX209" s="76" t="b">
        <v>0</v>
      </c>
      <c r="AY209" s="76"/>
      <c r="AZ209" s="76"/>
      <c r="BA209" s="76" t="b">
        <v>0</v>
      </c>
      <c r="BB209" s="76" t="b">
        <v>1</v>
      </c>
      <c r="BC209" s="76" t="b">
        <v>0</v>
      </c>
      <c r="BD209" s="76" t="b">
        <v>0</v>
      </c>
      <c r="BE209" s="76" t="b">
        <v>1</v>
      </c>
      <c r="BF209" s="76" t="b">
        <v>0</v>
      </c>
      <c r="BG209" s="76" t="b">
        <v>0</v>
      </c>
      <c r="BH209" s="82" t="str">
        <f>HYPERLINK("https://pbs.twimg.com/profile_banners/51064041/1572978217")</f>
        <v>https://pbs.twimg.com/profile_banners/51064041/1572978217</v>
      </c>
      <c r="BI209" s="76"/>
      <c r="BJ209" s="76" t="s">
        <v>14450</v>
      </c>
      <c r="BK209" s="76" t="b">
        <v>0</v>
      </c>
      <c r="BL209" s="76"/>
      <c r="BM209" s="76" t="s">
        <v>66</v>
      </c>
      <c r="BN209" s="76" t="s">
        <v>14452</v>
      </c>
      <c r="BO209" s="82" t="str">
        <f>HYPERLINK("https://twitter.com/mucaoaovivo")</f>
        <v>https://twitter.com/mucaoaovivo</v>
      </c>
      <c r="BP209" s="2"/>
    </row>
    <row r="210" spans="1:68" x14ac:dyDescent="0.25">
      <c r="A210" s="62" t="s">
        <v>901</v>
      </c>
      <c r="B210" s="63"/>
      <c r="C210" s="63"/>
      <c r="D210" s="64"/>
      <c r="E210" s="66"/>
      <c r="F210" s="103" t="str">
        <f>HYPERLINK("https://pbs.twimg.com/profile_images/1706692374124974080/kDjzKgKl_normal.jpg")</f>
        <v>https://pbs.twimg.com/profile_images/1706692374124974080/kDjzKgKl_normal.jpg</v>
      </c>
      <c r="G210" s="63"/>
      <c r="H210" s="67"/>
      <c r="I210" s="68"/>
      <c r="J210" s="68"/>
      <c r="K210" s="67" t="s">
        <v>14659</v>
      </c>
      <c r="L210" s="71"/>
      <c r="M210" s="72"/>
      <c r="N210" s="72"/>
      <c r="O210" s="73"/>
      <c r="P210" s="74"/>
      <c r="Q210" s="74"/>
      <c r="R210" s="87"/>
      <c r="S210" s="87"/>
      <c r="T210" s="87"/>
      <c r="U210" s="87"/>
      <c r="V210" s="48"/>
      <c r="W210" s="48"/>
      <c r="X210" s="48"/>
      <c r="Y210" s="48"/>
      <c r="Z210" s="47"/>
      <c r="AA210" s="69">
        <v>210</v>
      </c>
      <c r="AB210" s="69"/>
      <c r="AC210" s="70"/>
      <c r="AD210" s="76" t="s">
        <v>11950</v>
      </c>
      <c r="AE210" s="80" t="s">
        <v>12582</v>
      </c>
      <c r="AF210" s="76">
        <v>1993</v>
      </c>
      <c r="AG210" s="76">
        <v>2055</v>
      </c>
      <c r="AH210" s="76">
        <v>24887</v>
      </c>
      <c r="AI210" s="76">
        <v>2</v>
      </c>
      <c r="AJ210" s="76">
        <v>25430</v>
      </c>
      <c r="AK210" s="76">
        <v>1050</v>
      </c>
      <c r="AL210" s="76" t="b">
        <v>0</v>
      </c>
      <c r="AM210" s="78">
        <v>42377.95957175926</v>
      </c>
      <c r="AN210" s="76" t="s">
        <v>12981</v>
      </c>
      <c r="AO210" s="76" t="s">
        <v>13410</v>
      </c>
      <c r="AP210" s="76"/>
      <c r="AQ210" s="76"/>
      <c r="AR210" s="76"/>
      <c r="AS210" s="76"/>
      <c r="AT210" s="76"/>
      <c r="AU210" s="76"/>
      <c r="AV210" s="76">
        <v>1.69621251837123E+18</v>
      </c>
      <c r="AW210" s="76"/>
      <c r="AX210" s="76" t="b">
        <v>0</v>
      </c>
      <c r="AY210" s="76"/>
      <c r="AZ210" s="76"/>
      <c r="BA210" s="76" t="b">
        <v>1</v>
      </c>
      <c r="BB210" s="76" t="b">
        <v>0</v>
      </c>
      <c r="BC210" s="76" t="b">
        <v>1</v>
      </c>
      <c r="BD210" s="76" t="b">
        <v>0</v>
      </c>
      <c r="BE210" s="76" t="b">
        <v>1</v>
      </c>
      <c r="BF210" s="76" t="b">
        <v>0</v>
      </c>
      <c r="BG210" s="76" t="b">
        <v>0</v>
      </c>
      <c r="BH210" s="82" t="str">
        <f>HYPERLINK("https://pbs.twimg.com/profile_banners/4748714775/1690920455")</f>
        <v>https://pbs.twimg.com/profile_banners/4748714775/1690920455</v>
      </c>
      <c r="BI210" s="76"/>
      <c r="BJ210" s="76" t="s">
        <v>14450</v>
      </c>
      <c r="BK210" s="76" t="b">
        <v>0</v>
      </c>
      <c r="BL210" s="76"/>
      <c r="BM210" s="76" t="s">
        <v>65</v>
      </c>
      <c r="BN210" s="76" t="s">
        <v>14452</v>
      </c>
      <c r="BO210" s="82" t="str">
        <f>HYPERLINK("https://twitter.com/gaalocego")</f>
        <v>https://twitter.com/gaalocego</v>
      </c>
      <c r="BP210" s="2"/>
    </row>
    <row r="211" spans="1:68" x14ac:dyDescent="0.25">
      <c r="A211" s="62" t="s">
        <v>902</v>
      </c>
      <c r="B211" s="63"/>
      <c r="C211" s="63"/>
      <c r="D211" s="64"/>
      <c r="E211" s="66"/>
      <c r="F211" s="103" t="str">
        <f>HYPERLINK("https://pbs.twimg.com/profile_images/1551932419200122893/rs_BmDaJ_normal.jpg")</f>
        <v>https://pbs.twimg.com/profile_images/1551932419200122893/rs_BmDaJ_normal.jpg</v>
      </c>
      <c r="G211" s="63"/>
      <c r="H211" s="67"/>
      <c r="I211" s="68"/>
      <c r="J211" s="68"/>
      <c r="K211" s="67" t="s">
        <v>14660</v>
      </c>
      <c r="L211" s="71"/>
      <c r="M211" s="72"/>
      <c r="N211" s="72"/>
      <c r="O211" s="73"/>
      <c r="P211" s="74"/>
      <c r="Q211" s="74"/>
      <c r="R211" s="87"/>
      <c r="S211" s="87"/>
      <c r="T211" s="87"/>
      <c r="U211" s="87"/>
      <c r="V211" s="48"/>
      <c r="W211" s="48"/>
      <c r="X211" s="48"/>
      <c r="Y211" s="48"/>
      <c r="Z211" s="47"/>
      <c r="AA211" s="69">
        <v>211</v>
      </c>
      <c r="AB211" s="69"/>
      <c r="AC211" s="70"/>
      <c r="AD211" s="76" t="s">
        <v>11951</v>
      </c>
      <c r="AE211" s="80" t="s">
        <v>12583</v>
      </c>
      <c r="AF211" s="76">
        <v>10</v>
      </c>
      <c r="AG211" s="76">
        <v>7</v>
      </c>
      <c r="AH211" s="76">
        <v>5</v>
      </c>
      <c r="AI211" s="76">
        <v>0</v>
      </c>
      <c r="AJ211" s="76">
        <v>1</v>
      </c>
      <c r="AK211" s="76">
        <v>0</v>
      </c>
      <c r="AL211" s="76" t="b">
        <v>0</v>
      </c>
      <c r="AM211" s="78">
        <v>44768.584826388891</v>
      </c>
      <c r="AN211" s="76"/>
      <c r="AO211" s="76" t="s">
        <v>13411</v>
      </c>
      <c r="AP211" s="76"/>
      <c r="AQ211" s="76"/>
      <c r="AR211" s="76"/>
      <c r="AS211" s="76"/>
      <c r="AT211" s="76"/>
      <c r="AU211" s="76"/>
      <c r="AV211" s="76"/>
      <c r="AW211" s="76"/>
      <c r="AX211" s="76" t="b">
        <v>0</v>
      </c>
      <c r="AY211" s="76"/>
      <c r="AZ211" s="76"/>
      <c r="BA211" s="76" t="b">
        <v>0</v>
      </c>
      <c r="BB211" s="76" t="b">
        <v>1</v>
      </c>
      <c r="BC211" s="76" t="b">
        <v>1</v>
      </c>
      <c r="BD211" s="76" t="b">
        <v>0</v>
      </c>
      <c r="BE211" s="76" t="b">
        <v>0</v>
      </c>
      <c r="BF211" s="76" t="b">
        <v>0</v>
      </c>
      <c r="BG211" s="76" t="b">
        <v>0</v>
      </c>
      <c r="BH211" s="76"/>
      <c r="BI211" s="76"/>
      <c r="BJ211" s="76" t="s">
        <v>14450</v>
      </c>
      <c r="BK211" s="76" t="b">
        <v>0</v>
      </c>
      <c r="BL211" s="76"/>
      <c r="BM211" s="76" t="s">
        <v>65</v>
      </c>
      <c r="BN211" s="76" t="s">
        <v>14452</v>
      </c>
      <c r="BO211" s="82" t="str">
        <f>HYPERLINK("https://twitter.com/galocegoof")</f>
        <v>https://twitter.com/galocegoof</v>
      </c>
      <c r="BP211" s="2"/>
    </row>
    <row r="212" spans="1:68" x14ac:dyDescent="0.25">
      <c r="A212" s="62" t="s">
        <v>395</v>
      </c>
      <c r="B212" s="63"/>
      <c r="C212" s="63"/>
      <c r="D212" s="64"/>
      <c r="E212" s="66"/>
      <c r="F212" s="103" t="str">
        <f>HYPERLINK("https://pbs.twimg.com/profile_images/1587887724278726658/wboDFkNC_normal.jpg")</f>
        <v>https://pbs.twimg.com/profile_images/1587887724278726658/wboDFkNC_normal.jpg</v>
      </c>
      <c r="G212" s="63"/>
      <c r="H212" s="67"/>
      <c r="I212" s="68"/>
      <c r="J212" s="68"/>
      <c r="K212" s="67" t="s">
        <v>14661</v>
      </c>
      <c r="L212" s="71"/>
      <c r="M212" s="72"/>
      <c r="N212" s="72"/>
      <c r="O212" s="73"/>
      <c r="P212" s="74"/>
      <c r="Q212" s="74"/>
      <c r="R212" s="87"/>
      <c r="S212" s="87"/>
      <c r="T212" s="87"/>
      <c r="U212" s="87"/>
      <c r="V212" s="48"/>
      <c r="W212" s="48"/>
      <c r="X212" s="48"/>
      <c r="Y212" s="48"/>
      <c r="Z212" s="47"/>
      <c r="AA212" s="69">
        <v>212</v>
      </c>
      <c r="AB212" s="69"/>
      <c r="AC212" s="70"/>
      <c r="AD212" s="76" t="s">
        <v>11952</v>
      </c>
      <c r="AE212" s="80" t="s">
        <v>11488</v>
      </c>
      <c r="AF212" s="76">
        <v>190</v>
      </c>
      <c r="AG212" s="76">
        <v>473</v>
      </c>
      <c r="AH212" s="76">
        <v>11358</v>
      </c>
      <c r="AI212" s="76">
        <v>5</v>
      </c>
      <c r="AJ212" s="76">
        <v>7</v>
      </c>
      <c r="AK212" s="76">
        <v>4271</v>
      </c>
      <c r="AL212" s="76" t="b">
        <v>0</v>
      </c>
      <c r="AM212" s="78">
        <v>42655.01462962963</v>
      </c>
      <c r="AN212" s="76" t="s">
        <v>12982</v>
      </c>
      <c r="AO212" s="80" t="s">
        <v>13412</v>
      </c>
      <c r="AP212" s="82" t="str">
        <f>HYPERLINK("https://t.co/jNFXNTiUG3")</f>
        <v>https://t.co/jNFXNTiUG3</v>
      </c>
      <c r="AQ212" s="82" t="str">
        <f>HYPERLINK("http://www.decalogonews.com")</f>
        <v>http://www.decalogonews.com</v>
      </c>
      <c r="AR212" s="76" t="s">
        <v>4258</v>
      </c>
      <c r="AS212" s="76"/>
      <c r="AT212" s="76"/>
      <c r="AU212" s="76"/>
      <c r="AV212" s="76">
        <v>1.6329321824895501E+18</v>
      </c>
      <c r="AW212" s="82" t="str">
        <f>HYPERLINK("https://t.co/jNFXNTiUG3")</f>
        <v>https://t.co/jNFXNTiUG3</v>
      </c>
      <c r="AX212" s="76" t="b">
        <v>0</v>
      </c>
      <c r="AY212" s="76"/>
      <c r="AZ212" s="76"/>
      <c r="BA212" s="76" t="b">
        <v>1</v>
      </c>
      <c r="BB212" s="76" t="b">
        <v>1</v>
      </c>
      <c r="BC212" s="76" t="b">
        <v>0</v>
      </c>
      <c r="BD212" s="76" t="b">
        <v>0</v>
      </c>
      <c r="BE212" s="76" t="b">
        <v>0</v>
      </c>
      <c r="BF212" s="76" t="b">
        <v>0</v>
      </c>
      <c r="BG212" s="76" t="b">
        <v>0</v>
      </c>
      <c r="BH212" s="82" t="str">
        <f>HYPERLINK("https://pbs.twimg.com/profile_banners/785998684601233408/1667417631")</f>
        <v>https://pbs.twimg.com/profile_banners/785998684601233408/1667417631</v>
      </c>
      <c r="BI212" s="76"/>
      <c r="BJ212" s="76" t="s">
        <v>14450</v>
      </c>
      <c r="BK212" s="76" t="b">
        <v>0</v>
      </c>
      <c r="BL212" s="76"/>
      <c r="BM212" s="76" t="s">
        <v>66</v>
      </c>
      <c r="BN212" s="76" t="s">
        <v>14452</v>
      </c>
      <c r="BO212" s="82" t="str">
        <f>HYPERLINK("https://twitter.com/decalogooficial")</f>
        <v>https://twitter.com/decalogooficial</v>
      </c>
      <c r="BP212" s="2"/>
    </row>
    <row r="213" spans="1:68" x14ac:dyDescent="0.25">
      <c r="A213" s="62" t="s">
        <v>396</v>
      </c>
      <c r="B213" s="63"/>
      <c r="C213" s="63"/>
      <c r="D213" s="64"/>
      <c r="E213" s="66"/>
      <c r="F213" s="103" t="str">
        <f>HYPERLINK("https://pbs.twimg.com/profile_images/1575486709654921223/NOyJE9j3_normal.jpg")</f>
        <v>https://pbs.twimg.com/profile_images/1575486709654921223/NOyJE9j3_normal.jpg</v>
      </c>
      <c r="G213" s="63"/>
      <c r="H213" s="67"/>
      <c r="I213" s="68"/>
      <c r="J213" s="68"/>
      <c r="K213" s="67" t="s">
        <v>14662</v>
      </c>
      <c r="L213" s="71"/>
      <c r="M213" s="72"/>
      <c r="N213" s="72"/>
      <c r="O213" s="73"/>
      <c r="P213" s="74"/>
      <c r="Q213" s="74"/>
      <c r="R213" s="87"/>
      <c r="S213" s="87"/>
      <c r="T213" s="87"/>
      <c r="U213" s="87"/>
      <c r="V213" s="48"/>
      <c r="W213" s="48"/>
      <c r="X213" s="48"/>
      <c r="Y213" s="48"/>
      <c r="Z213" s="47"/>
      <c r="AA213" s="69">
        <v>213</v>
      </c>
      <c r="AB213" s="69"/>
      <c r="AC213" s="70"/>
      <c r="AD213" s="76" t="s">
        <v>11953</v>
      </c>
      <c r="AE213" s="80" t="s">
        <v>12584</v>
      </c>
      <c r="AF213" s="76">
        <v>710</v>
      </c>
      <c r="AG213" s="76">
        <v>446</v>
      </c>
      <c r="AH213" s="76">
        <v>2807</v>
      </c>
      <c r="AI213" s="76">
        <v>2</v>
      </c>
      <c r="AJ213" s="76">
        <v>33140</v>
      </c>
      <c r="AK213" s="76">
        <v>256</v>
      </c>
      <c r="AL213" s="76" t="b">
        <v>0</v>
      </c>
      <c r="AM213" s="78">
        <v>41242.487534722219</v>
      </c>
      <c r="AN213" s="76" t="s">
        <v>7763</v>
      </c>
      <c r="AO213" s="76" t="s">
        <v>13413</v>
      </c>
      <c r="AP213" s="76"/>
      <c r="AQ213" s="76"/>
      <c r="AR213" s="76"/>
      <c r="AS213" s="76"/>
      <c r="AT213" s="76"/>
      <c r="AU213" s="76"/>
      <c r="AV213" s="76"/>
      <c r="AW213" s="76"/>
      <c r="AX213" s="76" t="b">
        <v>0</v>
      </c>
      <c r="AY213" s="76"/>
      <c r="AZ213" s="76"/>
      <c r="BA213" s="76" t="b">
        <v>1</v>
      </c>
      <c r="BB213" s="76" t="b">
        <v>1</v>
      </c>
      <c r="BC213" s="76" t="b">
        <v>0</v>
      </c>
      <c r="BD213" s="76" t="b">
        <v>0</v>
      </c>
      <c r="BE213" s="76" t="b">
        <v>0</v>
      </c>
      <c r="BF213" s="76" t="b">
        <v>0</v>
      </c>
      <c r="BG213" s="76" t="b">
        <v>0</v>
      </c>
      <c r="BH213" s="82" t="str">
        <f>HYPERLINK("https://pbs.twimg.com/profile_banners/978176210/1675254774")</f>
        <v>https://pbs.twimg.com/profile_banners/978176210/1675254774</v>
      </c>
      <c r="BI213" s="76"/>
      <c r="BJ213" s="76" t="s">
        <v>14450</v>
      </c>
      <c r="BK213" s="76" t="b">
        <v>0</v>
      </c>
      <c r="BL213" s="76"/>
      <c r="BM213" s="76" t="s">
        <v>66</v>
      </c>
      <c r="BN213" s="76" t="s">
        <v>14452</v>
      </c>
      <c r="BO213" s="82" t="str">
        <f>HYPERLINK("https://twitter.com/porto_ba")</f>
        <v>https://twitter.com/porto_ba</v>
      </c>
      <c r="BP213" s="2"/>
    </row>
    <row r="214" spans="1:68" x14ac:dyDescent="0.25">
      <c r="A214" s="62" t="s">
        <v>397</v>
      </c>
      <c r="B214" s="63"/>
      <c r="C214" s="63"/>
      <c r="D214" s="64"/>
      <c r="E214" s="66"/>
      <c r="F214" s="103" t="str">
        <f>HYPERLINK("https://pbs.twimg.com/profile_images/1683946535619272705/7vtLd0an_normal.jpg")</f>
        <v>https://pbs.twimg.com/profile_images/1683946535619272705/7vtLd0an_normal.jpg</v>
      </c>
      <c r="G214" s="63"/>
      <c r="H214" s="67"/>
      <c r="I214" s="68"/>
      <c r="J214" s="68"/>
      <c r="K214" s="67" t="s">
        <v>14663</v>
      </c>
      <c r="L214" s="71"/>
      <c r="M214" s="72"/>
      <c r="N214" s="72"/>
      <c r="O214" s="73"/>
      <c r="P214" s="74"/>
      <c r="Q214" s="74"/>
      <c r="R214" s="87"/>
      <c r="S214" s="87"/>
      <c r="T214" s="87"/>
      <c r="U214" s="87"/>
      <c r="V214" s="48"/>
      <c r="W214" s="48"/>
      <c r="X214" s="48"/>
      <c r="Y214" s="48"/>
      <c r="Z214" s="47"/>
      <c r="AA214" s="69">
        <v>214</v>
      </c>
      <c r="AB214" s="69"/>
      <c r="AC214" s="70"/>
      <c r="AD214" s="76" t="s">
        <v>11954</v>
      </c>
      <c r="AE214" s="80" t="s">
        <v>12585</v>
      </c>
      <c r="AF214" s="76">
        <v>109</v>
      </c>
      <c r="AG214" s="76">
        <v>89</v>
      </c>
      <c r="AH214" s="76">
        <v>16589</v>
      </c>
      <c r="AI214" s="76">
        <v>0</v>
      </c>
      <c r="AJ214" s="76">
        <v>48555</v>
      </c>
      <c r="AK214" s="76">
        <v>195</v>
      </c>
      <c r="AL214" s="76" t="b">
        <v>0</v>
      </c>
      <c r="AM214" s="78">
        <v>40744.763993055552</v>
      </c>
      <c r="AN214" s="76"/>
      <c r="AO214" s="76" t="s">
        <v>13414</v>
      </c>
      <c r="AP214" s="76"/>
      <c r="AQ214" s="76"/>
      <c r="AR214" s="76"/>
      <c r="AS214" s="76"/>
      <c r="AT214" s="76"/>
      <c r="AU214" s="76"/>
      <c r="AV214" s="76">
        <v>1.6650587408930801E+18</v>
      </c>
      <c r="AW214" s="76"/>
      <c r="AX214" s="76" t="b">
        <v>0</v>
      </c>
      <c r="AY214" s="76"/>
      <c r="AZ214" s="76"/>
      <c r="BA214" s="76" t="b">
        <v>1</v>
      </c>
      <c r="BB214" s="76" t="b">
        <v>0</v>
      </c>
      <c r="BC214" s="76" t="b">
        <v>1</v>
      </c>
      <c r="BD214" s="76" t="b">
        <v>0</v>
      </c>
      <c r="BE214" s="76" t="b">
        <v>0</v>
      </c>
      <c r="BF214" s="76" t="b">
        <v>0</v>
      </c>
      <c r="BG214" s="76" t="b">
        <v>0</v>
      </c>
      <c r="BH214" s="82" t="str">
        <f>HYPERLINK("https://pbs.twimg.com/profile_banners/339183332/1695213370")</f>
        <v>https://pbs.twimg.com/profile_banners/339183332/1695213370</v>
      </c>
      <c r="BI214" s="76"/>
      <c r="BJ214" s="76" t="s">
        <v>14450</v>
      </c>
      <c r="BK214" s="76" t="b">
        <v>0</v>
      </c>
      <c r="BL214" s="76"/>
      <c r="BM214" s="76" t="s">
        <v>66</v>
      </c>
      <c r="BN214" s="76" t="s">
        <v>14452</v>
      </c>
      <c r="BO214" s="82" t="str">
        <f>HYPERLINK("https://twitter.com/nerimarmendes")</f>
        <v>https://twitter.com/nerimarmendes</v>
      </c>
      <c r="BP214" s="2"/>
    </row>
    <row r="215" spans="1:68" x14ac:dyDescent="0.25">
      <c r="A215" s="62" t="s">
        <v>398</v>
      </c>
      <c r="B215" s="63"/>
      <c r="C215" s="63"/>
      <c r="D215" s="64"/>
      <c r="E215" s="66"/>
      <c r="F215" s="103" t="str">
        <f>HYPERLINK("https://pbs.twimg.com/profile_images/1472149886422421507/grdoEZwl_normal.jpg")</f>
        <v>https://pbs.twimg.com/profile_images/1472149886422421507/grdoEZwl_normal.jpg</v>
      </c>
      <c r="G215" s="63"/>
      <c r="H215" s="67"/>
      <c r="I215" s="68"/>
      <c r="J215" s="68"/>
      <c r="K215" s="67" t="s">
        <v>14664</v>
      </c>
      <c r="L215" s="71"/>
      <c r="M215" s="72"/>
      <c r="N215" s="72"/>
      <c r="O215" s="73"/>
      <c r="P215" s="74"/>
      <c r="Q215" s="74"/>
      <c r="R215" s="87"/>
      <c r="S215" s="87"/>
      <c r="T215" s="87"/>
      <c r="U215" s="87"/>
      <c r="V215" s="48"/>
      <c r="W215" s="48"/>
      <c r="X215" s="48"/>
      <c r="Y215" s="48"/>
      <c r="Z215" s="47"/>
      <c r="AA215" s="69">
        <v>215</v>
      </c>
      <c r="AB215" s="69"/>
      <c r="AC215" s="70"/>
      <c r="AD215" s="76" t="s">
        <v>11955</v>
      </c>
      <c r="AE215" s="80" t="s">
        <v>11489</v>
      </c>
      <c r="AF215" s="76">
        <v>14</v>
      </c>
      <c r="AG215" s="76">
        <v>4</v>
      </c>
      <c r="AH215" s="76">
        <v>167</v>
      </c>
      <c r="AI215" s="76">
        <v>0</v>
      </c>
      <c r="AJ215" s="76">
        <v>4</v>
      </c>
      <c r="AK215" s="76">
        <v>109</v>
      </c>
      <c r="AL215" s="76" t="b">
        <v>0</v>
      </c>
      <c r="AM215" s="78">
        <v>44256.686307870368</v>
      </c>
      <c r="AN215" s="76" t="s">
        <v>12983</v>
      </c>
      <c r="AO215" s="76" t="s">
        <v>13415</v>
      </c>
      <c r="AP215" s="82" t="str">
        <f>HYPERLINK("https://t.co/i9Aq7poCw5")</f>
        <v>https://t.co/i9Aq7poCw5</v>
      </c>
      <c r="AQ215" s="82" t="str">
        <f>HYPERLINK("http://www.amilcabogados.com")</f>
        <v>http://www.amilcabogados.com</v>
      </c>
      <c r="AR215" s="76" t="s">
        <v>4259</v>
      </c>
      <c r="AS215" s="76"/>
      <c r="AT215" s="76"/>
      <c r="AU215" s="76"/>
      <c r="AV215" s="76"/>
      <c r="AW215" s="82" t="str">
        <f>HYPERLINK("https://t.co/i9Aq7poCw5")</f>
        <v>https://t.co/i9Aq7poCw5</v>
      </c>
      <c r="AX215" s="76" t="b">
        <v>0</v>
      </c>
      <c r="AY215" s="76"/>
      <c r="AZ215" s="76"/>
      <c r="BA215" s="76" t="b">
        <v>0</v>
      </c>
      <c r="BB215" s="76" t="b">
        <v>1</v>
      </c>
      <c r="BC215" s="76" t="b">
        <v>1</v>
      </c>
      <c r="BD215" s="76" t="b">
        <v>0</v>
      </c>
      <c r="BE215" s="76" t="b">
        <v>0</v>
      </c>
      <c r="BF215" s="76" t="b">
        <v>0</v>
      </c>
      <c r="BG215" s="76" t="b">
        <v>0</v>
      </c>
      <c r="BH215" s="82" t="str">
        <f>HYPERLINK("https://pbs.twimg.com/profile_banners/1366425030540873732/1614616423")</f>
        <v>https://pbs.twimg.com/profile_banners/1366425030540873732/1614616423</v>
      </c>
      <c r="BI215" s="76"/>
      <c r="BJ215" s="76" t="s">
        <v>14450</v>
      </c>
      <c r="BK215" s="76" t="b">
        <v>0</v>
      </c>
      <c r="BL215" s="76"/>
      <c r="BM215" s="76" t="s">
        <v>66</v>
      </c>
      <c r="BN215" s="76" t="s">
        <v>14452</v>
      </c>
      <c r="BO215" s="82" t="str">
        <f>HYPERLINK("https://twitter.com/amilcabogados")</f>
        <v>https://twitter.com/amilcabogados</v>
      </c>
      <c r="BP215" s="2"/>
    </row>
    <row r="216" spans="1:68" x14ac:dyDescent="0.25">
      <c r="A216" s="62" t="s">
        <v>399</v>
      </c>
      <c r="B216" s="63"/>
      <c r="C216" s="63"/>
      <c r="D216" s="64"/>
      <c r="E216" s="66"/>
      <c r="F216" s="103" t="str">
        <f>HYPERLINK("https://pbs.twimg.com/profile_images/1695817917546246144/nUprCX0A_normal.jpg")</f>
        <v>https://pbs.twimg.com/profile_images/1695817917546246144/nUprCX0A_normal.jpg</v>
      </c>
      <c r="G216" s="63"/>
      <c r="H216" s="67"/>
      <c r="I216" s="68"/>
      <c r="J216" s="68"/>
      <c r="K216" s="67" t="s">
        <v>14665</v>
      </c>
      <c r="L216" s="71"/>
      <c r="M216" s="72"/>
      <c r="N216" s="72"/>
      <c r="O216" s="73"/>
      <c r="P216" s="74"/>
      <c r="Q216" s="74"/>
      <c r="R216" s="87"/>
      <c r="S216" s="87"/>
      <c r="T216" s="87"/>
      <c r="U216" s="87"/>
      <c r="V216" s="48"/>
      <c r="W216" s="48"/>
      <c r="X216" s="48"/>
      <c r="Y216" s="48"/>
      <c r="Z216" s="47"/>
      <c r="AA216" s="69">
        <v>216</v>
      </c>
      <c r="AB216" s="69"/>
      <c r="AC216" s="70"/>
      <c r="AD216" s="76" t="s">
        <v>11956</v>
      </c>
      <c r="AE216" s="80" t="s">
        <v>11490</v>
      </c>
      <c r="AF216" s="76">
        <v>1</v>
      </c>
      <c r="AG216" s="76">
        <v>170</v>
      </c>
      <c r="AH216" s="76">
        <v>28</v>
      </c>
      <c r="AI216" s="76">
        <v>0</v>
      </c>
      <c r="AJ216" s="76">
        <v>22</v>
      </c>
      <c r="AK216" s="76">
        <v>27</v>
      </c>
      <c r="AL216" s="76" t="b">
        <v>0</v>
      </c>
      <c r="AM216" s="78">
        <v>44866.036412037036</v>
      </c>
      <c r="AN216" s="76" t="s">
        <v>12984</v>
      </c>
      <c r="AO216" s="76" t="s">
        <v>13416</v>
      </c>
      <c r="AP216" s="76"/>
      <c r="AQ216" s="76"/>
      <c r="AR216" s="76"/>
      <c r="AS216" s="76"/>
      <c r="AT216" s="76"/>
      <c r="AU216" s="76"/>
      <c r="AV216" s="76"/>
      <c r="AW216" s="76"/>
      <c r="AX216" s="76" t="b">
        <v>0</v>
      </c>
      <c r="AY216" s="76"/>
      <c r="AZ216" s="76"/>
      <c r="BA216" s="76" t="b">
        <v>0</v>
      </c>
      <c r="BB216" s="76" t="b">
        <v>1</v>
      </c>
      <c r="BC216" s="76" t="b">
        <v>1</v>
      </c>
      <c r="BD216" s="76" t="b">
        <v>0</v>
      </c>
      <c r="BE216" s="76" t="b">
        <v>0</v>
      </c>
      <c r="BF216" s="76" t="b">
        <v>0</v>
      </c>
      <c r="BG216" s="76" t="b">
        <v>0</v>
      </c>
      <c r="BH216" s="82" t="str">
        <f>HYPERLINK("https://pbs.twimg.com/profile_banners/1587246019619733506/1693149662")</f>
        <v>https://pbs.twimg.com/profile_banners/1587246019619733506/1693149662</v>
      </c>
      <c r="BI216" s="76"/>
      <c r="BJ216" s="76" t="s">
        <v>14450</v>
      </c>
      <c r="BK216" s="76" t="b">
        <v>0</v>
      </c>
      <c r="BL216" s="76"/>
      <c r="BM216" s="76" t="s">
        <v>66</v>
      </c>
      <c r="BN216" s="76" t="s">
        <v>14452</v>
      </c>
      <c r="BO216" s="82" t="str">
        <f>HYPERLINK("https://twitter.com/alexkid18734651")</f>
        <v>https://twitter.com/alexkid18734651</v>
      </c>
      <c r="BP216" s="2"/>
    </row>
    <row r="217" spans="1:68" x14ac:dyDescent="0.25">
      <c r="A217" s="62" t="s">
        <v>400</v>
      </c>
      <c r="B217" s="63"/>
      <c r="C217" s="63"/>
      <c r="D217" s="64"/>
      <c r="E217" s="66"/>
      <c r="F217" s="103" t="str">
        <f>HYPERLINK("https://pbs.twimg.com/profile_images/1641808016273035267/OwHmiN9Y_normal.jpg")</f>
        <v>https://pbs.twimg.com/profile_images/1641808016273035267/OwHmiN9Y_normal.jpg</v>
      </c>
      <c r="G217" s="63"/>
      <c r="H217" s="67"/>
      <c r="I217" s="68"/>
      <c r="J217" s="68"/>
      <c r="K217" s="67" t="s">
        <v>14666</v>
      </c>
      <c r="L217" s="71"/>
      <c r="M217" s="72"/>
      <c r="N217" s="72"/>
      <c r="O217" s="73"/>
      <c r="P217" s="74"/>
      <c r="Q217" s="74"/>
      <c r="R217" s="87"/>
      <c r="S217" s="87"/>
      <c r="T217" s="87"/>
      <c r="U217" s="87"/>
      <c r="V217" s="48"/>
      <c r="W217" s="48"/>
      <c r="X217" s="48"/>
      <c r="Y217" s="48"/>
      <c r="Z217" s="47"/>
      <c r="AA217" s="69">
        <v>217</v>
      </c>
      <c r="AB217" s="69"/>
      <c r="AC217" s="70"/>
      <c r="AD217" s="76" t="s">
        <v>11957</v>
      </c>
      <c r="AE217" s="80" t="s">
        <v>12586</v>
      </c>
      <c r="AF217" s="76">
        <v>76</v>
      </c>
      <c r="AG217" s="76">
        <v>79</v>
      </c>
      <c r="AH217" s="76">
        <v>1196</v>
      </c>
      <c r="AI217" s="76">
        <v>1</v>
      </c>
      <c r="AJ217" s="76">
        <v>45</v>
      </c>
      <c r="AK217" s="76">
        <v>405</v>
      </c>
      <c r="AL217" s="76" t="b">
        <v>0</v>
      </c>
      <c r="AM217" s="78">
        <v>42131.674942129626</v>
      </c>
      <c r="AN217" s="76"/>
      <c r="AO217" s="76"/>
      <c r="AP217" s="76"/>
      <c r="AQ217" s="76"/>
      <c r="AR217" s="76"/>
      <c r="AS217" s="76"/>
      <c r="AT217" s="76"/>
      <c r="AU217" s="76"/>
      <c r="AV217" s="76">
        <v>1.5785372725000499E+18</v>
      </c>
      <c r="AW217" s="76"/>
      <c r="AX217" s="76" t="b">
        <v>0</v>
      </c>
      <c r="AY217" s="76"/>
      <c r="AZ217" s="76"/>
      <c r="BA217" s="76" t="b">
        <v>0</v>
      </c>
      <c r="BB217" s="76" t="b">
        <v>1</v>
      </c>
      <c r="BC217" s="76" t="b">
        <v>1</v>
      </c>
      <c r="BD217" s="76" t="b">
        <v>0</v>
      </c>
      <c r="BE217" s="76" t="b">
        <v>0</v>
      </c>
      <c r="BF217" s="76" t="b">
        <v>0</v>
      </c>
      <c r="BG217" s="76" t="b">
        <v>0</v>
      </c>
      <c r="BH217" s="76"/>
      <c r="BI217" s="76"/>
      <c r="BJ217" s="76" t="s">
        <v>14450</v>
      </c>
      <c r="BK217" s="76" t="b">
        <v>0</v>
      </c>
      <c r="BL217" s="76"/>
      <c r="BM217" s="76" t="s">
        <v>66</v>
      </c>
      <c r="BN217" s="76" t="s">
        <v>14452</v>
      </c>
      <c r="BO217" s="82" t="str">
        <f>HYPERLINK("https://twitter.com/mondinthalles")</f>
        <v>https://twitter.com/mondinthalles</v>
      </c>
      <c r="BP217" s="2"/>
    </row>
    <row r="218" spans="1:68" x14ac:dyDescent="0.25">
      <c r="A218" s="62" t="s">
        <v>401</v>
      </c>
      <c r="B218" s="63"/>
      <c r="C218" s="63"/>
      <c r="D218" s="64"/>
      <c r="E218" s="66"/>
      <c r="F218" s="103" t="str">
        <f>HYPERLINK("https://pbs.twimg.com/profile_images/1364256980005707779/vXKvmNsM_normal.jpg")</f>
        <v>https://pbs.twimg.com/profile_images/1364256980005707779/vXKvmNsM_normal.jpg</v>
      </c>
      <c r="G218" s="63"/>
      <c r="H218" s="67"/>
      <c r="I218" s="68"/>
      <c r="J218" s="68"/>
      <c r="K218" s="67" t="s">
        <v>14667</v>
      </c>
      <c r="L218" s="71"/>
      <c r="M218" s="72"/>
      <c r="N218" s="72"/>
      <c r="O218" s="73"/>
      <c r="P218" s="74"/>
      <c r="Q218" s="74"/>
      <c r="R218" s="87"/>
      <c r="S218" s="87"/>
      <c r="T218" s="87"/>
      <c r="U218" s="87"/>
      <c r="V218" s="48"/>
      <c r="W218" s="48"/>
      <c r="X218" s="48"/>
      <c r="Y218" s="48"/>
      <c r="Z218" s="47"/>
      <c r="AA218" s="69">
        <v>218</v>
      </c>
      <c r="AB218" s="69"/>
      <c r="AC218" s="70"/>
      <c r="AD218" s="76" t="s">
        <v>11958</v>
      </c>
      <c r="AE218" s="80" t="s">
        <v>11491</v>
      </c>
      <c r="AF218" s="76">
        <v>0</v>
      </c>
      <c r="AG218" s="76">
        <v>42</v>
      </c>
      <c r="AH218" s="76">
        <v>148</v>
      </c>
      <c r="AI218" s="76">
        <v>0</v>
      </c>
      <c r="AJ218" s="76">
        <v>18</v>
      </c>
      <c r="AK218" s="76">
        <v>124</v>
      </c>
      <c r="AL218" s="76" t="b">
        <v>0</v>
      </c>
      <c r="AM218" s="78">
        <v>44209.109513888892</v>
      </c>
      <c r="AN218" s="76"/>
      <c r="AO218" s="76" t="s">
        <v>13417</v>
      </c>
      <c r="AP218" s="76"/>
      <c r="AQ218" s="76"/>
      <c r="AR218" s="76"/>
      <c r="AS218" s="76"/>
      <c r="AT218" s="76"/>
      <c r="AU218" s="76"/>
      <c r="AV218" s="76"/>
      <c r="AW218" s="76"/>
      <c r="AX218" s="76" t="b">
        <v>0</v>
      </c>
      <c r="AY218" s="76"/>
      <c r="AZ218" s="76"/>
      <c r="BA218" s="76" t="b">
        <v>0</v>
      </c>
      <c r="BB218" s="76" t="b">
        <v>1</v>
      </c>
      <c r="BC218" s="76" t="b">
        <v>1</v>
      </c>
      <c r="BD218" s="76" t="b">
        <v>0</v>
      </c>
      <c r="BE218" s="76" t="b">
        <v>0</v>
      </c>
      <c r="BF218" s="76" t="b">
        <v>0</v>
      </c>
      <c r="BG218" s="76" t="b">
        <v>0</v>
      </c>
      <c r="BH218" s="76"/>
      <c r="BI218" s="76"/>
      <c r="BJ218" s="76" t="s">
        <v>14450</v>
      </c>
      <c r="BK218" s="76" t="b">
        <v>0</v>
      </c>
      <c r="BL218" s="76"/>
      <c r="BM218" s="76" t="s">
        <v>66</v>
      </c>
      <c r="BN218" s="76" t="s">
        <v>14452</v>
      </c>
      <c r="BO218" s="82" t="str">
        <f>HYPERLINK("https://twitter.com/alucianio")</f>
        <v>https://twitter.com/alucianio</v>
      </c>
      <c r="BP218" s="2"/>
    </row>
    <row r="219" spans="1:68" x14ac:dyDescent="0.25">
      <c r="A219" s="62" t="s">
        <v>402</v>
      </c>
      <c r="B219" s="63"/>
      <c r="C219" s="63"/>
      <c r="D219" s="64"/>
      <c r="E219" s="66"/>
      <c r="F219" s="103" t="str">
        <f>HYPERLINK("https://pbs.twimg.com/profile_images/1577779909153398790/tpfQFRLO_normal.jpg")</f>
        <v>https://pbs.twimg.com/profile_images/1577779909153398790/tpfQFRLO_normal.jpg</v>
      </c>
      <c r="G219" s="63"/>
      <c r="H219" s="67"/>
      <c r="I219" s="68"/>
      <c r="J219" s="68"/>
      <c r="K219" s="67" t="s">
        <v>14668</v>
      </c>
      <c r="L219" s="71"/>
      <c r="M219" s="72"/>
      <c r="N219" s="72"/>
      <c r="O219" s="73"/>
      <c r="P219" s="74"/>
      <c r="Q219" s="74"/>
      <c r="R219" s="87"/>
      <c r="S219" s="87"/>
      <c r="T219" s="87"/>
      <c r="U219" s="87"/>
      <c r="V219" s="48"/>
      <c r="W219" s="48"/>
      <c r="X219" s="48"/>
      <c r="Y219" s="48"/>
      <c r="Z219" s="47"/>
      <c r="AA219" s="69">
        <v>219</v>
      </c>
      <c r="AB219" s="69"/>
      <c r="AC219" s="70"/>
      <c r="AD219" s="76" t="s">
        <v>11959</v>
      </c>
      <c r="AE219" s="80" t="s">
        <v>11331</v>
      </c>
      <c r="AF219" s="76">
        <v>31</v>
      </c>
      <c r="AG219" s="76">
        <v>84</v>
      </c>
      <c r="AH219" s="76">
        <v>193</v>
      </c>
      <c r="AI219" s="76">
        <v>0</v>
      </c>
      <c r="AJ219" s="76">
        <v>240</v>
      </c>
      <c r="AK219" s="76">
        <v>13</v>
      </c>
      <c r="AL219" s="76" t="b">
        <v>0</v>
      </c>
      <c r="AM219" s="78">
        <v>40716.852870370371</v>
      </c>
      <c r="AN219" s="76" t="s">
        <v>7790</v>
      </c>
      <c r="AO219" s="76" t="s">
        <v>13418</v>
      </c>
      <c r="AP219" s="76"/>
      <c r="AQ219" s="76"/>
      <c r="AR219" s="76"/>
      <c r="AS219" s="76"/>
      <c r="AT219" s="76"/>
      <c r="AU219" s="76"/>
      <c r="AV219" s="76"/>
      <c r="AW219" s="76"/>
      <c r="AX219" s="76" t="b">
        <v>0</v>
      </c>
      <c r="AY219" s="76"/>
      <c r="AZ219" s="76"/>
      <c r="BA219" s="76" t="b">
        <v>0</v>
      </c>
      <c r="BB219" s="76" t="b">
        <v>1</v>
      </c>
      <c r="BC219" s="76" t="b">
        <v>1</v>
      </c>
      <c r="BD219" s="76" t="b">
        <v>0</v>
      </c>
      <c r="BE219" s="76" t="b">
        <v>0</v>
      </c>
      <c r="BF219" s="76" t="b">
        <v>0</v>
      </c>
      <c r="BG219" s="76" t="b">
        <v>0</v>
      </c>
      <c r="BH219" s="82" t="str">
        <f>HYPERLINK("https://pbs.twimg.com/profile_banners/322214736/1665007101")</f>
        <v>https://pbs.twimg.com/profile_banners/322214736/1665007101</v>
      </c>
      <c r="BI219" s="76"/>
      <c r="BJ219" s="76" t="s">
        <v>14450</v>
      </c>
      <c r="BK219" s="76" t="b">
        <v>0</v>
      </c>
      <c r="BL219" s="76"/>
      <c r="BM219" s="76" t="s">
        <v>66</v>
      </c>
      <c r="BN219" s="76" t="s">
        <v>14452</v>
      </c>
      <c r="BO219" s="82" t="str">
        <f>HYPERLINK("https://twitter.com/luzpcg")</f>
        <v>https://twitter.com/luzpcg</v>
      </c>
      <c r="BP219" s="2"/>
    </row>
    <row r="220" spans="1:68" x14ac:dyDescent="0.25">
      <c r="A220" s="62" t="s">
        <v>403</v>
      </c>
      <c r="B220" s="63"/>
      <c r="C220" s="63"/>
      <c r="D220" s="64"/>
      <c r="E220" s="66"/>
      <c r="F220" s="103" t="str">
        <f>HYPERLINK("https://pbs.twimg.com/profile_images/1635128062403567617/QnEHA3XF_normal.jpg")</f>
        <v>https://pbs.twimg.com/profile_images/1635128062403567617/QnEHA3XF_normal.jpg</v>
      </c>
      <c r="G220" s="63"/>
      <c r="H220" s="67"/>
      <c r="I220" s="68"/>
      <c r="J220" s="68"/>
      <c r="K220" s="67" t="s">
        <v>14669</v>
      </c>
      <c r="L220" s="71"/>
      <c r="M220" s="72"/>
      <c r="N220" s="72"/>
      <c r="O220" s="73"/>
      <c r="P220" s="74"/>
      <c r="Q220" s="74"/>
      <c r="R220" s="87"/>
      <c r="S220" s="87"/>
      <c r="T220" s="87"/>
      <c r="U220" s="87"/>
      <c r="V220" s="48"/>
      <c r="W220" s="48"/>
      <c r="X220" s="48"/>
      <c r="Y220" s="48"/>
      <c r="Z220" s="47"/>
      <c r="AA220" s="69">
        <v>220</v>
      </c>
      <c r="AB220" s="69"/>
      <c r="AC220" s="70"/>
      <c r="AD220" s="76" t="s">
        <v>11960</v>
      </c>
      <c r="AE220" s="80" t="s">
        <v>11492</v>
      </c>
      <c r="AF220" s="76">
        <v>5</v>
      </c>
      <c r="AG220" s="76">
        <v>13</v>
      </c>
      <c r="AH220" s="76">
        <v>76</v>
      </c>
      <c r="AI220" s="76">
        <v>0</v>
      </c>
      <c r="AJ220" s="76">
        <v>1</v>
      </c>
      <c r="AK220" s="76">
        <v>2</v>
      </c>
      <c r="AL220" s="76" t="b">
        <v>0</v>
      </c>
      <c r="AM220" s="78">
        <v>44785.870648148149</v>
      </c>
      <c r="AN220" s="76" t="s">
        <v>7792</v>
      </c>
      <c r="AO220" s="76" t="s">
        <v>13419</v>
      </c>
      <c r="AP220" s="76"/>
      <c r="AQ220" s="76"/>
      <c r="AR220" s="76"/>
      <c r="AS220" s="76"/>
      <c r="AT220" s="76"/>
      <c r="AU220" s="76"/>
      <c r="AV220" s="76"/>
      <c r="AW220" s="76"/>
      <c r="AX220" s="76" t="b">
        <v>0</v>
      </c>
      <c r="AY220" s="76"/>
      <c r="AZ220" s="76"/>
      <c r="BA220" s="76" t="b">
        <v>0</v>
      </c>
      <c r="BB220" s="76" t="b">
        <v>1</v>
      </c>
      <c r="BC220" s="76" t="b">
        <v>1</v>
      </c>
      <c r="BD220" s="76" t="b">
        <v>0</v>
      </c>
      <c r="BE220" s="76" t="b">
        <v>1</v>
      </c>
      <c r="BF220" s="76" t="b">
        <v>0</v>
      </c>
      <c r="BG220" s="76" t="b">
        <v>0</v>
      </c>
      <c r="BH220" s="82" t="str">
        <f>HYPERLINK("https://pbs.twimg.com/profile_banners/1558194988743286802/1678679895")</f>
        <v>https://pbs.twimg.com/profile_banners/1558194988743286802/1678679895</v>
      </c>
      <c r="BI220" s="76"/>
      <c r="BJ220" s="76" t="s">
        <v>14450</v>
      </c>
      <c r="BK220" s="76" t="b">
        <v>0</v>
      </c>
      <c r="BL220" s="76"/>
      <c r="BM220" s="76" t="s">
        <v>66</v>
      </c>
      <c r="BN220" s="76" t="s">
        <v>14452</v>
      </c>
      <c r="BO220" s="82" t="str">
        <f>HYPERLINK("https://twitter.com/soyfelixrojasm")</f>
        <v>https://twitter.com/soyfelixrojasm</v>
      </c>
      <c r="BP220" s="2"/>
    </row>
    <row r="221" spans="1:68" x14ac:dyDescent="0.25">
      <c r="A221" s="62" t="s">
        <v>404</v>
      </c>
      <c r="B221" s="63"/>
      <c r="C221" s="63"/>
      <c r="D221" s="64"/>
      <c r="E221" s="66"/>
      <c r="F221" s="103" t="str">
        <f>HYPERLINK("https://pbs.twimg.com/profile_images/771685727/LogoDisenioTwitter_normal.jpg")</f>
        <v>https://pbs.twimg.com/profile_images/771685727/LogoDisenioTwitter_normal.jpg</v>
      </c>
      <c r="G221" s="63"/>
      <c r="H221" s="67"/>
      <c r="I221" s="68"/>
      <c r="J221" s="68"/>
      <c r="K221" s="67" t="s">
        <v>14670</v>
      </c>
      <c r="L221" s="71"/>
      <c r="M221" s="72"/>
      <c r="N221" s="72"/>
      <c r="O221" s="73"/>
      <c r="P221" s="74"/>
      <c r="Q221" s="74"/>
      <c r="R221" s="87"/>
      <c r="S221" s="87"/>
      <c r="T221" s="87"/>
      <c r="U221" s="87"/>
      <c r="V221" s="48"/>
      <c r="W221" s="48"/>
      <c r="X221" s="48"/>
      <c r="Y221" s="48"/>
      <c r="Z221" s="47"/>
      <c r="AA221" s="69">
        <v>221</v>
      </c>
      <c r="AB221" s="69"/>
      <c r="AC221" s="70"/>
      <c r="AD221" s="76" t="s">
        <v>11961</v>
      </c>
      <c r="AE221" s="80" t="s">
        <v>12587</v>
      </c>
      <c r="AF221" s="76">
        <v>55</v>
      </c>
      <c r="AG221" s="76">
        <v>73</v>
      </c>
      <c r="AH221" s="76">
        <v>1182</v>
      </c>
      <c r="AI221" s="76">
        <v>0</v>
      </c>
      <c r="AJ221" s="76">
        <v>43</v>
      </c>
      <c r="AK221" s="76">
        <v>437</v>
      </c>
      <c r="AL221" s="76" t="b">
        <v>0</v>
      </c>
      <c r="AM221" s="78">
        <v>40260.63689814815</v>
      </c>
      <c r="AN221" s="76" t="s">
        <v>12872</v>
      </c>
      <c r="AO221" s="76" t="s">
        <v>13420</v>
      </c>
      <c r="AP221" s="82" t="str">
        <f>HYPERLINK("https://t.co/9PG948SUQr")</f>
        <v>https://t.co/9PG948SUQr</v>
      </c>
      <c r="AQ221" s="82" t="str">
        <f>HYPERLINK("http://www.disenio.com.mx")</f>
        <v>http://www.disenio.com.mx</v>
      </c>
      <c r="AR221" s="76" t="s">
        <v>14031</v>
      </c>
      <c r="AS221" s="76"/>
      <c r="AT221" s="76"/>
      <c r="AU221" s="76"/>
      <c r="AV221" s="76">
        <v>1.5958535493925901E+18</v>
      </c>
      <c r="AW221" s="82" t="str">
        <f>HYPERLINK("https://t.co/9PG948SUQr")</f>
        <v>https://t.co/9PG948SUQr</v>
      </c>
      <c r="AX221" s="76" t="b">
        <v>0</v>
      </c>
      <c r="AY221" s="76"/>
      <c r="AZ221" s="76"/>
      <c r="BA221" s="76" t="b">
        <v>0</v>
      </c>
      <c r="BB221" s="76" t="b">
        <v>1</v>
      </c>
      <c r="BC221" s="76" t="b">
        <v>1</v>
      </c>
      <c r="BD221" s="76" t="b">
        <v>0</v>
      </c>
      <c r="BE221" s="76" t="b">
        <v>0</v>
      </c>
      <c r="BF221" s="76" t="b">
        <v>0</v>
      </c>
      <c r="BG221" s="76" t="b">
        <v>0</v>
      </c>
      <c r="BH221" s="76"/>
      <c r="BI221" s="76"/>
      <c r="BJ221" s="76" t="s">
        <v>14450</v>
      </c>
      <c r="BK221" s="76" t="b">
        <v>0</v>
      </c>
      <c r="BL221" s="76"/>
      <c r="BM221" s="76" t="s">
        <v>66</v>
      </c>
      <c r="BN221" s="76" t="s">
        <v>14452</v>
      </c>
      <c r="BO221" s="82" t="str">
        <f>HYPERLINK("https://twitter.com/diseniocapacita")</f>
        <v>https://twitter.com/diseniocapacita</v>
      </c>
      <c r="BP221" s="2"/>
    </row>
    <row r="222" spans="1:68" x14ac:dyDescent="0.25">
      <c r="A222" s="62" t="s">
        <v>405</v>
      </c>
      <c r="B222" s="63"/>
      <c r="C222" s="63"/>
      <c r="D222" s="64"/>
      <c r="E222" s="66"/>
      <c r="F222" s="103" t="str">
        <f>HYPERLINK("https://pbs.twimg.com/profile_images/1447646994013503494/_A9pbwfi_normal.jpg")</f>
        <v>https://pbs.twimg.com/profile_images/1447646994013503494/_A9pbwfi_normal.jpg</v>
      </c>
      <c r="G222" s="63"/>
      <c r="H222" s="67"/>
      <c r="I222" s="68"/>
      <c r="J222" s="68"/>
      <c r="K222" s="67" t="s">
        <v>14671</v>
      </c>
      <c r="L222" s="71"/>
      <c r="M222" s="72"/>
      <c r="N222" s="72"/>
      <c r="O222" s="73"/>
      <c r="P222" s="74"/>
      <c r="Q222" s="74"/>
      <c r="R222" s="87"/>
      <c r="S222" s="87"/>
      <c r="T222" s="87"/>
      <c r="U222" s="87"/>
      <c r="V222" s="48"/>
      <c r="W222" s="48"/>
      <c r="X222" s="48"/>
      <c r="Y222" s="48"/>
      <c r="Z222" s="47"/>
      <c r="AA222" s="69">
        <v>222</v>
      </c>
      <c r="AB222" s="69"/>
      <c r="AC222" s="70"/>
      <c r="AD222" s="76" t="s">
        <v>11962</v>
      </c>
      <c r="AE222" s="80" t="s">
        <v>12588</v>
      </c>
      <c r="AF222" s="76">
        <v>212</v>
      </c>
      <c r="AG222" s="76">
        <v>51</v>
      </c>
      <c r="AH222" s="76">
        <v>2742</v>
      </c>
      <c r="AI222" s="76">
        <v>0</v>
      </c>
      <c r="AJ222" s="76">
        <v>2</v>
      </c>
      <c r="AK222" s="76">
        <v>2131</v>
      </c>
      <c r="AL222" s="76" t="b">
        <v>0</v>
      </c>
      <c r="AM222" s="78">
        <v>40808.994837962964</v>
      </c>
      <c r="AN222" s="76" t="s">
        <v>12985</v>
      </c>
      <c r="AO222" s="76" t="s">
        <v>13421</v>
      </c>
      <c r="AP222" s="82" t="str">
        <f>HYPERLINK("https://t.co/nSVnRTBhZe")</f>
        <v>https://t.co/nSVnRTBhZe</v>
      </c>
      <c r="AQ222" s="82" t="str">
        <f>HYPERLINK("http://vagassa.blogspot.com.br")</f>
        <v>http://vagassa.blogspot.com.br</v>
      </c>
      <c r="AR222" s="76" t="s">
        <v>14032</v>
      </c>
      <c r="AS222" s="76"/>
      <c r="AT222" s="76"/>
      <c r="AU222" s="76"/>
      <c r="AV222" s="76"/>
      <c r="AW222" s="82" t="str">
        <f>HYPERLINK("https://t.co/nSVnRTBhZe")</f>
        <v>https://t.co/nSVnRTBhZe</v>
      </c>
      <c r="AX222" s="76" t="b">
        <v>0</v>
      </c>
      <c r="AY222" s="76"/>
      <c r="AZ222" s="76"/>
      <c r="BA222" s="76" t="b">
        <v>0</v>
      </c>
      <c r="BB222" s="76" t="b">
        <v>1</v>
      </c>
      <c r="BC222" s="76" t="b">
        <v>1</v>
      </c>
      <c r="BD222" s="76" t="b">
        <v>0</v>
      </c>
      <c r="BE222" s="76" t="b">
        <v>0</v>
      </c>
      <c r="BF222" s="76" t="b">
        <v>0</v>
      </c>
      <c r="BG222" s="76" t="b">
        <v>0</v>
      </c>
      <c r="BH222" s="82" t="str">
        <f>HYPERLINK("https://pbs.twimg.com/profile_banners/378297502/1633980917")</f>
        <v>https://pbs.twimg.com/profile_banners/378297502/1633980917</v>
      </c>
      <c r="BI222" s="76"/>
      <c r="BJ222" s="76" t="s">
        <v>14450</v>
      </c>
      <c r="BK222" s="76" t="b">
        <v>0</v>
      </c>
      <c r="BL222" s="76"/>
      <c r="BM222" s="76" t="s">
        <v>66</v>
      </c>
      <c r="BN222" s="76" t="s">
        <v>14452</v>
      </c>
      <c r="BO222" s="82" t="str">
        <f>HYPERLINK("https://twitter.com/vagassa")</f>
        <v>https://twitter.com/vagassa</v>
      </c>
      <c r="BP222" s="2"/>
    </row>
    <row r="223" spans="1:68" x14ac:dyDescent="0.25">
      <c r="A223" s="62" t="s">
        <v>406</v>
      </c>
      <c r="B223" s="63"/>
      <c r="C223" s="63"/>
      <c r="D223" s="64"/>
      <c r="E223" s="66"/>
      <c r="F223" s="103" t="str">
        <f>HYPERLINK("https://pbs.twimg.com/profile_images/1591065990267289600/pje37dXt_normal.png")</f>
        <v>https://pbs.twimg.com/profile_images/1591065990267289600/pje37dXt_normal.png</v>
      </c>
      <c r="G223" s="63"/>
      <c r="H223" s="67"/>
      <c r="I223" s="68"/>
      <c r="J223" s="68"/>
      <c r="K223" s="67" t="s">
        <v>14672</v>
      </c>
      <c r="L223" s="71"/>
      <c r="M223" s="72"/>
      <c r="N223" s="72"/>
      <c r="O223" s="73"/>
      <c r="P223" s="74"/>
      <c r="Q223" s="74"/>
      <c r="R223" s="87"/>
      <c r="S223" s="87"/>
      <c r="T223" s="87"/>
      <c r="U223" s="87"/>
      <c r="V223" s="48"/>
      <c r="W223" s="48"/>
      <c r="X223" s="48"/>
      <c r="Y223" s="48"/>
      <c r="Z223" s="47"/>
      <c r="AA223" s="69">
        <v>223</v>
      </c>
      <c r="AB223" s="69"/>
      <c r="AC223" s="70"/>
      <c r="AD223" s="76" t="s">
        <v>11963</v>
      </c>
      <c r="AE223" s="80" t="s">
        <v>11493</v>
      </c>
      <c r="AF223" s="76">
        <v>0</v>
      </c>
      <c r="AG223" s="76">
        <v>8</v>
      </c>
      <c r="AH223" s="76">
        <v>21</v>
      </c>
      <c r="AI223" s="76">
        <v>0</v>
      </c>
      <c r="AJ223" s="76">
        <v>6</v>
      </c>
      <c r="AK223" s="76">
        <v>17</v>
      </c>
      <c r="AL223" s="76" t="b">
        <v>0</v>
      </c>
      <c r="AM223" s="78">
        <v>44876.576226851852</v>
      </c>
      <c r="AN223" s="76" t="s">
        <v>12986</v>
      </c>
      <c r="AO223" s="76" t="s">
        <v>13422</v>
      </c>
      <c r="AP223" s="82" t="str">
        <f>HYPERLINK("https://t.co/lt7FBBnr04")</f>
        <v>https://t.co/lt7FBBnr04</v>
      </c>
      <c r="AQ223" s="82" t="str">
        <f>HYPERLINK("http://www.asv.com.br")</f>
        <v>http://www.asv.com.br</v>
      </c>
      <c r="AR223" s="76" t="s">
        <v>14033</v>
      </c>
      <c r="AS223" s="76"/>
      <c r="AT223" s="76"/>
      <c r="AU223" s="76"/>
      <c r="AV223" s="76"/>
      <c r="AW223" s="82" t="str">
        <f>HYPERLINK("https://t.co/lt7FBBnr04")</f>
        <v>https://t.co/lt7FBBnr04</v>
      </c>
      <c r="AX223" s="76" t="b">
        <v>0</v>
      </c>
      <c r="AY223" s="76"/>
      <c r="AZ223" s="76"/>
      <c r="BA223" s="76" t="b">
        <v>0</v>
      </c>
      <c r="BB223" s="76" t="b">
        <v>1</v>
      </c>
      <c r="BC223" s="76" t="b">
        <v>1</v>
      </c>
      <c r="BD223" s="76" t="b">
        <v>0</v>
      </c>
      <c r="BE223" s="76" t="b">
        <v>0</v>
      </c>
      <c r="BF223" s="76" t="b">
        <v>0</v>
      </c>
      <c r="BG223" s="76" t="b">
        <v>0</v>
      </c>
      <c r="BH223" s="76"/>
      <c r="BI223" s="76"/>
      <c r="BJ223" s="76" t="s">
        <v>14450</v>
      </c>
      <c r="BK223" s="76" t="b">
        <v>0</v>
      </c>
      <c r="BL223" s="76"/>
      <c r="BM223" s="76" t="s">
        <v>66</v>
      </c>
      <c r="BN223" s="76" t="s">
        <v>14452</v>
      </c>
      <c r="BO223" s="82" t="str">
        <f>HYPERLINK("https://twitter.com/asvtech")</f>
        <v>https://twitter.com/asvtech</v>
      </c>
      <c r="BP223" s="2"/>
    </row>
    <row r="224" spans="1:68" x14ac:dyDescent="0.25">
      <c r="A224" s="62" t="s">
        <v>407</v>
      </c>
      <c r="B224" s="63"/>
      <c r="C224" s="63"/>
      <c r="D224" s="64"/>
      <c r="E224" s="66"/>
      <c r="F224" s="103" t="str">
        <f>HYPERLINK("https://pbs.twimg.com/profile_images/1659701718714654721/Ad4eg1YR_normal.jpg")</f>
        <v>https://pbs.twimg.com/profile_images/1659701718714654721/Ad4eg1YR_normal.jpg</v>
      </c>
      <c r="G224" s="63"/>
      <c r="H224" s="67"/>
      <c r="I224" s="68"/>
      <c r="J224" s="68"/>
      <c r="K224" s="67" t="s">
        <v>14673</v>
      </c>
      <c r="L224" s="71"/>
      <c r="M224" s="72"/>
      <c r="N224" s="72"/>
      <c r="O224" s="73"/>
      <c r="P224" s="74"/>
      <c r="Q224" s="74"/>
      <c r="R224" s="87"/>
      <c r="S224" s="87"/>
      <c r="T224" s="87"/>
      <c r="U224" s="87"/>
      <c r="V224" s="48"/>
      <c r="W224" s="48"/>
      <c r="X224" s="48"/>
      <c r="Y224" s="48"/>
      <c r="Z224" s="47"/>
      <c r="AA224" s="69">
        <v>224</v>
      </c>
      <c r="AB224" s="69"/>
      <c r="AC224" s="70"/>
      <c r="AD224" s="76" t="s">
        <v>11964</v>
      </c>
      <c r="AE224" s="80" t="s">
        <v>11494</v>
      </c>
      <c r="AF224" s="76">
        <v>13</v>
      </c>
      <c r="AG224" s="76">
        <v>81</v>
      </c>
      <c r="AH224" s="76">
        <v>66</v>
      </c>
      <c r="AI224" s="76">
        <v>0</v>
      </c>
      <c r="AJ224" s="76">
        <v>29</v>
      </c>
      <c r="AK224" s="76">
        <v>9</v>
      </c>
      <c r="AL224" s="76" t="b">
        <v>0</v>
      </c>
      <c r="AM224" s="78">
        <v>44666.713587962964</v>
      </c>
      <c r="AN224" s="76"/>
      <c r="AO224" s="76" t="s">
        <v>13423</v>
      </c>
      <c r="AP224" s="76"/>
      <c r="AQ224" s="76"/>
      <c r="AR224" s="76"/>
      <c r="AS224" s="76"/>
      <c r="AT224" s="76"/>
      <c r="AU224" s="76"/>
      <c r="AV224" s="76"/>
      <c r="AW224" s="76"/>
      <c r="AX224" s="76" t="b">
        <v>0</v>
      </c>
      <c r="AY224" s="76"/>
      <c r="AZ224" s="76"/>
      <c r="BA224" s="76" t="b">
        <v>0</v>
      </c>
      <c r="BB224" s="76" t="b">
        <v>1</v>
      </c>
      <c r="BC224" s="76" t="b">
        <v>1</v>
      </c>
      <c r="BD224" s="76" t="b">
        <v>0</v>
      </c>
      <c r="BE224" s="76" t="b">
        <v>0</v>
      </c>
      <c r="BF224" s="76" t="b">
        <v>0</v>
      </c>
      <c r="BG224" s="76" t="b">
        <v>0</v>
      </c>
      <c r="BH224" s="82" t="str">
        <f>HYPERLINK("https://pbs.twimg.com/profile_banners/1515013931307352071/1684538711")</f>
        <v>https://pbs.twimg.com/profile_banners/1515013931307352071/1684538711</v>
      </c>
      <c r="BI224" s="76"/>
      <c r="BJ224" s="76" t="s">
        <v>14450</v>
      </c>
      <c r="BK224" s="76" t="b">
        <v>0</v>
      </c>
      <c r="BL224" s="76"/>
      <c r="BM224" s="76" t="s">
        <v>66</v>
      </c>
      <c r="BN224" s="76" t="s">
        <v>14452</v>
      </c>
      <c r="BO224" s="82" t="str">
        <f>HYPERLINK("https://twitter.com/tobiasbrosas")</f>
        <v>https://twitter.com/tobiasbrosas</v>
      </c>
      <c r="BP224" s="2"/>
    </row>
    <row r="225" spans="1:68" x14ac:dyDescent="0.25">
      <c r="A225" s="62" t="s">
        <v>408</v>
      </c>
      <c r="B225" s="63"/>
      <c r="C225" s="63"/>
      <c r="D225" s="64"/>
      <c r="E225" s="66"/>
      <c r="F225" s="103" t="str">
        <f>HYPERLINK("https://pbs.twimg.com/profile_images/1274497370768781312/_rUvEX6j_normal.png")</f>
        <v>https://pbs.twimg.com/profile_images/1274497370768781312/_rUvEX6j_normal.png</v>
      </c>
      <c r="G225" s="63"/>
      <c r="H225" s="67"/>
      <c r="I225" s="68"/>
      <c r="J225" s="68"/>
      <c r="K225" s="67" t="s">
        <v>14674</v>
      </c>
      <c r="L225" s="71"/>
      <c r="M225" s="72"/>
      <c r="N225" s="72"/>
      <c r="O225" s="73"/>
      <c r="P225" s="74"/>
      <c r="Q225" s="74"/>
      <c r="R225" s="87"/>
      <c r="S225" s="87"/>
      <c r="T225" s="87"/>
      <c r="U225" s="87"/>
      <c r="V225" s="48"/>
      <c r="W225" s="48"/>
      <c r="X225" s="48"/>
      <c r="Y225" s="48"/>
      <c r="Z225" s="47"/>
      <c r="AA225" s="69">
        <v>225</v>
      </c>
      <c r="AB225" s="69"/>
      <c r="AC225" s="70"/>
      <c r="AD225" s="76" t="s">
        <v>11965</v>
      </c>
      <c r="AE225" s="80" t="s">
        <v>12589</v>
      </c>
      <c r="AF225" s="76">
        <v>3501</v>
      </c>
      <c r="AG225" s="76">
        <v>1095</v>
      </c>
      <c r="AH225" s="76">
        <v>36273</v>
      </c>
      <c r="AI225" s="76">
        <v>29</v>
      </c>
      <c r="AJ225" s="76">
        <v>11</v>
      </c>
      <c r="AK225" s="76">
        <v>23241</v>
      </c>
      <c r="AL225" s="76" t="b">
        <v>0</v>
      </c>
      <c r="AM225" s="78">
        <v>39946.784988425927</v>
      </c>
      <c r="AN225" s="76" t="s">
        <v>12987</v>
      </c>
      <c r="AO225" s="76" t="s">
        <v>13424</v>
      </c>
      <c r="AP225" s="82" t="str">
        <f>HYPERLINK("https://t.co/x70IRGgROw")</f>
        <v>https://t.co/x70IRGgROw</v>
      </c>
      <c r="AQ225" s="82" t="str">
        <f>HYPERLINK("http://www.visaooeste.com.br")</f>
        <v>http://www.visaooeste.com.br</v>
      </c>
      <c r="AR225" s="76" t="s">
        <v>14034</v>
      </c>
      <c r="AS225" s="76"/>
      <c r="AT225" s="76"/>
      <c r="AU225" s="76"/>
      <c r="AV225" s="76"/>
      <c r="AW225" s="82" t="str">
        <f>HYPERLINK("https://t.co/x70IRGgROw")</f>
        <v>https://t.co/x70IRGgROw</v>
      </c>
      <c r="AX225" s="76" t="b">
        <v>0</v>
      </c>
      <c r="AY225" s="76"/>
      <c r="AZ225" s="76"/>
      <c r="BA225" s="76" t="b">
        <v>0</v>
      </c>
      <c r="BB225" s="76" t="b">
        <v>1</v>
      </c>
      <c r="BC225" s="76" t="b">
        <v>0</v>
      </c>
      <c r="BD225" s="76" t="b">
        <v>0</v>
      </c>
      <c r="BE225" s="76" t="b">
        <v>0</v>
      </c>
      <c r="BF225" s="76" t="b">
        <v>0</v>
      </c>
      <c r="BG225" s="76" t="b">
        <v>0</v>
      </c>
      <c r="BH225" s="82" t="str">
        <f>HYPERLINK("https://pbs.twimg.com/profile_banners/39816068/1664309866")</f>
        <v>https://pbs.twimg.com/profile_banners/39816068/1664309866</v>
      </c>
      <c r="BI225" s="76"/>
      <c r="BJ225" s="76" t="s">
        <v>14450</v>
      </c>
      <c r="BK225" s="76" t="b">
        <v>0</v>
      </c>
      <c r="BL225" s="76"/>
      <c r="BM225" s="76" t="s">
        <v>66</v>
      </c>
      <c r="BN225" s="76" t="s">
        <v>14452</v>
      </c>
      <c r="BO225" s="82" t="str">
        <f>HYPERLINK("https://twitter.com/visaooeste")</f>
        <v>https://twitter.com/visaooeste</v>
      </c>
      <c r="BP225" s="2"/>
    </row>
    <row r="226" spans="1:68" x14ac:dyDescent="0.25">
      <c r="A226" s="62" t="s">
        <v>409</v>
      </c>
      <c r="B226" s="63"/>
      <c r="C226" s="63"/>
      <c r="D226" s="64"/>
      <c r="E226" s="66"/>
      <c r="F226" s="103" t="str">
        <f>HYPERLINK("https://pbs.twimg.com/profile_images/1622684416622399495/eQ4kRlo-_normal.jpg")</f>
        <v>https://pbs.twimg.com/profile_images/1622684416622399495/eQ4kRlo-_normal.jpg</v>
      </c>
      <c r="G226" s="63"/>
      <c r="H226" s="67"/>
      <c r="I226" s="68"/>
      <c r="J226" s="68"/>
      <c r="K226" s="67" t="s">
        <v>14675</v>
      </c>
      <c r="L226" s="71"/>
      <c r="M226" s="72"/>
      <c r="N226" s="72"/>
      <c r="O226" s="73"/>
      <c r="P226" s="74"/>
      <c r="Q226" s="74"/>
      <c r="R226" s="87"/>
      <c r="S226" s="87"/>
      <c r="T226" s="87"/>
      <c r="U226" s="87"/>
      <c r="V226" s="48"/>
      <c r="W226" s="48"/>
      <c r="X226" s="48"/>
      <c r="Y226" s="48"/>
      <c r="Z226" s="47"/>
      <c r="AA226" s="69">
        <v>226</v>
      </c>
      <c r="AB226" s="69"/>
      <c r="AC226" s="70"/>
      <c r="AD226" s="76" t="s">
        <v>11966</v>
      </c>
      <c r="AE226" s="80" t="s">
        <v>11495</v>
      </c>
      <c r="AF226" s="76">
        <v>12</v>
      </c>
      <c r="AG226" s="76">
        <v>33</v>
      </c>
      <c r="AH226" s="76">
        <v>72</v>
      </c>
      <c r="AI226" s="76">
        <v>0</v>
      </c>
      <c r="AJ226" s="76">
        <v>1</v>
      </c>
      <c r="AK226" s="76">
        <v>64</v>
      </c>
      <c r="AL226" s="76" t="b">
        <v>0</v>
      </c>
      <c r="AM226" s="78">
        <v>44963.827025462961</v>
      </c>
      <c r="AN226" s="76"/>
      <c r="AO226" s="76" t="s">
        <v>13425</v>
      </c>
      <c r="AP226" s="82" t="str">
        <f>HYPERLINK("https://t.co/IH9p7dCmyZ")</f>
        <v>https://t.co/IH9p7dCmyZ</v>
      </c>
      <c r="AQ226" s="82" t="str">
        <f>HYPERLINK("https://www.nalves.com.br/")</f>
        <v>https://www.nalves.com.br/</v>
      </c>
      <c r="AR226" s="76" t="s">
        <v>14035</v>
      </c>
      <c r="AS226" s="76"/>
      <c r="AT226" s="76"/>
      <c r="AU226" s="76"/>
      <c r="AV226" s="76"/>
      <c r="AW226" s="82" t="str">
        <f>HYPERLINK("https://t.co/IH9p7dCmyZ")</f>
        <v>https://t.co/IH9p7dCmyZ</v>
      </c>
      <c r="AX226" s="76" t="b">
        <v>0</v>
      </c>
      <c r="AY226" s="76"/>
      <c r="AZ226" s="76"/>
      <c r="BA226" s="76" t="b">
        <v>0</v>
      </c>
      <c r="BB226" s="76" t="b">
        <v>1</v>
      </c>
      <c r="BC226" s="76" t="b">
        <v>1</v>
      </c>
      <c r="BD226" s="76" t="b">
        <v>0</v>
      </c>
      <c r="BE226" s="76" t="b">
        <v>0</v>
      </c>
      <c r="BF226" s="76" t="b">
        <v>0</v>
      </c>
      <c r="BG226" s="76" t="b">
        <v>0</v>
      </c>
      <c r="BH226" s="82" t="str">
        <f>HYPERLINK("https://pbs.twimg.com/profile_banners/1622684110341697537/1675715798")</f>
        <v>https://pbs.twimg.com/profile_banners/1622684110341697537/1675715798</v>
      </c>
      <c r="BI226" s="76"/>
      <c r="BJ226" s="76" t="s">
        <v>14450</v>
      </c>
      <c r="BK226" s="76" t="b">
        <v>0</v>
      </c>
      <c r="BL226" s="76"/>
      <c r="BM226" s="76" t="s">
        <v>66</v>
      </c>
      <c r="BN226" s="76" t="s">
        <v>14452</v>
      </c>
      <c r="BO226" s="82" t="str">
        <f>HYPERLINK("https://twitter.com/nalvesadvocacia")</f>
        <v>https://twitter.com/nalvesadvocacia</v>
      </c>
      <c r="BP226" s="2"/>
    </row>
    <row r="227" spans="1:68" x14ac:dyDescent="0.25">
      <c r="A227" s="62" t="s">
        <v>410</v>
      </c>
      <c r="B227" s="63"/>
      <c r="C227" s="63"/>
      <c r="D227" s="64"/>
      <c r="E227" s="66"/>
      <c r="F227" s="103" t="str">
        <f>HYPERLINK("https://pbs.twimg.com/profile_images/862237947495690240/cAJZarj__normal.jpg")</f>
        <v>https://pbs.twimg.com/profile_images/862237947495690240/cAJZarj__normal.jpg</v>
      </c>
      <c r="G227" s="63"/>
      <c r="H227" s="67"/>
      <c r="I227" s="68"/>
      <c r="J227" s="68"/>
      <c r="K227" s="67" t="s">
        <v>14676</v>
      </c>
      <c r="L227" s="71"/>
      <c r="M227" s="72"/>
      <c r="N227" s="72"/>
      <c r="O227" s="73"/>
      <c r="P227" s="74"/>
      <c r="Q227" s="74"/>
      <c r="R227" s="87"/>
      <c r="S227" s="87"/>
      <c r="T227" s="87"/>
      <c r="U227" s="87"/>
      <c r="V227" s="48"/>
      <c r="W227" s="48"/>
      <c r="X227" s="48"/>
      <c r="Y227" s="48"/>
      <c r="Z227" s="47"/>
      <c r="AA227" s="69">
        <v>227</v>
      </c>
      <c r="AB227" s="69"/>
      <c r="AC227" s="70"/>
      <c r="AD227" s="76" t="s">
        <v>11967</v>
      </c>
      <c r="AE227" s="80" t="s">
        <v>11496</v>
      </c>
      <c r="AF227" s="76">
        <v>90</v>
      </c>
      <c r="AG227" s="76">
        <v>736</v>
      </c>
      <c r="AH227" s="76">
        <v>47</v>
      </c>
      <c r="AI227" s="76">
        <v>0</v>
      </c>
      <c r="AJ227" s="76">
        <v>28</v>
      </c>
      <c r="AK227" s="76">
        <v>11</v>
      </c>
      <c r="AL227" s="76" t="b">
        <v>0</v>
      </c>
      <c r="AM227" s="78">
        <v>42865.391828703701</v>
      </c>
      <c r="AN227" s="76" t="s">
        <v>12988</v>
      </c>
      <c r="AO227" s="76" t="s">
        <v>13426</v>
      </c>
      <c r="AP227" s="82" t="str">
        <f>HYPERLINK("https://t.co/VXsqClEhc0")</f>
        <v>https://t.co/VXsqClEhc0</v>
      </c>
      <c r="AQ227" s="82" t="str">
        <f>HYPERLINK("http://moblescanbarato.com")</f>
        <v>http://moblescanbarato.com</v>
      </c>
      <c r="AR227" s="76" t="s">
        <v>14036</v>
      </c>
      <c r="AS227" s="76"/>
      <c r="AT227" s="76"/>
      <c r="AU227" s="76"/>
      <c r="AV227" s="76">
        <v>1.6413996408000699E+18</v>
      </c>
      <c r="AW227" s="82" t="str">
        <f>HYPERLINK("https://t.co/VXsqClEhc0")</f>
        <v>https://t.co/VXsqClEhc0</v>
      </c>
      <c r="AX227" s="76" t="b">
        <v>0</v>
      </c>
      <c r="AY227" s="76"/>
      <c r="AZ227" s="76"/>
      <c r="BA227" s="76" t="b">
        <v>0</v>
      </c>
      <c r="BB227" s="76" t="b">
        <v>1</v>
      </c>
      <c r="BC227" s="76" t="b">
        <v>0</v>
      </c>
      <c r="BD227" s="76" t="b">
        <v>0</v>
      </c>
      <c r="BE227" s="76" t="b">
        <v>0</v>
      </c>
      <c r="BF227" s="76" t="b">
        <v>0</v>
      </c>
      <c r="BG227" s="76" t="b">
        <v>0</v>
      </c>
      <c r="BH227" s="82" t="str">
        <f>HYPERLINK("https://pbs.twimg.com/profile_banners/862236830242099201/1679392962")</f>
        <v>https://pbs.twimg.com/profile_banners/862236830242099201/1679392962</v>
      </c>
      <c r="BI227" s="76"/>
      <c r="BJ227" s="76" t="s">
        <v>14450</v>
      </c>
      <c r="BK227" s="76" t="b">
        <v>0</v>
      </c>
      <c r="BL227" s="76"/>
      <c r="BM227" s="76" t="s">
        <v>66</v>
      </c>
      <c r="BN227" s="76" t="s">
        <v>14452</v>
      </c>
      <c r="BO227" s="82" t="str">
        <f>HYPERLINK("https://twitter.com/moblescanbarato")</f>
        <v>https://twitter.com/moblescanbarato</v>
      </c>
      <c r="BP227" s="2"/>
    </row>
    <row r="228" spans="1:68" x14ac:dyDescent="0.25">
      <c r="A228" s="62" t="s">
        <v>411</v>
      </c>
      <c r="B228" s="63"/>
      <c r="C228" s="63"/>
      <c r="D228" s="64"/>
      <c r="E228" s="66"/>
      <c r="F228" s="103" t="str">
        <f>HYPERLINK("https://pbs.twimg.com/profile_images/2686537083/c3454d50a110f9549d1009a9a04aa19f_normal.jpeg")</f>
        <v>https://pbs.twimg.com/profile_images/2686537083/c3454d50a110f9549d1009a9a04aa19f_normal.jpeg</v>
      </c>
      <c r="G228" s="63"/>
      <c r="H228" s="67"/>
      <c r="I228" s="68"/>
      <c r="J228" s="68"/>
      <c r="K228" s="67" t="s">
        <v>14677</v>
      </c>
      <c r="L228" s="71"/>
      <c r="M228" s="72"/>
      <c r="N228" s="72"/>
      <c r="O228" s="73"/>
      <c r="P228" s="74"/>
      <c r="Q228" s="74"/>
      <c r="R228" s="87"/>
      <c r="S228" s="87"/>
      <c r="T228" s="87"/>
      <c r="U228" s="87"/>
      <c r="V228" s="48"/>
      <c r="W228" s="48"/>
      <c r="X228" s="48"/>
      <c r="Y228" s="48"/>
      <c r="Z228" s="47"/>
      <c r="AA228" s="69">
        <v>228</v>
      </c>
      <c r="AB228" s="69"/>
      <c r="AC228" s="70"/>
      <c r="AD228" s="76" t="s">
        <v>11968</v>
      </c>
      <c r="AE228" s="80" t="s">
        <v>12590</v>
      </c>
      <c r="AF228" s="76">
        <v>4394</v>
      </c>
      <c r="AG228" s="76">
        <v>516</v>
      </c>
      <c r="AH228" s="76">
        <v>35615</v>
      </c>
      <c r="AI228" s="76">
        <v>7</v>
      </c>
      <c r="AJ228" s="76">
        <v>2083</v>
      </c>
      <c r="AK228" s="76">
        <v>16747</v>
      </c>
      <c r="AL228" s="76" t="b">
        <v>0</v>
      </c>
      <c r="AM228" s="78">
        <v>41188.526805555557</v>
      </c>
      <c r="AN228" s="76" t="s">
        <v>12989</v>
      </c>
      <c r="AO228" s="76" t="s">
        <v>13427</v>
      </c>
      <c r="AP228" s="82" t="str">
        <f>HYPERLINK("https://t.co/I9OTax2YMa")</f>
        <v>https://t.co/I9OTax2YMa</v>
      </c>
      <c r="AQ228" s="82" t="str">
        <f>HYPERLINK("http://mendozantigua.blogspot.com")</f>
        <v>http://mendozantigua.blogspot.com</v>
      </c>
      <c r="AR228" s="76" t="s">
        <v>14037</v>
      </c>
      <c r="AS228" s="82" t="str">
        <f>HYPERLINK("https://t.co/I9OTax2YMa")</f>
        <v>https://t.co/I9OTax2YMa</v>
      </c>
      <c r="AT228" s="82" t="str">
        <f>HYPERLINK("http://mendozantigua.blogspot.com")</f>
        <v>http://mendozantigua.blogspot.com</v>
      </c>
      <c r="AU228" s="76" t="s">
        <v>14037</v>
      </c>
      <c r="AV228" s="76"/>
      <c r="AW228" s="82" t="str">
        <f>HYPERLINK("https://t.co/I9OTax2YMa")</f>
        <v>https://t.co/I9OTax2YMa</v>
      </c>
      <c r="AX228" s="76" t="b">
        <v>0</v>
      </c>
      <c r="AY228" s="76"/>
      <c r="AZ228" s="76"/>
      <c r="BA228" s="76" t="b">
        <v>0</v>
      </c>
      <c r="BB228" s="76" t="b">
        <v>1</v>
      </c>
      <c r="BC228" s="76" t="b">
        <v>1</v>
      </c>
      <c r="BD228" s="76" t="b">
        <v>0</v>
      </c>
      <c r="BE228" s="76" t="b">
        <v>1</v>
      </c>
      <c r="BF228" s="76" t="b">
        <v>0</v>
      </c>
      <c r="BG228" s="76" t="b">
        <v>0</v>
      </c>
      <c r="BH228" s="82" t="str">
        <f>HYPERLINK("https://pbs.twimg.com/profile_banners/864623726/1425145433")</f>
        <v>https://pbs.twimg.com/profile_banners/864623726/1425145433</v>
      </c>
      <c r="BI228" s="76"/>
      <c r="BJ228" s="76" t="s">
        <v>14450</v>
      </c>
      <c r="BK228" s="76" t="b">
        <v>0</v>
      </c>
      <c r="BL228" s="76"/>
      <c r="BM228" s="76" t="s">
        <v>66</v>
      </c>
      <c r="BN228" s="76" t="s">
        <v>14452</v>
      </c>
      <c r="BO228" s="82" t="str">
        <f>HYPERLINK("https://twitter.com/mendozantigua")</f>
        <v>https://twitter.com/mendozantigua</v>
      </c>
      <c r="BP228" s="2"/>
    </row>
    <row r="229" spans="1:68" x14ac:dyDescent="0.25">
      <c r="A229" s="62" t="s">
        <v>412</v>
      </c>
      <c r="B229" s="63"/>
      <c r="C229" s="63"/>
      <c r="D229" s="64"/>
      <c r="E229" s="66"/>
      <c r="F229" s="103" t="str">
        <f>HYPERLINK("https://pbs.twimg.com/profile_images/1704284189732839424/l8mM0kRS_normal.jpg")</f>
        <v>https://pbs.twimg.com/profile_images/1704284189732839424/l8mM0kRS_normal.jpg</v>
      </c>
      <c r="G229" s="63"/>
      <c r="H229" s="67"/>
      <c r="I229" s="68"/>
      <c r="J229" s="68"/>
      <c r="K229" s="67" t="s">
        <v>14678</v>
      </c>
      <c r="L229" s="71"/>
      <c r="M229" s="72"/>
      <c r="N229" s="72"/>
      <c r="O229" s="73"/>
      <c r="P229" s="74"/>
      <c r="Q229" s="74"/>
      <c r="R229" s="87"/>
      <c r="S229" s="87"/>
      <c r="T229" s="87"/>
      <c r="U229" s="87"/>
      <c r="V229" s="48"/>
      <c r="W229" s="48"/>
      <c r="X229" s="48"/>
      <c r="Y229" s="48"/>
      <c r="Z229" s="47"/>
      <c r="AA229" s="69">
        <v>229</v>
      </c>
      <c r="AB229" s="69"/>
      <c r="AC229" s="70"/>
      <c r="AD229" s="76" t="s">
        <v>11969</v>
      </c>
      <c r="AE229" s="80" t="s">
        <v>12591</v>
      </c>
      <c r="AF229" s="76">
        <v>844</v>
      </c>
      <c r="AG229" s="76">
        <v>143</v>
      </c>
      <c r="AH229" s="76">
        <v>13981</v>
      </c>
      <c r="AI229" s="76">
        <v>15</v>
      </c>
      <c r="AJ229" s="76">
        <v>496</v>
      </c>
      <c r="AK229" s="76">
        <v>4764</v>
      </c>
      <c r="AL229" s="76" t="b">
        <v>0</v>
      </c>
      <c r="AM229" s="78">
        <v>40062.696585648147</v>
      </c>
      <c r="AN229" s="76" t="s">
        <v>12990</v>
      </c>
      <c r="AO229" s="76" t="s">
        <v>13428</v>
      </c>
      <c r="AP229" s="82" t="str">
        <f>HYPERLINK("https://t.co/htXYKLhw5o")</f>
        <v>https://t.co/htXYKLhw5o</v>
      </c>
      <c r="AQ229" s="82" t="str">
        <f>HYPERLINK("http://ht.ly/IM2nO")</f>
        <v>http://ht.ly/IM2nO</v>
      </c>
      <c r="AR229" s="76" t="s">
        <v>14038</v>
      </c>
      <c r="AS229" s="82" t="str">
        <f>HYPERLINK("https://t.co/htXYKLhw5o")</f>
        <v>https://t.co/htXYKLhw5o</v>
      </c>
      <c r="AT229" s="82" t="str">
        <f>HYPERLINK("http://ht.ly/IM2nO")</f>
        <v>http://ht.ly/IM2nO</v>
      </c>
      <c r="AU229" s="76" t="s">
        <v>14038</v>
      </c>
      <c r="AV229" s="76">
        <v>1.17761742552272E+18</v>
      </c>
      <c r="AW229" s="82" t="str">
        <f>HYPERLINK("https://t.co/htXYKLhw5o")</f>
        <v>https://t.co/htXYKLhw5o</v>
      </c>
      <c r="AX229" s="76" t="b">
        <v>0</v>
      </c>
      <c r="AY229" s="76"/>
      <c r="AZ229" s="76"/>
      <c r="BA229" s="76" t="b">
        <v>0</v>
      </c>
      <c r="BB229" s="76" t="b">
        <v>1</v>
      </c>
      <c r="BC229" s="76" t="b">
        <v>0</v>
      </c>
      <c r="BD229" s="76" t="b">
        <v>0</v>
      </c>
      <c r="BE229" s="76" t="b">
        <v>0</v>
      </c>
      <c r="BF229" s="76" t="b">
        <v>0</v>
      </c>
      <c r="BG229" s="76" t="b">
        <v>0</v>
      </c>
      <c r="BH229" s="82" t="str">
        <f>HYPERLINK("https://pbs.twimg.com/profile_banners/72071626/1510849729")</f>
        <v>https://pbs.twimg.com/profile_banners/72071626/1510849729</v>
      </c>
      <c r="BI229" s="76"/>
      <c r="BJ229" s="76" t="s">
        <v>14450</v>
      </c>
      <c r="BK229" s="76" t="b">
        <v>0</v>
      </c>
      <c r="BL229" s="76"/>
      <c r="BM229" s="76" t="s">
        <v>66</v>
      </c>
      <c r="BN229" s="76" t="s">
        <v>14452</v>
      </c>
      <c r="BO229" s="82" t="str">
        <f>HYPERLINK("https://twitter.com/aperfin")</f>
        <v>https://twitter.com/aperfin</v>
      </c>
      <c r="BP229" s="2"/>
    </row>
    <row r="230" spans="1:68" x14ac:dyDescent="0.25">
      <c r="A230" s="62" t="s">
        <v>413</v>
      </c>
      <c r="B230" s="63"/>
      <c r="C230" s="63"/>
      <c r="D230" s="64"/>
      <c r="E230" s="66"/>
      <c r="F230" s="103" t="str">
        <f>HYPERLINK("https://pbs.twimg.com/profile_images/1550441474868781057/vBYGWgrz_normal.jpg")</f>
        <v>https://pbs.twimg.com/profile_images/1550441474868781057/vBYGWgrz_normal.jpg</v>
      </c>
      <c r="G230" s="63"/>
      <c r="H230" s="67"/>
      <c r="I230" s="68"/>
      <c r="J230" s="68"/>
      <c r="K230" s="67" t="s">
        <v>14679</v>
      </c>
      <c r="L230" s="71"/>
      <c r="M230" s="72"/>
      <c r="N230" s="72"/>
      <c r="O230" s="73"/>
      <c r="P230" s="74"/>
      <c r="Q230" s="74"/>
      <c r="R230" s="87"/>
      <c r="S230" s="87"/>
      <c r="T230" s="87"/>
      <c r="U230" s="87"/>
      <c r="V230" s="48"/>
      <c r="W230" s="48"/>
      <c r="X230" s="48"/>
      <c r="Y230" s="48"/>
      <c r="Z230" s="47"/>
      <c r="AA230" s="69">
        <v>230</v>
      </c>
      <c r="AB230" s="69"/>
      <c r="AC230" s="70"/>
      <c r="AD230" s="76" t="s">
        <v>11970</v>
      </c>
      <c r="AE230" s="80" t="s">
        <v>11497</v>
      </c>
      <c r="AF230" s="76">
        <v>3</v>
      </c>
      <c r="AG230" s="76">
        <v>13</v>
      </c>
      <c r="AH230" s="76">
        <v>60</v>
      </c>
      <c r="AI230" s="76">
        <v>0</v>
      </c>
      <c r="AJ230" s="76">
        <v>14</v>
      </c>
      <c r="AK230" s="76">
        <v>46</v>
      </c>
      <c r="AL230" s="76" t="b">
        <v>0</v>
      </c>
      <c r="AM230" s="78">
        <v>44671.044803240744</v>
      </c>
      <c r="AN230" s="76"/>
      <c r="AO230" s="76" t="s">
        <v>13429</v>
      </c>
      <c r="AP230" s="76"/>
      <c r="AQ230" s="76"/>
      <c r="AR230" s="76"/>
      <c r="AS230" s="76"/>
      <c r="AT230" s="76"/>
      <c r="AU230" s="76"/>
      <c r="AV230" s="76"/>
      <c r="AW230" s="76"/>
      <c r="AX230" s="76" t="b">
        <v>0</v>
      </c>
      <c r="AY230" s="76"/>
      <c r="AZ230" s="76"/>
      <c r="BA230" s="76" t="b">
        <v>0</v>
      </c>
      <c r="BB230" s="76" t="b">
        <v>1</v>
      </c>
      <c r="BC230" s="76" t="b">
        <v>1</v>
      </c>
      <c r="BD230" s="76" t="b">
        <v>0</v>
      </c>
      <c r="BE230" s="76" t="b">
        <v>1</v>
      </c>
      <c r="BF230" s="76" t="b">
        <v>0</v>
      </c>
      <c r="BG230" s="76" t="b">
        <v>0</v>
      </c>
      <c r="BH230" s="82" t="str">
        <f>HYPERLINK("https://pbs.twimg.com/profile_banners/1516583479718391813/1658489027")</f>
        <v>https://pbs.twimg.com/profile_banners/1516583479718391813/1658489027</v>
      </c>
      <c r="BI230" s="76"/>
      <c r="BJ230" s="76" t="s">
        <v>14450</v>
      </c>
      <c r="BK230" s="76" t="b">
        <v>0</v>
      </c>
      <c r="BL230" s="76"/>
      <c r="BM230" s="76" t="s">
        <v>66</v>
      </c>
      <c r="BN230" s="76" t="s">
        <v>14452</v>
      </c>
      <c r="BO230" s="82" t="str">
        <f>HYPERLINK("https://twitter.com/vtgsolar")</f>
        <v>https://twitter.com/vtgsolar</v>
      </c>
      <c r="BP230" s="2"/>
    </row>
    <row r="231" spans="1:68" x14ac:dyDescent="0.25">
      <c r="A231" s="62" t="s">
        <v>903</v>
      </c>
      <c r="B231" s="63"/>
      <c r="C231" s="63"/>
      <c r="D231" s="64"/>
      <c r="E231" s="66"/>
      <c r="F231" s="103" t="str">
        <f>HYPERLINK("https://pbs.twimg.com/profile_images/519188417154781184/QcKaM3Ud_normal.jpeg")</f>
        <v>https://pbs.twimg.com/profile_images/519188417154781184/QcKaM3Ud_normal.jpeg</v>
      </c>
      <c r="G231" s="63"/>
      <c r="H231" s="67"/>
      <c r="I231" s="68"/>
      <c r="J231" s="68"/>
      <c r="K231" s="67" t="s">
        <v>14680</v>
      </c>
      <c r="L231" s="71"/>
      <c r="M231" s="72"/>
      <c r="N231" s="72"/>
      <c r="O231" s="73"/>
      <c r="P231" s="74"/>
      <c r="Q231" s="74"/>
      <c r="R231" s="87"/>
      <c r="S231" s="87"/>
      <c r="T231" s="87"/>
      <c r="U231" s="87"/>
      <c r="V231" s="48"/>
      <c r="W231" s="48"/>
      <c r="X231" s="48"/>
      <c r="Y231" s="48"/>
      <c r="Z231" s="47"/>
      <c r="AA231" s="69">
        <v>231</v>
      </c>
      <c r="AB231" s="69"/>
      <c r="AC231" s="70"/>
      <c r="AD231" s="76" t="s">
        <v>11971</v>
      </c>
      <c r="AE231" s="80" t="s">
        <v>12592</v>
      </c>
      <c r="AF231" s="76">
        <v>1314</v>
      </c>
      <c r="AG231" s="76">
        <v>573</v>
      </c>
      <c r="AH231" s="76">
        <v>5762</v>
      </c>
      <c r="AI231" s="76">
        <v>146</v>
      </c>
      <c r="AJ231" s="76">
        <v>549</v>
      </c>
      <c r="AK231" s="76">
        <v>162</v>
      </c>
      <c r="AL231" s="76" t="b">
        <v>0</v>
      </c>
      <c r="AM231" s="78">
        <v>39057.383009259262</v>
      </c>
      <c r="AN231" s="76" t="s">
        <v>12991</v>
      </c>
      <c r="AO231" s="76" t="s">
        <v>13430</v>
      </c>
      <c r="AP231" s="76"/>
      <c r="AQ231" s="76"/>
      <c r="AR231" s="76"/>
      <c r="AS231" s="76"/>
      <c r="AT231" s="76"/>
      <c r="AU231" s="76"/>
      <c r="AV231" s="76"/>
      <c r="AW231" s="76"/>
      <c r="AX231" s="76" t="b">
        <v>0</v>
      </c>
      <c r="AY231" s="76"/>
      <c r="AZ231" s="76"/>
      <c r="BA231" s="76" t="b">
        <v>0</v>
      </c>
      <c r="BB231" s="76" t="b">
        <v>1</v>
      </c>
      <c r="BC231" s="76" t="b">
        <v>0</v>
      </c>
      <c r="BD231" s="76" t="b">
        <v>0</v>
      </c>
      <c r="BE231" s="76" t="b">
        <v>0</v>
      </c>
      <c r="BF231" s="76" t="b">
        <v>0</v>
      </c>
      <c r="BG231" s="76" t="b">
        <v>0</v>
      </c>
      <c r="BH231" s="82" t="str">
        <f>HYPERLINK("https://pbs.twimg.com/profile_banners/44903/1410472169")</f>
        <v>https://pbs.twimg.com/profile_banners/44903/1410472169</v>
      </c>
      <c r="BI231" s="76"/>
      <c r="BJ231" s="76" t="s">
        <v>14451</v>
      </c>
      <c r="BK231" s="76" t="b">
        <v>0</v>
      </c>
      <c r="BL231" s="76"/>
      <c r="BM231" s="76" t="s">
        <v>65</v>
      </c>
      <c r="BN231" s="76" t="s">
        <v>14452</v>
      </c>
      <c r="BO231" s="82" t="str">
        <f>HYPERLINK("https://twitter.com/fran")</f>
        <v>https://twitter.com/fran</v>
      </c>
      <c r="BP231" s="2"/>
    </row>
    <row r="232" spans="1:68" x14ac:dyDescent="0.25">
      <c r="A232" s="62" t="s">
        <v>414</v>
      </c>
      <c r="B232" s="63"/>
      <c r="C232" s="63"/>
      <c r="D232" s="64"/>
      <c r="E232" s="66"/>
      <c r="F232" s="103" t="str">
        <f>HYPERLINK("https://pbs.twimg.com/profile_images/1175101726334083072/9YuyIEvc_normal.jpg")</f>
        <v>https://pbs.twimg.com/profile_images/1175101726334083072/9YuyIEvc_normal.jpg</v>
      </c>
      <c r="G232" s="63"/>
      <c r="H232" s="67"/>
      <c r="I232" s="68"/>
      <c r="J232" s="68"/>
      <c r="K232" s="67" t="s">
        <v>14681</v>
      </c>
      <c r="L232" s="71"/>
      <c r="M232" s="72"/>
      <c r="N232" s="72"/>
      <c r="O232" s="73"/>
      <c r="P232" s="74"/>
      <c r="Q232" s="74"/>
      <c r="R232" s="87"/>
      <c r="S232" s="87"/>
      <c r="T232" s="87"/>
      <c r="U232" s="87"/>
      <c r="V232" s="48"/>
      <c r="W232" s="48"/>
      <c r="X232" s="48"/>
      <c r="Y232" s="48"/>
      <c r="Z232" s="47"/>
      <c r="AA232" s="69">
        <v>232</v>
      </c>
      <c r="AB232" s="69"/>
      <c r="AC232" s="70"/>
      <c r="AD232" s="76" t="s">
        <v>414</v>
      </c>
      <c r="AE232" s="80" t="s">
        <v>11498</v>
      </c>
      <c r="AF232" s="76">
        <v>39</v>
      </c>
      <c r="AG232" s="76">
        <v>87</v>
      </c>
      <c r="AH232" s="76">
        <v>1247</v>
      </c>
      <c r="AI232" s="76">
        <v>0</v>
      </c>
      <c r="AJ232" s="76">
        <v>2</v>
      </c>
      <c r="AK232" s="76">
        <v>1186</v>
      </c>
      <c r="AL232" s="76" t="b">
        <v>0</v>
      </c>
      <c r="AM232" s="78">
        <v>43029.992013888892</v>
      </c>
      <c r="AN232" s="76" t="s">
        <v>12992</v>
      </c>
      <c r="AO232" s="76" t="s">
        <v>13431</v>
      </c>
      <c r="AP232" s="82" t="str">
        <f>HYPERLINK("https://t.co/hTZAksM8Y3")</f>
        <v>https://t.co/hTZAksM8Y3</v>
      </c>
      <c r="AQ232" s="82" t="str">
        <f>HYPERLINK("http://empleocerca.com")</f>
        <v>http://empleocerca.com</v>
      </c>
      <c r="AR232" s="76" t="s">
        <v>14039</v>
      </c>
      <c r="AS232" s="76"/>
      <c r="AT232" s="76"/>
      <c r="AU232" s="76"/>
      <c r="AV232" s="76"/>
      <c r="AW232" s="82" t="str">
        <f>HYPERLINK("https://t.co/hTZAksM8Y3")</f>
        <v>https://t.co/hTZAksM8Y3</v>
      </c>
      <c r="AX232" s="76" t="b">
        <v>0</v>
      </c>
      <c r="AY232" s="76"/>
      <c r="AZ232" s="76"/>
      <c r="BA232" s="76" t="b">
        <v>0</v>
      </c>
      <c r="BB232" s="76" t="b">
        <v>1</v>
      </c>
      <c r="BC232" s="76" t="b">
        <v>1</v>
      </c>
      <c r="BD232" s="76" t="b">
        <v>0</v>
      </c>
      <c r="BE232" s="76" t="b">
        <v>0</v>
      </c>
      <c r="BF232" s="76" t="b">
        <v>0</v>
      </c>
      <c r="BG232" s="76" t="b">
        <v>0</v>
      </c>
      <c r="BH232" s="82" t="str">
        <f>HYPERLINK("https://pbs.twimg.com/profile_banners/921885938493599745/1679600915")</f>
        <v>https://pbs.twimg.com/profile_banners/921885938493599745/1679600915</v>
      </c>
      <c r="BI232" s="76"/>
      <c r="BJ232" s="76" t="s">
        <v>14450</v>
      </c>
      <c r="BK232" s="76" t="b">
        <v>0</v>
      </c>
      <c r="BL232" s="76"/>
      <c r="BM232" s="76" t="s">
        <v>66</v>
      </c>
      <c r="BN232" s="76" t="s">
        <v>14452</v>
      </c>
      <c r="BO232" s="82" t="str">
        <f>HYPERLINK("https://twitter.com/empleocerca")</f>
        <v>https://twitter.com/empleocerca</v>
      </c>
      <c r="BP232" s="2"/>
    </row>
    <row r="233" spans="1:68" x14ac:dyDescent="0.25">
      <c r="A233" s="62" t="s">
        <v>415</v>
      </c>
      <c r="B233" s="63"/>
      <c r="C233" s="63"/>
      <c r="D233" s="64"/>
      <c r="E233" s="66"/>
      <c r="F233" s="103" t="str">
        <f>HYPERLINK("https://pbs.twimg.com/profile_images/889558618755956736/Yhu7OTb3_normal.jpg")</f>
        <v>https://pbs.twimg.com/profile_images/889558618755956736/Yhu7OTb3_normal.jpg</v>
      </c>
      <c r="G233" s="63"/>
      <c r="H233" s="67"/>
      <c r="I233" s="68"/>
      <c r="J233" s="68"/>
      <c r="K233" s="67" t="s">
        <v>14682</v>
      </c>
      <c r="L233" s="71"/>
      <c r="M233" s="72"/>
      <c r="N233" s="72"/>
      <c r="O233" s="73"/>
      <c r="P233" s="74"/>
      <c r="Q233" s="74"/>
      <c r="R233" s="87"/>
      <c r="S233" s="87"/>
      <c r="T233" s="87"/>
      <c r="U233" s="87"/>
      <c r="V233" s="48"/>
      <c r="W233" s="48"/>
      <c r="X233" s="48"/>
      <c r="Y233" s="48"/>
      <c r="Z233" s="47"/>
      <c r="AA233" s="69">
        <v>233</v>
      </c>
      <c r="AB233" s="69"/>
      <c r="AC233" s="70"/>
      <c r="AD233" s="76" t="s">
        <v>11972</v>
      </c>
      <c r="AE233" s="80" t="s">
        <v>12593</v>
      </c>
      <c r="AF233" s="76">
        <v>7578</v>
      </c>
      <c r="AG233" s="76">
        <v>3011</v>
      </c>
      <c r="AH233" s="76">
        <v>40309</v>
      </c>
      <c r="AI233" s="76">
        <v>194</v>
      </c>
      <c r="AJ233" s="76">
        <v>43</v>
      </c>
      <c r="AK233" s="76">
        <v>15559</v>
      </c>
      <c r="AL233" s="76" t="b">
        <v>0</v>
      </c>
      <c r="AM233" s="78">
        <v>40000.773043981484</v>
      </c>
      <c r="AN233" s="76" t="s">
        <v>12993</v>
      </c>
      <c r="AO233" s="76" t="s">
        <v>13432</v>
      </c>
      <c r="AP233" s="82" t="str">
        <f>HYPERLINK("https://t.co/8mV9Jy3lmn")</f>
        <v>https://t.co/8mV9Jy3lmn</v>
      </c>
      <c r="AQ233" s="82" t="str">
        <f>HYPERLINK("https://linkme.bio/diariodoestadogo/")</f>
        <v>https://linkme.bio/diariodoestadogo/</v>
      </c>
      <c r="AR233" s="76" t="s">
        <v>14040</v>
      </c>
      <c r="AS233" s="76"/>
      <c r="AT233" s="76"/>
      <c r="AU233" s="76"/>
      <c r="AV233" s="76"/>
      <c r="AW233" s="82" t="str">
        <f>HYPERLINK("https://t.co/8mV9Jy3lmn")</f>
        <v>https://t.co/8mV9Jy3lmn</v>
      </c>
      <c r="AX233" s="76" t="b">
        <v>0</v>
      </c>
      <c r="AY233" s="76"/>
      <c r="AZ233" s="76"/>
      <c r="BA233" s="76" t="b">
        <v>1</v>
      </c>
      <c r="BB233" s="76" t="b">
        <v>1</v>
      </c>
      <c r="BC233" s="76" t="b">
        <v>0</v>
      </c>
      <c r="BD233" s="76" t="b">
        <v>0</v>
      </c>
      <c r="BE233" s="76" t="b">
        <v>1</v>
      </c>
      <c r="BF233" s="76" t="b">
        <v>0</v>
      </c>
      <c r="BG233" s="76" t="b">
        <v>0</v>
      </c>
      <c r="BH233" s="82" t="str">
        <f>HYPERLINK("https://pbs.twimg.com/profile_banners/54290021/1659030946")</f>
        <v>https://pbs.twimg.com/profile_banners/54290021/1659030946</v>
      </c>
      <c r="BI233" s="76"/>
      <c r="BJ233" s="76" t="s">
        <v>14450</v>
      </c>
      <c r="BK233" s="76" t="b">
        <v>0</v>
      </c>
      <c r="BL233" s="76"/>
      <c r="BM233" s="76" t="s">
        <v>66</v>
      </c>
      <c r="BN233" s="76" t="s">
        <v>14452</v>
      </c>
      <c r="BO233" s="82" t="str">
        <f>HYPERLINK("https://twitter.com/diariodoestado")</f>
        <v>https://twitter.com/diariodoestado</v>
      </c>
      <c r="BP233" s="2"/>
    </row>
    <row r="234" spans="1:68" x14ac:dyDescent="0.25">
      <c r="A234" s="62" t="s">
        <v>416</v>
      </c>
      <c r="B234" s="63"/>
      <c r="C234" s="63"/>
      <c r="D234" s="64"/>
      <c r="E234" s="66"/>
      <c r="F234" s="103" t="str">
        <f>HYPERLINK("https://pbs.twimg.com/profile_images/1865436959/SANTORINI_UN_PARAISO_normal.jpg")</f>
        <v>https://pbs.twimg.com/profile_images/1865436959/SANTORINI_UN_PARAISO_normal.jpg</v>
      </c>
      <c r="G234" s="63"/>
      <c r="H234" s="67"/>
      <c r="I234" s="68"/>
      <c r="J234" s="68"/>
      <c r="K234" s="67" t="s">
        <v>14683</v>
      </c>
      <c r="L234" s="71"/>
      <c r="M234" s="72"/>
      <c r="N234" s="72"/>
      <c r="O234" s="73"/>
      <c r="P234" s="74"/>
      <c r="Q234" s="74"/>
      <c r="R234" s="87"/>
      <c r="S234" s="87"/>
      <c r="T234" s="87"/>
      <c r="U234" s="87"/>
      <c r="V234" s="48"/>
      <c r="W234" s="48"/>
      <c r="X234" s="48"/>
      <c r="Y234" s="48"/>
      <c r="Z234" s="47"/>
      <c r="AA234" s="69">
        <v>234</v>
      </c>
      <c r="AB234" s="69"/>
      <c r="AC234" s="70"/>
      <c r="AD234" s="76" t="s">
        <v>11973</v>
      </c>
      <c r="AE234" s="80" t="s">
        <v>12594</v>
      </c>
      <c r="AF234" s="76">
        <v>454</v>
      </c>
      <c r="AG234" s="76">
        <v>682</v>
      </c>
      <c r="AH234" s="76">
        <v>1994</v>
      </c>
      <c r="AI234" s="76">
        <v>3</v>
      </c>
      <c r="AJ234" s="76">
        <v>1825</v>
      </c>
      <c r="AK234" s="76">
        <v>297</v>
      </c>
      <c r="AL234" s="76" t="b">
        <v>0</v>
      </c>
      <c r="AM234" s="78">
        <v>40948.958344907405</v>
      </c>
      <c r="AN234" s="76"/>
      <c r="AO234" s="76" t="s">
        <v>13433</v>
      </c>
      <c r="AP234" s="82" t="str">
        <f>HYPERLINK("https://t.co/D5oiszZl4t")</f>
        <v>https://t.co/D5oiszZl4t</v>
      </c>
      <c r="AQ234" s="82" t="str">
        <f>HYPERLINK("http://gisellejacome.com")</f>
        <v>http://gisellejacome.com</v>
      </c>
      <c r="AR234" s="76" t="s">
        <v>14041</v>
      </c>
      <c r="AS234" s="76"/>
      <c r="AT234" s="76"/>
      <c r="AU234" s="76"/>
      <c r="AV234" s="76"/>
      <c r="AW234" s="82" t="str">
        <f>HYPERLINK("https://t.co/D5oiszZl4t")</f>
        <v>https://t.co/D5oiszZl4t</v>
      </c>
      <c r="AX234" s="76" t="b">
        <v>0</v>
      </c>
      <c r="AY234" s="76"/>
      <c r="AZ234" s="76"/>
      <c r="BA234" s="76" t="b">
        <v>0</v>
      </c>
      <c r="BB234" s="76" t="b">
        <v>1</v>
      </c>
      <c r="BC234" s="76" t="b">
        <v>1</v>
      </c>
      <c r="BD234" s="76" t="b">
        <v>0</v>
      </c>
      <c r="BE234" s="76" t="b">
        <v>1</v>
      </c>
      <c r="BF234" s="76" t="b">
        <v>0</v>
      </c>
      <c r="BG234" s="76" t="b">
        <v>0</v>
      </c>
      <c r="BH234" s="76"/>
      <c r="BI234" s="76"/>
      <c r="BJ234" s="76" t="s">
        <v>14450</v>
      </c>
      <c r="BK234" s="76" t="b">
        <v>0</v>
      </c>
      <c r="BL234" s="76"/>
      <c r="BM234" s="76" t="s">
        <v>66</v>
      </c>
      <c r="BN234" s="76" t="s">
        <v>14452</v>
      </c>
      <c r="BO234" s="82" t="str">
        <f>HYPERLINK("https://twitter.com/gisellejacome")</f>
        <v>https://twitter.com/gisellejacome</v>
      </c>
      <c r="BP234" s="2"/>
    </row>
    <row r="235" spans="1:68" x14ac:dyDescent="0.25">
      <c r="A235" s="62" t="s">
        <v>904</v>
      </c>
      <c r="B235" s="63"/>
      <c r="C235" s="63"/>
      <c r="D235" s="64"/>
      <c r="E235" s="66"/>
      <c r="F235" s="103" t="str">
        <f>HYPERLINK("https://pbs.twimg.com/profile_images/1691500184209870848/HJAiXdIx_normal.jpg")</f>
        <v>https://pbs.twimg.com/profile_images/1691500184209870848/HJAiXdIx_normal.jpg</v>
      </c>
      <c r="G235" s="63"/>
      <c r="H235" s="67"/>
      <c r="I235" s="68"/>
      <c r="J235" s="68"/>
      <c r="K235" s="67" t="s">
        <v>14684</v>
      </c>
      <c r="L235" s="71"/>
      <c r="M235" s="72"/>
      <c r="N235" s="72"/>
      <c r="O235" s="73"/>
      <c r="P235" s="74"/>
      <c r="Q235" s="74"/>
      <c r="R235" s="87"/>
      <c r="S235" s="87"/>
      <c r="T235" s="87"/>
      <c r="U235" s="87"/>
      <c r="V235" s="48"/>
      <c r="W235" s="48"/>
      <c r="X235" s="48"/>
      <c r="Y235" s="48"/>
      <c r="Z235" s="47"/>
      <c r="AA235" s="69">
        <v>235</v>
      </c>
      <c r="AB235" s="69"/>
      <c r="AC235" s="70"/>
      <c r="AD235" s="76" t="s">
        <v>11974</v>
      </c>
      <c r="AE235" s="80" t="s">
        <v>12595</v>
      </c>
      <c r="AF235" s="76">
        <v>1356724</v>
      </c>
      <c r="AG235" s="76">
        <v>1390</v>
      </c>
      <c r="AH235" s="76">
        <v>32687</v>
      </c>
      <c r="AI235" s="76">
        <v>1408</v>
      </c>
      <c r="AJ235" s="76">
        <v>1374</v>
      </c>
      <c r="AK235" s="76">
        <v>9255</v>
      </c>
      <c r="AL235" s="76" t="b">
        <v>0</v>
      </c>
      <c r="AM235" s="78">
        <v>40680.742696759262</v>
      </c>
      <c r="AN235" s="76"/>
      <c r="AO235" s="76" t="s">
        <v>13434</v>
      </c>
      <c r="AP235" s="76"/>
      <c r="AQ235" s="76"/>
      <c r="AR235" s="76"/>
      <c r="AS235" s="76"/>
      <c r="AT235" s="76"/>
      <c r="AU235" s="76"/>
      <c r="AV235" s="76"/>
      <c r="AW235" s="76"/>
      <c r="AX235" s="76" t="b">
        <v>1</v>
      </c>
      <c r="AY235" s="76"/>
      <c r="AZ235" s="76"/>
      <c r="BA235" s="76" t="b">
        <v>0</v>
      </c>
      <c r="BB235" s="76" t="b">
        <v>0</v>
      </c>
      <c r="BC235" s="76" t="b">
        <v>0</v>
      </c>
      <c r="BD235" s="76" t="b">
        <v>0</v>
      </c>
      <c r="BE235" s="76" t="b">
        <v>1</v>
      </c>
      <c r="BF235" s="76" t="b">
        <v>0</v>
      </c>
      <c r="BG235" s="76" t="b">
        <v>0</v>
      </c>
      <c r="BH235" s="82" t="str">
        <f>HYPERLINK("https://pbs.twimg.com/profile_banners/300390462/1687321835")</f>
        <v>https://pbs.twimg.com/profile_banners/300390462/1687321835</v>
      </c>
      <c r="BI235" s="76"/>
      <c r="BJ235" s="76" t="s">
        <v>14450</v>
      </c>
      <c r="BK235" s="76" t="b">
        <v>0</v>
      </c>
      <c r="BL235" s="76"/>
      <c r="BM235" s="76" t="s">
        <v>65</v>
      </c>
      <c r="BN235" s="76" t="s">
        <v>14452</v>
      </c>
      <c r="BO235" s="82" t="str">
        <f>HYPERLINK("https://twitter.com/lassoguillermo")</f>
        <v>https://twitter.com/lassoguillermo</v>
      </c>
      <c r="BP235" s="2"/>
    </row>
    <row r="236" spans="1:68" x14ac:dyDescent="0.25">
      <c r="A236" s="62" t="s">
        <v>417</v>
      </c>
      <c r="B236" s="63"/>
      <c r="C236" s="63"/>
      <c r="D236" s="64"/>
      <c r="E236" s="66"/>
      <c r="F236" s="103" t="str">
        <f>HYPERLINK("https://pbs.twimg.com/profile_images/645581102384566272/z8L0A6u3_normal.jpg")</f>
        <v>https://pbs.twimg.com/profile_images/645581102384566272/z8L0A6u3_normal.jpg</v>
      </c>
      <c r="G236" s="63"/>
      <c r="H236" s="67"/>
      <c r="I236" s="68"/>
      <c r="J236" s="68"/>
      <c r="K236" s="67" t="s">
        <v>14685</v>
      </c>
      <c r="L236" s="71"/>
      <c r="M236" s="72"/>
      <c r="N236" s="72"/>
      <c r="O236" s="73"/>
      <c r="P236" s="74"/>
      <c r="Q236" s="74"/>
      <c r="R236" s="87"/>
      <c r="S236" s="87"/>
      <c r="T236" s="87"/>
      <c r="U236" s="87"/>
      <c r="V236" s="48"/>
      <c r="W236" s="48"/>
      <c r="X236" s="48"/>
      <c r="Y236" s="48"/>
      <c r="Z236" s="47"/>
      <c r="AA236" s="69">
        <v>236</v>
      </c>
      <c r="AB236" s="69"/>
      <c r="AC236" s="70"/>
      <c r="AD236" s="76" t="s">
        <v>11975</v>
      </c>
      <c r="AE236" s="80" t="s">
        <v>12596</v>
      </c>
      <c r="AF236" s="76">
        <v>179</v>
      </c>
      <c r="AG236" s="76">
        <v>180</v>
      </c>
      <c r="AH236" s="76">
        <v>2659</v>
      </c>
      <c r="AI236" s="76">
        <v>1</v>
      </c>
      <c r="AJ236" s="76">
        <v>235</v>
      </c>
      <c r="AK236" s="76">
        <v>967</v>
      </c>
      <c r="AL236" s="76" t="b">
        <v>0</v>
      </c>
      <c r="AM236" s="78">
        <v>40026.793124999997</v>
      </c>
      <c r="AN236" s="76" t="s">
        <v>7863</v>
      </c>
      <c r="AO236" s="76" t="s">
        <v>13435</v>
      </c>
      <c r="AP236" s="82" t="str">
        <f>HYPERLINK("https://t.co/fhyk0gfGId")</f>
        <v>https://t.co/fhyk0gfGId</v>
      </c>
      <c r="AQ236" s="82" t="str">
        <f>HYPERLINK("http://www.negocioefetivo.com.br")</f>
        <v>http://www.negocioefetivo.com.br</v>
      </c>
      <c r="AR236" s="76" t="s">
        <v>14042</v>
      </c>
      <c r="AS236" s="76"/>
      <c r="AT236" s="76"/>
      <c r="AU236" s="76"/>
      <c r="AV236" s="76"/>
      <c r="AW236" s="82" t="str">
        <f>HYPERLINK("https://t.co/fhyk0gfGId")</f>
        <v>https://t.co/fhyk0gfGId</v>
      </c>
      <c r="AX236" s="76" t="b">
        <v>0</v>
      </c>
      <c r="AY236" s="76"/>
      <c r="AZ236" s="76"/>
      <c r="BA236" s="76" t="b">
        <v>0</v>
      </c>
      <c r="BB236" s="76" t="b">
        <v>1</v>
      </c>
      <c r="BC236" s="76" t="b">
        <v>0</v>
      </c>
      <c r="BD236" s="76" t="b">
        <v>0</v>
      </c>
      <c r="BE236" s="76" t="b">
        <v>0</v>
      </c>
      <c r="BF236" s="76" t="b">
        <v>0</v>
      </c>
      <c r="BG236" s="76" t="b">
        <v>0</v>
      </c>
      <c r="BH236" s="82" t="str">
        <f>HYPERLINK("https://pbs.twimg.com/profile_banners/62095109/1640781599")</f>
        <v>https://pbs.twimg.com/profile_banners/62095109/1640781599</v>
      </c>
      <c r="BI236" s="76"/>
      <c r="BJ236" s="76" t="s">
        <v>14450</v>
      </c>
      <c r="BK236" s="76" t="b">
        <v>0</v>
      </c>
      <c r="BL236" s="76"/>
      <c r="BM236" s="76" t="s">
        <v>66</v>
      </c>
      <c r="BN236" s="76" t="s">
        <v>14452</v>
      </c>
      <c r="BO236" s="82" t="str">
        <f>HYPERLINK("https://twitter.com/cidorodrigues")</f>
        <v>https://twitter.com/cidorodrigues</v>
      </c>
      <c r="BP236" s="2"/>
    </row>
    <row r="237" spans="1:68" x14ac:dyDescent="0.25">
      <c r="A237" s="62" t="s">
        <v>418</v>
      </c>
      <c r="B237" s="63"/>
      <c r="C237" s="63"/>
      <c r="D237" s="64"/>
      <c r="E237" s="66"/>
      <c r="F237" s="103" t="str">
        <f>HYPERLINK("https://pbs.twimg.com/profile_images/1611159902323359746/aUGVQH8Y_normal.jpg")</f>
        <v>https://pbs.twimg.com/profile_images/1611159902323359746/aUGVQH8Y_normal.jpg</v>
      </c>
      <c r="G237" s="63"/>
      <c r="H237" s="67"/>
      <c r="I237" s="68"/>
      <c r="J237" s="68"/>
      <c r="K237" s="67" t="s">
        <v>14686</v>
      </c>
      <c r="L237" s="71"/>
      <c r="M237" s="72"/>
      <c r="N237" s="72"/>
      <c r="O237" s="73"/>
      <c r="P237" s="74"/>
      <c r="Q237" s="74"/>
      <c r="R237" s="87"/>
      <c r="S237" s="87"/>
      <c r="T237" s="87"/>
      <c r="U237" s="87"/>
      <c r="V237" s="48"/>
      <c r="W237" s="48"/>
      <c r="X237" s="48"/>
      <c r="Y237" s="48"/>
      <c r="Z237" s="47"/>
      <c r="AA237" s="69">
        <v>237</v>
      </c>
      <c r="AB237" s="69"/>
      <c r="AC237" s="70"/>
      <c r="AD237" s="76" t="s">
        <v>11976</v>
      </c>
      <c r="AE237" s="80" t="s">
        <v>11499</v>
      </c>
      <c r="AF237" s="76">
        <v>37</v>
      </c>
      <c r="AG237" s="76">
        <v>53</v>
      </c>
      <c r="AH237" s="76">
        <v>12</v>
      </c>
      <c r="AI237" s="76">
        <v>0</v>
      </c>
      <c r="AJ237" s="76">
        <v>6</v>
      </c>
      <c r="AK237" s="76">
        <v>2</v>
      </c>
      <c r="AL237" s="76" t="b">
        <v>0</v>
      </c>
      <c r="AM237" s="78">
        <v>43930.577418981484</v>
      </c>
      <c r="AN237" s="76"/>
      <c r="AO237" s="76" t="s">
        <v>13436</v>
      </c>
      <c r="AP237" s="76"/>
      <c r="AQ237" s="76"/>
      <c r="AR237" s="76"/>
      <c r="AS237" s="76"/>
      <c r="AT237" s="76"/>
      <c r="AU237" s="76"/>
      <c r="AV237" s="76"/>
      <c r="AW237" s="76"/>
      <c r="AX237" s="76" t="b">
        <v>0</v>
      </c>
      <c r="AY237" s="76"/>
      <c r="AZ237" s="76"/>
      <c r="BA237" s="76" t="b">
        <v>0</v>
      </c>
      <c r="BB237" s="76" t="b">
        <v>1</v>
      </c>
      <c r="BC237" s="76" t="b">
        <v>1</v>
      </c>
      <c r="BD237" s="76" t="b">
        <v>0</v>
      </c>
      <c r="BE237" s="76" t="b">
        <v>0</v>
      </c>
      <c r="BF237" s="76" t="b">
        <v>0</v>
      </c>
      <c r="BG237" s="76" t="b">
        <v>0</v>
      </c>
      <c r="BH237" s="82" t="str">
        <f>HYPERLINK("https://pbs.twimg.com/profile_banners/1248247100980289538/1667523019")</f>
        <v>https://pbs.twimg.com/profile_banners/1248247100980289538/1667523019</v>
      </c>
      <c r="BI237" s="76"/>
      <c r="BJ237" s="76" t="s">
        <v>14450</v>
      </c>
      <c r="BK237" s="76" t="b">
        <v>0</v>
      </c>
      <c r="BL237" s="76"/>
      <c r="BM237" s="76" t="s">
        <v>66</v>
      </c>
      <c r="BN237" s="76" t="s">
        <v>14452</v>
      </c>
      <c r="BO237" s="82" t="str">
        <f>HYPERLINK("https://twitter.com/treinadoralexis")</f>
        <v>https://twitter.com/treinadoralexis</v>
      </c>
      <c r="BP237" s="2"/>
    </row>
    <row r="238" spans="1:68" x14ac:dyDescent="0.25">
      <c r="A238" s="62" t="s">
        <v>419</v>
      </c>
      <c r="B238" s="63"/>
      <c r="C238" s="63"/>
      <c r="D238" s="64"/>
      <c r="E238" s="66"/>
      <c r="F238" s="103" t="str">
        <f>HYPERLINK("https://pbs.twimg.com/profile_images/1547592501359300609/fNqtR3qq_normal.jpg")</f>
        <v>https://pbs.twimg.com/profile_images/1547592501359300609/fNqtR3qq_normal.jpg</v>
      </c>
      <c r="G238" s="63"/>
      <c r="H238" s="67"/>
      <c r="I238" s="68"/>
      <c r="J238" s="68"/>
      <c r="K238" s="67" t="s">
        <v>14687</v>
      </c>
      <c r="L238" s="71"/>
      <c r="M238" s="72"/>
      <c r="N238" s="72"/>
      <c r="O238" s="73"/>
      <c r="P238" s="74"/>
      <c r="Q238" s="74"/>
      <c r="R238" s="87"/>
      <c r="S238" s="87"/>
      <c r="T238" s="87"/>
      <c r="U238" s="87"/>
      <c r="V238" s="48"/>
      <c r="W238" s="48"/>
      <c r="X238" s="48"/>
      <c r="Y238" s="48"/>
      <c r="Z238" s="47"/>
      <c r="AA238" s="69">
        <v>238</v>
      </c>
      <c r="AB238" s="69"/>
      <c r="AC238" s="70"/>
      <c r="AD238" s="76" t="s">
        <v>11977</v>
      </c>
      <c r="AE238" s="80" t="s">
        <v>11500</v>
      </c>
      <c r="AF238" s="76">
        <v>16</v>
      </c>
      <c r="AG238" s="76">
        <v>36</v>
      </c>
      <c r="AH238" s="76">
        <v>192</v>
      </c>
      <c r="AI238" s="76">
        <v>1</v>
      </c>
      <c r="AJ238" s="76">
        <v>291</v>
      </c>
      <c r="AK238" s="76">
        <v>172</v>
      </c>
      <c r="AL238" s="76" t="b">
        <v>0</v>
      </c>
      <c r="AM238" s="78">
        <v>44756.595868055556</v>
      </c>
      <c r="AN238" s="76" t="s">
        <v>12994</v>
      </c>
      <c r="AO238" s="76" t="s">
        <v>13437</v>
      </c>
      <c r="AP238" s="82" t="str">
        <f>HYPERLINK("https://t.co/0Of5lQeXT3")</f>
        <v>https://t.co/0Of5lQeXT3</v>
      </c>
      <c r="AQ238" s="82" t="str">
        <f>HYPERLINK("http://www.guiase.com.br")</f>
        <v>http://www.guiase.com.br</v>
      </c>
      <c r="AR238" s="76" t="s">
        <v>14043</v>
      </c>
      <c r="AS238" s="76"/>
      <c r="AT238" s="76"/>
      <c r="AU238" s="76"/>
      <c r="AV238" s="76"/>
      <c r="AW238" s="82" t="str">
        <f>HYPERLINK("https://t.co/0Of5lQeXT3")</f>
        <v>https://t.co/0Of5lQeXT3</v>
      </c>
      <c r="AX238" s="76" t="b">
        <v>0</v>
      </c>
      <c r="AY238" s="76"/>
      <c r="AZ238" s="76"/>
      <c r="BA238" s="76" t="b">
        <v>0</v>
      </c>
      <c r="BB238" s="76" t="b">
        <v>1</v>
      </c>
      <c r="BC238" s="76" t="b">
        <v>1</v>
      </c>
      <c r="BD238" s="76" t="b">
        <v>0</v>
      </c>
      <c r="BE238" s="76" t="b">
        <v>0</v>
      </c>
      <c r="BF238" s="76" t="b">
        <v>0</v>
      </c>
      <c r="BG238" s="76" t="b">
        <v>0</v>
      </c>
      <c r="BH238" s="82" t="str">
        <f>HYPERLINK("https://pbs.twimg.com/profile_banners/1547586133432811522/1680541806")</f>
        <v>https://pbs.twimg.com/profile_banners/1547586133432811522/1680541806</v>
      </c>
      <c r="BI238" s="76"/>
      <c r="BJ238" s="76" t="s">
        <v>14450</v>
      </c>
      <c r="BK238" s="76" t="b">
        <v>0</v>
      </c>
      <c r="BL238" s="76"/>
      <c r="BM238" s="76" t="s">
        <v>66</v>
      </c>
      <c r="BN238" s="76" t="s">
        <v>14452</v>
      </c>
      <c r="BO238" s="82" t="str">
        <f>HYPERLINK("https://twitter.com/agenciaguiase")</f>
        <v>https://twitter.com/agenciaguiase</v>
      </c>
      <c r="BP238" s="2"/>
    </row>
    <row r="239" spans="1:68" x14ac:dyDescent="0.25">
      <c r="A239" s="62" t="s">
        <v>420</v>
      </c>
      <c r="B239" s="63"/>
      <c r="C239" s="63"/>
      <c r="D239" s="64"/>
      <c r="E239" s="66"/>
      <c r="F239" s="103" t="str">
        <f>HYPERLINK("https://pbs.twimg.com/profile_images/1585199460979593217/ALGNyrxh_normal.jpg")</f>
        <v>https://pbs.twimg.com/profile_images/1585199460979593217/ALGNyrxh_normal.jpg</v>
      </c>
      <c r="G239" s="63"/>
      <c r="H239" s="67"/>
      <c r="I239" s="68"/>
      <c r="J239" s="68"/>
      <c r="K239" s="67" t="s">
        <v>14688</v>
      </c>
      <c r="L239" s="71"/>
      <c r="M239" s="72"/>
      <c r="N239" s="72"/>
      <c r="O239" s="73"/>
      <c r="P239" s="74"/>
      <c r="Q239" s="74"/>
      <c r="R239" s="87"/>
      <c r="S239" s="87"/>
      <c r="T239" s="87"/>
      <c r="U239" s="87"/>
      <c r="V239" s="48"/>
      <c r="W239" s="48"/>
      <c r="X239" s="48"/>
      <c r="Y239" s="48"/>
      <c r="Z239" s="47"/>
      <c r="AA239" s="69">
        <v>239</v>
      </c>
      <c r="AB239" s="69"/>
      <c r="AC239" s="70"/>
      <c r="AD239" s="76" t="s">
        <v>11978</v>
      </c>
      <c r="AE239" s="80" t="s">
        <v>11501</v>
      </c>
      <c r="AF239" s="76">
        <v>13</v>
      </c>
      <c r="AG239" s="76">
        <v>38</v>
      </c>
      <c r="AH239" s="76">
        <v>98</v>
      </c>
      <c r="AI239" s="76">
        <v>0</v>
      </c>
      <c r="AJ239" s="76">
        <v>192</v>
      </c>
      <c r="AK239" s="76">
        <v>27</v>
      </c>
      <c r="AL239" s="76" t="b">
        <v>0</v>
      </c>
      <c r="AM239" s="78">
        <v>44783.322696759256</v>
      </c>
      <c r="AN239" s="76"/>
      <c r="AO239" s="76" t="s">
        <v>13438</v>
      </c>
      <c r="AP239" s="76"/>
      <c r="AQ239" s="76"/>
      <c r="AR239" s="76"/>
      <c r="AS239" s="76"/>
      <c r="AT239" s="76"/>
      <c r="AU239" s="76"/>
      <c r="AV239" s="76"/>
      <c r="AW239" s="76"/>
      <c r="AX239" s="76" t="b">
        <v>0</v>
      </c>
      <c r="AY239" s="76"/>
      <c r="AZ239" s="76"/>
      <c r="BA239" s="76" t="b">
        <v>0</v>
      </c>
      <c r="BB239" s="76" t="b">
        <v>1</v>
      </c>
      <c r="BC239" s="76" t="b">
        <v>1</v>
      </c>
      <c r="BD239" s="76" t="b">
        <v>0</v>
      </c>
      <c r="BE239" s="76" t="b">
        <v>0</v>
      </c>
      <c r="BF239" s="76" t="b">
        <v>0</v>
      </c>
      <c r="BG239" s="76" t="b">
        <v>0</v>
      </c>
      <c r="BH239" s="82" t="str">
        <f>HYPERLINK("https://pbs.twimg.com/profile_banners/1557271564462071813/1666775988")</f>
        <v>https://pbs.twimg.com/profile_banners/1557271564462071813/1666775988</v>
      </c>
      <c r="BI239" s="76"/>
      <c r="BJ239" s="76" t="s">
        <v>14450</v>
      </c>
      <c r="BK239" s="76" t="b">
        <v>0</v>
      </c>
      <c r="BL239" s="76"/>
      <c r="BM239" s="76" t="s">
        <v>66</v>
      </c>
      <c r="BN239" s="76" t="s">
        <v>14452</v>
      </c>
      <c r="BO239" s="82" t="str">
        <f>HYPERLINK("https://twitter.com/applejuicejayy")</f>
        <v>https://twitter.com/applejuicejayy</v>
      </c>
      <c r="BP239" s="2"/>
    </row>
    <row r="240" spans="1:68" x14ac:dyDescent="0.25">
      <c r="A240" s="62" t="s">
        <v>421</v>
      </c>
      <c r="B240" s="63"/>
      <c r="C240" s="63"/>
      <c r="D240" s="64"/>
      <c r="E240" s="66"/>
      <c r="F240" s="103" t="str">
        <f>HYPERLINK("https://pbs.twimg.com/profile_images/943512641426935808/HDlhWDpC_normal.jpg")</f>
        <v>https://pbs.twimg.com/profile_images/943512641426935808/HDlhWDpC_normal.jpg</v>
      </c>
      <c r="G240" s="63"/>
      <c r="H240" s="67"/>
      <c r="I240" s="68"/>
      <c r="J240" s="68"/>
      <c r="K240" s="67" t="s">
        <v>14689</v>
      </c>
      <c r="L240" s="71"/>
      <c r="M240" s="72"/>
      <c r="N240" s="72"/>
      <c r="O240" s="73"/>
      <c r="P240" s="74"/>
      <c r="Q240" s="74"/>
      <c r="R240" s="87"/>
      <c r="S240" s="87"/>
      <c r="T240" s="87"/>
      <c r="U240" s="87"/>
      <c r="V240" s="48"/>
      <c r="W240" s="48"/>
      <c r="X240" s="48"/>
      <c r="Y240" s="48"/>
      <c r="Z240" s="47"/>
      <c r="AA240" s="69">
        <v>240</v>
      </c>
      <c r="AB240" s="69"/>
      <c r="AC240" s="70"/>
      <c r="AD240" s="76" t="s">
        <v>11979</v>
      </c>
      <c r="AE240" s="80" t="s">
        <v>12597</v>
      </c>
      <c r="AF240" s="76">
        <v>552</v>
      </c>
      <c r="AG240" s="76">
        <v>28</v>
      </c>
      <c r="AH240" s="76">
        <v>732</v>
      </c>
      <c r="AI240" s="76">
        <v>0</v>
      </c>
      <c r="AJ240" s="76">
        <v>2</v>
      </c>
      <c r="AK240" s="76">
        <v>144</v>
      </c>
      <c r="AL240" s="76" t="b">
        <v>0</v>
      </c>
      <c r="AM240" s="78">
        <v>40416.802719907406</v>
      </c>
      <c r="AN240" s="76" t="s">
        <v>12995</v>
      </c>
      <c r="AO240" s="76" t="s">
        <v>13439</v>
      </c>
      <c r="AP240" s="82" t="str">
        <f>HYPERLINK("https://t.co/7bsrtrr3ww")</f>
        <v>https://t.co/7bsrtrr3ww</v>
      </c>
      <c r="AQ240" s="82" t="str">
        <f>HYPERLINK("http://www.agnesrh.com.br")</f>
        <v>http://www.agnesrh.com.br</v>
      </c>
      <c r="AR240" s="76" t="s">
        <v>14044</v>
      </c>
      <c r="AS240" s="76"/>
      <c r="AT240" s="76"/>
      <c r="AU240" s="76"/>
      <c r="AV240" s="76">
        <v>1.62848058781937E+18</v>
      </c>
      <c r="AW240" s="82" t="str">
        <f>HYPERLINK("https://t.co/7bsrtrr3ww")</f>
        <v>https://t.co/7bsrtrr3ww</v>
      </c>
      <c r="AX240" s="76" t="b">
        <v>0</v>
      </c>
      <c r="AY240" s="76"/>
      <c r="AZ240" s="76"/>
      <c r="BA240" s="76" t="b">
        <v>0</v>
      </c>
      <c r="BB240" s="76" t="b">
        <v>0</v>
      </c>
      <c r="BC240" s="76" t="b">
        <v>0</v>
      </c>
      <c r="BD240" s="76" t="b">
        <v>0</v>
      </c>
      <c r="BE240" s="76" t="b">
        <v>0</v>
      </c>
      <c r="BF240" s="76" t="b">
        <v>0</v>
      </c>
      <c r="BG240" s="76" t="b">
        <v>0</v>
      </c>
      <c r="BH240" s="82" t="str">
        <f>HYPERLINK("https://pbs.twimg.com/profile_banners/183336881/1677095163")</f>
        <v>https://pbs.twimg.com/profile_banners/183336881/1677095163</v>
      </c>
      <c r="BI240" s="76"/>
      <c r="BJ240" s="76" t="s">
        <v>14450</v>
      </c>
      <c r="BK240" s="76" t="b">
        <v>0</v>
      </c>
      <c r="BL240" s="76"/>
      <c r="BM240" s="76" t="s">
        <v>66</v>
      </c>
      <c r="BN240" s="76" t="s">
        <v>14452</v>
      </c>
      <c r="BO240" s="82" t="str">
        <f>HYPERLINK("https://twitter.com/agnesrh")</f>
        <v>https://twitter.com/agnesrh</v>
      </c>
      <c r="BP240" s="2"/>
    </row>
    <row r="241" spans="1:68" x14ac:dyDescent="0.25">
      <c r="A241" s="62" t="s">
        <v>422</v>
      </c>
      <c r="B241" s="63"/>
      <c r="C241" s="63"/>
      <c r="D241" s="64"/>
      <c r="E241" s="66"/>
      <c r="F241" s="103" t="str">
        <f>HYPERLINK("https://pbs.twimg.com/profile_images/1697661090614644736/yAAIFy98_normal.jpg")</f>
        <v>https://pbs.twimg.com/profile_images/1697661090614644736/yAAIFy98_normal.jpg</v>
      </c>
      <c r="G241" s="63"/>
      <c r="H241" s="67"/>
      <c r="I241" s="68"/>
      <c r="J241" s="68"/>
      <c r="K241" s="67" t="s">
        <v>14690</v>
      </c>
      <c r="L241" s="71"/>
      <c r="M241" s="72"/>
      <c r="N241" s="72"/>
      <c r="O241" s="73"/>
      <c r="P241" s="74"/>
      <c r="Q241" s="74"/>
      <c r="R241" s="87"/>
      <c r="S241" s="87"/>
      <c r="T241" s="87"/>
      <c r="U241" s="87"/>
      <c r="V241" s="48"/>
      <c r="W241" s="48"/>
      <c r="X241" s="48"/>
      <c r="Y241" s="48"/>
      <c r="Z241" s="47"/>
      <c r="AA241" s="69">
        <v>241</v>
      </c>
      <c r="AB241" s="69"/>
      <c r="AC241" s="70"/>
      <c r="AD241" s="76" t="s">
        <v>11980</v>
      </c>
      <c r="AE241" s="80" t="s">
        <v>12598</v>
      </c>
      <c r="AF241" s="76">
        <v>9092</v>
      </c>
      <c r="AG241" s="76">
        <v>118</v>
      </c>
      <c r="AH241" s="76">
        <v>16054</v>
      </c>
      <c r="AI241" s="76">
        <v>0</v>
      </c>
      <c r="AJ241" s="76">
        <v>3949</v>
      </c>
      <c r="AK241" s="76">
        <v>12946</v>
      </c>
      <c r="AL241" s="76" t="b">
        <v>0</v>
      </c>
      <c r="AM241" s="78">
        <v>40899.969884259262</v>
      </c>
      <c r="AN241" s="76"/>
      <c r="AO241" s="76" t="s">
        <v>13440</v>
      </c>
      <c r="AP241" s="82" t="str">
        <f>HYPERLINK("https://t.co/9s9QzA6qFI")</f>
        <v>https://t.co/9s9QzA6qFI</v>
      </c>
      <c r="AQ241" s="82" t="str">
        <f>HYPERLINK("http://tienda.montparnasse.mx")</f>
        <v>http://tienda.montparnasse.mx</v>
      </c>
      <c r="AR241" s="76" t="s">
        <v>14045</v>
      </c>
      <c r="AS241" s="76"/>
      <c r="AT241" s="76"/>
      <c r="AU241" s="76"/>
      <c r="AV241" s="76"/>
      <c r="AW241" s="82" t="str">
        <f>HYPERLINK("https://t.co/9s9QzA6qFI")</f>
        <v>https://t.co/9s9QzA6qFI</v>
      </c>
      <c r="AX241" s="76" t="b">
        <v>0</v>
      </c>
      <c r="AY241" s="76"/>
      <c r="AZ241" s="76"/>
      <c r="BA241" s="76" t="b">
        <v>1</v>
      </c>
      <c r="BB241" s="76" t="b">
        <v>1</v>
      </c>
      <c r="BC241" s="76" t="b">
        <v>0</v>
      </c>
      <c r="BD241" s="76" t="b">
        <v>0</v>
      </c>
      <c r="BE241" s="76" t="b">
        <v>0</v>
      </c>
      <c r="BF241" s="76" t="b">
        <v>0</v>
      </c>
      <c r="BG241" s="76" t="b">
        <v>0</v>
      </c>
      <c r="BH241" s="82" t="str">
        <f>HYPERLINK("https://pbs.twimg.com/profile_banners/444142948/1693588964")</f>
        <v>https://pbs.twimg.com/profile_banners/444142948/1693588964</v>
      </c>
      <c r="BI241" s="76"/>
      <c r="BJ241" s="76" t="s">
        <v>14450</v>
      </c>
      <c r="BK241" s="76" t="b">
        <v>0</v>
      </c>
      <c r="BL241" s="76"/>
      <c r="BM241" s="76" t="s">
        <v>66</v>
      </c>
      <c r="BN241" s="76" t="s">
        <v>14452</v>
      </c>
      <c r="BO241" s="82" t="str">
        <f>HYPERLINK("https://twitter.com/montparnassemx")</f>
        <v>https://twitter.com/montparnassemx</v>
      </c>
      <c r="BP241" s="2"/>
    </row>
    <row r="242" spans="1:68" x14ac:dyDescent="0.25">
      <c r="A242" s="62" t="s">
        <v>423</v>
      </c>
      <c r="B242" s="63"/>
      <c r="C242" s="63"/>
      <c r="D242" s="64"/>
      <c r="E242" s="66"/>
      <c r="F242" s="103" t="str">
        <f>HYPERLINK("https://pbs.twimg.com/profile_images/1680665562743988225/-HfU78ID_normal.jpg")</f>
        <v>https://pbs.twimg.com/profile_images/1680665562743988225/-HfU78ID_normal.jpg</v>
      </c>
      <c r="G242" s="63"/>
      <c r="H242" s="67"/>
      <c r="I242" s="68"/>
      <c r="J242" s="68"/>
      <c r="K242" s="67" t="s">
        <v>14691</v>
      </c>
      <c r="L242" s="71"/>
      <c r="M242" s="72"/>
      <c r="N242" s="72"/>
      <c r="O242" s="73"/>
      <c r="P242" s="74"/>
      <c r="Q242" s="74"/>
      <c r="R242" s="87"/>
      <c r="S242" s="87"/>
      <c r="T242" s="87"/>
      <c r="U242" s="87"/>
      <c r="V242" s="48"/>
      <c r="W242" s="48"/>
      <c r="X242" s="48"/>
      <c r="Y242" s="48"/>
      <c r="Z242" s="47"/>
      <c r="AA242" s="69">
        <v>242</v>
      </c>
      <c r="AB242" s="69"/>
      <c r="AC242" s="70"/>
      <c r="AD242" s="76" t="s">
        <v>11981</v>
      </c>
      <c r="AE242" s="80" t="s">
        <v>12599</v>
      </c>
      <c r="AF242" s="76">
        <v>286</v>
      </c>
      <c r="AG242" s="76">
        <v>513</v>
      </c>
      <c r="AH242" s="76">
        <v>2400</v>
      </c>
      <c r="AI242" s="76">
        <v>2</v>
      </c>
      <c r="AJ242" s="76">
        <v>11307</v>
      </c>
      <c r="AK242" s="76">
        <v>173</v>
      </c>
      <c r="AL242" s="76" t="b">
        <v>0</v>
      </c>
      <c r="AM242" s="78">
        <v>40285.039444444446</v>
      </c>
      <c r="AN242" s="76" t="s">
        <v>12996</v>
      </c>
      <c r="AO242" s="76" t="s">
        <v>13441</v>
      </c>
      <c r="AP242" s="76"/>
      <c r="AQ242" s="76"/>
      <c r="AR242" s="76"/>
      <c r="AS242" s="76"/>
      <c r="AT242" s="76"/>
      <c r="AU242" s="76"/>
      <c r="AV242" s="76"/>
      <c r="AW242" s="76"/>
      <c r="AX242" s="76" t="b">
        <v>0</v>
      </c>
      <c r="AY242" s="76"/>
      <c r="AZ242" s="76"/>
      <c r="BA242" s="76" t="b">
        <v>0</v>
      </c>
      <c r="BB242" s="76" t="b">
        <v>1</v>
      </c>
      <c r="BC242" s="76" t="b">
        <v>1</v>
      </c>
      <c r="BD242" s="76" t="b">
        <v>0</v>
      </c>
      <c r="BE242" s="76" t="b">
        <v>1</v>
      </c>
      <c r="BF242" s="76" t="b">
        <v>0</v>
      </c>
      <c r="BG242" s="76" t="b">
        <v>0</v>
      </c>
      <c r="BH242" s="82" t="str">
        <f>HYPERLINK("https://pbs.twimg.com/profile_banners/133925507/1680965843")</f>
        <v>https://pbs.twimg.com/profile_banners/133925507/1680965843</v>
      </c>
      <c r="BI242" s="76"/>
      <c r="BJ242" s="76" t="s">
        <v>14450</v>
      </c>
      <c r="BK242" s="76" t="b">
        <v>0</v>
      </c>
      <c r="BL242" s="76"/>
      <c r="BM242" s="76" t="s">
        <v>66</v>
      </c>
      <c r="BN242" s="76" t="s">
        <v>14452</v>
      </c>
      <c r="BO242" s="82" t="str">
        <f>HYPERLINK("https://twitter.com/roberto_j_parra")</f>
        <v>https://twitter.com/roberto_j_parra</v>
      </c>
      <c r="BP242" s="2"/>
    </row>
    <row r="243" spans="1:68" x14ac:dyDescent="0.25">
      <c r="A243" s="62" t="s">
        <v>424</v>
      </c>
      <c r="B243" s="63"/>
      <c r="C243" s="63"/>
      <c r="D243" s="64"/>
      <c r="E243" s="66"/>
      <c r="F243" s="103" t="str">
        <f>HYPERLINK("https://pbs.twimg.com/profile_images/1437519260901859335/658LMefb_normal.jpg")</f>
        <v>https://pbs.twimg.com/profile_images/1437519260901859335/658LMefb_normal.jpg</v>
      </c>
      <c r="G243" s="63"/>
      <c r="H243" s="67"/>
      <c r="I243" s="68"/>
      <c r="J243" s="68"/>
      <c r="K243" s="67" t="s">
        <v>14692</v>
      </c>
      <c r="L243" s="71"/>
      <c r="M243" s="72"/>
      <c r="N243" s="72"/>
      <c r="O243" s="73"/>
      <c r="P243" s="74"/>
      <c r="Q243" s="74"/>
      <c r="R243" s="87"/>
      <c r="S243" s="87"/>
      <c r="T243" s="87"/>
      <c r="U243" s="87"/>
      <c r="V243" s="48"/>
      <c r="W243" s="48"/>
      <c r="X243" s="48"/>
      <c r="Y243" s="48"/>
      <c r="Z243" s="47"/>
      <c r="AA243" s="69">
        <v>243</v>
      </c>
      <c r="AB243" s="69"/>
      <c r="AC243" s="70"/>
      <c r="AD243" s="76" t="s">
        <v>11982</v>
      </c>
      <c r="AE243" s="80" t="s">
        <v>11502</v>
      </c>
      <c r="AF243" s="76">
        <v>31</v>
      </c>
      <c r="AG243" s="76">
        <v>23</v>
      </c>
      <c r="AH243" s="76">
        <v>11183</v>
      </c>
      <c r="AI243" s="76">
        <v>0</v>
      </c>
      <c r="AJ243" s="76">
        <v>0</v>
      </c>
      <c r="AK243" s="76">
        <v>11182</v>
      </c>
      <c r="AL243" s="76" t="b">
        <v>0</v>
      </c>
      <c r="AM243" s="78">
        <v>44452.867060185185</v>
      </c>
      <c r="AN243" s="76" t="s">
        <v>12997</v>
      </c>
      <c r="AO243" s="76" t="s">
        <v>13442</v>
      </c>
      <c r="AP243" s="82" t="str">
        <f>HYPERLINK("https://t.co/gEB8sqvIs8")</f>
        <v>https://t.co/gEB8sqvIs8</v>
      </c>
      <c r="AQ243" s="82" t="str">
        <f>HYPERLINK("https://taplink.cc/recrutadora.oficial")</f>
        <v>https://taplink.cc/recrutadora.oficial</v>
      </c>
      <c r="AR243" s="76" t="s">
        <v>14046</v>
      </c>
      <c r="AS243" s="76"/>
      <c r="AT243" s="76"/>
      <c r="AU243" s="76"/>
      <c r="AV243" s="76"/>
      <c r="AW243" s="82" t="str">
        <f>HYPERLINK("https://t.co/gEB8sqvIs8")</f>
        <v>https://t.co/gEB8sqvIs8</v>
      </c>
      <c r="AX243" s="76" t="b">
        <v>0</v>
      </c>
      <c r="AY243" s="76"/>
      <c r="AZ243" s="76"/>
      <c r="BA243" s="76" t="b">
        <v>0</v>
      </c>
      <c r="BB243" s="76" t="b">
        <v>1</v>
      </c>
      <c r="BC243" s="76" t="b">
        <v>1</v>
      </c>
      <c r="BD243" s="76" t="b">
        <v>0</v>
      </c>
      <c r="BE243" s="76" t="b">
        <v>0</v>
      </c>
      <c r="BF243" s="76" t="b">
        <v>0</v>
      </c>
      <c r="BG243" s="76" t="b">
        <v>0</v>
      </c>
      <c r="BH243" s="82" t="str">
        <f>HYPERLINK("https://pbs.twimg.com/profile_banners/1437518511186788355/1631566275")</f>
        <v>https://pbs.twimg.com/profile_banners/1437518511186788355/1631566275</v>
      </c>
      <c r="BI243" s="76"/>
      <c r="BJ243" s="76" t="s">
        <v>14450</v>
      </c>
      <c r="BK243" s="76" t="b">
        <v>0</v>
      </c>
      <c r="BL243" s="76"/>
      <c r="BM243" s="76" t="s">
        <v>66</v>
      </c>
      <c r="BN243" s="76" t="s">
        <v>14452</v>
      </c>
      <c r="BO243" s="82" t="str">
        <f>HYPERLINK("https://twitter.com/rrecrutadora")</f>
        <v>https://twitter.com/rrecrutadora</v>
      </c>
      <c r="BP243" s="2"/>
    </row>
    <row r="244" spans="1:68" x14ac:dyDescent="0.25">
      <c r="A244" s="62" t="s">
        <v>425</v>
      </c>
      <c r="B244" s="63"/>
      <c r="C244" s="63"/>
      <c r="D244" s="64"/>
      <c r="E244" s="66"/>
      <c r="F244" s="103" t="str">
        <f>HYPERLINK("https://pbs.twimg.com/profile_images/1295699234025549825/luYEu_Bl_normal.jpg")</f>
        <v>https://pbs.twimg.com/profile_images/1295699234025549825/luYEu_Bl_normal.jpg</v>
      </c>
      <c r="G244" s="63"/>
      <c r="H244" s="67"/>
      <c r="I244" s="68"/>
      <c r="J244" s="68"/>
      <c r="K244" s="67" t="s">
        <v>14693</v>
      </c>
      <c r="L244" s="71"/>
      <c r="M244" s="72"/>
      <c r="N244" s="72"/>
      <c r="O244" s="73"/>
      <c r="P244" s="74"/>
      <c r="Q244" s="74"/>
      <c r="R244" s="87"/>
      <c r="S244" s="87"/>
      <c r="T244" s="87"/>
      <c r="U244" s="87"/>
      <c r="V244" s="48"/>
      <c r="W244" s="48"/>
      <c r="X244" s="48"/>
      <c r="Y244" s="48"/>
      <c r="Z244" s="47"/>
      <c r="AA244" s="69">
        <v>244</v>
      </c>
      <c r="AB244" s="69"/>
      <c r="AC244" s="70"/>
      <c r="AD244" s="76" t="s">
        <v>11983</v>
      </c>
      <c r="AE244" s="80" t="s">
        <v>12600</v>
      </c>
      <c r="AF244" s="76">
        <v>5873</v>
      </c>
      <c r="AG244" s="76">
        <v>1645</v>
      </c>
      <c r="AH244" s="76">
        <v>6511</v>
      </c>
      <c r="AI244" s="76">
        <v>67</v>
      </c>
      <c r="AJ244" s="76">
        <v>1909</v>
      </c>
      <c r="AK244" s="76">
        <v>3192</v>
      </c>
      <c r="AL244" s="76" t="b">
        <v>0</v>
      </c>
      <c r="AM244" s="78">
        <v>40039.857175925928</v>
      </c>
      <c r="AN244" s="76"/>
      <c r="AO244" s="76" t="s">
        <v>13443</v>
      </c>
      <c r="AP244" s="82" t="str">
        <f>HYPERLINK("https://t.co/AfvRiRJsVT")</f>
        <v>https://t.co/AfvRiRJsVT</v>
      </c>
      <c r="AQ244" s="82" t="str">
        <f>HYPERLINK("https://thelogisticsworld.com/")</f>
        <v>https://thelogisticsworld.com/</v>
      </c>
      <c r="AR244" s="76" t="s">
        <v>14047</v>
      </c>
      <c r="AS244" s="76"/>
      <c r="AT244" s="76"/>
      <c r="AU244" s="76"/>
      <c r="AV244" s="76">
        <v>1.6430094280717701E+18</v>
      </c>
      <c r="AW244" s="82" t="str">
        <f>HYPERLINK("https://t.co/AfvRiRJsVT")</f>
        <v>https://t.co/AfvRiRJsVT</v>
      </c>
      <c r="AX244" s="76" t="b">
        <v>0</v>
      </c>
      <c r="AY244" s="76"/>
      <c r="AZ244" s="76"/>
      <c r="BA244" s="76" t="b">
        <v>1</v>
      </c>
      <c r="BB244" s="76" t="b">
        <v>0</v>
      </c>
      <c r="BC244" s="76" t="b">
        <v>0</v>
      </c>
      <c r="BD244" s="76" t="b">
        <v>0</v>
      </c>
      <c r="BE244" s="76" t="b">
        <v>0</v>
      </c>
      <c r="BF244" s="76" t="b">
        <v>0</v>
      </c>
      <c r="BG244" s="76" t="b">
        <v>0</v>
      </c>
      <c r="BH244" s="82" t="str">
        <f>HYPERLINK("https://pbs.twimg.com/profile_banners/65728582/1683659560")</f>
        <v>https://pbs.twimg.com/profile_banners/65728582/1683659560</v>
      </c>
      <c r="BI244" s="76"/>
      <c r="BJ244" s="76" t="s">
        <v>14450</v>
      </c>
      <c r="BK244" s="76" t="b">
        <v>0</v>
      </c>
      <c r="BL244" s="76"/>
      <c r="BM244" s="76" t="s">
        <v>66</v>
      </c>
      <c r="BN244" s="76" t="s">
        <v>14452</v>
      </c>
      <c r="BO244" s="82" t="str">
        <f>HYPERLINK("https://twitter.com/thelogisticswd")</f>
        <v>https://twitter.com/thelogisticswd</v>
      </c>
      <c r="BP244" s="2"/>
    </row>
    <row r="245" spans="1:68" x14ac:dyDescent="0.25">
      <c r="A245" s="62" t="s">
        <v>426</v>
      </c>
      <c r="B245" s="63"/>
      <c r="C245" s="63"/>
      <c r="D245" s="64"/>
      <c r="E245" s="66"/>
      <c r="F245" s="103" t="str">
        <f>HYPERLINK("https://pbs.twimg.com/profile_images/1369765937214263302/NjSYgajo_normal.jpg")</f>
        <v>https://pbs.twimg.com/profile_images/1369765937214263302/NjSYgajo_normal.jpg</v>
      </c>
      <c r="G245" s="63"/>
      <c r="H245" s="67"/>
      <c r="I245" s="68"/>
      <c r="J245" s="68"/>
      <c r="K245" s="67" t="s">
        <v>14694</v>
      </c>
      <c r="L245" s="71"/>
      <c r="M245" s="72"/>
      <c r="N245" s="72"/>
      <c r="O245" s="73"/>
      <c r="P245" s="74"/>
      <c r="Q245" s="74"/>
      <c r="R245" s="87"/>
      <c r="S245" s="87"/>
      <c r="T245" s="87"/>
      <c r="U245" s="87"/>
      <c r="V245" s="48"/>
      <c r="W245" s="48"/>
      <c r="X245" s="48"/>
      <c r="Y245" s="48"/>
      <c r="Z245" s="47"/>
      <c r="AA245" s="69">
        <v>245</v>
      </c>
      <c r="AB245" s="69"/>
      <c r="AC245" s="70"/>
      <c r="AD245" s="76" t="s">
        <v>11984</v>
      </c>
      <c r="AE245" s="80" t="s">
        <v>11503</v>
      </c>
      <c r="AF245" s="76">
        <v>529</v>
      </c>
      <c r="AG245" s="76">
        <v>298</v>
      </c>
      <c r="AH245" s="76">
        <v>1966</v>
      </c>
      <c r="AI245" s="76">
        <v>1</v>
      </c>
      <c r="AJ245" s="76">
        <v>66</v>
      </c>
      <c r="AK245" s="76">
        <v>594</v>
      </c>
      <c r="AL245" s="76" t="b">
        <v>0</v>
      </c>
      <c r="AM245" s="78">
        <v>43188.79210648148</v>
      </c>
      <c r="AN245" s="76"/>
      <c r="AO245" s="76" t="s">
        <v>13444</v>
      </c>
      <c r="AP245" s="82" t="str">
        <f>HYPERLINK("https://t.co/5Oshoi1RNI")</f>
        <v>https://t.co/5Oshoi1RNI</v>
      </c>
      <c r="AQ245" s="82" t="str">
        <f>HYPERLINK("https://ovationamericas.com/")</f>
        <v>https://ovationamericas.com/</v>
      </c>
      <c r="AR245" s="76" t="s">
        <v>14048</v>
      </c>
      <c r="AS245" s="76"/>
      <c r="AT245" s="76"/>
      <c r="AU245" s="76"/>
      <c r="AV245" s="76">
        <v>1.5689930348090199E+18</v>
      </c>
      <c r="AW245" s="82" t="str">
        <f>HYPERLINK("https://t.co/5Oshoi1RNI")</f>
        <v>https://t.co/5Oshoi1RNI</v>
      </c>
      <c r="AX245" s="76" t="b">
        <v>1</v>
      </c>
      <c r="AY245" s="76"/>
      <c r="AZ245" s="76"/>
      <c r="BA245" s="76" t="b">
        <v>0</v>
      </c>
      <c r="BB245" s="76" t="b">
        <v>1</v>
      </c>
      <c r="BC245" s="76" t="b">
        <v>1</v>
      </c>
      <c r="BD245" s="76" t="b">
        <v>0</v>
      </c>
      <c r="BE245" s="76" t="b">
        <v>1</v>
      </c>
      <c r="BF245" s="76" t="b">
        <v>0</v>
      </c>
      <c r="BG245" s="76" t="b">
        <v>0</v>
      </c>
      <c r="BH245" s="82" t="str">
        <f>HYPERLINK("https://pbs.twimg.com/profile_banners/979433166762074113/1615409103")</f>
        <v>https://pbs.twimg.com/profile_banners/979433166762074113/1615409103</v>
      </c>
      <c r="BI245" s="76"/>
      <c r="BJ245" s="76" t="s">
        <v>14450</v>
      </c>
      <c r="BK245" s="76" t="b">
        <v>0</v>
      </c>
      <c r="BL245" s="76"/>
      <c r="BM245" s="76" t="s">
        <v>66</v>
      </c>
      <c r="BN245" s="76" t="s">
        <v>14452</v>
      </c>
      <c r="BO245" s="82" t="str">
        <f>HYPERLINK("https://twitter.com/ovationamericas")</f>
        <v>https://twitter.com/ovationamericas</v>
      </c>
      <c r="BP245" s="2"/>
    </row>
    <row r="246" spans="1:68" x14ac:dyDescent="0.25">
      <c r="A246" s="62" t="s">
        <v>627</v>
      </c>
      <c r="B246" s="63"/>
      <c r="C246" s="63"/>
      <c r="D246" s="64"/>
      <c r="E246" s="66"/>
      <c r="F246" s="103" t="str">
        <f>HYPERLINK("https://pbs.twimg.com/profile_images/1323552607441485824/T_0_FJ26_normal.jpg")</f>
        <v>https://pbs.twimg.com/profile_images/1323552607441485824/T_0_FJ26_normal.jpg</v>
      </c>
      <c r="G246" s="63"/>
      <c r="H246" s="67"/>
      <c r="I246" s="68"/>
      <c r="J246" s="68"/>
      <c r="K246" s="67" t="s">
        <v>14695</v>
      </c>
      <c r="L246" s="71"/>
      <c r="M246" s="72"/>
      <c r="N246" s="72"/>
      <c r="O246" s="73"/>
      <c r="P246" s="74"/>
      <c r="Q246" s="74"/>
      <c r="R246" s="87"/>
      <c r="S246" s="87"/>
      <c r="T246" s="87"/>
      <c r="U246" s="87"/>
      <c r="V246" s="48"/>
      <c r="W246" s="48"/>
      <c r="X246" s="48"/>
      <c r="Y246" s="48"/>
      <c r="Z246" s="47"/>
      <c r="AA246" s="69">
        <v>246</v>
      </c>
      <c r="AB246" s="69"/>
      <c r="AC246" s="70"/>
      <c r="AD246" s="76" t="s">
        <v>11985</v>
      </c>
      <c r="AE246" s="80" t="s">
        <v>11608</v>
      </c>
      <c r="AF246" s="76">
        <v>10605</v>
      </c>
      <c r="AG246" s="76">
        <v>75</v>
      </c>
      <c r="AH246" s="76">
        <v>12191</v>
      </c>
      <c r="AI246" s="76">
        <v>193</v>
      </c>
      <c r="AJ246" s="76">
        <v>7310</v>
      </c>
      <c r="AK246" s="76">
        <v>3269</v>
      </c>
      <c r="AL246" s="76" t="b">
        <v>0</v>
      </c>
      <c r="AM246" s="78">
        <v>42885.371944444443</v>
      </c>
      <c r="AN246" s="76" t="s">
        <v>12893</v>
      </c>
      <c r="AO246" s="76" t="s">
        <v>13445</v>
      </c>
      <c r="AP246" s="82" t="str">
        <f>HYPERLINK("https://t.co/MyqxHIyF52")</f>
        <v>https://t.co/MyqxHIyF52</v>
      </c>
      <c r="AQ246" s="82" t="str">
        <f>HYPERLINK("http://cybersecuritynews.es/")</f>
        <v>http://cybersecuritynews.es/</v>
      </c>
      <c r="AR246" s="76" t="s">
        <v>4265</v>
      </c>
      <c r="AS246" s="76"/>
      <c r="AT246" s="76"/>
      <c r="AU246" s="76"/>
      <c r="AV246" s="76"/>
      <c r="AW246" s="82" t="str">
        <f>HYPERLINK("https://t.co/MyqxHIyF52")</f>
        <v>https://t.co/MyqxHIyF52</v>
      </c>
      <c r="AX246" s="76" t="b">
        <v>0</v>
      </c>
      <c r="AY246" s="76"/>
      <c r="AZ246" s="76"/>
      <c r="BA246" s="76" t="b">
        <v>1</v>
      </c>
      <c r="BB246" s="76" t="b">
        <v>1</v>
      </c>
      <c r="BC246" s="76" t="b">
        <v>1</v>
      </c>
      <c r="BD246" s="76" t="b">
        <v>0</v>
      </c>
      <c r="BE246" s="76" t="b">
        <v>1</v>
      </c>
      <c r="BF246" s="76" t="b">
        <v>0</v>
      </c>
      <c r="BG246" s="76" t="b">
        <v>0</v>
      </c>
      <c r="BH246" s="82" t="str">
        <f>HYPERLINK("https://pbs.twimg.com/profile_banners/869477380942958592/1496161804")</f>
        <v>https://pbs.twimg.com/profile_banners/869477380942958592/1496161804</v>
      </c>
      <c r="BI246" s="76"/>
      <c r="BJ246" s="76" t="s">
        <v>14450</v>
      </c>
      <c r="BK246" s="76" t="b">
        <v>0</v>
      </c>
      <c r="BL246" s="76"/>
      <c r="BM246" s="76" t="s">
        <v>66</v>
      </c>
      <c r="BN246" s="76" t="s">
        <v>14452</v>
      </c>
      <c r="BO246" s="82" t="str">
        <f>HYPERLINK("https://twitter.com/cybersecurityes")</f>
        <v>https://twitter.com/cybersecurityes</v>
      </c>
      <c r="BP246" s="2"/>
    </row>
    <row r="247" spans="1:68" x14ac:dyDescent="0.25">
      <c r="A247" s="62" t="s">
        <v>427</v>
      </c>
      <c r="B247" s="63"/>
      <c r="C247" s="63"/>
      <c r="D247" s="64"/>
      <c r="E247" s="66"/>
      <c r="F247" s="103" t="str">
        <f>HYPERLINK("https://pbs.twimg.com/profile_images/1661378666054524931/ME60ZFnX_normal.jpg")</f>
        <v>https://pbs.twimg.com/profile_images/1661378666054524931/ME60ZFnX_normal.jpg</v>
      </c>
      <c r="G247" s="63"/>
      <c r="H247" s="67"/>
      <c r="I247" s="68"/>
      <c r="J247" s="68"/>
      <c r="K247" s="67" t="s">
        <v>14696</v>
      </c>
      <c r="L247" s="71"/>
      <c r="M247" s="72"/>
      <c r="N247" s="72"/>
      <c r="O247" s="73"/>
      <c r="P247" s="74"/>
      <c r="Q247" s="74"/>
      <c r="R247" s="87"/>
      <c r="S247" s="87"/>
      <c r="T247" s="87"/>
      <c r="U247" s="87"/>
      <c r="V247" s="48"/>
      <c r="W247" s="48"/>
      <c r="X247" s="48"/>
      <c r="Y247" s="48"/>
      <c r="Z247" s="47"/>
      <c r="AA247" s="69">
        <v>247</v>
      </c>
      <c r="AB247" s="69"/>
      <c r="AC247" s="70"/>
      <c r="AD247" s="76" t="s">
        <v>11986</v>
      </c>
      <c r="AE247" s="80" t="s">
        <v>11504</v>
      </c>
      <c r="AF247" s="76">
        <v>73</v>
      </c>
      <c r="AG247" s="76">
        <v>222</v>
      </c>
      <c r="AH247" s="76">
        <v>78</v>
      </c>
      <c r="AI247" s="76">
        <v>1</v>
      </c>
      <c r="AJ247" s="76">
        <v>24</v>
      </c>
      <c r="AK247" s="76">
        <v>40</v>
      </c>
      <c r="AL247" s="76" t="b">
        <v>0</v>
      </c>
      <c r="AM247" s="78">
        <v>44085.7421412037</v>
      </c>
      <c r="AN247" s="76" t="s">
        <v>12998</v>
      </c>
      <c r="AO247" s="76" t="s">
        <v>13446</v>
      </c>
      <c r="AP247" s="82" t="str">
        <f>HYPERLINK("https://t.co/Xd6oeyeMCE")</f>
        <v>https://t.co/Xd6oeyeMCE</v>
      </c>
      <c r="AQ247" s="82" t="str">
        <f>HYPERLINK("http://www.grupotsalach.com")</f>
        <v>http://www.grupotsalach.com</v>
      </c>
      <c r="AR247" s="76" t="s">
        <v>14049</v>
      </c>
      <c r="AS247" s="76"/>
      <c r="AT247" s="76"/>
      <c r="AU247" s="76"/>
      <c r="AV247" s="76"/>
      <c r="AW247" s="82" t="str">
        <f>HYPERLINK("https://t.co/Xd6oeyeMCE")</f>
        <v>https://t.co/Xd6oeyeMCE</v>
      </c>
      <c r="AX247" s="76" t="b">
        <v>0</v>
      </c>
      <c r="AY247" s="76"/>
      <c r="AZ247" s="76"/>
      <c r="BA247" s="76" t="b">
        <v>0</v>
      </c>
      <c r="BB247" s="76" t="b">
        <v>1</v>
      </c>
      <c r="BC247" s="76" t="b">
        <v>1</v>
      </c>
      <c r="BD247" s="76" t="b">
        <v>0</v>
      </c>
      <c r="BE247" s="76" t="b">
        <v>0</v>
      </c>
      <c r="BF247" s="76" t="b">
        <v>0</v>
      </c>
      <c r="BG247" s="76" t="b">
        <v>0</v>
      </c>
      <c r="BH247" s="82" t="str">
        <f>HYPERLINK("https://pbs.twimg.com/profile_banners/1304476791046836226/1627486398")</f>
        <v>https://pbs.twimg.com/profile_banners/1304476791046836226/1627486398</v>
      </c>
      <c r="BI247" s="76"/>
      <c r="BJ247" s="76" t="s">
        <v>14450</v>
      </c>
      <c r="BK247" s="76" t="b">
        <v>0</v>
      </c>
      <c r="BL247" s="76"/>
      <c r="BM247" s="76" t="s">
        <v>66</v>
      </c>
      <c r="BN247" s="76" t="s">
        <v>14452</v>
      </c>
      <c r="BO247" s="82" t="str">
        <f>HYPERLINK("https://twitter.com/grupotsalach")</f>
        <v>https://twitter.com/grupotsalach</v>
      </c>
      <c r="BP247" s="2"/>
    </row>
    <row r="248" spans="1:68" x14ac:dyDescent="0.25">
      <c r="A248" s="62" t="s">
        <v>428</v>
      </c>
      <c r="B248" s="63"/>
      <c r="C248" s="63"/>
      <c r="D248" s="64"/>
      <c r="E248" s="66"/>
      <c r="F248" s="103" t="str">
        <f>HYPERLINK("https://pbs.twimg.com/profile_images/1276907194529853441/u1vv7VOA_normal.jpg")</f>
        <v>https://pbs.twimg.com/profile_images/1276907194529853441/u1vv7VOA_normal.jpg</v>
      </c>
      <c r="G248" s="63"/>
      <c r="H248" s="67"/>
      <c r="I248" s="68"/>
      <c r="J248" s="68"/>
      <c r="K248" s="67" t="s">
        <v>14697</v>
      </c>
      <c r="L248" s="71"/>
      <c r="M248" s="72"/>
      <c r="N248" s="72"/>
      <c r="O248" s="73"/>
      <c r="P248" s="74"/>
      <c r="Q248" s="74"/>
      <c r="R248" s="87"/>
      <c r="S248" s="87"/>
      <c r="T248" s="87"/>
      <c r="U248" s="87"/>
      <c r="V248" s="48"/>
      <c r="W248" s="48"/>
      <c r="X248" s="48"/>
      <c r="Y248" s="48"/>
      <c r="Z248" s="47"/>
      <c r="AA248" s="69">
        <v>248</v>
      </c>
      <c r="AB248" s="69"/>
      <c r="AC248" s="70"/>
      <c r="AD248" s="76" t="s">
        <v>11987</v>
      </c>
      <c r="AE248" s="80" t="s">
        <v>12601</v>
      </c>
      <c r="AF248" s="76">
        <v>3775</v>
      </c>
      <c r="AG248" s="76">
        <v>2100</v>
      </c>
      <c r="AH248" s="76">
        <v>27871</v>
      </c>
      <c r="AI248" s="76">
        <v>44</v>
      </c>
      <c r="AJ248" s="76">
        <v>378</v>
      </c>
      <c r="AK248" s="76">
        <v>18300</v>
      </c>
      <c r="AL248" s="76" t="b">
        <v>0</v>
      </c>
      <c r="AM248" s="78">
        <v>40954.825821759259</v>
      </c>
      <c r="AN248" s="76" t="s">
        <v>12999</v>
      </c>
      <c r="AO248" s="76" t="s">
        <v>13447</v>
      </c>
      <c r="AP248" s="82" t="str">
        <f>HYPERLINK("https://t.co/nwzlSg7nXi")</f>
        <v>https://t.co/nwzlSg7nXi</v>
      </c>
      <c r="AQ248" s="82" t="str">
        <f>HYPERLINK("http://www.tnea.ar")</f>
        <v>http://www.tnea.ar</v>
      </c>
      <c r="AR248" s="76" t="s">
        <v>4272</v>
      </c>
      <c r="AS248" s="76"/>
      <c r="AT248" s="76"/>
      <c r="AU248" s="76"/>
      <c r="AV248" s="76"/>
      <c r="AW248" s="82" t="str">
        <f>HYPERLINK("https://t.co/nwzlSg7nXi")</f>
        <v>https://t.co/nwzlSg7nXi</v>
      </c>
      <c r="AX248" s="76" t="b">
        <v>0</v>
      </c>
      <c r="AY248" s="76"/>
      <c r="AZ248" s="76"/>
      <c r="BA248" s="76" t="b">
        <v>0</v>
      </c>
      <c r="BB248" s="76" t="b">
        <v>1</v>
      </c>
      <c r="BC248" s="76" t="b">
        <v>0</v>
      </c>
      <c r="BD248" s="76" t="b">
        <v>0</v>
      </c>
      <c r="BE248" s="76" t="b">
        <v>1</v>
      </c>
      <c r="BF248" s="76" t="b">
        <v>0</v>
      </c>
      <c r="BG248" s="76" t="b">
        <v>0</v>
      </c>
      <c r="BH248" s="82" t="str">
        <f>HYPERLINK("https://pbs.twimg.com/profile_banners/493423213/1593270360")</f>
        <v>https://pbs.twimg.com/profile_banners/493423213/1593270360</v>
      </c>
      <c r="BI248" s="76"/>
      <c r="BJ248" s="76" t="s">
        <v>14450</v>
      </c>
      <c r="BK248" s="76" t="b">
        <v>0</v>
      </c>
      <c r="BL248" s="76"/>
      <c r="BM248" s="76" t="s">
        <v>66</v>
      </c>
      <c r="BN248" s="76" t="s">
        <v>14452</v>
      </c>
      <c r="BO248" s="82" t="str">
        <f>HYPERLINK("https://twitter.com/tneaar")</f>
        <v>https://twitter.com/tneaar</v>
      </c>
      <c r="BP248" s="2"/>
    </row>
    <row r="249" spans="1:68" x14ac:dyDescent="0.25">
      <c r="A249" s="62" t="s">
        <v>429</v>
      </c>
      <c r="B249" s="63"/>
      <c r="C249" s="63"/>
      <c r="D249" s="64"/>
      <c r="E249" s="66"/>
      <c r="F249" s="103" t="str">
        <f>HYPERLINK("https://pbs.twimg.com/profile_images/1295490369791111169/mXmsT-zG_normal.jpg")</f>
        <v>https://pbs.twimg.com/profile_images/1295490369791111169/mXmsT-zG_normal.jpg</v>
      </c>
      <c r="G249" s="63"/>
      <c r="H249" s="67"/>
      <c r="I249" s="68"/>
      <c r="J249" s="68"/>
      <c r="K249" s="67" t="s">
        <v>14698</v>
      </c>
      <c r="L249" s="71"/>
      <c r="M249" s="72"/>
      <c r="N249" s="72"/>
      <c r="O249" s="73"/>
      <c r="P249" s="74"/>
      <c r="Q249" s="74"/>
      <c r="R249" s="87"/>
      <c r="S249" s="87"/>
      <c r="T249" s="87"/>
      <c r="U249" s="87"/>
      <c r="V249" s="48"/>
      <c r="W249" s="48"/>
      <c r="X249" s="48"/>
      <c r="Y249" s="48"/>
      <c r="Z249" s="47"/>
      <c r="AA249" s="69">
        <v>249</v>
      </c>
      <c r="AB249" s="69"/>
      <c r="AC249" s="70"/>
      <c r="AD249" s="76" t="s">
        <v>11988</v>
      </c>
      <c r="AE249" s="80" t="s">
        <v>12602</v>
      </c>
      <c r="AF249" s="76">
        <v>10082</v>
      </c>
      <c r="AG249" s="76">
        <v>1988</v>
      </c>
      <c r="AH249" s="76">
        <v>92052</v>
      </c>
      <c r="AI249" s="76">
        <v>80</v>
      </c>
      <c r="AJ249" s="76">
        <v>1740</v>
      </c>
      <c r="AK249" s="76">
        <v>462</v>
      </c>
      <c r="AL249" s="76" t="b">
        <v>0</v>
      </c>
      <c r="AM249" s="78">
        <v>40321.940717592595</v>
      </c>
      <c r="AN249" s="76" t="s">
        <v>13000</v>
      </c>
      <c r="AO249" s="76" t="s">
        <v>13448</v>
      </c>
      <c r="AP249" s="76"/>
      <c r="AQ249" s="76"/>
      <c r="AR249" s="76"/>
      <c r="AS249" s="82" t="str">
        <f>HYPERLINK("https://t.co/mGMOGFWRTy")</f>
        <v>https://t.co/mGMOGFWRTy</v>
      </c>
      <c r="AT249" s="82" t="str">
        <f>HYPERLINK("http://Publicas.UTN.Community")</f>
        <v>http://Publicas.UTN.Community</v>
      </c>
      <c r="AU249" s="76" t="s">
        <v>14411</v>
      </c>
      <c r="AV249" s="76">
        <v>6.9520274474391104E+17</v>
      </c>
      <c r="AW249" s="76"/>
      <c r="AX249" s="76" t="b">
        <v>0</v>
      </c>
      <c r="AY249" s="76"/>
      <c r="AZ249" s="76"/>
      <c r="BA249" s="76" t="b">
        <v>0</v>
      </c>
      <c r="BB249" s="76" t="b">
        <v>0</v>
      </c>
      <c r="BC249" s="76" t="b">
        <v>1</v>
      </c>
      <c r="BD249" s="76" t="b">
        <v>0</v>
      </c>
      <c r="BE249" s="76" t="b">
        <v>1</v>
      </c>
      <c r="BF249" s="76" t="b">
        <v>0</v>
      </c>
      <c r="BG249" s="76" t="b">
        <v>0</v>
      </c>
      <c r="BH249" s="82" t="str">
        <f>HYPERLINK("https://pbs.twimg.com/profile_banners/147349512/1608677906")</f>
        <v>https://pbs.twimg.com/profile_banners/147349512/1608677906</v>
      </c>
      <c r="BI249" s="76"/>
      <c r="BJ249" s="76" t="s">
        <v>14450</v>
      </c>
      <c r="BK249" s="76" t="b">
        <v>0</v>
      </c>
      <c r="BL249" s="76"/>
      <c r="BM249" s="76" t="s">
        <v>66</v>
      </c>
      <c r="BN249" s="76" t="s">
        <v>14452</v>
      </c>
      <c r="BO249" s="82" t="str">
        <f>HYPERLINK("https://twitter.com/ingdascenzo")</f>
        <v>https://twitter.com/ingdascenzo</v>
      </c>
      <c r="BP249" s="2"/>
    </row>
    <row r="250" spans="1:68" x14ac:dyDescent="0.25">
      <c r="A250" s="62" t="s">
        <v>430</v>
      </c>
      <c r="B250" s="63"/>
      <c r="C250" s="63"/>
      <c r="D250" s="64"/>
      <c r="E250" s="66"/>
      <c r="F250" s="103" t="str">
        <f>HYPERLINK("https://pbs.twimg.com/profile_images/1574598398468046849/H5LADXXZ_normal.jpg")</f>
        <v>https://pbs.twimg.com/profile_images/1574598398468046849/H5LADXXZ_normal.jpg</v>
      </c>
      <c r="G250" s="63"/>
      <c r="H250" s="67"/>
      <c r="I250" s="68"/>
      <c r="J250" s="68"/>
      <c r="K250" s="67" t="s">
        <v>14699</v>
      </c>
      <c r="L250" s="71"/>
      <c r="M250" s="72"/>
      <c r="N250" s="72"/>
      <c r="O250" s="73"/>
      <c r="P250" s="74"/>
      <c r="Q250" s="74"/>
      <c r="R250" s="87"/>
      <c r="S250" s="87"/>
      <c r="T250" s="87"/>
      <c r="U250" s="87"/>
      <c r="V250" s="48"/>
      <c r="W250" s="48"/>
      <c r="X250" s="48"/>
      <c r="Y250" s="48"/>
      <c r="Z250" s="47"/>
      <c r="AA250" s="69">
        <v>250</v>
      </c>
      <c r="AB250" s="69"/>
      <c r="AC250" s="70"/>
      <c r="AD250" s="76" t="s">
        <v>11989</v>
      </c>
      <c r="AE250" s="80" t="s">
        <v>11505</v>
      </c>
      <c r="AF250" s="76">
        <v>3</v>
      </c>
      <c r="AG250" s="76">
        <v>5</v>
      </c>
      <c r="AH250" s="76">
        <v>108</v>
      </c>
      <c r="AI250" s="76">
        <v>0</v>
      </c>
      <c r="AJ250" s="76">
        <v>0</v>
      </c>
      <c r="AK250" s="76">
        <v>89</v>
      </c>
      <c r="AL250" s="76" t="b">
        <v>0</v>
      </c>
      <c r="AM250" s="78">
        <v>44671.104259259257</v>
      </c>
      <c r="AN250" s="76" t="s">
        <v>13001</v>
      </c>
      <c r="AO250" s="76" t="s">
        <v>13449</v>
      </c>
      <c r="AP250" s="82" t="str">
        <f>HYPERLINK("https://t.co/E2RhaKL7WN")</f>
        <v>https://t.co/E2RhaKL7WN</v>
      </c>
      <c r="AQ250" s="82" t="str">
        <f>HYPERLINK("http://www.6printdesign.art.br")</f>
        <v>http://www.6printdesign.art.br</v>
      </c>
      <c r="AR250" s="76" t="s">
        <v>14050</v>
      </c>
      <c r="AS250" s="82" t="str">
        <f>HYPERLINK("https://t.co/qlytuzS2qY")</f>
        <v>https://t.co/qlytuzS2qY</v>
      </c>
      <c r="AT250" s="82" t="str">
        <f>HYPERLINK("http://6printdesign.art.br")</f>
        <v>http://6printdesign.art.br</v>
      </c>
      <c r="AU250" s="76" t="s">
        <v>14050</v>
      </c>
      <c r="AV250" s="76"/>
      <c r="AW250" s="82" t="str">
        <f>HYPERLINK("https://t.co/E2RhaKL7WN")</f>
        <v>https://t.co/E2RhaKL7WN</v>
      </c>
      <c r="AX250" s="76" t="b">
        <v>0</v>
      </c>
      <c r="AY250" s="76"/>
      <c r="AZ250" s="76"/>
      <c r="BA250" s="76" t="b">
        <v>0</v>
      </c>
      <c r="BB250" s="76" t="b">
        <v>1</v>
      </c>
      <c r="BC250" s="76" t="b">
        <v>1</v>
      </c>
      <c r="BD250" s="76" t="b">
        <v>0</v>
      </c>
      <c r="BE250" s="76" t="b">
        <v>0</v>
      </c>
      <c r="BF250" s="76" t="b">
        <v>0</v>
      </c>
      <c r="BG250" s="76" t="b">
        <v>0</v>
      </c>
      <c r="BH250" s="82" t="str">
        <f>HYPERLINK("https://pbs.twimg.com/profile_banners/1516605037518233601/1664248603")</f>
        <v>https://pbs.twimg.com/profile_banners/1516605037518233601/1664248603</v>
      </c>
      <c r="BI250" s="76"/>
      <c r="BJ250" s="76" t="s">
        <v>14450</v>
      </c>
      <c r="BK250" s="76" t="b">
        <v>0</v>
      </c>
      <c r="BL250" s="76"/>
      <c r="BM250" s="76" t="s">
        <v>66</v>
      </c>
      <c r="BN250" s="76" t="s">
        <v>14452</v>
      </c>
      <c r="BO250" s="82" t="str">
        <f>HYPERLINK("https://twitter.com/6printdesign")</f>
        <v>https://twitter.com/6printdesign</v>
      </c>
      <c r="BP250" s="2"/>
    </row>
    <row r="251" spans="1:68" x14ac:dyDescent="0.25">
      <c r="A251" s="62" t="s">
        <v>431</v>
      </c>
      <c r="B251" s="63"/>
      <c r="C251" s="63"/>
      <c r="D251" s="64"/>
      <c r="E251" s="66"/>
      <c r="F251" s="103" t="str">
        <f>HYPERLINK("https://pbs.twimg.com/profile_images/900299094543007745/YowC4IzB_normal.jpg")</f>
        <v>https://pbs.twimg.com/profile_images/900299094543007745/YowC4IzB_normal.jpg</v>
      </c>
      <c r="G251" s="63"/>
      <c r="H251" s="67"/>
      <c r="I251" s="68"/>
      <c r="J251" s="68"/>
      <c r="K251" s="67" t="s">
        <v>14700</v>
      </c>
      <c r="L251" s="71"/>
      <c r="M251" s="72"/>
      <c r="N251" s="72"/>
      <c r="O251" s="73"/>
      <c r="P251" s="74"/>
      <c r="Q251" s="74"/>
      <c r="R251" s="87"/>
      <c r="S251" s="87"/>
      <c r="T251" s="87"/>
      <c r="U251" s="87"/>
      <c r="V251" s="48"/>
      <c r="W251" s="48"/>
      <c r="X251" s="48"/>
      <c r="Y251" s="48"/>
      <c r="Z251" s="47"/>
      <c r="AA251" s="69">
        <v>251</v>
      </c>
      <c r="AB251" s="69"/>
      <c r="AC251" s="70"/>
      <c r="AD251" s="76" t="s">
        <v>11990</v>
      </c>
      <c r="AE251" s="80" t="s">
        <v>11506</v>
      </c>
      <c r="AF251" s="76">
        <v>1134</v>
      </c>
      <c r="AG251" s="76">
        <v>448</v>
      </c>
      <c r="AH251" s="76">
        <v>17496</v>
      </c>
      <c r="AI251" s="76">
        <v>15</v>
      </c>
      <c r="AJ251" s="76">
        <v>21448</v>
      </c>
      <c r="AK251" s="76">
        <v>5079</v>
      </c>
      <c r="AL251" s="76" t="b">
        <v>0</v>
      </c>
      <c r="AM251" s="78">
        <v>42969.429513888892</v>
      </c>
      <c r="AN251" s="76" t="s">
        <v>13002</v>
      </c>
      <c r="AO251" s="76" t="s">
        <v>13450</v>
      </c>
      <c r="AP251" s="82" t="str">
        <f>HYPERLINK("https://t.co/MouUrOcCdf")</f>
        <v>https://t.co/MouUrOcCdf</v>
      </c>
      <c r="AQ251" s="82" t="str">
        <f>HYPERLINK("http://www.tierrasdemedina.com")</f>
        <v>http://www.tierrasdemedina.com</v>
      </c>
      <c r="AR251" s="76" t="s">
        <v>14051</v>
      </c>
      <c r="AS251" s="76"/>
      <c r="AT251" s="76"/>
      <c r="AU251" s="76"/>
      <c r="AV251" s="76">
        <v>1.7066435013104599E+18</v>
      </c>
      <c r="AW251" s="82" t="str">
        <f>HYPERLINK("https://t.co/MouUrOcCdf")</f>
        <v>https://t.co/MouUrOcCdf</v>
      </c>
      <c r="AX251" s="76" t="b">
        <v>0</v>
      </c>
      <c r="AY251" s="76"/>
      <c r="AZ251" s="76"/>
      <c r="BA251" s="76" t="b">
        <v>0</v>
      </c>
      <c r="BB251" s="76" t="b">
        <v>1</v>
      </c>
      <c r="BC251" s="76" t="b">
        <v>0</v>
      </c>
      <c r="BD251" s="76" t="b">
        <v>0</v>
      </c>
      <c r="BE251" s="76" t="b">
        <v>0</v>
      </c>
      <c r="BF251" s="76" t="b">
        <v>0</v>
      </c>
      <c r="BG251" s="76" t="b">
        <v>0</v>
      </c>
      <c r="BH251" s="82" t="str">
        <f>HYPERLINK("https://pbs.twimg.com/profile_banners/899938824213725184/1553174524")</f>
        <v>https://pbs.twimg.com/profile_banners/899938824213725184/1553174524</v>
      </c>
      <c r="BI251" s="76"/>
      <c r="BJ251" s="76" t="s">
        <v>14450</v>
      </c>
      <c r="BK251" s="76" t="b">
        <v>0</v>
      </c>
      <c r="BL251" s="76"/>
      <c r="BM251" s="76" t="s">
        <v>66</v>
      </c>
      <c r="BN251" s="76" t="s">
        <v>14452</v>
      </c>
      <c r="BO251" s="82" t="str">
        <f>HYPERLINK("https://twitter.com/tierrasdemedina")</f>
        <v>https://twitter.com/tierrasdemedina</v>
      </c>
      <c r="BP251" s="2"/>
    </row>
    <row r="252" spans="1:68" x14ac:dyDescent="0.25">
      <c r="A252" s="62" t="s">
        <v>905</v>
      </c>
      <c r="B252" s="63"/>
      <c r="C252" s="63"/>
      <c r="D252" s="64"/>
      <c r="E252" s="66"/>
      <c r="F252" s="103" t="str">
        <f>HYPERLINK("https://pbs.twimg.com/profile_images/433148854637047808/vgQXFadu_normal.jpeg")</f>
        <v>https://pbs.twimg.com/profile_images/433148854637047808/vgQXFadu_normal.jpeg</v>
      </c>
      <c r="G252" s="63"/>
      <c r="H252" s="67"/>
      <c r="I252" s="68"/>
      <c r="J252" s="68"/>
      <c r="K252" s="67" t="s">
        <v>14701</v>
      </c>
      <c r="L252" s="71"/>
      <c r="M252" s="72"/>
      <c r="N252" s="72"/>
      <c r="O252" s="73"/>
      <c r="P252" s="74"/>
      <c r="Q252" s="74"/>
      <c r="R252" s="87"/>
      <c r="S252" s="87"/>
      <c r="T252" s="87"/>
      <c r="U252" s="87"/>
      <c r="V252" s="48"/>
      <c r="W252" s="48"/>
      <c r="X252" s="48"/>
      <c r="Y252" s="48"/>
      <c r="Z252" s="47"/>
      <c r="AA252" s="69">
        <v>252</v>
      </c>
      <c r="AB252" s="69"/>
      <c r="AC252" s="70"/>
      <c r="AD252" s="76" t="s">
        <v>11991</v>
      </c>
      <c r="AE252" s="80" t="s">
        <v>12603</v>
      </c>
      <c r="AF252" s="76">
        <v>1375</v>
      </c>
      <c r="AG252" s="76">
        <v>24</v>
      </c>
      <c r="AH252" s="76">
        <v>191</v>
      </c>
      <c r="AI252" s="76">
        <v>29</v>
      </c>
      <c r="AJ252" s="76">
        <v>0</v>
      </c>
      <c r="AK252" s="76">
        <v>83</v>
      </c>
      <c r="AL252" s="76" t="b">
        <v>0</v>
      </c>
      <c r="AM252" s="78">
        <v>41680.795416666668</v>
      </c>
      <c r="AN252" s="76" t="s">
        <v>13003</v>
      </c>
      <c r="AO252" s="76" t="s">
        <v>13451</v>
      </c>
      <c r="AP252" s="82" t="str">
        <f>HYPERLINK("https://t.co/hpebQxfQrh")</f>
        <v>https://t.co/hpebQxfQrh</v>
      </c>
      <c r="AQ252" s="82" t="str">
        <f>HYPERLINK("http://www.juventudmedina.es")</f>
        <v>http://www.juventudmedina.es</v>
      </c>
      <c r="AR252" s="76" t="s">
        <v>14052</v>
      </c>
      <c r="AS252" s="76"/>
      <c r="AT252" s="76"/>
      <c r="AU252" s="76"/>
      <c r="AV252" s="76"/>
      <c r="AW252" s="82" t="str">
        <f>HYPERLINK("https://t.co/hpebQxfQrh")</f>
        <v>https://t.co/hpebQxfQrh</v>
      </c>
      <c r="AX252" s="76" t="b">
        <v>0</v>
      </c>
      <c r="AY252" s="76"/>
      <c r="AZ252" s="76"/>
      <c r="BA252" s="76" t="b">
        <v>0</v>
      </c>
      <c r="BB252" s="76" t="b">
        <v>0</v>
      </c>
      <c r="BC252" s="76" t="b">
        <v>0</v>
      </c>
      <c r="BD252" s="76" t="b">
        <v>0</v>
      </c>
      <c r="BE252" s="76" t="b">
        <v>1</v>
      </c>
      <c r="BF252" s="76" t="b">
        <v>0</v>
      </c>
      <c r="BG252" s="76" t="b">
        <v>0</v>
      </c>
      <c r="BH252" s="82" t="str">
        <f>HYPERLINK("https://pbs.twimg.com/profile_banners/2337128700/1447829195")</f>
        <v>https://pbs.twimg.com/profile_banners/2337128700/1447829195</v>
      </c>
      <c r="BI252" s="76"/>
      <c r="BJ252" s="76" t="s">
        <v>14450</v>
      </c>
      <c r="BK252" s="76" t="b">
        <v>0</v>
      </c>
      <c r="BL252" s="76"/>
      <c r="BM252" s="76" t="s">
        <v>65</v>
      </c>
      <c r="BN252" s="76" t="s">
        <v>14452</v>
      </c>
      <c r="BO252" s="82" t="str">
        <f>HYPERLINK("https://twitter.com/juventud_mdc")</f>
        <v>https://twitter.com/juventud_mdc</v>
      </c>
      <c r="BP252" s="2"/>
    </row>
    <row r="253" spans="1:68" x14ac:dyDescent="0.25">
      <c r="A253" s="62" t="s">
        <v>906</v>
      </c>
      <c r="B253" s="63"/>
      <c r="C253" s="63"/>
      <c r="D253" s="64"/>
      <c r="E253" s="66"/>
      <c r="F253" s="103" t="str">
        <f>HYPERLINK("https://pbs.twimg.com/profile_images/1522136065997512704/PGzroGL1_normal.jpg")</f>
        <v>https://pbs.twimg.com/profile_images/1522136065997512704/PGzroGL1_normal.jpg</v>
      </c>
      <c r="G253" s="63"/>
      <c r="H253" s="67"/>
      <c r="I253" s="68"/>
      <c r="J253" s="68"/>
      <c r="K253" s="67" t="s">
        <v>14702</v>
      </c>
      <c r="L253" s="71"/>
      <c r="M253" s="72"/>
      <c r="N253" s="72"/>
      <c r="O253" s="73"/>
      <c r="P253" s="74"/>
      <c r="Q253" s="74"/>
      <c r="R253" s="87"/>
      <c r="S253" s="87"/>
      <c r="T253" s="87"/>
      <c r="U253" s="87"/>
      <c r="V253" s="48"/>
      <c r="W253" s="48"/>
      <c r="X253" s="48"/>
      <c r="Y253" s="48"/>
      <c r="Z253" s="47"/>
      <c r="AA253" s="69">
        <v>253</v>
      </c>
      <c r="AB253" s="69"/>
      <c r="AC253" s="70"/>
      <c r="AD253" s="76" t="s">
        <v>11992</v>
      </c>
      <c r="AE253" s="80" t="s">
        <v>12604</v>
      </c>
      <c r="AF253" s="76">
        <v>4226</v>
      </c>
      <c r="AG253" s="76">
        <v>955</v>
      </c>
      <c r="AH253" s="76">
        <v>19742</v>
      </c>
      <c r="AI253" s="76">
        <v>93</v>
      </c>
      <c r="AJ253" s="76">
        <v>13664</v>
      </c>
      <c r="AK253" s="76">
        <v>9445</v>
      </c>
      <c r="AL253" s="76" t="b">
        <v>0</v>
      </c>
      <c r="AM253" s="78">
        <v>41218.524745370371</v>
      </c>
      <c r="AN253" s="76" t="s">
        <v>7794</v>
      </c>
      <c r="AO253" s="76" t="s">
        <v>13452</v>
      </c>
      <c r="AP253" s="82" t="str">
        <f>HYPERLINK("https://t.co/W1J4BQMz4P")</f>
        <v>https://t.co/W1J4BQMz4P</v>
      </c>
      <c r="AQ253" s="82" t="str">
        <f>HYPERLINK("http://www.medinadelcampo.es")</f>
        <v>http://www.medinadelcampo.es</v>
      </c>
      <c r="AR253" s="76" t="s">
        <v>14053</v>
      </c>
      <c r="AS253" s="76"/>
      <c r="AT253" s="76"/>
      <c r="AU253" s="76"/>
      <c r="AV253" s="76"/>
      <c r="AW253" s="82" t="str">
        <f>HYPERLINK("https://t.co/W1J4BQMz4P")</f>
        <v>https://t.co/W1J4BQMz4P</v>
      </c>
      <c r="AX253" s="76" t="b">
        <v>0</v>
      </c>
      <c r="AY253" s="76"/>
      <c r="AZ253" s="76"/>
      <c r="BA253" s="76" t="b">
        <v>0</v>
      </c>
      <c r="BB253" s="76" t="b">
        <v>0</v>
      </c>
      <c r="BC253" s="76" t="b">
        <v>1</v>
      </c>
      <c r="BD253" s="76" t="b">
        <v>0</v>
      </c>
      <c r="BE253" s="76" t="b">
        <v>1</v>
      </c>
      <c r="BF253" s="76" t="b">
        <v>0</v>
      </c>
      <c r="BG253" s="76" t="b">
        <v>0</v>
      </c>
      <c r="BH253" s="82" t="str">
        <f>HYPERLINK("https://pbs.twimg.com/profile_banners/927539245/1651740571")</f>
        <v>https://pbs.twimg.com/profile_banners/927539245/1651740571</v>
      </c>
      <c r="BI253" s="76"/>
      <c r="BJ253" s="76" t="s">
        <v>14450</v>
      </c>
      <c r="BK253" s="76" t="b">
        <v>0</v>
      </c>
      <c r="BL253" s="76"/>
      <c r="BM253" s="76" t="s">
        <v>65</v>
      </c>
      <c r="BN253" s="76" t="s">
        <v>14452</v>
      </c>
      <c r="BO253" s="82" t="str">
        <f>HYPERLINK("https://twitter.com/ayuntamientomdc")</f>
        <v>https://twitter.com/ayuntamientomdc</v>
      </c>
      <c r="BP253" s="2"/>
    </row>
    <row r="254" spans="1:68" x14ac:dyDescent="0.25">
      <c r="A254" s="62" t="s">
        <v>907</v>
      </c>
      <c r="B254" s="63"/>
      <c r="C254" s="63"/>
      <c r="D254" s="64"/>
      <c r="E254" s="66"/>
      <c r="F254" s="103" t="str">
        <f>HYPERLINK("https://pbs.twimg.com/profile_images/1269900856608120833/5X7Bl6d5_normal.jpg")</f>
        <v>https://pbs.twimg.com/profile_images/1269900856608120833/5X7Bl6d5_normal.jpg</v>
      </c>
      <c r="G254" s="63"/>
      <c r="H254" s="67"/>
      <c r="I254" s="68"/>
      <c r="J254" s="68"/>
      <c r="K254" s="67" t="s">
        <v>14703</v>
      </c>
      <c r="L254" s="71"/>
      <c r="M254" s="72"/>
      <c r="N254" s="72"/>
      <c r="O254" s="73"/>
      <c r="P254" s="74"/>
      <c r="Q254" s="74"/>
      <c r="R254" s="87"/>
      <c r="S254" s="87"/>
      <c r="T254" s="87"/>
      <c r="U254" s="87"/>
      <c r="V254" s="48"/>
      <c r="W254" s="48"/>
      <c r="X254" s="48"/>
      <c r="Y254" s="48"/>
      <c r="Z254" s="47"/>
      <c r="AA254" s="69">
        <v>254</v>
      </c>
      <c r="AB254" s="69"/>
      <c r="AC254" s="70"/>
      <c r="AD254" s="76" t="s">
        <v>11993</v>
      </c>
      <c r="AE254" s="80" t="s">
        <v>12605</v>
      </c>
      <c r="AF254" s="76">
        <v>8502</v>
      </c>
      <c r="AG254" s="76">
        <v>64</v>
      </c>
      <c r="AH254" s="76">
        <v>21308</v>
      </c>
      <c r="AI254" s="76">
        <v>119</v>
      </c>
      <c r="AJ254" s="76">
        <v>75</v>
      </c>
      <c r="AK254" s="76">
        <v>17259</v>
      </c>
      <c r="AL254" s="76" t="b">
        <v>0</v>
      </c>
      <c r="AM254" s="78">
        <v>42991.300682870373</v>
      </c>
      <c r="AN254" s="76" t="s">
        <v>13004</v>
      </c>
      <c r="AO254" s="76" t="s">
        <v>13453</v>
      </c>
      <c r="AP254" s="82" t="str">
        <f>HYPERLINK("https://t.co/XH0XaL3Gw0")</f>
        <v>https://t.co/XH0XaL3Gw0</v>
      </c>
      <c r="AQ254" s="82" t="str">
        <f>HYPERLINK("http://www.empleo.jcyl.es/")</f>
        <v>http://www.empleo.jcyl.es/</v>
      </c>
      <c r="AR254" s="76" t="s">
        <v>14054</v>
      </c>
      <c r="AS254" s="76"/>
      <c r="AT254" s="76"/>
      <c r="AU254" s="76"/>
      <c r="AV254" s="76">
        <v>1.70624191352158E+18</v>
      </c>
      <c r="AW254" s="82" t="str">
        <f>HYPERLINK("https://t.co/XH0XaL3Gw0")</f>
        <v>https://t.co/XH0XaL3Gw0</v>
      </c>
      <c r="AX254" s="76" t="b">
        <v>0</v>
      </c>
      <c r="AY254" s="76"/>
      <c r="AZ254" s="76"/>
      <c r="BA254" s="76" t="b">
        <v>1</v>
      </c>
      <c r="BB254" s="76" t="b">
        <v>1</v>
      </c>
      <c r="BC254" s="76" t="b">
        <v>1</v>
      </c>
      <c r="BD254" s="76" t="b">
        <v>0</v>
      </c>
      <c r="BE254" s="76" t="b">
        <v>0</v>
      </c>
      <c r="BF254" s="76" t="b">
        <v>0</v>
      </c>
      <c r="BG254" s="76" t="b">
        <v>0</v>
      </c>
      <c r="BH254" s="82" t="str">
        <f>HYPERLINK("https://pbs.twimg.com/profile_banners/907864669796421633/1569843035")</f>
        <v>https://pbs.twimg.com/profile_banners/907864669796421633/1569843035</v>
      </c>
      <c r="BI254" s="76"/>
      <c r="BJ254" s="76" t="s">
        <v>14450</v>
      </c>
      <c r="BK254" s="76" t="b">
        <v>0</v>
      </c>
      <c r="BL254" s="76"/>
      <c r="BM254" s="76" t="s">
        <v>65</v>
      </c>
      <c r="BN254" s="76" t="s">
        <v>14452</v>
      </c>
      <c r="BO254" s="82" t="str">
        <f>HYPERLINK("https://twitter.com/empleojcyl")</f>
        <v>https://twitter.com/empleojcyl</v>
      </c>
      <c r="BP254" s="2"/>
    </row>
    <row r="255" spans="1:68" x14ac:dyDescent="0.25">
      <c r="A255" s="62" t="s">
        <v>432</v>
      </c>
      <c r="B255" s="63"/>
      <c r="C255" s="63"/>
      <c r="D255" s="64"/>
      <c r="E255" s="66"/>
      <c r="F255" s="103" t="str">
        <f>HYPERLINK("https://pbs.twimg.com/profile_images/1491760400844693506/l7MWcG8g_normal.jpg")</f>
        <v>https://pbs.twimg.com/profile_images/1491760400844693506/l7MWcG8g_normal.jpg</v>
      </c>
      <c r="G255" s="63"/>
      <c r="H255" s="67"/>
      <c r="I255" s="68"/>
      <c r="J255" s="68"/>
      <c r="K255" s="67" t="s">
        <v>14704</v>
      </c>
      <c r="L255" s="71"/>
      <c r="M255" s="72"/>
      <c r="N255" s="72"/>
      <c r="O255" s="73"/>
      <c r="P255" s="74"/>
      <c r="Q255" s="74"/>
      <c r="R255" s="87"/>
      <c r="S255" s="87"/>
      <c r="T255" s="87"/>
      <c r="U255" s="87"/>
      <c r="V255" s="48"/>
      <c r="W255" s="48"/>
      <c r="X255" s="48"/>
      <c r="Y255" s="48"/>
      <c r="Z255" s="47"/>
      <c r="AA255" s="69">
        <v>255</v>
      </c>
      <c r="AB255" s="69"/>
      <c r="AC255" s="70"/>
      <c r="AD255" s="76" t="s">
        <v>11994</v>
      </c>
      <c r="AE255" s="80" t="s">
        <v>11507</v>
      </c>
      <c r="AF255" s="76">
        <v>239</v>
      </c>
      <c r="AG255" s="76">
        <v>1072</v>
      </c>
      <c r="AH255" s="76">
        <v>224</v>
      </c>
      <c r="AI255" s="76">
        <v>0</v>
      </c>
      <c r="AJ255" s="76">
        <v>40</v>
      </c>
      <c r="AK255" s="76">
        <v>164</v>
      </c>
      <c r="AL255" s="76" t="b">
        <v>0</v>
      </c>
      <c r="AM255" s="78">
        <v>44602.545937499999</v>
      </c>
      <c r="AN255" s="76"/>
      <c r="AO255" s="76"/>
      <c r="AP255" s="76"/>
      <c r="AQ255" s="76"/>
      <c r="AR255" s="76"/>
      <c r="AS255" s="76"/>
      <c r="AT255" s="76"/>
      <c r="AU255" s="76"/>
      <c r="AV255" s="76"/>
      <c r="AW255" s="76"/>
      <c r="AX255" s="76" t="b">
        <v>0</v>
      </c>
      <c r="AY255" s="76"/>
      <c r="AZ255" s="76"/>
      <c r="BA255" s="76" t="b">
        <v>1</v>
      </c>
      <c r="BB255" s="76" t="b">
        <v>1</v>
      </c>
      <c r="BC255" s="76" t="b">
        <v>1</v>
      </c>
      <c r="BD255" s="76" t="b">
        <v>0</v>
      </c>
      <c r="BE255" s="76" t="b">
        <v>0</v>
      </c>
      <c r="BF255" s="76" t="b">
        <v>0</v>
      </c>
      <c r="BG255" s="76" t="b">
        <v>0</v>
      </c>
      <c r="BH255" s="76"/>
      <c r="BI255" s="76"/>
      <c r="BJ255" s="76" t="s">
        <v>14450</v>
      </c>
      <c r="BK255" s="76" t="b">
        <v>0</v>
      </c>
      <c r="BL255" s="76"/>
      <c r="BM255" s="76" t="s">
        <v>66</v>
      </c>
      <c r="BN255" s="76" t="s">
        <v>14452</v>
      </c>
      <c r="BO255" s="82" t="str">
        <f>HYPERLINK("https://twitter.com/dandresamado")</f>
        <v>https://twitter.com/dandresamado</v>
      </c>
      <c r="BP255" s="2"/>
    </row>
    <row r="256" spans="1:68" x14ac:dyDescent="0.25">
      <c r="A256" s="62" t="s">
        <v>433</v>
      </c>
      <c r="B256" s="63"/>
      <c r="C256" s="63"/>
      <c r="D256" s="64"/>
      <c r="E256" s="66"/>
      <c r="F256" s="103" t="str">
        <f>HYPERLINK("https://pbs.twimg.com/profile_images/1582961470500921344/xyquP2lX_normal.jpg")</f>
        <v>https://pbs.twimg.com/profile_images/1582961470500921344/xyquP2lX_normal.jpg</v>
      </c>
      <c r="G256" s="63"/>
      <c r="H256" s="67"/>
      <c r="I256" s="68"/>
      <c r="J256" s="68"/>
      <c r="K256" s="67" t="s">
        <v>14705</v>
      </c>
      <c r="L256" s="71"/>
      <c r="M256" s="72"/>
      <c r="N256" s="72"/>
      <c r="O256" s="73"/>
      <c r="P256" s="74"/>
      <c r="Q256" s="74"/>
      <c r="R256" s="87"/>
      <c r="S256" s="87"/>
      <c r="T256" s="87"/>
      <c r="U256" s="87"/>
      <c r="V256" s="48"/>
      <c r="W256" s="48"/>
      <c r="X256" s="48"/>
      <c r="Y256" s="48"/>
      <c r="Z256" s="47"/>
      <c r="AA256" s="69">
        <v>256</v>
      </c>
      <c r="AB256" s="69"/>
      <c r="AC256" s="70"/>
      <c r="AD256" s="76" t="s">
        <v>11995</v>
      </c>
      <c r="AE256" s="80" t="s">
        <v>11508</v>
      </c>
      <c r="AF256" s="76">
        <v>3067</v>
      </c>
      <c r="AG256" s="76">
        <v>107</v>
      </c>
      <c r="AH256" s="76">
        <v>22202</v>
      </c>
      <c r="AI256" s="76">
        <v>35</v>
      </c>
      <c r="AJ256" s="76">
        <v>3900</v>
      </c>
      <c r="AK256" s="76">
        <v>6284</v>
      </c>
      <c r="AL256" s="76" t="b">
        <v>0</v>
      </c>
      <c r="AM256" s="78">
        <v>43036.750856481478</v>
      </c>
      <c r="AN256" s="76" t="s">
        <v>12888</v>
      </c>
      <c r="AO256" s="76" t="s">
        <v>13454</v>
      </c>
      <c r="AP256" s="82" t="str">
        <f>HYPERLINK("https://t.co/jT07CVl1qF")</f>
        <v>https://t.co/jT07CVl1qF</v>
      </c>
      <c r="AQ256" s="82" t="str">
        <f>HYPERLINK("https://librosflash.com")</f>
        <v>https://librosflash.com</v>
      </c>
      <c r="AR256" s="76" t="s">
        <v>14055</v>
      </c>
      <c r="AS256" s="76"/>
      <c r="AT256" s="76"/>
      <c r="AU256" s="76"/>
      <c r="AV256" s="76"/>
      <c r="AW256" s="82" t="str">
        <f>HYPERLINK("https://t.co/jT07CVl1qF")</f>
        <v>https://t.co/jT07CVl1qF</v>
      </c>
      <c r="AX256" s="76" t="b">
        <v>0</v>
      </c>
      <c r="AY256" s="76"/>
      <c r="AZ256" s="76"/>
      <c r="BA256" s="76" t="b">
        <v>1</v>
      </c>
      <c r="BB256" s="76" t="b">
        <v>1</v>
      </c>
      <c r="BC256" s="76" t="b">
        <v>1</v>
      </c>
      <c r="BD256" s="76" t="b">
        <v>0</v>
      </c>
      <c r="BE256" s="76" t="b">
        <v>1</v>
      </c>
      <c r="BF256" s="76" t="b">
        <v>0</v>
      </c>
      <c r="BG256" s="76" t="b">
        <v>0</v>
      </c>
      <c r="BH256" s="82" t="str">
        <f>HYPERLINK("https://pbs.twimg.com/profile_banners/924335259969359872/1590701505")</f>
        <v>https://pbs.twimg.com/profile_banners/924335259969359872/1590701505</v>
      </c>
      <c r="BI256" s="76"/>
      <c r="BJ256" s="76" t="s">
        <v>14450</v>
      </c>
      <c r="BK256" s="76" t="b">
        <v>0</v>
      </c>
      <c r="BL256" s="76"/>
      <c r="BM256" s="76" t="s">
        <v>66</v>
      </c>
      <c r="BN256" s="76" t="s">
        <v>14452</v>
      </c>
      <c r="BO256" s="82" t="str">
        <f>HYPERLINK("https://twitter.com/librosflash")</f>
        <v>https://twitter.com/librosflash</v>
      </c>
      <c r="BP256" s="2"/>
    </row>
    <row r="257" spans="1:68" x14ac:dyDescent="0.25">
      <c r="A257" s="62" t="s">
        <v>908</v>
      </c>
      <c r="B257" s="63"/>
      <c r="C257" s="63"/>
      <c r="D257" s="64"/>
      <c r="E257" s="66"/>
      <c r="F257" s="103" t="str">
        <f>HYPERLINK("https://pbs.twimg.com/profile_images/1597613720242425856/QWOX8kK7_normal.jpg")</f>
        <v>https://pbs.twimg.com/profile_images/1597613720242425856/QWOX8kK7_normal.jpg</v>
      </c>
      <c r="G257" s="63"/>
      <c r="H257" s="67"/>
      <c r="I257" s="68"/>
      <c r="J257" s="68"/>
      <c r="K257" s="67" t="s">
        <v>14706</v>
      </c>
      <c r="L257" s="71"/>
      <c r="M257" s="72"/>
      <c r="N257" s="72"/>
      <c r="O257" s="73"/>
      <c r="P257" s="74"/>
      <c r="Q257" s="74"/>
      <c r="R257" s="87"/>
      <c r="S257" s="87"/>
      <c r="T257" s="87"/>
      <c r="U257" s="87"/>
      <c r="V257" s="48"/>
      <c r="W257" s="48"/>
      <c r="X257" s="48"/>
      <c r="Y257" s="48"/>
      <c r="Z257" s="47"/>
      <c r="AA257" s="69">
        <v>257</v>
      </c>
      <c r="AB257" s="69"/>
      <c r="AC257" s="70"/>
      <c r="AD257" s="76" t="s">
        <v>11996</v>
      </c>
      <c r="AE257" s="80" t="s">
        <v>12606</v>
      </c>
      <c r="AF257" s="76">
        <v>1530</v>
      </c>
      <c r="AG257" s="76">
        <v>719</v>
      </c>
      <c r="AH257" s="76">
        <v>13765</v>
      </c>
      <c r="AI257" s="76">
        <v>61</v>
      </c>
      <c r="AJ257" s="76">
        <v>3450</v>
      </c>
      <c r="AK257" s="76">
        <v>1704</v>
      </c>
      <c r="AL257" s="76" t="b">
        <v>0</v>
      </c>
      <c r="AM257" s="78">
        <v>40150.588831018518</v>
      </c>
      <c r="AN257" s="76" t="s">
        <v>13005</v>
      </c>
      <c r="AO257" s="76" t="s">
        <v>13455</v>
      </c>
      <c r="AP257" s="82" t="str">
        <f>HYPERLINK("https://t.co/0gDY62slLX")</f>
        <v>https://t.co/0gDY62slLX</v>
      </c>
      <c r="AQ257" s="82" t="str">
        <f>HYPERLINK("http://shor.by/santiagotorre")</f>
        <v>http://shor.by/santiagotorre</v>
      </c>
      <c r="AR257" s="76" t="s">
        <v>14056</v>
      </c>
      <c r="AS257" s="76" t="s">
        <v>14373</v>
      </c>
      <c r="AT257" s="76" t="s">
        <v>14384</v>
      </c>
      <c r="AU257" s="76" t="s">
        <v>14412</v>
      </c>
      <c r="AV257" s="76">
        <v>1.5711721372972301E+18</v>
      </c>
      <c r="AW257" s="82" t="str">
        <f>HYPERLINK("https://t.co/0gDY62slLX")</f>
        <v>https://t.co/0gDY62slLX</v>
      </c>
      <c r="AX257" s="76" t="b">
        <v>0</v>
      </c>
      <c r="AY257" s="76"/>
      <c r="AZ257" s="76"/>
      <c r="BA257" s="76" t="b">
        <v>1</v>
      </c>
      <c r="BB257" s="76" t="b">
        <v>1</v>
      </c>
      <c r="BC257" s="76" t="b">
        <v>0</v>
      </c>
      <c r="BD257" s="76" t="b">
        <v>0</v>
      </c>
      <c r="BE257" s="76" t="b">
        <v>1</v>
      </c>
      <c r="BF257" s="76" t="b">
        <v>0</v>
      </c>
      <c r="BG257" s="76" t="b">
        <v>0</v>
      </c>
      <c r="BH257" s="82" t="str">
        <f>HYPERLINK("https://pbs.twimg.com/profile_banners/94335803/1660925944")</f>
        <v>https://pbs.twimg.com/profile_banners/94335803/1660925944</v>
      </c>
      <c r="BI257" s="76"/>
      <c r="BJ257" s="76" t="s">
        <v>14450</v>
      </c>
      <c r="BK257" s="76" t="b">
        <v>0</v>
      </c>
      <c r="BL257" s="76"/>
      <c r="BM257" s="76" t="s">
        <v>65</v>
      </c>
      <c r="BN257" s="76" t="s">
        <v>14452</v>
      </c>
      <c r="BO257" s="82" t="str">
        <f>HYPERLINK("https://twitter.com/santiagotorre")</f>
        <v>https://twitter.com/santiagotorre</v>
      </c>
      <c r="BP257" s="2"/>
    </row>
    <row r="258" spans="1:68" x14ac:dyDescent="0.25">
      <c r="A258" s="62" t="s">
        <v>434</v>
      </c>
      <c r="B258" s="63"/>
      <c r="C258" s="63"/>
      <c r="D258" s="64"/>
      <c r="E258" s="66"/>
      <c r="F258" s="103" t="str">
        <f>HYPERLINK("https://pbs.twimg.com/profile_images/1536222400777428993/aqRF5sCT_normal.jpg")</f>
        <v>https://pbs.twimg.com/profile_images/1536222400777428993/aqRF5sCT_normal.jpg</v>
      </c>
      <c r="G258" s="63"/>
      <c r="H258" s="67"/>
      <c r="I258" s="68"/>
      <c r="J258" s="68"/>
      <c r="K258" s="67" t="s">
        <v>14707</v>
      </c>
      <c r="L258" s="71"/>
      <c r="M258" s="72"/>
      <c r="N258" s="72"/>
      <c r="O258" s="73"/>
      <c r="P258" s="74"/>
      <c r="Q258" s="74"/>
      <c r="R258" s="87"/>
      <c r="S258" s="87"/>
      <c r="T258" s="87"/>
      <c r="U258" s="87"/>
      <c r="V258" s="48"/>
      <c r="W258" s="48"/>
      <c r="X258" s="48"/>
      <c r="Y258" s="48"/>
      <c r="Z258" s="47"/>
      <c r="AA258" s="69">
        <v>258</v>
      </c>
      <c r="AB258" s="69"/>
      <c r="AC258" s="70"/>
      <c r="AD258" s="76" t="s">
        <v>11997</v>
      </c>
      <c r="AE258" s="80" t="s">
        <v>11509</v>
      </c>
      <c r="AF258" s="76">
        <v>82</v>
      </c>
      <c r="AG258" s="76">
        <v>27</v>
      </c>
      <c r="AH258" s="76">
        <v>279</v>
      </c>
      <c r="AI258" s="76">
        <v>0</v>
      </c>
      <c r="AJ258" s="76">
        <v>75</v>
      </c>
      <c r="AK258" s="76">
        <v>124</v>
      </c>
      <c r="AL258" s="76" t="b">
        <v>0</v>
      </c>
      <c r="AM258" s="78">
        <v>44725.237476851849</v>
      </c>
      <c r="AN258" s="76" t="s">
        <v>13006</v>
      </c>
      <c r="AO258" s="76" t="s">
        <v>13456</v>
      </c>
      <c r="AP258" s="82" t="str">
        <f>HYPERLINK("https://t.co/Itn600Qgw2")</f>
        <v>https://t.co/Itn600Qgw2</v>
      </c>
      <c r="AQ258" s="82" t="str">
        <f>HYPERLINK("https://youtube.com/channel/UCVrH2iBNnWZzaY3KadIQjQg")</f>
        <v>https://youtube.com/channel/UCVrH2iBNnWZzaY3KadIQjQg</v>
      </c>
      <c r="AR258" s="76" t="s">
        <v>14057</v>
      </c>
      <c r="AS258" s="82" t="str">
        <f>HYPERLINK("https://t.co/AWbjksAYo9")</f>
        <v>https://t.co/AWbjksAYo9</v>
      </c>
      <c r="AT258" s="76" t="s">
        <v>14385</v>
      </c>
      <c r="AU258" s="76" t="s">
        <v>14413</v>
      </c>
      <c r="AV258" s="76"/>
      <c r="AW258" s="82" t="str">
        <f>HYPERLINK("https://t.co/Itn600Qgw2")</f>
        <v>https://t.co/Itn600Qgw2</v>
      </c>
      <c r="AX258" s="76" t="b">
        <v>0</v>
      </c>
      <c r="AY258" s="76"/>
      <c r="AZ258" s="76"/>
      <c r="BA258" s="76" t="b">
        <v>0</v>
      </c>
      <c r="BB258" s="76" t="b">
        <v>1</v>
      </c>
      <c r="BC258" s="76" t="b">
        <v>1</v>
      </c>
      <c r="BD258" s="76" t="b">
        <v>0</v>
      </c>
      <c r="BE258" s="76" t="b">
        <v>0</v>
      </c>
      <c r="BF258" s="76" t="b">
        <v>0</v>
      </c>
      <c r="BG258" s="76" t="b">
        <v>0</v>
      </c>
      <c r="BH258" s="76"/>
      <c r="BI258" s="76"/>
      <c r="BJ258" s="76" t="s">
        <v>14450</v>
      </c>
      <c r="BK258" s="76" t="b">
        <v>0</v>
      </c>
      <c r="BL258" s="76"/>
      <c r="BM258" s="76" t="s">
        <v>66</v>
      </c>
      <c r="BN258" s="76" t="s">
        <v>14452</v>
      </c>
      <c r="BO258" s="82" t="str">
        <f>HYPERLINK("https://twitter.com/empleosrealesyt")</f>
        <v>https://twitter.com/empleosrealesyt</v>
      </c>
      <c r="BP258" s="2"/>
    </row>
    <row r="259" spans="1:68" x14ac:dyDescent="0.25">
      <c r="A259" s="62" t="s">
        <v>435</v>
      </c>
      <c r="B259" s="63"/>
      <c r="C259" s="63"/>
      <c r="D259" s="64"/>
      <c r="E259" s="66"/>
      <c r="F259" s="103" t="str">
        <f>HYPERLINK("https://pbs.twimg.com/profile_images/1662910309034590211/ACU_RVI4_normal.jpg")</f>
        <v>https://pbs.twimg.com/profile_images/1662910309034590211/ACU_RVI4_normal.jpg</v>
      </c>
      <c r="G259" s="63"/>
      <c r="H259" s="67"/>
      <c r="I259" s="68"/>
      <c r="J259" s="68"/>
      <c r="K259" s="67" t="s">
        <v>14708</v>
      </c>
      <c r="L259" s="71"/>
      <c r="M259" s="72"/>
      <c r="N259" s="72"/>
      <c r="O259" s="73"/>
      <c r="P259" s="74"/>
      <c r="Q259" s="74"/>
      <c r="R259" s="87"/>
      <c r="S259" s="87"/>
      <c r="T259" s="87"/>
      <c r="U259" s="87"/>
      <c r="V259" s="48"/>
      <c r="W259" s="48"/>
      <c r="X259" s="48"/>
      <c r="Y259" s="48"/>
      <c r="Z259" s="47"/>
      <c r="AA259" s="69">
        <v>259</v>
      </c>
      <c r="AB259" s="69"/>
      <c r="AC259" s="70"/>
      <c r="AD259" s="76" t="s">
        <v>11998</v>
      </c>
      <c r="AE259" s="80" t="s">
        <v>11510</v>
      </c>
      <c r="AF259" s="76">
        <v>0</v>
      </c>
      <c r="AG259" s="76">
        <v>7</v>
      </c>
      <c r="AH259" s="76">
        <v>11</v>
      </c>
      <c r="AI259" s="76">
        <v>0</v>
      </c>
      <c r="AJ259" s="76">
        <v>0</v>
      </c>
      <c r="AK259" s="76">
        <v>7</v>
      </c>
      <c r="AL259" s="76" t="b">
        <v>0</v>
      </c>
      <c r="AM259" s="78">
        <v>45013.712442129632</v>
      </c>
      <c r="AN259" s="76" t="s">
        <v>7809</v>
      </c>
      <c r="AO259" s="76" t="s">
        <v>13457</v>
      </c>
      <c r="AP259" s="76"/>
      <c r="AQ259" s="76"/>
      <c r="AR259" s="76"/>
      <c r="AS259" s="76"/>
      <c r="AT259" s="76"/>
      <c r="AU259" s="76"/>
      <c r="AV259" s="76"/>
      <c r="AW259" s="76"/>
      <c r="AX259" s="76" t="b">
        <v>0</v>
      </c>
      <c r="AY259" s="76"/>
      <c r="AZ259" s="76"/>
      <c r="BA259" s="76" t="b">
        <v>0</v>
      </c>
      <c r="BB259" s="76" t="b">
        <v>1</v>
      </c>
      <c r="BC259" s="76" t="b">
        <v>1</v>
      </c>
      <c r="BD259" s="76" t="b">
        <v>0</v>
      </c>
      <c r="BE259" s="76" t="b">
        <v>0</v>
      </c>
      <c r="BF259" s="76" t="b">
        <v>0</v>
      </c>
      <c r="BG259" s="76" t="b">
        <v>0</v>
      </c>
      <c r="BH259" s="76"/>
      <c r="BI259" s="76"/>
      <c r="BJ259" s="76" t="s">
        <v>14450</v>
      </c>
      <c r="BK259" s="76" t="b">
        <v>0</v>
      </c>
      <c r="BL259" s="76"/>
      <c r="BM259" s="76" t="s">
        <v>66</v>
      </c>
      <c r="BN259" s="76" t="s">
        <v>14452</v>
      </c>
      <c r="BO259" s="82" t="str">
        <f>HYPERLINK("https://twitter.com/josy85547308")</f>
        <v>https://twitter.com/josy85547308</v>
      </c>
      <c r="BP259" s="2"/>
    </row>
    <row r="260" spans="1:68" x14ac:dyDescent="0.25">
      <c r="A260" s="62" t="s">
        <v>436</v>
      </c>
      <c r="B260" s="63"/>
      <c r="C260" s="63"/>
      <c r="D260" s="64"/>
      <c r="E260" s="66"/>
      <c r="F260" s="103" t="str">
        <f>HYPERLINK("https://pbs.twimg.com/profile_images/1578919495799914498/UTTrKOLe_normal.jpg")</f>
        <v>https://pbs.twimg.com/profile_images/1578919495799914498/UTTrKOLe_normal.jpg</v>
      </c>
      <c r="G260" s="63"/>
      <c r="H260" s="67"/>
      <c r="I260" s="68"/>
      <c r="J260" s="68"/>
      <c r="K260" s="67" t="s">
        <v>14709</v>
      </c>
      <c r="L260" s="71"/>
      <c r="M260" s="72"/>
      <c r="N260" s="72"/>
      <c r="O260" s="73"/>
      <c r="P260" s="74"/>
      <c r="Q260" s="74"/>
      <c r="R260" s="87"/>
      <c r="S260" s="87"/>
      <c r="T260" s="87"/>
      <c r="U260" s="87"/>
      <c r="V260" s="48"/>
      <c r="W260" s="48"/>
      <c r="X260" s="48"/>
      <c r="Y260" s="48"/>
      <c r="Z260" s="47"/>
      <c r="AA260" s="69">
        <v>260</v>
      </c>
      <c r="AB260" s="69"/>
      <c r="AC260" s="70"/>
      <c r="AD260" s="76" t="s">
        <v>11999</v>
      </c>
      <c r="AE260" s="80" t="s">
        <v>11511</v>
      </c>
      <c r="AF260" s="76">
        <v>9</v>
      </c>
      <c r="AG260" s="76">
        <v>1</v>
      </c>
      <c r="AH260" s="76">
        <v>68</v>
      </c>
      <c r="AI260" s="76">
        <v>0</v>
      </c>
      <c r="AJ260" s="76">
        <v>0</v>
      </c>
      <c r="AK260" s="76">
        <v>66</v>
      </c>
      <c r="AL260" s="76" t="b">
        <v>0</v>
      </c>
      <c r="AM260" s="78">
        <v>44821.797662037039</v>
      </c>
      <c r="AN260" s="76" t="s">
        <v>12888</v>
      </c>
      <c r="AO260" s="76" t="s">
        <v>13458</v>
      </c>
      <c r="AP260" s="82" t="str">
        <f>HYPERLINK("https://t.co/Ckdd2NysoY")</f>
        <v>https://t.co/Ckdd2NysoY</v>
      </c>
      <c r="AQ260" s="82" t="str">
        <f>HYPERLINK("http://LegalMente.etsy.com")</f>
        <v>http://LegalMente.etsy.com</v>
      </c>
      <c r="AR260" s="76" t="s">
        <v>14058</v>
      </c>
      <c r="AS260" s="82" t="str">
        <f>HYPERLINK("https://t.co/bFsgFfvNb6")</f>
        <v>https://t.co/bFsgFfvNb6</v>
      </c>
      <c r="AT260" s="82" t="str">
        <f>HYPERLINK("http://www.legalmente.info")</f>
        <v>http://www.legalmente.info</v>
      </c>
      <c r="AU260" s="76" t="s">
        <v>14414</v>
      </c>
      <c r="AV260" s="76"/>
      <c r="AW260" s="82" t="str">
        <f>HYPERLINK("https://t.co/Ckdd2NysoY")</f>
        <v>https://t.co/Ckdd2NysoY</v>
      </c>
      <c r="AX260" s="76" t="b">
        <v>0</v>
      </c>
      <c r="AY260" s="76"/>
      <c r="AZ260" s="76"/>
      <c r="BA260" s="76" t="b">
        <v>0</v>
      </c>
      <c r="BB260" s="76" t="b">
        <v>1</v>
      </c>
      <c r="BC260" s="76" t="b">
        <v>1</v>
      </c>
      <c r="BD260" s="76" t="b">
        <v>0</v>
      </c>
      <c r="BE260" s="76" t="b">
        <v>0</v>
      </c>
      <c r="BF260" s="76" t="b">
        <v>0</v>
      </c>
      <c r="BG260" s="76" t="b">
        <v>0</v>
      </c>
      <c r="BH260" s="82" t="str">
        <f>HYPERLINK("https://pbs.twimg.com/profile_banners/1571214487193001986/1665278718")</f>
        <v>https://pbs.twimg.com/profile_banners/1571214487193001986/1665278718</v>
      </c>
      <c r="BI260" s="76"/>
      <c r="BJ260" s="76" t="s">
        <v>14450</v>
      </c>
      <c r="BK260" s="76" t="b">
        <v>0</v>
      </c>
      <c r="BL260" s="76"/>
      <c r="BM260" s="76" t="s">
        <v>66</v>
      </c>
      <c r="BN260" s="76" t="s">
        <v>14452</v>
      </c>
      <c r="BO260" s="82" t="str">
        <f>HYPERLINK("https://twitter.com/legalmenterrss")</f>
        <v>https://twitter.com/legalmenterrss</v>
      </c>
      <c r="BP260" s="2"/>
    </row>
    <row r="261" spans="1:68" x14ac:dyDescent="0.25">
      <c r="A261" s="62" t="s">
        <v>437</v>
      </c>
      <c r="B261" s="63"/>
      <c r="C261" s="63"/>
      <c r="D261" s="64"/>
      <c r="E261" s="66"/>
      <c r="F261" s="103" t="str">
        <f>HYPERLINK("https://pbs.twimg.com/profile_images/1670086977113186305/4Vtn0Wux_normal.png")</f>
        <v>https://pbs.twimg.com/profile_images/1670086977113186305/4Vtn0Wux_normal.png</v>
      </c>
      <c r="G261" s="63"/>
      <c r="H261" s="67"/>
      <c r="I261" s="68"/>
      <c r="J261" s="68"/>
      <c r="K261" s="67" t="s">
        <v>14710</v>
      </c>
      <c r="L261" s="71"/>
      <c r="M261" s="72"/>
      <c r="N261" s="72"/>
      <c r="O261" s="73"/>
      <c r="P261" s="74"/>
      <c r="Q261" s="74"/>
      <c r="R261" s="87"/>
      <c r="S261" s="87"/>
      <c r="T261" s="87"/>
      <c r="U261" s="87"/>
      <c r="V261" s="48"/>
      <c r="W261" s="48"/>
      <c r="X261" s="48"/>
      <c r="Y261" s="48"/>
      <c r="Z261" s="47"/>
      <c r="AA261" s="69">
        <v>261</v>
      </c>
      <c r="AB261" s="69"/>
      <c r="AC261" s="70"/>
      <c r="AD261" s="76" t="s">
        <v>437</v>
      </c>
      <c r="AE261" s="80" t="s">
        <v>11512</v>
      </c>
      <c r="AF261" s="76">
        <v>1796</v>
      </c>
      <c r="AG261" s="76">
        <v>2523</v>
      </c>
      <c r="AH261" s="76">
        <v>531</v>
      </c>
      <c r="AI261" s="76">
        <v>0</v>
      </c>
      <c r="AJ261" s="76">
        <v>557</v>
      </c>
      <c r="AK261" s="76">
        <v>241</v>
      </c>
      <c r="AL261" s="76" t="b">
        <v>0</v>
      </c>
      <c r="AM261" s="78">
        <v>45094.63354166667</v>
      </c>
      <c r="AN261" s="76" t="s">
        <v>13007</v>
      </c>
      <c r="AO261" s="76" t="s">
        <v>13459</v>
      </c>
      <c r="AP261" s="82" t="str">
        <f>HYPERLINK("https://t.co/ZQwN0Eptyb")</f>
        <v>https://t.co/ZQwN0Eptyb</v>
      </c>
      <c r="AQ261" s="82" t="str">
        <f>HYPERLINK("https://linktr.ee/workshopdantas")</f>
        <v>https://linktr.ee/workshopdantas</v>
      </c>
      <c r="AR261" s="76" t="s">
        <v>14059</v>
      </c>
      <c r="AS261" s="76"/>
      <c r="AT261" s="76"/>
      <c r="AU261" s="76"/>
      <c r="AV261" s="76">
        <v>1.7059997243507699E+18</v>
      </c>
      <c r="AW261" s="82" t="str">
        <f>HYPERLINK("https://t.co/ZQwN0Eptyb")</f>
        <v>https://t.co/ZQwN0Eptyb</v>
      </c>
      <c r="AX261" s="76" t="b">
        <v>0</v>
      </c>
      <c r="AY261" s="76"/>
      <c r="AZ261" s="76"/>
      <c r="BA261" s="76" t="b">
        <v>1</v>
      </c>
      <c r="BB261" s="76" t="b">
        <v>1</v>
      </c>
      <c r="BC261" s="76" t="b">
        <v>1</v>
      </c>
      <c r="BD261" s="76" t="b">
        <v>0</v>
      </c>
      <c r="BE261" s="76" t="b">
        <v>0</v>
      </c>
      <c r="BF261" s="76" t="b">
        <v>0</v>
      </c>
      <c r="BG261" s="76" t="b">
        <v>0</v>
      </c>
      <c r="BH261" s="82" t="str">
        <f>HYPERLINK("https://pbs.twimg.com/profile_banners/1670086879197233152/1695815333")</f>
        <v>https://pbs.twimg.com/profile_banners/1670086879197233152/1695815333</v>
      </c>
      <c r="BI261" s="76"/>
      <c r="BJ261" s="76" t="s">
        <v>14450</v>
      </c>
      <c r="BK261" s="76" t="b">
        <v>0</v>
      </c>
      <c r="BL261" s="76"/>
      <c r="BM261" s="76" t="s">
        <v>66</v>
      </c>
      <c r="BN261" s="76" t="s">
        <v>14452</v>
      </c>
      <c r="BO261" s="82" t="str">
        <f>HYPERLINK("https://twitter.com/workshopdantas")</f>
        <v>https://twitter.com/workshopdantas</v>
      </c>
      <c r="BP261" s="2"/>
    </row>
    <row r="262" spans="1:68" x14ac:dyDescent="0.25">
      <c r="A262" s="62" t="s">
        <v>909</v>
      </c>
      <c r="B262" s="63"/>
      <c r="C262" s="63"/>
      <c r="D262" s="64"/>
      <c r="E262" s="66"/>
      <c r="F262" s="103" t="str">
        <f>HYPERLINK("https://pbs.twimg.com/profile_images/1630217574100213762/SAMK-BnB_normal.jpg")</f>
        <v>https://pbs.twimg.com/profile_images/1630217574100213762/SAMK-BnB_normal.jpg</v>
      </c>
      <c r="G262" s="63"/>
      <c r="H262" s="67"/>
      <c r="I262" s="68"/>
      <c r="J262" s="68"/>
      <c r="K262" s="67" t="s">
        <v>14711</v>
      </c>
      <c r="L262" s="71"/>
      <c r="M262" s="72"/>
      <c r="N262" s="72"/>
      <c r="O262" s="73"/>
      <c r="P262" s="74"/>
      <c r="Q262" s="74"/>
      <c r="R262" s="87"/>
      <c r="S262" s="87"/>
      <c r="T262" s="87"/>
      <c r="U262" s="87"/>
      <c r="V262" s="48"/>
      <c r="W262" s="48"/>
      <c r="X262" s="48"/>
      <c r="Y262" s="48"/>
      <c r="Z262" s="47"/>
      <c r="AA262" s="69">
        <v>262</v>
      </c>
      <c r="AB262" s="69"/>
      <c r="AC262" s="70"/>
      <c r="AD262" s="76" t="s">
        <v>12000</v>
      </c>
      <c r="AE262" s="80" t="s">
        <v>12607</v>
      </c>
      <c r="AF262" s="76">
        <v>8245844</v>
      </c>
      <c r="AG262" s="76">
        <v>2901</v>
      </c>
      <c r="AH262" s="76">
        <v>32053</v>
      </c>
      <c r="AI262" s="76">
        <v>5632</v>
      </c>
      <c r="AJ262" s="76">
        <v>15829</v>
      </c>
      <c r="AK262" s="76">
        <v>6456</v>
      </c>
      <c r="AL262" s="76" t="b">
        <v>0</v>
      </c>
      <c r="AM262" s="78">
        <v>41842.900578703702</v>
      </c>
      <c r="AN262" s="76" t="s">
        <v>12900</v>
      </c>
      <c r="AO262" s="76" t="s">
        <v>13460</v>
      </c>
      <c r="AP262" s="82" t="str">
        <f>HYPERLINK("https://t.co/FWDIwBcWRa")</f>
        <v>https://t.co/FWDIwBcWRa</v>
      </c>
      <c r="AQ262" s="82" t="str">
        <f>HYPERLINK("https://lula.com.br/siga-o-lula/")</f>
        <v>https://lula.com.br/siga-o-lula/</v>
      </c>
      <c r="AR262" s="76" t="s">
        <v>14060</v>
      </c>
      <c r="AS262" s="76"/>
      <c r="AT262" s="76"/>
      <c r="AU262" s="76"/>
      <c r="AV262" s="76">
        <v>1.66105073773486E+18</v>
      </c>
      <c r="AW262" s="82" t="str">
        <f>HYPERLINK("https://t.co/FWDIwBcWRa")</f>
        <v>https://t.co/FWDIwBcWRa</v>
      </c>
      <c r="AX262" s="76" t="b">
        <v>1</v>
      </c>
      <c r="AY262" s="76"/>
      <c r="AZ262" s="76"/>
      <c r="BA262" s="76" t="b">
        <v>0</v>
      </c>
      <c r="BB262" s="76" t="b">
        <v>1</v>
      </c>
      <c r="BC262" s="76" t="b">
        <v>1</v>
      </c>
      <c r="BD262" s="76" t="b">
        <v>0</v>
      </c>
      <c r="BE262" s="76" t="b">
        <v>1</v>
      </c>
      <c r="BF262" s="76" t="b">
        <v>0</v>
      </c>
      <c r="BG262" s="76" t="b">
        <v>0</v>
      </c>
      <c r="BH262" s="82" t="str">
        <f>HYPERLINK("https://pbs.twimg.com/profile_banners/2670726740/1672662238")</f>
        <v>https://pbs.twimg.com/profile_banners/2670726740/1672662238</v>
      </c>
      <c r="BI262" s="76"/>
      <c r="BJ262" s="76" t="s">
        <v>14450</v>
      </c>
      <c r="BK262" s="76" t="b">
        <v>0</v>
      </c>
      <c r="BL262" s="76"/>
      <c r="BM262" s="76" t="s">
        <v>65</v>
      </c>
      <c r="BN262" s="76" t="s">
        <v>14452</v>
      </c>
      <c r="BO262" s="82" t="str">
        <f>HYPERLINK("https://twitter.com/lulaoficial")</f>
        <v>https://twitter.com/lulaoficial</v>
      </c>
      <c r="BP262" s="2"/>
    </row>
    <row r="263" spans="1:68" x14ac:dyDescent="0.25">
      <c r="A263" s="62" t="s">
        <v>910</v>
      </c>
      <c r="B263" s="63"/>
      <c r="C263" s="63"/>
      <c r="D263" s="64"/>
      <c r="E263" s="66"/>
      <c r="F263" s="103" t="str">
        <f>HYPERLINK("https://pbs.twimg.com/profile_images/442744104674660353/zGV7ZcFZ_normal.jpeg")</f>
        <v>https://pbs.twimg.com/profile_images/442744104674660353/zGV7ZcFZ_normal.jpeg</v>
      </c>
      <c r="G263" s="63"/>
      <c r="H263" s="67"/>
      <c r="I263" s="68"/>
      <c r="J263" s="68"/>
      <c r="K263" s="67" t="s">
        <v>14712</v>
      </c>
      <c r="L263" s="71"/>
      <c r="M263" s="72"/>
      <c r="N263" s="72"/>
      <c r="O263" s="73"/>
      <c r="P263" s="74"/>
      <c r="Q263" s="74"/>
      <c r="R263" s="87"/>
      <c r="S263" s="87"/>
      <c r="T263" s="87"/>
      <c r="U263" s="87"/>
      <c r="V263" s="48"/>
      <c r="W263" s="48"/>
      <c r="X263" s="48"/>
      <c r="Y263" s="48"/>
      <c r="Z263" s="47"/>
      <c r="AA263" s="69">
        <v>263</v>
      </c>
      <c r="AB263" s="69"/>
      <c r="AC263" s="70"/>
      <c r="AD263" s="76" t="s">
        <v>12001</v>
      </c>
      <c r="AE263" s="80" t="s">
        <v>12608</v>
      </c>
      <c r="AF263" s="76">
        <v>1480456</v>
      </c>
      <c r="AG263" s="76">
        <v>1077</v>
      </c>
      <c r="AH263" s="76">
        <v>240718</v>
      </c>
      <c r="AI263" s="76">
        <v>2689</v>
      </c>
      <c r="AJ263" s="76">
        <v>548</v>
      </c>
      <c r="AK263" s="76">
        <v>17747</v>
      </c>
      <c r="AL263" s="76" t="b">
        <v>0</v>
      </c>
      <c r="AM263" s="78">
        <v>39782.416909722226</v>
      </c>
      <c r="AN263" s="76" t="s">
        <v>13008</v>
      </c>
      <c r="AO263" s="76" t="s">
        <v>13461</v>
      </c>
      <c r="AP263" s="82" t="str">
        <f>HYPERLINK("https://t.co/SQ4XChxlul")</f>
        <v>https://t.co/SQ4XChxlul</v>
      </c>
      <c r="AQ263" s="82" t="str">
        <f>HYPERLINK("http://about.me/rogermoreira")</f>
        <v>http://about.me/rogermoreira</v>
      </c>
      <c r="AR263" s="76" t="s">
        <v>14061</v>
      </c>
      <c r="AS263" s="76"/>
      <c r="AT263" s="76"/>
      <c r="AU263" s="76"/>
      <c r="AV263" s="76">
        <v>1.01436084217391E+18</v>
      </c>
      <c r="AW263" s="82" t="str">
        <f>HYPERLINK("https://t.co/SQ4XChxlul")</f>
        <v>https://t.co/SQ4XChxlul</v>
      </c>
      <c r="AX263" s="76" t="b">
        <v>1</v>
      </c>
      <c r="AY263" s="76"/>
      <c r="AZ263" s="76"/>
      <c r="BA263" s="76" t="b">
        <v>0</v>
      </c>
      <c r="BB263" s="76" t="b">
        <v>0</v>
      </c>
      <c r="BC263" s="76" t="b">
        <v>0</v>
      </c>
      <c r="BD263" s="76" t="b">
        <v>0</v>
      </c>
      <c r="BE263" s="76" t="b">
        <v>1</v>
      </c>
      <c r="BF263" s="76" t="b">
        <v>0</v>
      </c>
      <c r="BG263" s="76" t="b">
        <v>0</v>
      </c>
      <c r="BH263" s="82" t="str">
        <f>HYPERLINK("https://pbs.twimg.com/profile_banners/17752026/1401135237")</f>
        <v>https://pbs.twimg.com/profile_banners/17752026/1401135237</v>
      </c>
      <c r="BI263" s="76"/>
      <c r="BJ263" s="76" t="s">
        <v>14450</v>
      </c>
      <c r="BK263" s="76" t="b">
        <v>0</v>
      </c>
      <c r="BL263" s="76"/>
      <c r="BM263" s="76" t="s">
        <v>65</v>
      </c>
      <c r="BN263" s="76" t="s">
        <v>14452</v>
      </c>
      <c r="BO263" s="82" t="str">
        <f>HYPERLINK("https://twitter.com/roxmo")</f>
        <v>https://twitter.com/roxmo</v>
      </c>
      <c r="BP263" s="2"/>
    </row>
    <row r="264" spans="1:68" x14ac:dyDescent="0.25">
      <c r="A264" s="62" t="s">
        <v>911</v>
      </c>
      <c r="B264" s="63"/>
      <c r="C264" s="63"/>
      <c r="D264" s="64"/>
      <c r="E264" s="66"/>
      <c r="F264" s="103" t="str">
        <f>HYPERLINK("https://pbs.twimg.com/profile_images/1635112637980655623/E9jd1Z4O_normal.jpg")</f>
        <v>https://pbs.twimg.com/profile_images/1635112637980655623/E9jd1Z4O_normal.jpg</v>
      </c>
      <c r="G264" s="63"/>
      <c r="H264" s="67"/>
      <c r="I264" s="68"/>
      <c r="J264" s="68"/>
      <c r="K264" s="67" t="s">
        <v>14713</v>
      </c>
      <c r="L264" s="71"/>
      <c r="M264" s="72"/>
      <c r="N264" s="72"/>
      <c r="O264" s="73"/>
      <c r="P264" s="74"/>
      <c r="Q264" s="74"/>
      <c r="R264" s="87"/>
      <c r="S264" s="87"/>
      <c r="T264" s="87"/>
      <c r="U264" s="87"/>
      <c r="V264" s="48"/>
      <c r="W264" s="48"/>
      <c r="X264" s="48"/>
      <c r="Y264" s="48"/>
      <c r="Z264" s="47"/>
      <c r="AA264" s="69">
        <v>264</v>
      </c>
      <c r="AB264" s="69"/>
      <c r="AC264" s="70"/>
      <c r="AD264" s="76" t="s">
        <v>12002</v>
      </c>
      <c r="AE264" s="80" t="s">
        <v>12609</v>
      </c>
      <c r="AF264" s="76">
        <v>1028576</v>
      </c>
      <c r="AG264" s="76">
        <v>877</v>
      </c>
      <c r="AH264" s="76">
        <v>44321</v>
      </c>
      <c r="AI264" s="76">
        <v>731</v>
      </c>
      <c r="AJ264" s="76">
        <v>123278</v>
      </c>
      <c r="AK264" s="76">
        <v>2064</v>
      </c>
      <c r="AL264" s="76" t="b">
        <v>0</v>
      </c>
      <c r="AM264" s="78">
        <v>43365.901828703703</v>
      </c>
      <c r="AN264" s="76" t="s">
        <v>7791</v>
      </c>
      <c r="AO264" s="76" t="s">
        <v>13462</v>
      </c>
      <c r="AP264" s="82" t="str">
        <f>HYPERLINK("https://t.co/BtRe2H1e4b")</f>
        <v>https://t.co/BtRe2H1e4b</v>
      </c>
      <c r="AQ264" s="82" t="str">
        <f>HYPERLINK("https://www.youtube.com/@Damadeferroofic")</f>
        <v>https://www.youtube.com/@Damadeferroofic</v>
      </c>
      <c r="AR264" s="76" t="s">
        <v>14062</v>
      </c>
      <c r="AS264" s="76"/>
      <c r="AT264" s="76"/>
      <c r="AU264" s="76"/>
      <c r="AV264" s="76">
        <v>1.69914138104898E+18</v>
      </c>
      <c r="AW264" s="82" t="str">
        <f>HYPERLINK("https://t.co/BtRe2H1e4b")</f>
        <v>https://t.co/BtRe2H1e4b</v>
      </c>
      <c r="AX264" s="76" t="b">
        <v>1</v>
      </c>
      <c r="AY264" s="76"/>
      <c r="AZ264" s="76"/>
      <c r="BA264" s="76" t="b">
        <v>1</v>
      </c>
      <c r="BB264" s="76" t="b">
        <v>1</v>
      </c>
      <c r="BC264" s="76" t="b">
        <v>0</v>
      </c>
      <c r="BD264" s="76" t="b">
        <v>0</v>
      </c>
      <c r="BE264" s="76" t="b">
        <v>0</v>
      </c>
      <c r="BF264" s="76" t="b">
        <v>0</v>
      </c>
      <c r="BG264" s="76" t="b">
        <v>0</v>
      </c>
      <c r="BH264" s="82" t="str">
        <f>HYPERLINK("https://pbs.twimg.com/profile_banners/1043615581973499904/1679251866")</f>
        <v>https://pbs.twimg.com/profile_banners/1043615581973499904/1679251866</v>
      </c>
      <c r="BI264" s="76"/>
      <c r="BJ264" s="76" t="s">
        <v>14450</v>
      </c>
      <c r="BK264" s="76" t="b">
        <v>0</v>
      </c>
      <c r="BL264" s="76"/>
      <c r="BM264" s="76" t="s">
        <v>65</v>
      </c>
      <c r="BN264" s="76" t="s">
        <v>14452</v>
      </c>
      <c r="BO264" s="82" t="str">
        <f>HYPERLINK("https://twitter.com/damadeferroofic")</f>
        <v>https://twitter.com/damadeferroofic</v>
      </c>
      <c r="BP264" s="2"/>
    </row>
    <row r="265" spans="1:68" x14ac:dyDescent="0.25">
      <c r="A265" s="62" t="s">
        <v>912</v>
      </c>
      <c r="B265" s="63"/>
      <c r="C265" s="63"/>
      <c r="D265" s="64"/>
      <c r="E265" s="66"/>
      <c r="F265" s="103" t="str">
        <f>HYPERLINK("https://pbs.twimg.com/profile_images/1595550170577608706/8tInBlku_normal.jpg")</f>
        <v>https://pbs.twimg.com/profile_images/1595550170577608706/8tInBlku_normal.jpg</v>
      </c>
      <c r="G265" s="63"/>
      <c r="H265" s="67"/>
      <c r="I265" s="68"/>
      <c r="J265" s="68"/>
      <c r="K265" s="67" t="s">
        <v>14714</v>
      </c>
      <c r="L265" s="71"/>
      <c r="M265" s="72"/>
      <c r="N265" s="72"/>
      <c r="O265" s="73"/>
      <c r="P265" s="74"/>
      <c r="Q265" s="74"/>
      <c r="R265" s="87"/>
      <c r="S265" s="87"/>
      <c r="T265" s="87"/>
      <c r="U265" s="87"/>
      <c r="V265" s="48"/>
      <c r="W265" s="48"/>
      <c r="X265" s="48"/>
      <c r="Y265" s="48"/>
      <c r="Z265" s="47"/>
      <c r="AA265" s="69">
        <v>265</v>
      </c>
      <c r="AB265" s="69"/>
      <c r="AC265" s="70"/>
      <c r="AD265" s="76" t="s">
        <v>12003</v>
      </c>
      <c r="AE265" s="80" t="s">
        <v>12610</v>
      </c>
      <c r="AF265" s="76">
        <v>993340</v>
      </c>
      <c r="AG265" s="76">
        <v>2745</v>
      </c>
      <c r="AH265" s="76">
        <v>29113</v>
      </c>
      <c r="AI265" s="76">
        <v>866</v>
      </c>
      <c r="AJ265" s="76">
        <v>24611</v>
      </c>
      <c r="AK265" s="76">
        <v>6445</v>
      </c>
      <c r="AL265" s="76" t="b">
        <v>0</v>
      </c>
      <c r="AM265" s="78">
        <v>39922.032187500001</v>
      </c>
      <c r="AN265" s="76" t="s">
        <v>7881</v>
      </c>
      <c r="AO265" s="76" t="s">
        <v>13463</v>
      </c>
      <c r="AP265" s="82" t="str">
        <f>HYPERLINK("https://t.co/ovdHS3VMXG")</f>
        <v>https://t.co/ovdHS3VMXG</v>
      </c>
      <c r="AQ265" s="82" t="str">
        <f>HYPERLINK("https://instagram.com/robertomottaoficial")</f>
        <v>https://instagram.com/robertomottaoficial</v>
      </c>
      <c r="AR265" s="76" t="s">
        <v>14063</v>
      </c>
      <c r="AS265" s="76"/>
      <c r="AT265" s="76"/>
      <c r="AU265" s="76"/>
      <c r="AV265" s="76"/>
      <c r="AW265" s="82" t="str">
        <f>HYPERLINK("https://t.co/ovdHS3VMXG")</f>
        <v>https://t.co/ovdHS3VMXG</v>
      </c>
      <c r="AX265" s="76" t="b">
        <v>1</v>
      </c>
      <c r="AY265" s="76"/>
      <c r="AZ265" s="76"/>
      <c r="BA265" s="76" t="b">
        <v>0</v>
      </c>
      <c r="BB265" s="76" t="b">
        <v>0</v>
      </c>
      <c r="BC265" s="76" t="b">
        <v>1</v>
      </c>
      <c r="BD265" s="76" t="b">
        <v>0</v>
      </c>
      <c r="BE265" s="76" t="b">
        <v>1</v>
      </c>
      <c r="BF265" s="76" t="b">
        <v>0</v>
      </c>
      <c r="BG265" s="76" t="b">
        <v>0</v>
      </c>
      <c r="BH265" s="82" t="str">
        <f>HYPERLINK("https://pbs.twimg.com/profile_banners/33071040/1673989418")</f>
        <v>https://pbs.twimg.com/profile_banners/33071040/1673989418</v>
      </c>
      <c r="BI265" s="76"/>
      <c r="BJ265" s="76" t="s">
        <v>14450</v>
      </c>
      <c r="BK265" s="76" t="b">
        <v>0</v>
      </c>
      <c r="BL265" s="76"/>
      <c r="BM265" s="76" t="s">
        <v>65</v>
      </c>
      <c r="BN265" s="76" t="s">
        <v>14452</v>
      </c>
      <c r="BO265" s="82" t="str">
        <f>HYPERLINK("https://twitter.com/rmotta2")</f>
        <v>https://twitter.com/rmotta2</v>
      </c>
      <c r="BP265" s="2"/>
    </row>
    <row r="266" spans="1:68" x14ac:dyDescent="0.25">
      <c r="A266" s="62" t="s">
        <v>438</v>
      </c>
      <c r="B266" s="63"/>
      <c r="C266" s="63"/>
      <c r="D266" s="64"/>
      <c r="E266" s="66"/>
      <c r="F266" s="103" t="str">
        <f>HYPERLINK("https://pbs.twimg.com/profile_images/1640539031405469696/Jfz8n7JO_normal.jpg")</f>
        <v>https://pbs.twimg.com/profile_images/1640539031405469696/Jfz8n7JO_normal.jpg</v>
      </c>
      <c r="G266" s="63"/>
      <c r="H266" s="67"/>
      <c r="I266" s="68"/>
      <c r="J266" s="68"/>
      <c r="K266" s="67" t="s">
        <v>14715</v>
      </c>
      <c r="L266" s="71"/>
      <c r="M266" s="72"/>
      <c r="N266" s="72"/>
      <c r="O266" s="73"/>
      <c r="P266" s="74"/>
      <c r="Q266" s="74"/>
      <c r="R266" s="87"/>
      <c r="S266" s="87"/>
      <c r="T266" s="87"/>
      <c r="U266" s="87"/>
      <c r="V266" s="48"/>
      <c r="W266" s="48"/>
      <c r="X266" s="48"/>
      <c r="Y266" s="48"/>
      <c r="Z266" s="47"/>
      <c r="AA266" s="69">
        <v>266</v>
      </c>
      <c r="AB266" s="69"/>
      <c r="AC266" s="70"/>
      <c r="AD266" s="76" t="s">
        <v>12004</v>
      </c>
      <c r="AE266" s="80" t="s">
        <v>11513</v>
      </c>
      <c r="AF266" s="76">
        <v>8</v>
      </c>
      <c r="AG266" s="76">
        <v>7</v>
      </c>
      <c r="AH266" s="76">
        <v>21</v>
      </c>
      <c r="AI266" s="76">
        <v>0</v>
      </c>
      <c r="AJ266" s="76">
        <v>55</v>
      </c>
      <c r="AK266" s="76">
        <v>6</v>
      </c>
      <c r="AL266" s="76" t="b">
        <v>0</v>
      </c>
      <c r="AM266" s="78">
        <v>45013.096747685187</v>
      </c>
      <c r="AN266" s="76" t="s">
        <v>13009</v>
      </c>
      <c r="AO266" s="76" t="s">
        <v>13464</v>
      </c>
      <c r="AP266" s="76"/>
      <c r="AQ266" s="76"/>
      <c r="AR266" s="76"/>
      <c r="AS266" s="76"/>
      <c r="AT266" s="76"/>
      <c r="AU266" s="76"/>
      <c r="AV266" s="76"/>
      <c r="AW266" s="76"/>
      <c r="AX266" s="76" t="b">
        <v>0</v>
      </c>
      <c r="AY266" s="76"/>
      <c r="AZ266" s="76"/>
      <c r="BA266" s="76" t="b">
        <v>0</v>
      </c>
      <c r="BB266" s="76" t="b">
        <v>1</v>
      </c>
      <c r="BC266" s="76" t="b">
        <v>1</v>
      </c>
      <c r="BD266" s="76" t="b">
        <v>0</v>
      </c>
      <c r="BE266" s="76" t="b">
        <v>0</v>
      </c>
      <c r="BF266" s="76" t="b">
        <v>0</v>
      </c>
      <c r="BG266" s="76" t="b">
        <v>0</v>
      </c>
      <c r="BH266" s="76"/>
      <c r="BI266" s="76"/>
      <c r="BJ266" s="76" t="s">
        <v>14450</v>
      </c>
      <c r="BK266" s="76" t="b">
        <v>0</v>
      </c>
      <c r="BL266" s="76"/>
      <c r="BM266" s="76" t="s">
        <v>66</v>
      </c>
      <c r="BN266" s="76" t="s">
        <v>14452</v>
      </c>
      <c r="BO266" s="82" t="str">
        <f>HYPERLINK("https://twitter.com/garotoviniofc")</f>
        <v>https://twitter.com/garotoviniofc</v>
      </c>
      <c r="BP266" s="2"/>
    </row>
    <row r="267" spans="1:68" x14ac:dyDescent="0.25">
      <c r="A267" s="62" t="s">
        <v>439</v>
      </c>
      <c r="B267" s="63"/>
      <c r="C267" s="63"/>
      <c r="D267" s="64"/>
      <c r="E267" s="66"/>
      <c r="F267" s="103" t="str">
        <f>HYPERLINK("https://pbs.twimg.com/profile_images/1438973293952856070/KNuEQyPd_normal.jpg")</f>
        <v>https://pbs.twimg.com/profile_images/1438973293952856070/KNuEQyPd_normal.jpg</v>
      </c>
      <c r="G267" s="63"/>
      <c r="H267" s="67"/>
      <c r="I267" s="68"/>
      <c r="J267" s="68"/>
      <c r="K267" s="67" t="s">
        <v>14716</v>
      </c>
      <c r="L267" s="71"/>
      <c r="M267" s="72"/>
      <c r="N267" s="72"/>
      <c r="O267" s="73"/>
      <c r="P267" s="74"/>
      <c r="Q267" s="74"/>
      <c r="R267" s="87"/>
      <c r="S267" s="87"/>
      <c r="T267" s="87"/>
      <c r="U267" s="87"/>
      <c r="V267" s="48"/>
      <c r="W267" s="48"/>
      <c r="X267" s="48"/>
      <c r="Y267" s="48"/>
      <c r="Z267" s="47"/>
      <c r="AA267" s="69">
        <v>267</v>
      </c>
      <c r="AB267" s="69"/>
      <c r="AC267" s="70"/>
      <c r="AD267" s="76" t="s">
        <v>12005</v>
      </c>
      <c r="AE267" s="80" t="s">
        <v>11514</v>
      </c>
      <c r="AF267" s="76">
        <v>7</v>
      </c>
      <c r="AG267" s="76">
        <v>55</v>
      </c>
      <c r="AH267" s="76">
        <v>481</v>
      </c>
      <c r="AI267" s="76">
        <v>0</v>
      </c>
      <c r="AJ267" s="76">
        <v>0</v>
      </c>
      <c r="AK267" s="76">
        <v>474</v>
      </c>
      <c r="AL267" s="76" t="b">
        <v>0</v>
      </c>
      <c r="AM267" s="78">
        <v>43900.675451388888</v>
      </c>
      <c r="AN267" s="76"/>
      <c r="AO267" s="76" t="s">
        <v>13465</v>
      </c>
      <c r="AP267" s="76"/>
      <c r="AQ267" s="76"/>
      <c r="AR267" s="76"/>
      <c r="AS267" s="76"/>
      <c r="AT267" s="76"/>
      <c r="AU267" s="76"/>
      <c r="AV267" s="76"/>
      <c r="AW267" s="76"/>
      <c r="AX267" s="76" t="b">
        <v>0</v>
      </c>
      <c r="AY267" s="76"/>
      <c r="AZ267" s="76"/>
      <c r="BA267" s="76" t="b">
        <v>0</v>
      </c>
      <c r="BB267" s="76" t="b">
        <v>1</v>
      </c>
      <c r="BC267" s="76" t="b">
        <v>1</v>
      </c>
      <c r="BD267" s="76" t="b">
        <v>0</v>
      </c>
      <c r="BE267" s="76" t="b">
        <v>0</v>
      </c>
      <c r="BF267" s="76" t="b">
        <v>0</v>
      </c>
      <c r="BG267" s="76" t="b">
        <v>0</v>
      </c>
      <c r="BH267" s="76"/>
      <c r="BI267" s="76"/>
      <c r="BJ267" s="76" t="s">
        <v>14450</v>
      </c>
      <c r="BK267" s="76" t="b">
        <v>0</v>
      </c>
      <c r="BL267" s="76"/>
      <c r="BM267" s="76" t="s">
        <v>66</v>
      </c>
      <c r="BN267" s="76" t="s">
        <v>14452</v>
      </c>
      <c r="BO267" s="82" t="str">
        <f>HYPERLINK("https://twitter.com/elcaph")</f>
        <v>https://twitter.com/elcaph</v>
      </c>
      <c r="BP267" s="2"/>
    </row>
    <row r="268" spans="1:68" x14ac:dyDescent="0.25">
      <c r="A268" s="62" t="s">
        <v>440</v>
      </c>
      <c r="B268" s="63"/>
      <c r="C268" s="63"/>
      <c r="D268" s="64"/>
      <c r="E268" s="66"/>
      <c r="F268" s="103" t="str">
        <f>HYPERLINK("https://pbs.twimg.com/profile_images/947876552724840449/c0pRoAq6_normal.jpg")</f>
        <v>https://pbs.twimg.com/profile_images/947876552724840449/c0pRoAq6_normal.jpg</v>
      </c>
      <c r="G268" s="63"/>
      <c r="H268" s="67"/>
      <c r="I268" s="68"/>
      <c r="J268" s="68"/>
      <c r="K268" s="67" t="s">
        <v>14717</v>
      </c>
      <c r="L268" s="71"/>
      <c r="M268" s="72"/>
      <c r="N268" s="72"/>
      <c r="O268" s="73"/>
      <c r="P268" s="74"/>
      <c r="Q268" s="74"/>
      <c r="R268" s="87"/>
      <c r="S268" s="87"/>
      <c r="T268" s="87"/>
      <c r="U268" s="87"/>
      <c r="V268" s="48"/>
      <c r="W268" s="48"/>
      <c r="X268" s="48"/>
      <c r="Y268" s="48"/>
      <c r="Z268" s="47"/>
      <c r="AA268" s="69">
        <v>268</v>
      </c>
      <c r="AB268" s="69"/>
      <c r="AC268" s="70"/>
      <c r="AD268" s="76" t="s">
        <v>12006</v>
      </c>
      <c r="AE268" s="80" t="s">
        <v>12611</v>
      </c>
      <c r="AF268" s="76">
        <v>505</v>
      </c>
      <c r="AG268" s="76">
        <v>787</v>
      </c>
      <c r="AH268" s="76">
        <v>1869</v>
      </c>
      <c r="AI268" s="76">
        <v>2</v>
      </c>
      <c r="AJ268" s="76">
        <v>3178</v>
      </c>
      <c r="AK268" s="76">
        <v>151</v>
      </c>
      <c r="AL268" s="76" t="b">
        <v>0</v>
      </c>
      <c r="AM268" s="78">
        <v>40296.608946759261</v>
      </c>
      <c r="AN268" s="76" t="s">
        <v>13010</v>
      </c>
      <c r="AO268" s="76" t="s">
        <v>13466</v>
      </c>
      <c r="AP268" s="76"/>
      <c r="AQ268" s="76"/>
      <c r="AR268" s="76"/>
      <c r="AS268" s="76"/>
      <c r="AT268" s="76"/>
      <c r="AU268" s="76"/>
      <c r="AV268" s="76"/>
      <c r="AW268" s="76"/>
      <c r="AX268" s="76" t="b">
        <v>0</v>
      </c>
      <c r="AY268" s="76"/>
      <c r="AZ268" s="76"/>
      <c r="BA268" s="76" t="b">
        <v>0</v>
      </c>
      <c r="BB268" s="76" t="b">
        <v>1</v>
      </c>
      <c r="BC268" s="76" t="b">
        <v>0</v>
      </c>
      <c r="BD268" s="76" t="b">
        <v>0</v>
      </c>
      <c r="BE268" s="76" t="b">
        <v>0</v>
      </c>
      <c r="BF268" s="76" t="b">
        <v>0</v>
      </c>
      <c r="BG268" s="76" t="b">
        <v>0</v>
      </c>
      <c r="BH268" s="82" t="str">
        <f>HYPERLINK("https://pbs.twimg.com/profile_banners/138063234/1612374215")</f>
        <v>https://pbs.twimg.com/profile_banners/138063234/1612374215</v>
      </c>
      <c r="BI268" s="76"/>
      <c r="BJ268" s="76" t="s">
        <v>14450</v>
      </c>
      <c r="BK268" s="76" t="b">
        <v>0</v>
      </c>
      <c r="BL268" s="76"/>
      <c r="BM268" s="76" t="s">
        <v>66</v>
      </c>
      <c r="BN268" s="76" t="s">
        <v>14452</v>
      </c>
      <c r="BO268" s="82" t="str">
        <f>HYPERLINK("https://twitter.com/vivicolme")</f>
        <v>https://twitter.com/vivicolme</v>
      </c>
      <c r="BP268" s="2"/>
    </row>
    <row r="269" spans="1:68" x14ac:dyDescent="0.25">
      <c r="A269" s="62" t="s">
        <v>441</v>
      </c>
      <c r="B269" s="63"/>
      <c r="C269" s="63"/>
      <c r="D269" s="64"/>
      <c r="E269" s="66"/>
      <c r="F269" s="103" t="str">
        <f>HYPERLINK("https://pbs.twimg.com/profile_images/1673425751138238464/-FqaQKM3_normal.jpg")</f>
        <v>https://pbs.twimg.com/profile_images/1673425751138238464/-FqaQKM3_normal.jpg</v>
      </c>
      <c r="G269" s="63"/>
      <c r="H269" s="67"/>
      <c r="I269" s="68"/>
      <c r="J269" s="68"/>
      <c r="K269" s="67" t="s">
        <v>14718</v>
      </c>
      <c r="L269" s="71"/>
      <c r="M269" s="72"/>
      <c r="N269" s="72"/>
      <c r="O269" s="73"/>
      <c r="P269" s="74"/>
      <c r="Q269" s="74"/>
      <c r="R269" s="87"/>
      <c r="S269" s="87"/>
      <c r="T269" s="87"/>
      <c r="U269" s="87"/>
      <c r="V269" s="48"/>
      <c r="W269" s="48"/>
      <c r="X269" s="48"/>
      <c r="Y269" s="48"/>
      <c r="Z269" s="47"/>
      <c r="AA269" s="69">
        <v>269</v>
      </c>
      <c r="AB269" s="69"/>
      <c r="AC269" s="70"/>
      <c r="AD269" s="76" t="s">
        <v>12007</v>
      </c>
      <c r="AE269" s="80" t="s">
        <v>11332</v>
      </c>
      <c r="AF269" s="76">
        <v>23</v>
      </c>
      <c r="AG269" s="76">
        <v>159</v>
      </c>
      <c r="AH269" s="76">
        <v>221</v>
      </c>
      <c r="AI269" s="76">
        <v>0</v>
      </c>
      <c r="AJ269" s="76">
        <v>190</v>
      </c>
      <c r="AK269" s="76">
        <v>38</v>
      </c>
      <c r="AL269" s="76" t="b">
        <v>0</v>
      </c>
      <c r="AM269" s="78">
        <v>40450.668587962966</v>
      </c>
      <c r="AN269" s="76" t="s">
        <v>12920</v>
      </c>
      <c r="AO269" s="76" t="s">
        <v>13467</v>
      </c>
      <c r="AP269" s="76"/>
      <c r="AQ269" s="76"/>
      <c r="AR269" s="76"/>
      <c r="AS269" s="76"/>
      <c r="AT269" s="76"/>
      <c r="AU269" s="76"/>
      <c r="AV269" s="76"/>
      <c r="AW269" s="76"/>
      <c r="AX269" s="76" t="b">
        <v>0</v>
      </c>
      <c r="AY269" s="76"/>
      <c r="AZ269" s="76"/>
      <c r="BA269" s="76" t="b">
        <v>1</v>
      </c>
      <c r="BB269" s="76" t="b">
        <v>0</v>
      </c>
      <c r="BC269" s="76" t="b">
        <v>0</v>
      </c>
      <c r="BD269" s="76" t="b">
        <v>0</v>
      </c>
      <c r="BE269" s="76" t="b">
        <v>1</v>
      </c>
      <c r="BF269" s="76" t="b">
        <v>0</v>
      </c>
      <c r="BG269" s="76" t="b">
        <v>0</v>
      </c>
      <c r="BH269" s="82" t="str">
        <f>HYPERLINK("https://pbs.twimg.com/profile_banners/196647466/1687810999")</f>
        <v>https://pbs.twimg.com/profile_banners/196647466/1687810999</v>
      </c>
      <c r="BI269" s="76"/>
      <c r="BJ269" s="76" t="s">
        <v>14450</v>
      </c>
      <c r="BK269" s="76" t="b">
        <v>0</v>
      </c>
      <c r="BL269" s="76"/>
      <c r="BM269" s="76" t="s">
        <v>66</v>
      </c>
      <c r="BN269" s="76" t="s">
        <v>14452</v>
      </c>
      <c r="BO269" s="82" t="str">
        <f>HYPERLINK("https://twitter.com/inconfor_mista")</f>
        <v>https://twitter.com/inconfor_mista</v>
      </c>
      <c r="BP269" s="2"/>
    </row>
    <row r="270" spans="1:68" x14ac:dyDescent="0.25">
      <c r="A270" s="62" t="s">
        <v>442</v>
      </c>
      <c r="B270" s="63"/>
      <c r="C270" s="63"/>
      <c r="D270" s="64"/>
      <c r="E270" s="66"/>
      <c r="F270" s="103" t="str">
        <f>HYPERLINK("https://pbs.twimg.com/profile_images/1043816482042499072/g86ZwsoS_normal.jpg")</f>
        <v>https://pbs.twimg.com/profile_images/1043816482042499072/g86ZwsoS_normal.jpg</v>
      </c>
      <c r="G270" s="63"/>
      <c r="H270" s="67"/>
      <c r="I270" s="68"/>
      <c r="J270" s="68"/>
      <c r="K270" s="67" t="s">
        <v>14719</v>
      </c>
      <c r="L270" s="71"/>
      <c r="M270" s="72"/>
      <c r="N270" s="72"/>
      <c r="O270" s="73"/>
      <c r="P270" s="74"/>
      <c r="Q270" s="74"/>
      <c r="R270" s="87"/>
      <c r="S270" s="87"/>
      <c r="T270" s="87"/>
      <c r="U270" s="87"/>
      <c r="V270" s="48"/>
      <c r="W270" s="48"/>
      <c r="X270" s="48"/>
      <c r="Y270" s="48"/>
      <c r="Z270" s="47"/>
      <c r="AA270" s="69">
        <v>270</v>
      </c>
      <c r="AB270" s="69"/>
      <c r="AC270" s="70"/>
      <c r="AD270" s="76" t="s">
        <v>12008</v>
      </c>
      <c r="AE270" s="80" t="s">
        <v>12612</v>
      </c>
      <c r="AF270" s="76">
        <v>1127</v>
      </c>
      <c r="AG270" s="76">
        <v>1683</v>
      </c>
      <c r="AH270" s="76">
        <v>4805</v>
      </c>
      <c r="AI270" s="76">
        <v>25</v>
      </c>
      <c r="AJ270" s="76">
        <v>1044</v>
      </c>
      <c r="AK270" s="76">
        <v>988</v>
      </c>
      <c r="AL270" s="76" t="b">
        <v>0</v>
      </c>
      <c r="AM270" s="78">
        <v>40007.567777777775</v>
      </c>
      <c r="AN270" s="76" t="s">
        <v>13011</v>
      </c>
      <c r="AO270" s="76" t="s">
        <v>13468</v>
      </c>
      <c r="AP270" s="82" t="str">
        <f>HYPERLINK("https://t.co/cwV5S7y1mJ")</f>
        <v>https://t.co/cwV5S7y1mJ</v>
      </c>
      <c r="AQ270" s="82" t="str">
        <f>HYPERLINK("http://www.sergiramo.com")</f>
        <v>http://www.sergiramo.com</v>
      </c>
      <c r="AR270" s="76" t="s">
        <v>14064</v>
      </c>
      <c r="AS270" s="76"/>
      <c r="AT270" s="76"/>
      <c r="AU270" s="76"/>
      <c r="AV270" s="76"/>
      <c r="AW270" s="82" t="str">
        <f>HYPERLINK("https://t.co/cwV5S7y1mJ")</f>
        <v>https://t.co/cwV5S7y1mJ</v>
      </c>
      <c r="AX270" s="76" t="b">
        <v>0</v>
      </c>
      <c r="AY270" s="76"/>
      <c r="AZ270" s="76"/>
      <c r="BA270" s="76" t="b">
        <v>0</v>
      </c>
      <c r="BB270" s="76" t="b">
        <v>1</v>
      </c>
      <c r="BC270" s="76" t="b">
        <v>0</v>
      </c>
      <c r="BD270" s="76" t="b">
        <v>0</v>
      </c>
      <c r="BE270" s="76" t="b">
        <v>1</v>
      </c>
      <c r="BF270" s="76" t="b">
        <v>0</v>
      </c>
      <c r="BG270" s="76" t="b">
        <v>0</v>
      </c>
      <c r="BH270" s="82" t="str">
        <f>HYPERLINK("https://pbs.twimg.com/profile_banners/56373582/1607881886")</f>
        <v>https://pbs.twimg.com/profile_banners/56373582/1607881886</v>
      </c>
      <c r="BI270" s="76"/>
      <c r="BJ270" s="76" t="s">
        <v>14450</v>
      </c>
      <c r="BK270" s="76" t="b">
        <v>0</v>
      </c>
      <c r="BL270" s="76"/>
      <c r="BM270" s="76" t="s">
        <v>66</v>
      </c>
      <c r="BN270" s="76" t="s">
        <v>14452</v>
      </c>
      <c r="BO270" s="82" t="str">
        <f>HYPERLINK("https://twitter.com/sergiramo")</f>
        <v>https://twitter.com/sergiramo</v>
      </c>
      <c r="BP270" s="2"/>
    </row>
    <row r="271" spans="1:68" x14ac:dyDescent="0.25">
      <c r="A271" s="62" t="s">
        <v>443</v>
      </c>
      <c r="B271" s="63"/>
      <c r="C271" s="63"/>
      <c r="D271" s="64"/>
      <c r="E271" s="66"/>
      <c r="F271" s="103" t="str">
        <f>HYPERLINK("https://pbs.twimg.com/profile_images/1659306498806394880/kUzqHuw8_normal.jpg")</f>
        <v>https://pbs.twimg.com/profile_images/1659306498806394880/kUzqHuw8_normal.jpg</v>
      </c>
      <c r="G271" s="63"/>
      <c r="H271" s="67"/>
      <c r="I271" s="68"/>
      <c r="J271" s="68"/>
      <c r="K271" s="67" t="s">
        <v>14720</v>
      </c>
      <c r="L271" s="71"/>
      <c r="M271" s="72"/>
      <c r="N271" s="72"/>
      <c r="O271" s="73"/>
      <c r="P271" s="74"/>
      <c r="Q271" s="74"/>
      <c r="R271" s="87"/>
      <c r="S271" s="87"/>
      <c r="T271" s="87"/>
      <c r="U271" s="87"/>
      <c r="V271" s="48"/>
      <c r="W271" s="48"/>
      <c r="X271" s="48"/>
      <c r="Y271" s="48"/>
      <c r="Z271" s="47"/>
      <c r="AA271" s="69">
        <v>271</v>
      </c>
      <c r="AB271" s="69"/>
      <c r="AC271" s="70"/>
      <c r="AD271" s="76" t="s">
        <v>12009</v>
      </c>
      <c r="AE271" s="80" t="s">
        <v>11515</v>
      </c>
      <c r="AF271" s="76">
        <v>33</v>
      </c>
      <c r="AG271" s="76">
        <v>4</v>
      </c>
      <c r="AH271" s="76">
        <v>46</v>
      </c>
      <c r="AI271" s="76">
        <v>0</v>
      </c>
      <c r="AJ271" s="76">
        <v>5</v>
      </c>
      <c r="AK271" s="76">
        <v>0</v>
      </c>
      <c r="AL271" s="76" t="b">
        <v>0</v>
      </c>
      <c r="AM271" s="78">
        <v>45064.884618055556</v>
      </c>
      <c r="AN271" s="76" t="s">
        <v>12875</v>
      </c>
      <c r="AO271" s="76" t="s">
        <v>13469</v>
      </c>
      <c r="AP271" s="76"/>
      <c r="AQ271" s="76"/>
      <c r="AR271" s="76"/>
      <c r="AS271" s="76"/>
      <c r="AT271" s="76"/>
      <c r="AU271" s="76"/>
      <c r="AV271" s="76"/>
      <c r="AW271" s="76"/>
      <c r="AX271" s="76" t="b">
        <v>0</v>
      </c>
      <c r="AY271" s="76"/>
      <c r="AZ271" s="76"/>
      <c r="BA271" s="76" t="b">
        <v>0</v>
      </c>
      <c r="BB271" s="76" t="b">
        <v>1</v>
      </c>
      <c r="BC271" s="76" t="b">
        <v>1</v>
      </c>
      <c r="BD271" s="76" t="b">
        <v>0</v>
      </c>
      <c r="BE271" s="76" t="b">
        <v>0</v>
      </c>
      <c r="BF271" s="76" t="b">
        <v>0</v>
      </c>
      <c r="BG271" s="76" t="b">
        <v>0</v>
      </c>
      <c r="BH271" s="76"/>
      <c r="BI271" s="76"/>
      <c r="BJ271" s="76" t="s">
        <v>14450</v>
      </c>
      <c r="BK271" s="76" t="b">
        <v>0</v>
      </c>
      <c r="BL271" s="76"/>
      <c r="BM271" s="76" t="s">
        <v>66</v>
      </c>
      <c r="BN271" s="76" t="s">
        <v>14452</v>
      </c>
      <c r="BO271" s="82" t="str">
        <f>HYPERLINK("https://twitter.com/vacantesmx")</f>
        <v>https://twitter.com/vacantesmx</v>
      </c>
      <c r="BP271" s="2"/>
    </row>
    <row r="272" spans="1:68" x14ac:dyDescent="0.25">
      <c r="A272" s="62" t="s">
        <v>566</v>
      </c>
      <c r="B272" s="63"/>
      <c r="C272" s="63"/>
      <c r="D272" s="64"/>
      <c r="E272" s="66"/>
      <c r="F272" s="103" t="str">
        <f>HYPERLINK("https://pbs.twimg.com/profile_images/1636816563813662745/G4J5FHMG_normal.png")</f>
        <v>https://pbs.twimg.com/profile_images/1636816563813662745/G4J5FHMG_normal.png</v>
      </c>
      <c r="G272" s="63"/>
      <c r="H272" s="67"/>
      <c r="I272" s="68"/>
      <c r="J272" s="68"/>
      <c r="K272" s="67" t="s">
        <v>14721</v>
      </c>
      <c r="L272" s="71"/>
      <c r="M272" s="72"/>
      <c r="N272" s="72"/>
      <c r="O272" s="73"/>
      <c r="P272" s="74"/>
      <c r="Q272" s="74"/>
      <c r="R272" s="87"/>
      <c r="S272" s="87"/>
      <c r="T272" s="87"/>
      <c r="U272" s="87"/>
      <c r="V272" s="48"/>
      <c r="W272" s="48"/>
      <c r="X272" s="48"/>
      <c r="Y272" s="48"/>
      <c r="Z272" s="47"/>
      <c r="AA272" s="69">
        <v>272</v>
      </c>
      <c r="AB272" s="69"/>
      <c r="AC272" s="70"/>
      <c r="AD272" s="76" t="s">
        <v>566</v>
      </c>
      <c r="AE272" s="80" t="s">
        <v>12613</v>
      </c>
      <c r="AF272" s="76">
        <v>286</v>
      </c>
      <c r="AG272" s="76">
        <v>614</v>
      </c>
      <c r="AH272" s="76">
        <v>2816</v>
      </c>
      <c r="AI272" s="76">
        <v>10</v>
      </c>
      <c r="AJ272" s="76">
        <v>444</v>
      </c>
      <c r="AK272" s="76">
        <v>1271</v>
      </c>
      <c r="AL272" s="76" t="b">
        <v>0</v>
      </c>
      <c r="AM272" s="78">
        <v>42129.125752314816</v>
      </c>
      <c r="AN272" s="76" t="s">
        <v>13012</v>
      </c>
      <c r="AO272" s="76" t="s">
        <v>13470</v>
      </c>
      <c r="AP272" s="82" t="str">
        <f>HYPERLINK("https://t.co/Z6ELwDfmpB")</f>
        <v>https://t.co/Z6ELwDfmpB</v>
      </c>
      <c r="AQ272" s="82" t="str">
        <f>HYPERLINK("http://www.mensch.com.mx")</f>
        <v>http://www.mensch.com.mx</v>
      </c>
      <c r="AR272" s="76" t="s">
        <v>14065</v>
      </c>
      <c r="AS272" s="76"/>
      <c r="AT272" s="76"/>
      <c r="AU272" s="76"/>
      <c r="AV272" s="76"/>
      <c r="AW272" s="82" t="str">
        <f>HYPERLINK("https://t.co/Z6ELwDfmpB")</f>
        <v>https://t.co/Z6ELwDfmpB</v>
      </c>
      <c r="AX272" s="76" t="b">
        <v>0</v>
      </c>
      <c r="AY272" s="76"/>
      <c r="AZ272" s="76"/>
      <c r="BA272" s="76" t="b">
        <v>1</v>
      </c>
      <c r="BB272" s="76" t="b">
        <v>0</v>
      </c>
      <c r="BC272" s="76" t="b">
        <v>0</v>
      </c>
      <c r="BD272" s="76" t="b">
        <v>0</v>
      </c>
      <c r="BE272" s="76" t="b">
        <v>1</v>
      </c>
      <c r="BF272" s="76" t="b">
        <v>0</v>
      </c>
      <c r="BG272" s="76" t="b">
        <v>0</v>
      </c>
      <c r="BH272" s="82" t="str">
        <f>HYPERLINK("https://pbs.twimg.com/profile_banners/3234862012/1672770249")</f>
        <v>https://pbs.twimg.com/profile_banners/3234862012/1672770249</v>
      </c>
      <c r="BI272" s="76"/>
      <c r="BJ272" s="76" t="s">
        <v>14450</v>
      </c>
      <c r="BK272" s="76" t="b">
        <v>0</v>
      </c>
      <c r="BL272" s="76"/>
      <c r="BM272" s="76" t="s">
        <v>66</v>
      </c>
      <c r="BN272" s="76" t="s">
        <v>14452</v>
      </c>
      <c r="BO272" s="82" t="str">
        <f>HYPERLINK("https://twitter.com/menschmx")</f>
        <v>https://twitter.com/menschmx</v>
      </c>
      <c r="BP272" s="2"/>
    </row>
    <row r="273" spans="1:68" x14ac:dyDescent="0.25">
      <c r="A273" s="62" t="s">
        <v>444</v>
      </c>
      <c r="B273" s="63"/>
      <c r="C273" s="63"/>
      <c r="D273" s="64"/>
      <c r="E273" s="66"/>
      <c r="F273" s="103" t="str">
        <f>HYPERLINK("https://pbs.twimg.com/profile_images/851123807649714177/RCQQwbT1_normal.jpg")</f>
        <v>https://pbs.twimg.com/profile_images/851123807649714177/RCQQwbT1_normal.jpg</v>
      </c>
      <c r="G273" s="63"/>
      <c r="H273" s="67"/>
      <c r="I273" s="68"/>
      <c r="J273" s="68"/>
      <c r="K273" s="67" t="s">
        <v>14722</v>
      </c>
      <c r="L273" s="71"/>
      <c r="M273" s="72"/>
      <c r="N273" s="72"/>
      <c r="O273" s="73"/>
      <c r="P273" s="74"/>
      <c r="Q273" s="74"/>
      <c r="R273" s="87"/>
      <c r="S273" s="87"/>
      <c r="T273" s="87"/>
      <c r="U273" s="87"/>
      <c r="V273" s="48"/>
      <c r="W273" s="48"/>
      <c r="X273" s="48"/>
      <c r="Y273" s="48"/>
      <c r="Z273" s="47"/>
      <c r="AA273" s="69">
        <v>273</v>
      </c>
      <c r="AB273" s="69"/>
      <c r="AC273" s="70"/>
      <c r="AD273" s="76" t="s">
        <v>12010</v>
      </c>
      <c r="AE273" s="80" t="s">
        <v>11516</v>
      </c>
      <c r="AF273" s="76">
        <v>18772</v>
      </c>
      <c r="AG273" s="76">
        <v>7660</v>
      </c>
      <c r="AH273" s="76">
        <v>178049</v>
      </c>
      <c r="AI273" s="76">
        <v>279</v>
      </c>
      <c r="AJ273" s="76">
        <v>116320</v>
      </c>
      <c r="AK273" s="76">
        <v>8600</v>
      </c>
      <c r="AL273" s="76" t="b">
        <v>0</v>
      </c>
      <c r="AM273" s="78">
        <v>42449.695856481485</v>
      </c>
      <c r="AN273" s="76" t="s">
        <v>13013</v>
      </c>
      <c r="AO273" s="76" t="s">
        <v>13471</v>
      </c>
      <c r="AP273" s="82" t="str">
        <f>HYPERLINK("https://t.co/E0lF9E9k1Q")</f>
        <v>https://t.co/E0lF9E9k1Q</v>
      </c>
      <c r="AQ273" s="82" t="str">
        <f>HYPERLINK("http://gacetinmadrid.com/")</f>
        <v>http://gacetinmadrid.com/</v>
      </c>
      <c r="AR273" s="76" t="s">
        <v>14066</v>
      </c>
      <c r="AS273" s="82" t="str">
        <f>HYPERLINK("https://t.co/XPNXvc5MK8")</f>
        <v>https://t.co/XPNXvc5MK8</v>
      </c>
      <c r="AT273" s="82" t="str">
        <f>HYPERLINK("http://bit.ly/2NCInGz")</f>
        <v>http://bit.ly/2NCInGz</v>
      </c>
      <c r="AU273" s="76" t="s">
        <v>14415</v>
      </c>
      <c r="AV273" s="76">
        <v>1.38692306310354E+18</v>
      </c>
      <c r="AW273" s="82" t="str">
        <f>HYPERLINK("https://t.co/E0lF9E9k1Q")</f>
        <v>https://t.co/E0lF9E9k1Q</v>
      </c>
      <c r="AX273" s="76" t="b">
        <v>1</v>
      </c>
      <c r="AY273" s="76"/>
      <c r="AZ273" s="76"/>
      <c r="BA273" s="76" t="b">
        <v>0</v>
      </c>
      <c r="BB273" s="76" t="b">
        <v>1</v>
      </c>
      <c r="BC273" s="76" t="b">
        <v>1</v>
      </c>
      <c r="BD273" s="76" t="b">
        <v>0</v>
      </c>
      <c r="BE273" s="76" t="b">
        <v>1</v>
      </c>
      <c r="BF273" s="76" t="b">
        <v>0</v>
      </c>
      <c r="BG273" s="76" t="b">
        <v>0</v>
      </c>
      <c r="BH273" s="82" t="str">
        <f>HYPERLINK("https://pbs.twimg.com/profile_banners/711593651546226688/1568022732")</f>
        <v>https://pbs.twimg.com/profile_banners/711593651546226688/1568022732</v>
      </c>
      <c r="BI273" s="76"/>
      <c r="BJ273" s="76" t="s">
        <v>14450</v>
      </c>
      <c r="BK273" s="76" t="b">
        <v>0</v>
      </c>
      <c r="BL273" s="76"/>
      <c r="BM273" s="76" t="s">
        <v>66</v>
      </c>
      <c r="BN273" s="76" t="s">
        <v>14452</v>
      </c>
      <c r="BO273" s="82" t="str">
        <f>HYPERLINK("https://twitter.com/gacetinmadrid")</f>
        <v>https://twitter.com/gacetinmadrid</v>
      </c>
      <c r="BP273" s="2"/>
    </row>
    <row r="274" spans="1:68" x14ac:dyDescent="0.25">
      <c r="A274" s="62" t="s">
        <v>913</v>
      </c>
      <c r="B274" s="63"/>
      <c r="C274" s="63"/>
      <c r="D274" s="64"/>
      <c r="E274" s="66"/>
      <c r="F274" s="103" t="str">
        <f>HYPERLINK("https://pbs.twimg.com/profile_images/1664892347929489408/wUuBXPg__normal.jpg")</f>
        <v>https://pbs.twimg.com/profile_images/1664892347929489408/wUuBXPg__normal.jpg</v>
      </c>
      <c r="G274" s="63"/>
      <c r="H274" s="67"/>
      <c r="I274" s="68"/>
      <c r="J274" s="68"/>
      <c r="K274" s="67" t="s">
        <v>14723</v>
      </c>
      <c r="L274" s="71"/>
      <c r="M274" s="72"/>
      <c r="N274" s="72"/>
      <c r="O274" s="73"/>
      <c r="P274" s="74"/>
      <c r="Q274" s="74"/>
      <c r="R274" s="87"/>
      <c r="S274" s="87"/>
      <c r="T274" s="87"/>
      <c r="U274" s="87"/>
      <c r="V274" s="48"/>
      <c r="W274" s="48"/>
      <c r="X274" s="48"/>
      <c r="Y274" s="48"/>
      <c r="Z274" s="47"/>
      <c r="AA274" s="69">
        <v>274</v>
      </c>
      <c r="AB274" s="69"/>
      <c r="AC274" s="70"/>
      <c r="AD274" s="76" t="s">
        <v>12011</v>
      </c>
      <c r="AE274" s="80" t="s">
        <v>12614</v>
      </c>
      <c r="AF274" s="76">
        <v>14</v>
      </c>
      <c r="AG274" s="76">
        <v>0</v>
      </c>
      <c r="AH274" s="76">
        <v>0</v>
      </c>
      <c r="AI274" s="76">
        <v>1</v>
      </c>
      <c r="AJ274" s="76">
        <v>0</v>
      </c>
      <c r="AK274" s="76">
        <v>0</v>
      </c>
      <c r="AL274" s="76" t="b">
        <v>0</v>
      </c>
      <c r="AM274" s="78">
        <v>40049.576967592591</v>
      </c>
      <c r="AN274" s="76"/>
      <c r="AO274" s="76"/>
      <c r="AP274" s="76"/>
      <c r="AQ274" s="76"/>
      <c r="AR274" s="76"/>
      <c r="AS274" s="76"/>
      <c r="AT274" s="76"/>
      <c r="AU274" s="76"/>
      <c r="AV274" s="76"/>
      <c r="AW274" s="76"/>
      <c r="AX274" s="76" t="b">
        <v>0</v>
      </c>
      <c r="AY274" s="76"/>
      <c r="AZ274" s="76"/>
      <c r="BA274" s="76" t="b">
        <v>0</v>
      </c>
      <c r="BB274" s="76" t="b">
        <v>1</v>
      </c>
      <c r="BC274" s="76" t="b">
        <v>1</v>
      </c>
      <c r="BD274" s="76" t="b">
        <v>0</v>
      </c>
      <c r="BE274" s="76" t="b">
        <v>0</v>
      </c>
      <c r="BF274" s="76" t="b">
        <v>0</v>
      </c>
      <c r="BG274" s="76" t="b">
        <v>0</v>
      </c>
      <c r="BH274" s="76"/>
      <c r="BI274" s="76"/>
      <c r="BJ274" s="76" t="s">
        <v>14450</v>
      </c>
      <c r="BK274" s="76" t="b">
        <v>0</v>
      </c>
      <c r="BL274" s="76"/>
      <c r="BM274" s="76" t="s">
        <v>65</v>
      </c>
      <c r="BN274" s="76" t="s">
        <v>14452</v>
      </c>
      <c r="BO274" s="82" t="str">
        <f>HYPERLINK("https://twitter.com/gmw")</f>
        <v>https://twitter.com/gmw</v>
      </c>
      <c r="BP274" s="2"/>
    </row>
    <row r="275" spans="1:68" x14ac:dyDescent="0.25">
      <c r="A275" s="62" t="s">
        <v>445</v>
      </c>
      <c r="B275" s="63"/>
      <c r="C275" s="63"/>
      <c r="D275" s="64"/>
      <c r="E275" s="66"/>
      <c r="F275" s="103" t="str">
        <f>HYPERLINK("https://pbs.twimg.com/profile_images/1401339639928176642/y1RfMEog_normal.jpg")</f>
        <v>https://pbs.twimg.com/profile_images/1401339639928176642/y1RfMEog_normal.jpg</v>
      </c>
      <c r="G275" s="63"/>
      <c r="H275" s="67"/>
      <c r="I275" s="68"/>
      <c r="J275" s="68"/>
      <c r="K275" s="67" t="s">
        <v>14724</v>
      </c>
      <c r="L275" s="71"/>
      <c r="M275" s="72"/>
      <c r="N275" s="72"/>
      <c r="O275" s="73"/>
      <c r="P275" s="74"/>
      <c r="Q275" s="74"/>
      <c r="R275" s="87"/>
      <c r="S275" s="87"/>
      <c r="T275" s="87"/>
      <c r="U275" s="87"/>
      <c r="V275" s="48"/>
      <c r="W275" s="48"/>
      <c r="X275" s="48"/>
      <c r="Y275" s="48"/>
      <c r="Z275" s="47"/>
      <c r="AA275" s="69">
        <v>275</v>
      </c>
      <c r="AB275" s="69"/>
      <c r="AC275" s="70"/>
      <c r="AD275" s="76" t="s">
        <v>4277</v>
      </c>
      <c r="AE275" s="80" t="s">
        <v>11517</v>
      </c>
      <c r="AF275" s="76">
        <v>507</v>
      </c>
      <c r="AG275" s="76">
        <v>25</v>
      </c>
      <c r="AH275" s="76">
        <v>10524</v>
      </c>
      <c r="AI275" s="76">
        <v>8</v>
      </c>
      <c r="AJ275" s="76">
        <v>7993</v>
      </c>
      <c r="AK275" s="76">
        <v>1</v>
      </c>
      <c r="AL275" s="76" t="b">
        <v>0</v>
      </c>
      <c r="AM275" s="78">
        <v>44353.020462962966</v>
      </c>
      <c r="AN275" s="76" t="s">
        <v>7873</v>
      </c>
      <c r="AO275" s="76" t="s">
        <v>13472</v>
      </c>
      <c r="AP275" s="82" t="str">
        <f>HYPERLINK("https://t.co/IHi74mv1XE")</f>
        <v>https://t.co/IHi74mv1XE</v>
      </c>
      <c r="AQ275" s="82" t="str">
        <f>HYPERLINK("http://buscaempleomadrid.com")</f>
        <v>http://buscaempleomadrid.com</v>
      </c>
      <c r="AR275" s="76" t="s">
        <v>4277</v>
      </c>
      <c r="AS275" s="76" t="s">
        <v>14374</v>
      </c>
      <c r="AT275" s="76" t="s">
        <v>14386</v>
      </c>
      <c r="AU275" s="76" t="s">
        <v>14416</v>
      </c>
      <c r="AV275" s="76"/>
      <c r="AW275" s="82" t="str">
        <f>HYPERLINK("https://t.co/IHi74mv1XE")</f>
        <v>https://t.co/IHi74mv1XE</v>
      </c>
      <c r="AX275" s="76" t="b">
        <v>0</v>
      </c>
      <c r="AY275" s="76"/>
      <c r="AZ275" s="76"/>
      <c r="BA275" s="76" t="b">
        <v>0</v>
      </c>
      <c r="BB275" s="76" t="b">
        <v>1</v>
      </c>
      <c r="BC275" s="76" t="b">
        <v>1</v>
      </c>
      <c r="BD275" s="76" t="b">
        <v>0</v>
      </c>
      <c r="BE275" s="76" t="b">
        <v>1</v>
      </c>
      <c r="BF275" s="76" t="b">
        <v>0</v>
      </c>
      <c r="BG275" s="76" t="b">
        <v>0</v>
      </c>
      <c r="BH275" s="82" t="str">
        <f>HYPERLINK("https://pbs.twimg.com/profile_banners/1401335355257888771/1623010305")</f>
        <v>https://pbs.twimg.com/profile_banners/1401335355257888771/1623010305</v>
      </c>
      <c r="BI275" s="76"/>
      <c r="BJ275" s="76" t="s">
        <v>14450</v>
      </c>
      <c r="BK275" s="76" t="b">
        <v>0</v>
      </c>
      <c r="BL275" s="76"/>
      <c r="BM275" s="76" t="s">
        <v>66</v>
      </c>
      <c r="BN275" s="76" t="s">
        <v>14452</v>
      </c>
      <c r="BO275" s="82" t="str">
        <f>HYPERLINK("https://twitter.com/buscaempleomad")</f>
        <v>https://twitter.com/buscaempleomad</v>
      </c>
      <c r="BP275" s="2"/>
    </row>
    <row r="276" spans="1:68" x14ac:dyDescent="0.25">
      <c r="A276" s="62" t="s">
        <v>446</v>
      </c>
      <c r="B276" s="63"/>
      <c r="C276" s="63"/>
      <c r="D276" s="64"/>
      <c r="E276" s="66"/>
      <c r="F276" s="103" t="str">
        <f>HYPERLINK("https://pbs.twimg.com/profile_images/1702648981489070080/K654f-GI_normal.jpg")</f>
        <v>https://pbs.twimg.com/profile_images/1702648981489070080/K654f-GI_normal.jpg</v>
      </c>
      <c r="G276" s="63"/>
      <c r="H276" s="67"/>
      <c r="I276" s="68"/>
      <c r="J276" s="68"/>
      <c r="K276" s="67" t="s">
        <v>14725</v>
      </c>
      <c r="L276" s="71"/>
      <c r="M276" s="72"/>
      <c r="N276" s="72"/>
      <c r="O276" s="73"/>
      <c r="P276" s="74"/>
      <c r="Q276" s="74"/>
      <c r="R276" s="87"/>
      <c r="S276" s="87"/>
      <c r="T276" s="87"/>
      <c r="U276" s="87"/>
      <c r="V276" s="48"/>
      <c r="W276" s="48"/>
      <c r="X276" s="48"/>
      <c r="Y276" s="48"/>
      <c r="Z276" s="47"/>
      <c r="AA276" s="69">
        <v>276</v>
      </c>
      <c r="AB276" s="69"/>
      <c r="AC276" s="70"/>
      <c r="AD276" s="76" t="s">
        <v>12012</v>
      </c>
      <c r="AE276" s="80" t="s">
        <v>11518</v>
      </c>
      <c r="AF276" s="76">
        <v>25</v>
      </c>
      <c r="AG276" s="76">
        <v>15</v>
      </c>
      <c r="AH276" s="76">
        <v>398</v>
      </c>
      <c r="AI276" s="76">
        <v>0</v>
      </c>
      <c r="AJ276" s="76">
        <v>50</v>
      </c>
      <c r="AK276" s="76">
        <v>371</v>
      </c>
      <c r="AL276" s="76" t="b">
        <v>0</v>
      </c>
      <c r="AM276" s="78">
        <v>44316.69054398148</v>
      </c>
      <c r="AN276" s="76" t="s">
        <v>7863</v>
      </c>
      <c r="AO276" s="76" t="s">
        <v>13473</v>
      </c>
      <c r="AP276" s="82" t="str">
        <f>HYPERLINK("https://t.co/VeYvoH3g1w")</f>
        <v>https://t.co/VeYvoH3g1w</v>
      </c>
      <c r="AQ276" s="82" t="str">
        <f>HYPERLINK("https://www.youtube.com/thefernandolourenco")</f>
        <v>https://www.youtube.com/thefernandolourenco</v>
      </c>
      <c r="AR276" s="76" t="s">
        <v>14067</v>
      </c>
      <c r="AS276" s="76"/>
      <c r="AT276" s="76"/>
      <c r="AU276" s="76"/>
      <c r="AV276" s="76"/>
      <c r="AW276" s="82" t="str">
        <f>HYPERLINK("https://t.co/VeYvoH3g1w")</f>
        <v>https://t.co/VeYvoH3g1w</v>
      </c>
      <c r="AX276" s="76" t="b">
        <v>0</v>
      </c>
      <c r="AY276" s="76"/>
      <c r="AZ276" s="76"/>
      <c r="BA276" s="76" t="b">
        <v>0</v>
      </c>
      <c r="BB276" s="76" t="b">
        <v>0</v>
      </c>
      <c r="BC276" s="76" t="b">
        <v>1</v>
      </c>
      <c r="BD276" s="76" t="b">
        <v>0</v>
      </c>
      <c r="BE276" s="76" t="b">
        <v>0</v>
      </c>
      <c r="BF276" s="76" t="b">
        <v>0</v>
      </c>
      <c r="BG276" s="76" t="b">
        <v>0</v>
      </c>
      <c r="BH276" s="82" t="str">
        <f>HYPERLINK("https://pbs.twimg.com/profile_banners/1388169841014628360/1651522076")</f>
        <v>https://pbs.twimg.com/profile_banners/1388169841014628360/1651522076</v>
      </c>
      <c r="BI276" s="76"/>
      <c r="BJ276" s="76" t="s">
        <v>14450</v>
      </c>
      <c r="BK276" s="76" t="b">
        <v>0</v>
      </c>
      <c r="BL276" s="76"/>
      <c r="BM276" s="76" t="s">
        <v>66</v>
      </c>
      <c r="BN276" s="76" t="s">
        <v>14452</v>
      </c>
      <c r="BO276" s="82" t="str">
        <f>HYPERLINK("https://twitter.com/thefernandolour")</f>
        <v>https://twitter.com/thefernandolour</v>
      </c>
      <c r="BP276" s="2"/>
    </row>
    <row r="277" spans="1:68" x14ac:dyDescent="0.25">
      <c r="A277" s="62" t="s">
        <v>447</v>
      </c>
      <c r="B277" s="63"/>
      <c r="C277" s="63"/>
      <c r="D277" s="64"/>
      <c r="E277" s="66"/>
      <c r="F277" s="103" t="str">
        <f>HYPERLINK("https://pbs.twimg.com/profile_images/997576921088016384/J4dfX5ru_normal.jpg")</f>
        <v>https://pbs.twimg.com/profile_images/997576921088016384/J4dfX5ru_normal.jpg</v>
      </c>
      <c r="G277" s="63"/>
      <c r="H277" s="67"/>
      <c r="I277" s="68"/>
      <c r="J277" s="68"/>
      <c r="K277" s="67" t="s">
        <v>14726</v>
      </c>
      <c r="L277" s="71"/>
      <c r="M277" s="72"/>
      <c r="N277" s="72"/>
      <c r="O277" s="73"/>
      <c r="P277" s="74"/>
      <c r="Q277" s="74"/>
      <c r="R277" s="87"/>
      <c r="S277" s="87"/>
      <c r="T277" s="87"/>
      <c r="U277" s="87"/>
      <c r="V277" s="48"/>
      <c r="W277" s="48"/>
      <c r="X277" s="48"/>
      <c r="Y277" s="48"/>
      <c r="Z277" s="47"/>
      <c r="AA277" s="69">
        <v>277</v>
      </c>
      <c r="AB277" s="69"/>
      <c r="AC277" s="70"/>
      <c r="AD277" s="76" t="s">
        <v>12013</v>
      </c>
      <c r="AE277" s="80" t="s">
        <v>11519</v>
      </c>
      <c r="AF277" s="76">
        <v>18</v>
      </c>
      <c r="AG277" s="76">
        <v>16</v>
      </c>
      <c r="AH277" s="76">
        <v>628</v>
      </c>
      <c r="AI277" s="76">
        <v>0</v>
      </c>
      <c r="AJ277" s="76">
        <v>12</v>
      </c>
      <c r="AK277" s="76">
        <v>575</v>
      </c>
      <c r="AL277" s="76" t="b">
        <v>0</v>
      </c>
      <c r="AM277" s="78">
        <v>43175.866157407407</v>
      </c>
      <c r="AN277" s="76" t="s">
        <v>7767</v>
      </c>
      <c r="AO277" s="76"/>
      <c r="AP277" s="82" t="str">
        <f>HYPERLINK("https://t.co/rFhoYds9pd")</f>
        <v>https://t.co/rFhoYds9pd</v>
      </c>
      <c r="AQ277" s="82" t="str">
        <f>HYPERLINK("http://www.aliatec.la")</f>
        <v>http://www.aliatec.la</v>
      </c>
      <c r="AR277" s="76" t="s">
        <v>14068</v>
      </c>
      <c r="AS277" s="76"/>
      <c r="AT277" s="76"/>
      <c r="AU277" s="76"/>
      <c r="AV277" s="76"/>
      <c r="AW277" s="82" t="str">
        <f>HYPERLINK("https://t.co/rFhoYds9pd")</f>
        <v>https://t.co/rFhoYds9pd</v>
      </c>
      <c r="AX277" s="76" t="b">
        <v>0</v>
      </c>
      <c r="AY277" s="76"/>
      <c r="AZ277" s="76"/>
      <c r="BA277" s="76" t="b">
        <v>0</v>
      </c>
      <c r="BB277" s="76" t="b">
        <v>1</v>
      </c>
      <c r="BC277" s="76" t="b">
        <v>1</v>
      </c>
      <c r="BD277" s="76" t="b">
        <v>0</v>
      </c>
      <c r="BE277" s="76" t="b">
        <v>0</v>
      </c>
      <c r="BF277" s="76" t="b">
        <v>0</v>
      </c>
      <c r="BG277" s="76" t="b">
        <v>0</v>
      </c>
      <c r="BH277" s="82" t="str">
        <f>HYPERLINK("https://pbs.twimg.com/profile_banners/974748960509366272/1663863441")</f>
        <v>https://pbs.twimg.com/profile_banners/974748960509366272/1663863441</v>
      </c>
      <c r="BI277" s="76"/>
      <c r="BJ277" s="76" t="s">
        <v>14450</v>
      </c>
      <c r="BK277" s="76" t="b">
        <v>0</v>
      </c>
      <c r="BL277" s="76"/>
      <c r="BM277" s="76" t="s">
        <v>66</v>
      </c>
      <c r="BN277" s="76" t="s">
        <v>14452</v>
      </c>
      <c r="BO277" s="82" t="str">
        <f>HYPERLINK("https://twitter.com/aliatecla")</f>
        <v>https://twitter.com/aliatecla</v>
      </c>
      <c r="BP277" s="2"/>
    </row>
    <row r="278" spans="1:68" x14ac:dyDescent="0.25">
      <c r="A278" s="62" t="s">
        <v>448</v>
      </c>
      <c r="B278" s="63"/>
      <c r="C278" s="63"/>
      <c r="D278" s="64"/>
      <c r="E278" s="66"/>
      <c r="F278" s="103" t="str">
        <f>HYPERLINK("https://pbs.twimg.com/profile_images/1615373732830142467/m_-jM18o_normal.jpg")</f>
        <v>https://pbs.twimg.com/profile_images/1615373732830142467/m_-jM18o_normal.jpg</v>
      </c>
      <c r="G278" s="63"/>
      <c r="H278" s="67"/>
      <c r="I278" s="68"/>
      <c r="J278" s="68"/>
      <c r="K278" s="67" t="s">
        <v>14727</v>
      </c>
      <c r="L278" s="71"/>
      <c r="M278" s="72"/>
      <c r="N278" s="72"/>
      <c r="O278" s="73"/>
      <c r="P278" s="74"/>
      <c r="Q278" s="74"/>
      <c r="R278" s="87"/>
      <c r="S278" s="87"/>
      <c r="T278" s="87"/>
      <c r="U278" s="87"/>
      <c r="V278" s="48"/>
      <c r="W278" s="48"/>
      <c r="X278" s="48"/>
      <c r="Y278" s="48"/>
      <c r="Z278" s="47"/>
      <c r="AA278" s="69">
        <v>278</v>
      </c>
      <c r="AB278" s="69"/>
      <c r="AC278" s="70"/>
      <c r="AD278" s="76" t="s">
        <v>12014</v>
      </c>
      <c r="AE278" s="80" t="s">
        <v>12615</v>
      </c>
      <c r="AF278" s="76">
        <v>204962</v>
      </c>
      <c r="AG278" s="76">
        <v>199</v>
      </c>
      <c r="AH278" s="76">
        <v>63059</v>
      </c>
      <c r="AI278" s="76">
        <v>356</v>
      </c>
      <c r="AJ278" s="76">
        <v>441</v>
      </c>
      <c r="AK278" s="76">
        <v>30617</v>
      </c>
      <c r="AL278" s="76" t="b">
        <v>0</v>
      </c>
      <c r="AM278" s="78">
        <v>40309.82508101852</v>
      </c>
      <c r="AN278" s="76" t="s">
        <v>13014</v>
      </c>
      <c r="AO278" s="76" t="s">
        <v>13474</v>
      </c>
      <c r="AP278" s="82" t="str">
        <f>HYPERLINK("https://t.co/GXeI7aHIPO")</f>
        <v>https://t.co/GXeI7aHIPO</v>
      </c>
      <c r="AQ278" s="82" t="str">
        <f>HYPERLINK("http://www.canal11.hn")</f>
        <v>http://www.canal11.hn</v>
      </c>
      <c r="AR278" s="76" t="s">
        <v>14069</v>
      </c>
      <c r="AS278" s="76"/>
      <c r="AT278" s="76"/>
      <c r="AU278" s="76"/>
      <c r="AV278" s="76"/>
      <c r="AW278" s="82" t="str">
        <f>HYPERLINK("https://t.co/GXeI7aHIPO")</f>
        <v>https://t.co/GXeI7aHIPO</v>
      </c>
      <c r="AX278" s="76" t="b">
        <v>0</v>
      </c>
      <c r="AY278" s="76"/>
      <c r="AZ278" s="76"/>
      <c r="BA278" s="76" t="b">
        <v>0</v>
      </c>
      <c r="BB278" s="76" t="b">
        <v>0</v>
      </c>
      <c r="BC278" s="76" t="b">
        <v>0</v>
      </c>
      <c r="BD278" s="76" t="b">
        <v>0</v>
      </c>
      <c r="BE278" s="76" t="b">
        <v>1</v>
      </c>
      <c r="BF278" s="76" t="b">
        <v>0</v>
      </c>
      <c r="BG278" s="76" t="b">
        <v>0</v>
      </c>
      <c r="BH278" s="82" t="str">
        <f>HYPERLINK("https://pbs.twimg.com/profile_banners/142793710/1694777971")</f>
        <v>https://pbs.twimg.com/profile_banners/142793710/1694777971</v>
      </c>
      <c r="BI278" s="76"/>
      <c r="BJ278" s="76" t="s">
        <v>14450</v>
      </c>
      <c r="BK278" s="76" t="b">
        <v>0</v>
      </c>
      <c r="BL278" s="76"/>
      <c r="BM278" s="76" t="s">
        <v>66</v>
      </c>
      <c r="BN278" s="76" t="s">
        <v>14452</v>
      </c>
      <c r="BO278" s="82" t="str">
        <f>HYPERLINK("https://twitter.com/canal11hn")</f>
        <v>https://twitter.com/canal11hn</v>
      </c>
      <c r="BP278" s="2"/>
    </row>
    <row r="279" spans="1:68" x14ac:dyDescent="0.25">
      <c r="A279" s="62" t="s">
        <v>449</v>
      </c>
      <c r="B279" s="63"/>
      <c r="C279" s="63"/>
      <c r="D279" s="64"/>
      <c r="E279" s="66"/>
      <c r="F279" s="103" t="str">
        <f>HYPERLINK("https://pbs.twimg.com/profile_images/1611005808501833729/A0rbCFro_normal.jpg")</f>
        <v>https://pbs.twimg.com/profile_images/1611005808501833729/A0rbCFro_normal.jpg</v>
      </c>
      <c r="G279" s="63"/>
      <c r="H279" s="67"/>
      <c r="I279" s="68"/>
      <c r="J279" s="68"/>
      <c r="K279" s="67" t="s">
        <v>14728</v>
      </c>
      <c r="L279" s="71"/>
      <c r="M279" s="72"/>
      <c r="N279" s="72"/>
      <c r="O279" s="73"/>
      <c r="P279" s="74"/>
      <c r="Q279" s="74"/>
      <c r="R279" s="87"/>
      <c r="S279" s="87"/>
      <c r="T279" s="87"/>
      <c r="U279" s="87"/>
      <c r="V279" s="48"/>
      <c r="W279" s="48"/>
      <c r="X279" s="48"/>
      <c r="Y279" s="48"/>
      <c r="Z279" s="47"/>
      <c r="AA279" s="69">
        <v>279</v>
      </c>
      <c r="AB279" s="69"/>
      <c r="AC279" s="70"/>
      <c r="AD279" s="76" t="s">
        <v>12015</v>
      </c>
      <c r="AE279" s="80" t="s">
        <v>12616</v>
      </c>
      <c r="AF279" s="76">
        <v>18094</v>
      </c>
      <c r="AG279" s="76">
        <v>344</v>
      </c>
      <c r="AH279" s="76">
        <v>14740</v>
      </c>
      <c r="AI279" s="76">
        <v>117</v>
      </c>
      <c r="AJ279" s="76">
        <v>198</v>
      </c>
      <c r="AK279" s="76">
        <v>6641</v>
      </c>
      <c r="AL279" s="76" t="b">
        <v>0</v>
      </c>
      <c r="AM279" s="78">
        <v>41547.860115740739</v>
      </c>
      <c r="AN279" s="76" t="s">
        <v>13015</v>
      </c>
      <c r="AO279" s="76" t="s">
        <v>13475</v>
      </c>
      <c r="AP279" s="82" t="str">
        <f>HYPERLINK("https://t.co/SbVhTRPUY9")</f>
        <v>https://t.co/SbVhTRPUY9</v>
      </c>
      <c r="AQ279" s="82" t="str">
        <f>HYPERLINK("http://www.laley.pe")</f>
        <v>http://www.laley.pe</v>
      </c>
      <c r="AR279" s="76" t="s">
        <v>4278</v>
      </c>
      <c r="AS279" s="76"/>
      <c r="AT279" s="76"/>
      <c r="AU279" s="76"/>
      <c r="AV279" s="76">
        <v>1.36965408769277E+18</v>
      </c>
      <c r="AW279" s="82" t="str">
        <f>HYPERLINK("https://t.co/SbVhTRPUY9")</f>
        <v>https://t.co/SbVhTRPUY9</v>
      </c>
      <c r="AX279" s="76" t="b">
        <v>0</v>
      </c>
      <c r="AY279" s="76"/>
      <c r="AZ279" s="76"/>
      <c r="BA279" s="76" t="b">
        <v>0</v>
      </c>
      <c r="BB279" s="76" t="b">
        <v>0</v>
      </c>
      <c r="BC279" s="76" t="b">
        <v>0</v>
      </c>
      <c r="BD279" s="76" t="b">
        <v>0</v>
      </c>
      <c r="BE279" s="76" t="b">
        <v>0</v>
      </c>
      <c r="BF279" s="76" t="b">
        <v>0</v>
      </c>
      <c r="BG279" s="76" t="b">
        <v>0</v>
      </c>
      <c r="BH279" s="82" t="str">
        <f>HYPERLINK("https://pbs.twimg.com/profile_banners/1921207146/1548859996")</f>
        <v>https://pbs.twimg.com/profile_banners/1921207146/1548859996</v>
      </c>
      <c r="BI279" s="76"/>
      <c r="BJ279" s="76" t="s">
        <v>14450</v>
      </c>
      <c r="BK279" s="76" t="b">
        <v>0</v>
      </c>
      <c r="BL279" s="76"/>
      <c r="BM279" s="76" t="s">
        <v>66</v>
      </c>
      <c r="BN279" s="76" t="s">
        <v>14452</v>
      </c>
      <c r="BO279" s="82" t="str">
        <f>HYPERLINK("https://twitter.com/laleype")</f>
        <v>https://twitter.com/laleype</v>
      </c>
      <c r="BP279" s="2"/>
    </row>
    <row r="280" spans="1:68" x14ac:dyDescent="0.25">
      <c r="A280" s="62" t="s">
        <v>450</v>
      </c>
      <c r="B280" s="63"/>
      <c r="C280" s="63"/>
      <c r="D280" s="64"/>
      <c r="E280" s="66"/>
      <c r="F280" s="103" t="str">
        <f>HYPERLINK("https://pbs.twimg.com/profile_images/1125544797/logo_ma___m_dio_normal.png")</f>
        <v>https://pbs.twimg.com/profile_images/1125544797/logo_ma___m_dio_normal.png</v>
      </c>
      <c r="G280" s="63"/>
      <c r="H280" s="67"/>
      <c r="I280" s="68"/>
      <c r="J280" s="68"/>
      <c r="K280" s="67" t="s">
        <v>14729</v>
      </c>
      <c r="L280" s="71"/>
      <c r="M280" s="72"/>
      <c r="N280" s="72"/>
      <c r="O280" s="73"/>
      <c r="P280" s="74"/>
      <c r="Q280" s="74"/>
      <c r="R280" s="87"/>
      <c r="S280" s="87"/>
      <c r="T280" s="87"/>
      <c r="U280" s="87"/>
      <c r="V280" s="48"/>
      <c r="W280" s="48"/>
      <c r="X280" s="48"/>
      <c r="Y280" s="48"/>
      <c r="Z280" s="47"/>
      <c r="AA280" s="69">
        <v>280</v>
      </c>
      <c r="AB280" s="69"/>
      <c r="AC280" s="70"/>
      <c r="AD280" s="76" t="s">
        <v>12016</v>
      </c>
      <c r="AE280" s="80" t="s">
        <v>12617</v>
      </c>
      <c r="AF280" s="76">
        <v>627</v>
      </c>
      <c r="AG280" s="76">
        <v>153</v>
      </c>
      <c r="AH280" s="76">
        <v>810</v>
      </c>
      <c r="AI280" s="76">
        <v>16</v>
      </c>
      <c r="AJ280" s="76">
        <v>27</v>
      </c>
      <c r="AK280" s="76">
        <v>247</v>
      </c>
      <c r="AL280" s="76" t="b">
        <v>0</v>
      </c>
      <c r="AM280" s="78">
        <v>40209.536354166667</v>
      </c>
      <c r="AN280" s="76" t="s">
        <v>7791</v>
      </c>
      <c r="AO280" s="76" t="s">
        <v>13476</v>
      </c>
      <c r="AP280" s="82" t="str">
        <f>HYPERLINK("https://t.co/afFEJRS1SO")</f>
        <v>https://t.co/afFEJRS1SO</v>
      </c>
      <c r="AQ280" s="82" t="str">
        <f>HYPERLINK("https://www.gravity.com.br")</f>
        <v>https://www.gravity.com.br</v>
      </c>
      <c r="AR280" s="76" t="s">
        <v>14070</v>
      </c>
      <c r="AS280" s="76"/>
      <c r="AT280" s="76"/>
      <c r="AU280" s="76"/>
      <c r="AV280" s="76"/>
      <c r="AW280" s="82" t="str">
        <f>HYPERLINK("https://t.co/afFEJRS1SO")</f>
        <v>https://t.co/afFEJRS1SO</v>
      </c>
      <c r="AX280" s="76" t="b">
        <v>0</v>
      </c>
      <c r="AY280" s="76"/>
      <c r="AZ280" s="76"/>
      <c r="BA280" s="76" t="b">
        <v>0</v>
      </c>
      <c r="BB280" s="76" t="b">
        <v>1</v>
      </c>
      <c r="BC280" s="76" t="b">
        <v>0</v>
      </c>
      <c r="BD280" s="76" t="b">
        <v>0</v>
      </c>
      <c r="BE280" s="76" t="b">
        <v>0</v>
      </c>
      <c r="BF280" s="76" t="b">
        <v>0</v>
      </c>
      <c r="BG280" s="76" t="b">
        <v>0</v>
      </c>
      <c r="BH280" s="82" t="str">
        <f>HYPERLINK("https://pbs.twimg.com/profile_banners/110128937/1564974786")</f>
        <v>https://pbs.twimg.com/profile_banners/110128937/1564974786</v>
      </c>
      <c r="BI280" s="76"/>
      <c r="BJ280" s="76" t="s">
        <v>14450</v>
      </c>
      <c r="BK280" s="76" t="b">
        <v>0</v>
      </c>
      <c r="BL280" s="76"/>
      <c r="BM280" s="76" t="s">
        <v>66</v>
      </c>
      <c r="BN280" s="76" t="s">
        <v>14452</v>
      </c>
      <c r="BO280" s="82" t="str">
        <f>HYPERLINK("https://twitter.com/gravitycombr")</f>
        <v>https://twitter.com/gravitycombr</v>
      </c>
      <c r="BP280" s="2"/>
    </row>
    <row r="281" spans="1:68" x14ac:dyDescent="0.25">
      <c r="A281" s="62" t="s">
        <v>451</v>
      </c>
      <c r="B281" s="63"/>
      <c r="C281" s="63"/>
      <c r="D281" s="64"/>
      <c r="E281" s="66"/>
      <c r="F281" s="103" t="str">
        <f>HYPERLINK("https://pbs.twimg.com/profile_images/1411346781108121605/EO37P-7m_normal.jpg")</f>
        <v>https://pbs.twimg.com/profile_images/1411346781108121605/EO37P-7m_normal.jpg</v>
      </c>
      <c r="G281" s="63"/>
      <c r="H281" s="67"/>
      <c r="I281" s="68"/>
      <c r="J281" s="68"/>
      <c r="K281" s="67" t="s">
        <v>14730</v>
      </c>
      <c r="L281" s="71"/>
      <c r="M281" s="72"/>
      <c r="N281" s="72"/>
      <c r="O281" s="73"/>
      <c r="P281" s="74"/>
      <c r="Q281" s="74"/>
      <c r="R281" s="87"/>
      <c r="S281" s="87"/>
      <c r="T281" s="87"/>
      <c r="U281" s="87"/>
      <c r="V281" s="48"/>
      <c r="W281" s="48"/>
      <c r="X281" s="48"/>
      <c r="Y281" s="48"/>
      <c r="Z281" s="47"/>
      <c r="AA281" s="69">
        <v>281</v>
      </c>
      <c r="AB281" s="69"/>
      <c r="AC281" s="70"/>
      <c r="AD281" s="76" t="s">
        <v>12017</v>
      </c>
      <c r="AE281" s="80" t="s">
        <v>12618</v>
      </c>
      <c r="AF281" s="76">
        <v>381</v>
      </c>
      <c r="AG281" s="76">
        <v>1072</v>
      </c>
      <c r="AH281" s="76">
        <v>11264</v>
      </c>
      <c r="AI281" s="76">
        <v>4</v>
      </c>
      <c r="AJ281" s="76">
        <v>9561</v>
      </c>
      <c r="AK281" s="76">
        <v>554</v>
      </c>
      <c r="AL281" s="76" t="b">
        <v>0</v>
      </c>
      <c r="AM281" s="78">
        <v>40147.771087962959</v>
      </c>
      <c r="AN281" s="76" t="s">
        <v>13016</v>
      </c>
      <c r="AO281" s="76" t="s">
        <v>13477</v>
      </c>
      <c r="AP281" s="82" t="str">
        <f>HYPERLINK("https://t.co/EvuJorFQTH")</f>
        <v>https://t.co/EvuJorFQTH</v>
      </c>
      <c r="AQ281" s="82" t="str">
        <f>HYPERLINK("https://www.linkedin.com/in/valdiviamarlon")</f>
        <v>https://www.linkedin.com/in/valdiviamarlon</v>
      </c>
      <c r="AR281" s="76" t="s">
        <v>14071</v>
      </c>
      <c r="AS281" s="76"/>
      <c r="AT281" s="76"/>
      <c r="AU281" s="76"/>
      <c r="AV281" s="76"/>
      <c r="AW281" s="82" t="str">
        <f>HYPERLINK("https://t.co/EvuJorFQTH")</f>
        <v>https://t.co/EvuJorFQTH</v>
      </c>
      <c r="AX281" s="76" t="b">
        <v>0</v>
      </c>
      <c r="AY281" s="76"/>
      <c r="AZ281" s="76"/>
      <c r="BA281" s="76" t="b">
        <v>0</v>
      </c>
      <c r="BB281" s="76" t="b">
        <v>1</v>
      </c>
      <c r="BC281" s="76" t="b">
        <v>0</v>
      </c>
      <c r="BD281" s="76" t="b">
        <v>0</v>
      </c>
      <c r="BE281" s="76" t="b">
        <v>1</v>
      </c>
      <c r="BF281" s="76" t="b">
        <v>0</v>
      </c>
      <c r="BG281" s="76" t="b">
        <v>0</v>
      </c>
      <c r="BH281" s="82" t="str">
        <f>HYPERLINK("https://pbs.twimg.com/profile_banners/93685241/1678326254")</f>
        <v>https://pbs.twimg.com/profile_banners/93685241/1678326254</v>
      </c>
      <c r="BI281" s="76"/>
      <c r="BJ281" s="76" t="s">
        <v>14450</v>
      </c>
      <c r="BK281" s="76" t="b">
        <v>0</v>
      </c>
      <c r="BL281" s="76"/>
      <c r="BM281" s="76" t="s">
        <v>66</v>
      </c>
      <c r="BN281" s="76" t="s">
        <v>14452</v>
      </c>
      <c r="BO281" s="82" t="str">
        <f>HYPERLINK("https://twitter.com/valdiviamarlon")</f>
        <v>https://twitter.com/valdiviamarlon</v>
      </c>
      <c r="BP281" s="2"/>
    </row>
    <row r="282" spans="1:68" x14ac:dyDescent="0.25">
      <c r="A282" s="62" t="s">
        <v>452</v>
      </c>
      <c r="B282" s="63"/>
      <c r="C282" s="63"/>
      <c r="D282" s="64"/>
      <c r="E282" s="66"/>
      <c r="F282" s="103" t="str">
        <f>HYPERLINK("https://pbs.twimg.com/profile_images/1675092564351893506/6Di6bBhd_normal.jpg")</f>
        <v>https://pbs.twimg.com/profile_images/1675092564351893506/6Di6bBhd_normal.jpg</v>
      </c>
      <c r="G282" s="63"/>
      <c r="H282" s="67"/>
      <c r="I282" s="68"/>
      <c r="J282" s="68"/>
      <c r="K282" s="67" t="s">
        <v>14731</v>
      </c>
      <c r="L282" s="71"/>
      <c r="M282" s="72"/>
      <c r="N282" s="72"/>
      <c r="O282" s="73"/>
      <c r="P282" s="74"/>
      <c r="Q282" s="74"/>
      <c r="R282" s="87"/>
      <c r="S282" s="87"/>
      <c r="T282" s="87"/>
      <c r="U282" s="87"/>
      <c r="V282" s="48"/>
      <c r="W282" s="48"/>
      <c r="X282" s="48"/>
      <c r="Y282" s="48"/>
      <c r="Z282" s="47"/>
      <c r="AA282" s="69">
        <v>282</v>
      </c>
      <c r="AB282" s="69"/>
      <c r="AC282" s="70"/>
      <c r="AD282" s="76" t="s">
        <v>12018</v>
      </c>
      <c r="AE282" s="80" t="s">
        <v>12619</v>
      </c>
      <c r="AF282" s="76">
        <v>178</v>
      </c>
      <c r="AG282" s="76">
        <v>576</v>
      </c>
      <c r="AH282" s="76">
        <v>385</v>
      </c>
      <c r="AI282" s="76">
        <v>0</v>
      </c>
      <c r="AJ282" s="76">
        <v>18</v>
      </c>
      <c r="AK282" s="76">
        <v>66</v>
      </c>
      <c r="AL282" s="76" t="b">
        <v>0</v>
      </c>
      <c r="AM282" s="78">
        <v>40514.872071759259</v>
      </c>
      <c r="AN282" s="76" t="s">
        <v>13017</v>
      </c>
      <c r="AO282" s="76" t="s">
        <v>13478</v>
      </c>
      <c r="AP282" s="76"/>
      <c r="AQ282" s="76"/>
      <c r="AR282" s="76"/>
      <c r="AS282" s="76"/>
      <c r="AT282" s="76"/>
      <c r="AU282" s="76"/>
      <c r="AV282" s="76"/>
      <c r="AW282" s="76"/>
      <c r="AX282" s="76" t="b">
        <v>0</v>
      </c>
      <c r="AY282" s="76"/>
      <c r="AZ282" s="76"/>
      <c r="BA282" s="76" t="b">
        <v>0</v>
      </c>
      <c r="BB282" s="76" t="b">
        <v>1</v>
      </c>
      <c r="BC282" s="76" t="b">
        <v>1</v>
      </c>
      <c r="BD282" s="76" t="b">
        <v>0</v>
      </c>
      <c r="BE282" s="76" t="b">
        <v>0</v>
      </c>
      <c r="BF282" s="76" t="b">
        <v>0</v>
      </c>
      <c r="BG282" s="76" t="b">
        <v>0</v>
      </c>
      <c r="BH282" s="82" t="str">
        <f>HYPERLINK("https://pbs.twimg.com/profile_banners/222234533/1686853366")</f>
        <v>https://pbs.twimg.com/profile_banners/222234533/1686853366</v>
      </c>
      <c r="BI282" s="76"/>
      <c r="BJ282" s="76" t="s">
        <v>14450</v>
      </c>
      <c r="BK282" s="76" t="b">
        <v>0</v>
      </c>
      <c r="BL282" s="76"/>
      <c r="BM282" s="76" t="s">
        <v>66</v>
      </c>
      <c r="BN282" s="76" t="s">
        <v>14452</v>
      </c>
      <c r="BO282" s="82" t="str">
        <f>HYPERLINK("https://twitter.com/umviajante")</f>
        <v>https://twitter.com/umviajante</v>
      </c>
      <c r="BP282" s="2"/>
    </row>
    <row r="283" spans="1:68" x14ac:dyDescent="0.25">
      <c r="A283" s="62" t="s">
        <v>453</v>
      </c>
      <c r="B283" s="63"/>
      <c r="C283" s="63"/>
      <c r="D283" s="64"/>
      <c r="E283" s="66"/>
      <c r="F283" s="103" t="str">
        <f>HYPERLINK("https://pbs.twimg.com/profile_images/1468245695740141573/c8om3tTz_normal.jpg")</f>
        <v>https://pbs.twimg.com/profile_images/1468245695740141573/c8om3tTz_normal.jpg</v>
      </c>
      <c r="G283" s="63"/>
      <c r="H283" s="67"/>
      <c r="I283" s="68"/>
      <c r="J283" s="68"/>
      <c r="K283" s="67" t="s">
        <v>14732</v>
      </c>
      <c r="L283" s="71"/>
      <c r="M283" s="72"/>
      <c r="N283" s="72"/>
      <c r="O283" s="73"/>
      <c r="P283" s="74"/>
      <c r="Q283" s="74"/>
      <c r="R283" s="87"/>
      <c r="S283" s="87"/>
      <c r="T283" s="87"/>
      <c r="U283" s="87"/>
      <c r="V283" s="48"/>
      <c r="W283" s="48"/>
      <c r="X283" s="48"/>
      <c r="Y283" s="48"/>
      <c r="Z283" s="47"/>
      <c r="AA283" s="69">
        <v>283</v>
      </c>
      <c r="AB283" s="69"/>
      <c r="AC283" s="70"/>
      <c r="AD283" s="76" t="s">
        <v>12019</v>
      </c>
      <c r="AE283" s="80" t="s">
        <v>12620</v>
      </c>
      <c r="AF283" s="76">
        <v>36499</v>
      </c>
      <c r="AG283" s="76">
        <v>509</v>
      </c>
      <c r="AH283" s="76">
        <v>102999</v>
      </c>
      <c r="AI283" s="76">
        <v>112</v>
      </c>
      <c r="AJ283" s="76">
        <v>803</v>
      </c>
      <c r="AK283" s="76">
        <v>35485</v>
      </c>
      <c r="AL283" s="76" t="b">
        <v>0</v>
      </c>
      <c r="AM283" s="78">
        <v>41309.721458333333</v>
      </c>
      <c r="AN283" s="76" t="s">
        <v>13018</v>
      </c>
      <c r="AO283" s="76" t="s">
        <v>13479</v>
      </c>
      <c r="AP283" s="82" t="str">
        <f>HYPERLINK("https://t.co/w40zriB355")</f>
        <v>https://t.co/w40zriB355</v>
      </c>
      <c r="AQ283" s="82" t="str">
        <f>HYPERLINK("https://www.facebook.com/RetenChiriqui")</f>
        <v>https://www.facebook.com/RetenChiriqui</v>
      </c>
      <c r="AR283" s="76" t="s">
        <v>14072</v>
      </c>
      <c r="AS283" s="76"/>
      <c r="AT283" s="76"/>
      <c r="AU283" s="76"/>
      <c r="AV283" s="76"/>
      <c r="AW283" s="82" t="str">
        <f>HYPERLINK("https://t.co/w40zriB355")</f>
        <v>https://t.co/w40zriB355</v>
      </c>
      <c r="AX283" s="76" t="b">
        <v>0</v>
      </c>
      <c r="AY283" s="76"/>
      <c r="AZ283" s="76"/>
      <c r="BA283" s="76" t="b">
        <v>1</v>
      </c>
      <c r="BB283" s="76" t="b">
        <v>1</v>
      </c>
      <c r="BC283" s="76" t="b">
        <v>0</v>
      </c>
      <c r="BD283" s="76" t="b">
        <v>0</v>
      </c>
      <c r="BE283" s="76" t="b">
        <v>1</v>
      </c>
      <c r="BF283" s="76" t="b">
        <v>0</v>
      </c>
      <c r="BG283" s="76" t="b">
        <v>0</v>
      </c>
      <c r="BH283" s="82" t="str">
        <f>HYPERLINK("https://pbs.twimg.com/profile_banners/1148574218/1691021623")</f>
        <v>https://pbs.twimg.com/profile_banners/1148574218/1691021623</v>
      </c>
      <c r="BI283" s="76"/>
      <c r="BJ283" s="76" t="s">
        <v>14450</v>
      </c>
      <c r="BK283" s="76" t="b">
        <v>0</v>
      </c>
      <c r="BL283" s="76"/>
      <c r="BM283" s="76" t="s">
        <v>66</v>
      </c>
      <c r="BN283" s="76" t="s">
        <v>14452</v>
      </c>
      <c r="BO283" s="82" t="str">
        <f>HYPERLINK("https://twitter.com/retenchiriqui")</f>
        <v>https://twitter.com/retenchiriqui</v>
      </c>
      <c r="BP283" s="2"/>
    </row>
    <row r="284" spans="1:68" x14ac:dyDescent="0.25">
      <c r="A284" s="62" t="s">
        <v>454</v>
      </c>
      <c r="B284" s="63"/>
      <c r="C284" s="63"/>
      <c r="D284" s="64"/>
      <c r="E284" s="66"/>
      <c r="F284" s="103" t="str">
        <f>HYPERLINK("https://pbs.twimg.com/profile_images/909704949390602240/n2v0MD9x_normal.jpg")</f>
        <v>https://pbs.twimg.com/profile_images/909704949390602240/n2v0MD9x_normal.jpg</v>
      </c>
      <c r="G284" s="63"/>
      <c r="H284" s="67"/>
      <c r="I284" s="68"/>
      <c r="J284" s="68"/>
      <c r="K284" s="67" t="s">
        <v>14733</v>
      </c>
      <c r="L284" s="71"/>
      <c r="M284" s="72"/>
      <c r="N284" s="72"/>
      <c r="O284" s="73"/>
      <c r="P284" s="74"/>
      <c r="Q284" s="74"/>
      <c r="R284" s="87"/>
      <c r="S284" s="87"/>
      <c r="T284" s="87"/>
      <c r="U284" s="87"/>
      <c r="V284" s="48"/>
      <c r="W284" s="48"/>
      <c r="X284" s="48"/>
      <c r="Y284" s="48"/>
      <c r="Z284" s="47"/>
      <c r="AA284" s="69">
        <v>284</v>
      </c>
      <c r="AB284" s="69"/>
      <c r="AC284" s="70"/>
      <c r="AD284" s="76" t="s">
        <v>12020</v>
      </c>
      <c r="AE284" s="80" t="s">
        <v>11333</v>
      </c>
      <c r="AF284" s="76">
        <v>1122</v>
      </c>
      <c r="AG284" s="76">
        <v>117</v>
      </c>
      <c r="AH284" s="76">
        <v>2120</v>
      </c>
      <c r="AI284" s="76">
        <v>17</v>
      </c>
      <c r="AJ284" s="76">
        <v>70</v>
      </c>
      <c r="AK284" s="76">
        <v>961</v>
      </c>
      <c r="AL284" s="76" t="b">
        <v>0</v>
      </c>
      <c r="AM284" s="78">
        <v>39931.786562499998</v>
      </c>
      <c r="AN284" s="76" t="s">
        <v>13019</v>
      </c>
      <c r="AO284" s="76" t="s">
        <v>13480</v>
      </c>
      <c r="AP284" s="82" t="str">
        <f>HYPERLINK("https://t.co/nEkorOUzod")</f>
        <v>https://t.co/nEkorOUzod</v>
      </c>
      <c r="AQ284" s="82" t="str">
        <f>HYPERLINK("https://neogrid.com")</f>
        <v>https://neogrid.com</v>
      </c>
      <c r="AR284" s="76" t="s">
        <v>4279</v>
      </c>
      <c r="AS284" s="76"/>
      <c r="AT284" s="76"/>
      <c r="AU284" s="76"/>
      <c r="AV284" s="76"/>
      <c r="AW284" s="82" t="str">
        <f>HYPERLINK("https://t.co/nEkorOUzod")</f>
        <v>https://t.co/nEkorOUzod</v>
      </c>
      <c r="AX284" s="76" t="b">
        <v>0</v>
      </c>
      <c r="AY284" s="76"/>
      <c r="AZ284" s="76"/>
      <c r="BA284" s="76" t="b">
        <v>0</v>
      </c>
      <c r="BB284" s="76" t="b">
        <v>0</v>
      </c>
      <c r="BC284" s="76" t="b">
        <v>0</v>
      </c>
      <c r="BD284" s="76" t="b">
        <v>0</v>
      </c>
      <c r="BE284" s="76" t="b">
        <v>1</v>
      </c>
      <c r="BF284" s="76" t="b">
        <v>0</v>
      </c>
      <c r="BG284" s="76" t="b">
        <v>0</v>
      </c>
      <c r="BH284" s="82" t="str">
        <f>HYPERLINK("https://pbs.twimg.com/profile_banners/36146846/1693921850")</f>
        <v>https://pbs.twimg.com/profile_banners/36146846/1693921850</v>
      </c>
      <c r="BI284" s="76"/>
      <c r="BJ284" s="76" t="s">
        <v>14450</v>
      </c>
      <c r="BK284" s="76" t="b">
        <v>0</v>
      </c>
      <c r="BL284" s="76"/>
      <c r="BM284" s="76" t="s">
        <v>66</v>
      </c>
      <c r="BN284" s="76" t="s">
        <v>14452</v>
      </c>
      <c r="BO284" s="82" t="str">
        <f>HYPERLINK("https://twitter.com/neogrid")</f>
        <v>https://twitter.com/neogrid</v>
      </c>
      <c r="BP284" s="2"/>
    </row>
    <row r="285" spans="1:68" x14ac:dyDescent="0.25">
      <c r="A285" s="62" t="s">
        <v>455</v>
      </c>
      <c r="B285" s="63"/>
      <c r="C285" s="63"/>
      <c r="D285" s="64"/>
      <c r="E285" s="66"/>
      <c r="F285" s="103" t="str">
        <f>HYPERLINK("https://pbs.twimg.com/profile_images/1109439370367590400/Cdq5gQeR_normal.png")</f>
        <v>https://pbs.twimg.com/profile_images/1109439370367590400/Cdq5gQeR_normal.png</v>
      </c>
      <c r="G285" s="63"/>
      <c r="H285" s="67"/>
      <c r="I285" s="68"/>
      <c r="J285" s="68"/>
      <c r="K285" s="67" t="s">
        <v>14734</v>
      </c>
      <c r="L285" s="71"/>
      <c r="M285" s="72"/>
      <c r="N285" s="72"/>
      <c r="O285" s="73"/>
      <c r="P285" s="74"/>
      <c r="Q285" s="74"/>
      <c r="R285" s="87"/>
      <c r="S285" s="87"/>
      <c r="T285" s="87"/>
      <c r="U285" s="87"/>
      <c r="V285" s="48"/>
      <c r="W285" s="48"/>
      <c r="X285" s="48"/>
      <c r="Y285" s="48"/>
      <c r="Z285" s="47"/>
      <c r="AA285" s="69">
        <v>285</v>
      </c>
      <c r="AB285" s="69"/>
      <c r="AC285" s="70"/>
      <c r="AD285" s="76" t="s">
        <v>12021</v>
      </c>
      <c r="AE285" s="80" t="s">
        <v>11520</v>
      </c>
      <c r="AF285" s="76">
        <v>9001</v>
      </c>
      <c r="AG285" s="76">
        <v>31</v>
      </c>
      <c r="AH285" s="76">
        <v>17480</v>
      </c>
      <c r="AI285" s="76">
        <v>11</v>
      </c>
      <c r="AJ285" s="76">
        <v>100</v>
      </c>
      <c r="AK285" s="76">
        <v>16602</v>
      </c>
      <c r="AL285" s="76" t="b">
        <v>0</v>
      </c>
      <c r="AM285" s="78">
        <v>43547.539768518516</v>
      </c>
      <c r="AN285" s="76" t="s">
        <v>12875</v>
      </c>
      <c r="AO285" s="76" t="s">
        <v>13481</v>
      </c>
      <c r="AP285" s="82" t="str">
        <f>HYPERLINK("https://t.co/e0VFUf8Swm")</f>
        <v>https://t.co/e0VFUf8Swm</v>
      </c>
      <c r="AQ285" s="82" t="str">
        <f>HYPERLINK("https://elsolucionario.org")</f>
        <v>https://elsolucionario.org</v>
      </c>
      <c r="AR285" s="76" t="s">
        <v>14073</v>
      </c>
      <c r="AS285" s="76"/>
      <c r="AT285" s="76"/>
      <c r="AU285" s="76"/>
      <c r="AV285" s="76"/>
      <c r="AW285" s="82" t="str">
        <f>HYPERLINK("https://t.co/e0VFUf8Swm")</f>
        <v>https://t.co/e0VFUf8Swm</v>
      </c>
      <c r="AX285" s="76" t="b">
        <v>0</v>
      </c>
      <c r="AY285" s="76"/>
      <c r="AZ285" s="76"/>
      <c r="BA285" s="76" t="b">
        <v>0</v>
      </c>
      <c r="BB285" s="76" t="b">
        <v>1</v>
      </c>
      <c r="BC285" s="76" t="b">
        <v>0</v>
      </c>
      <c r="BD285" s="76" t="b">
        <v>0</v>
      </c>
      <c r="BE285" s="76" t="b">
        <v>1</v>
      </c>
      <c r="BF285" s="76" t="b">
        <v>0</v>
      </c>
      <c r="BG285" s="76" t="b">
        <v>0</v>
      </c>
      <c r="BH285" s="82" t="str">
        <f>HYPERLINK("https://pbs.twimg.com/profile_banners/1109438964652564480/1553416529")</f>
        <v>https://pbs.twimg.com/profile_banners/1109438964652564480/1553416529</v>
      </c>
      <c r="BI285" s="76"/>
      <c r="BJ285" s="76" t="s">
        <v>14450</v>
      </c>
      <c r="BK285" s="76" t="b">
        <v>0</v>
      </c>
      <c r="BL285" s="76"/>
      <c r="BM285" s="76" t="s">
        <v>66</v>
      </c>
      <c r="BN285" s="76" t="s">
        <v>14452</v>
      </c>
      <c r="BO285" s="82" t="str">
        <f>HYPERLINK("https://twitter.com/elsolucionario")</f>
        <v>https://twitter.com/elsolucionario</v>
      </c>
      <c r="BP285" s="2"/>
    </row>
    <row r="286" spans="1:68" x14ac:dyDescent="0.25">
      <c r="A286" s="62" t="s">
        <v>456</v>
      </c>
      <c r="B286" s="63"/>
      <c r="C286" s="63"/>
      <c r="D286" s="64"/>
      <c r="E286" s="66"/>
      <c r="F286" s="103" t="str">
        <f>HYPERLINK("https://pbs.twimg.com/profile_images/1616100390365282306/_0cTUVSD_normal.jpg")</f>
        <v>https://pbs.twimg.com/profile_images/1616100390365282306/_0cTUVSD_normal.jpg</v>
      </c>
      <c r="G286" s="63"/>
      <c r="H286" s="67"/>
      <c r="I286" s="68"/>
      <c r="J286" s="68"/>
      <c r="K286" s="67" t="s">
        <v>14735</v>
      </c>
      <c r="L286" s="71"/>
      <c r="M286" s="72"/>
      <c r="N286" s="72"/>
      <c r="O286" s="73"/>
      <c r="P286" s="74"/>
      <c r="Q286" s="74"/>
      <c r="R286" s="87"/>
      <c r="S286" s="87"/>
      <c r="T286" s="87"/>
      <c r="U286" s="87"/>
      <c r="V286" s="48"/>
      <c r="W286" s="48"/>
      <c r="X286" s="48"/>
      <c r="Y286" s="48"/>
      <c r="Z286" s="47"/>
      <c r="AA286" s="69">
        <v>286</v>
      </c>
      <c r="AB286" s="69"/>
      <c r="AC286" s="70"/>
      <c r="AD286" s="76" t="s">
        <v>12022</v>
      </c>
      <c r="AE286" s="80" t="s">
        <v>11521</v>
      </c>
      <c r="AF286" s="76">
        <v>6545</v>
      </c>
      <c r="AG286" s="76">
        <v>856</v>
      </c>
      <c r="AH286" s="76">
        <v>36699</v>
      </c>
      <c r="AI286" s="76">
        <v>9</v>
      </c>
      <c r="AJ286" s="76">
        <v>269</v>
      </c>
      <c r="AK286" s="76">
        <v>15317</v>
      </c>
      <c r="AL286" s="76" t="b">
        <v>0</v>
      </c>
      <c r="AM286" s="78">
        <v>42690.891458333332</v>
      </c>
      <c r="AN286" s="76" t="s">
        <v>13020</v>
      </c>
      <c r="AO286" s="76" t="s">
        <v>13482</v>
      </c>
      <c r="AP286" s="82" t="str">
        <f>HYPERLINK("https://t.co/7ruyaiYVgE")</f>
        <v>https://t.co/7ruyaiYVgE</v>
      </c>
      <c r="AQ286" s="82" t="str">
        <f>HYPERLINK("https://youtube.com/@Hacktivos")</f>
        <v>https://youtube.com/@Hacktivos</v>
      </c>
      <c r="AR286" s="76" t="s">
        <v>14074</v>
      </c>
      <c r="AS286" s="76"/>
      <c r="AT286" s="76"/>
      <c r="AU286" s="76"/>
      <c r="AV286" s="76">
        <v>1.42039247580241E+18</v>
      </c>
      <c r="AW286" s="82" t="str">
        <f>HYPERLINK("https://t.co/7ruyaiYVgE")</f>
        <v>https://t.co/7ruyaiYVgE</v>
      </c>
      <c r="AX286" s="76" t="b">
        <v>0</v>
      </c>
      <c r="AY286" s="76"/>
      <c r="AZ286" s="76"/>
      <c r="BA286" s="76" t="b">
        <v>1</v>
      </c>
      <c r="BB286" s="76" t="b">
        <v>0</v>
      </c>
      <c r="BC286" s="76" t="b">
        <v>1</v>
      </c>
      <c r="BD286" s="76" t="b">
        <v>0</v>
      </c>
      <c r="BE286" s="76" t="b">
        <v>1</v>
      </c>
      <c r="BF286" s="76" t="b">
        <v>0</v>
      </c>
      <c r="BG286" s="76" t="b">
        <v>1</v>
      </c>
      <c r="BH286" s="82" t="str">
        <f>HYPERLINK("https://pbs.twimg.com/profile_banners/799000013527347200/1627498948")</f>
        <v>https://pbs.twimg.com/profile_banners/799000013527347200/1627498948</v>
      </c>
      <c r="BI286" s="76"/>
      <c r="BJ286" s="76" t="s">
        <v>14450</v>
      </c>
      <c r="BK286" s="76" t="b">
        <v>0</v>
      </c>
      <c r="BL286" s="76"/>
      <c r="BM286" s="76" t="s">
        <v>66</v>
      </c>
      <c r="BN286" s="76" t="s">
        <v>14452</v>
      </c>
      <c r="BO286" s="82" t="str">
        <f>HYPERLINK("https://twitter.com/hacktivos")</f>
        <v>https://twitter.com/hacktivos</v>
      </c>
      <c r="BP286" s="2"/>
    </row>
    <row r="287" spans="1:68" x14ac:dyDescent="0.25">
      <c r="A287" s="62" t="s">
        <v>457</v>
      </c>
      <c r="B287" s="63"/>
      <c r="C287" s="63"/>
      <c r="D287" s="64"/>
      <c r="E287" s="66"/>
      <c r="F287" s="103" t="str">
        <f>HYPERLINK("https://pbs.twimg.com/profile_images/1508199729737388040/eEZzwmR2_normal.jpg")</f>
        <v>https://pbs.twimg.com/profile_images/1508199729737388040/eEZzwmR2_normal.jpg</v>
      </c>
      <c r="G287" s="63"/>
      <c r="H287" s="67"/>
      <c r="I287" s="68"/>
      <c r="J287" s="68"/>
      <c r="K287" s="67" t="s">
        <v>14736</v>
      </c>
      <c r="L287" s="71"/>
      <c r="M287" s="72"/>
      <c r="N287" s="72"/>
      <c r="O287" s="73"/>
      <c r="P287" s="74"/>
      <c r="Q287" s="74"/>
      <c r="R287" s="87"/>
      <c r="S287" s="87"/>
      <c r="T287" s="87"/>
      <c r="U287" s="87"/>
      <c r="V287" s="48"/>
      <c r="W287" s="48"/>
      <c r="X287" s="48"/>
      <c r="Y287" s="48"/>
      <c r="Z287" s="47"/>
      <c r="AA287" s="69">
        <v>287</v>
      </c>
      <c r="AB287" s="69"/>
      <c r="AC287" s="70"/>
      <c r="AD287" s="76" t="s">
        <v>12023</v>
      </c>
      <c r="AE287" s="80" t="s">
        <v>12621</v>
      </c>
      <c r="AF287" s="76">
        <v>106661</v>
      </c>
      <c r="AG287" s="76">
        <v>395</v>
      </c>
      <c r="AH287" s="76">
        <v>23612</v>
      </c>
      <c r="AI287" s="76">
        <v>270</v>
      </c>
      <c r="AJ287" s="76">
        <v>1802</v>
      </c>
      <c r="AK287" s="76">
        <v>10431</v>
      </c>
      <c r="AL287" s="76" t="b">
        <v>0</v>
      </c>
      <c r="AM287" s="78">
        <v>41209.876018518517</v>
      </c>
      <c r="AN287" s="76" t="s">
        <v>13021</v>
      </c>
      <c r="AO287" s="76" t="s">
        <v>13483</v>
      </c>
      <c r="AP287" s="82" t="str">
        <f>HYPERLINK("https://t.co/bCc7zvGQVk")</f>
        <v>https://t.co/bCc7zvGQVk</v>
      </c>
      <c r="AQ287" s="82" t="str">
        <f>HYPERLINK("http://linktr.ee/89fm")</f>
        <v>http://linktr.ee/89fm</v>
      </c>
      <c r="AR287" s="76" t="s">
        <v>14075</v>
      </c>
      <c r="AS287" s="76"/>
      <c r="AT287" s="76"/>
      <c r="AU287" s="76"/>
      <c r="AV287" s="76"/>
      <c r="AW287" s="82" t="str">
        <f>HYPERLINK("https://t.co/bCc7zvGQVk")</f>
        <v>https://t.co/bCc7zvGQVk</v>
      </c>
      <c r="AX287" s="76" t="b">
        <v>1</v>
      </c>
      <c r="AY287" s="76"/>
      <c r="AZ287" s="76"/>
      <c r="BA287" s="76" t="b">
        <v>0</v>
      </c>
      <c r="BB287" s="76" t="b">
        <v>1</v>
      </c>
      <c r="BC287" s="76" t="b">
        <v>0</v>
      </c>
      <c r="BD287" s="76" t="b">
        <v>0</v>
      </c>
      <c r="BE287" s="76" t="b">
        <v>1</v>
      </c>
      <c r="BF287" s="76" t="b">
        <v>0</v>
      </c>
      <c r="BG287" s="76" t="b">
        <v>0</v>
      </c>
      <c r="BH287" s="82" t="str">
        <f>HYPERLINK("https://pbs.twimg.com/profile_banners/908917442/1648417812")</f>
        <v>https://pbs.twimg.com/profile_banners/908917442/1648417812</v>
      </c>
      <c r="BI287" s="76"/>
      <c r="BJ287" s="76" t="s">
        <v>14450</v>
      </c>
      <c r="BK287" s="76" t="b">
        <v>0</v>
      </c>
      <c r="BL287" s="76"/>
      <c r="BM287" s="76" t="s">
        <v>66</v>
      </c>
      <c r="BN287" s="76" t="s">
        <v>14452</v>
      </c>
      <c r="BO287" s="82" t="str">
        <f>HYPERLINK("https://twitter.com/radiorock89")</f>
        <v>https://twitter.com/radiorock89</v>
      </c>
      <c r="BP287" s="2"/>
    </row>
    <row r="288" spans="1:68" x14ac:dyDescent="0.25">
      <c r="A288" s="62" t="s">
        <v>458</v>
      </c>
      <c r="B288" s="63"/>
      <c r="C288" s="63"/>
      <c r="D288" s="64"/>
      <c r="E288" s="66"/>
      <c r="F288" s="103" t="str">
        <f>HYPERLINK("https://pbs.twimg.com/profile_images/1547314113201770496/LmGLBlzd_normal.png")</f>
        <v>https://pbs.twimg.com/profile_images/1547314113201770496/LmGLBlzd_normal.png</v>
      </c>
      <c r="G288" s="63"/>
      <c r="H288" s="67"/>
      <c r="I288" s="68"/>
      <c r="J288" s="68"/>
      <c r="K288" s="67" t="s">
        <v>14737</v>
      </c>
      <c r="L288" s="71"/>
      <c r="M288" s="72"/>
      <c r="N288" s="72"/>
      <c r="O288" s="73"/>
      <c r="P288" s="74"/>
      <c r="Q288" s="74"/>
      <c r="R288" s="87"/>
      <c r="S288" s="87"/>
      <c r="T288" s="87"/>
      <c r="U288" s="87"/>
      <c r="V288" s="48"/>
      <c r="W288" s="48"/>
      <c r="X288" s="48"/>
      <c r="Y288" s="48"/>
      <c r="Z288" s="47"/>
      <c r="AA288" s="69">
        <v>288</v>
      </c>
      <c r="AB288" s="69"/>
      <c r="AC288" s="70"/>
      <c r="AD288" s="76" t="s">
        <v>12024</v>
      </c>
      <c r="AE288" s="80" t="s">
        <v>11522</v>
      </c>
      <c r="AF288" s="76">
        <v>1</v>
      </c>
      <c r="AG288" s="76">
        <v>1</v>
      </c>
      <c r="AH288" s="76">
        <v>3</v>
      </c>
      <c r="AI288" s="76">
        <v>0</v>
      </c>
      <c r="AJ288" s="76">
        <v>0</v>
      </c>
      <c r="AK288" s="76">
        <v>0</v>
      </c>
      <c r="AL288" s="76" t="b">
        <v>0</v>
      </c>
      <c r="AM288" s="78">
        <v>44755.844976851855</v>
      </c>
      <c r="AN288" s="76"/>
      <c r="AO288" s="76"/>
      <c r="AP288" s="76"/>
      <c r="AQ288" s="76"/>
      <c r="AR288" s="76"/>
      <c r="AS288" s="76"/>
      <c r="AT288" s="76"/>
      <c r="AU288" s="76"/>
      <c r="AV288" s="76"/>
      <c r="AW288" s="76"/>
      <c r="AX288" s="76" t="b">
        <v>0</v>
      </c>
      <c r="AY288" s="76"/>
      <c r="AZ288" s="76"/>
      <c r="BA288" s="76" t="b">
        <v>0</v>
      </c>
      <c r="BB288" s="76" t="b">
        <v>1</v>
      </c>
      <c r="BC288" s="76" t="b">
        <v>1</v>
      </c>
      <c r="BD288" s="76" t="b">
        <v>0</v>
      </c>
      <c r="BE288" s="76" t="b">
        <v>0</v>
      </c>
      <c r="BF288" s="76" t="b">
        <v>0</v>
      </c>
      <c r="BG288" s="76" t="b">
        <v>0</v>
      </c>
      <c r="BH288" s="76"/>
      <c r="BI288" s="76"/>
      <c r="BJ288" s="76" t="s">
        <v>14450</v>
      </c>
      <c r="BK288" s="76" t="b">
        <v>0</v>
      </c>
      <c r="BL288" s="76"/>
      <c r="BM288" s="76" t="s">
        <v>66</v>
      </c>
      <c r="BN288" s="76" t="s">
        <v>14452</v>
      </c>
      <c r="BO288" s="82" t="str">
        <f>HYPERLINK("https://twitter.com/resultadoscia")</f>
        <v>https://twitter.com/resultadoscia</v>
      </c>
      <c r="BP288" s="2"/>
    </row>
    <row r="289" spans="1:68" x14ac:dyDescent="0.25">
      <c r="A289" s="62" t="s">
        <v>914</v>
      </c>
      <c r="B289" s="63"/>
      <c r="C289" s="63"/>
      <c r="D289" s="64"/>
      <c r="E289" s="66"/>
      <c r="F289" s="103" t="str">
        <f>HYPERLINK("https://pbs.twimg.com/profile_images/1283820316284923904/L8pw6ZoS_normal.jpg")</f>
        <v>https://pbs.twimg.com/profile_images/1283820316284923904/L8pw6ZoS_normal.jpg</v>
      </c>
      <c r="G289" s="63"/>
      <c r="H289" s="67"/>
      <c r="I289" s="68"/>
      <c r="J289" s="68"/>
      <c r="K289" s="67" t="s">
        <v>14738</v>
      </c>
      <c r="L289" s="71"/>
      <c r="M289" s="72"/>
      <c r="N289" s="72"/>
      <c r="O289" s="73"/>
      <c r="P289" s="74"/>
      <c r="Q289" s="74"/>
      <c r="R289" s="87"/>
      <c r="S289" s="87"/>
      <c r="T289" s="87"/>
      <c r="U289" s="87"/>
      <c r="V289" s="48"/>
      <c r="W289" s="48"/>
      <c r="X289" s="48"/>
      <c r="Y289" s="48"/>
      <c r="Z289" s="47"/>
      <c r="AA289" s="69">
        <v>289</v>
      </c>
      <c r="AB289" s="69"/>
      <c r="AC289" s="70"/>
      <c r="AD289" s="76" t="s">
        <v>12024</v>
      </c>
      <c r="AE289" s="80" t="s">
        <v>12622</v>
      </c>
      <c r="AF289" s="76">
        <v>2</v>
      </c>
      <c r="AG289" s="76">
        <v>11</v>
      </c>
      <c r="AH289" s="76">
        <v>33</v>
      </c>
      <c r="AI289" s="76">
        <v>0</v>
      </c>
      <c r="AJ289" s="76">
        <v>0</v>
      </c>
      <c r="AK289" s="76">
        <v>18</v>
      </c>
      <c r="AL289" s="76" t="b">
        <v>0</v>
      </c>
      <c r="AM289" s="78">
        <v>44028.740208333336</v>
      </c>
      <c r="AN289" s="76" t="s">
        <v>13022</v>
      </c>
      <c r="AO289" s="76" t="s">
        <v>13484</v>
      </c>
      <c r="AP289" s="82" t="str">
        <f>HYPERLINK("https://t.co/7QXRtMEHGN")</f>
        <v>https://t.co/7QXRtMEHGN</v>
      </c>
      <c r="AQ289" s="82" t="str">
        <f>HYPERLINK("http://ciaderesultados.com.br/")</f>
        <v>http://ciaderesultados.com.br/</v>
      </c>
      <c r="AR289" s="76" t="s">
        <v>14076</v>
      </c>
      <c r="AS289" s="76"/>
      <c r="AT289" s="76"/>
      <c r="AU289" s="76"/>
      <c r="AV289" s="76"/>
      <c r="AW289" s="82" t="str">
        <f>HYPERLINK("https://t.co/7QXRtMEHGN")</f>
        <v>https://t.co/7QXRtMEHGN</v>
      </c>
      <c r="AX289" s="76" t="b">
        <v>0</v>
      </c>
      <c r="AY289" s="76"/>
      <c r="AZ289" s="76"/>
      <c r="BA289" s="76" t="b">
        <v>1</v>
      </c>
      <c r="BB289" s="76" t="b">
        <v>1</v>
      </c>
      <c r="BC289" s="76" t="b">
        <v>1</v>
      </c>
      <c r="BD289" s="76" t="b">
        <v>0</v>
      </c>
      <c r="BE289" s="76" t="b">
        <v>0</v>
      </c>
      <c r="BF289" s="76" t="b">
        <v>0</v>
      </c>
      <c r="BG289" s="76" t="b">
        <v>0</v>
      </c>
      <c r="BH289" s="82" t="str">
        <f>HYPERLINK("https://pbs.twimg.com/profile_banners/1283819986356756481/1610116220")</f>
        <v>https://pbs.twimg.com/profile_banners/1283819986356756481/1610116220</v>
      </c>
      <c r="BI289" s="76"/>
      <c r="BJ289" s="76" t="s">
        <v>14450</v>
      </c>
      <c r="BK289" s="76" t="b">
        <v>0</v>
      </c>
      <c r="BL289" s="76"/>
      <c r="BM289" s="76" t="s">
        <v>65</v>
      </c>
      <c r="BN289" s="76" t="s">
        <v>14452</v>
      </c>
      <c r="BO289" s="82" t="str">
        <f>HYPERLINK("https://twitter.com/ciaresultados")</f>
        <v>https://twitter.com/ciaresultados</v>
      </c>
      <c r="BP289" s="2"/>
    </row>
    <row r="290" spans="1:68" x14ac:dyDescent="0.25">
      <c r="A290" s="62" t="s">
        <v>459</v>
      </c>
      <c r="B290" s="63"/>
      <c r="C290" s="63"/>
      <c r="D290" s="64"/>
      <c r="E290" s="66"/>
      <c r="F290" s="103" t="str">
        <f>HYPERLINK("https://pbs.twimg.com/profile_images/1636389477433344001/r9N473Dc_normal.jpg")</f>
        <v>https://pbs.twimg.com/profile_images/1636389477433344001/r9N473Dc_normal.jpg</v>
      </c>
      <c r="G290" s="63"/>
      <c r="H290" s="67"/>
      <c r="I290" s="68"/>
      <c r="J290" s="68"/>
      <c r="K290" s="67" t="s">
        <v>14739</v>
      </c>
      <c r="L290" s="71"/>
      <c r="M290" s="72"/>
      <c r="N290" s="72"/>
      <c r="O290" s="73"/>
      <c r="P290" s="74"/>
      <c r="Q290" s="74"/>
      <c r="R290" s="87"/>
      <c r="S290" s="87"/>
      <c r="T290" s="87"/>
      <c r="U290" s="87"/>
      <c r="V290" s="48"/>
      <c r="W290" s="48"/>
      <c r="X290" s="48"/>
      <c r="Y290" s="48"/>
      <c r="Z290" s="47"/>
      <c r="AA290" s="69">
        <v>290</v>
      </c>
      <c r="AB290" s="69"/>
      <c r="AC290" s="70"/>
      <c r="AD290" s="76" t="s">
        <v>12025</v>
      </c>
      <c r="AE290" s="80" t="s">
        <v>12623</v>
      </c>
      <c r="AF290" s="76">
        <v>30</v>
      </c>
      <c r="AG290" s="76">
        <v>18</v>
      </c>
      <c r="AH290" s="76">
        <v>618</v>
      </c>
      <c r="AI290" s="76">
        <v>1</v>
      </c>
      <c r="AJ290" s="76">
        <v>119</v>
      </c>
      <c r="AK290" s="76">
        <v>3</v>
      </c>
      <c r="AL290" s="76" t="b">
        <v>0</v>
      </c>
      <c r="AM290" s="78">
        <v>40403.763506944444</v>
      </c>
      <c r="AN290" s="76"/>
      <c r="AO290" s="76" t="s">
        <v>13485</v>
      </c>
      <c r="AP290" s="76"/>
      <c r="AQ290" s="76"/>
      <c r="AR290" s="76"/>
      <c r="AS290" s="76"/>
      <c r="AT290" s="76"/>
      <c r="AU290" s="76"/>
      <c r="AV290" s="76"/>
      <c r="AW290" s="76"/>
      <c r="AX290" s="76" t="b">
        <v>0</v>
      </c>
      <c r="AY290" s="76"/>
      <c r="AZ290" s="76"/>
      <c r="BA290" s="76" t="b">
        <v>0</v>
      </c>
      <c r="BB290" s="76" t="b">
        <v>0</v>
      </c>
      <c r="BC290" s="76" t="b">
        <v>1</v>
      </c>
      <c r="BD290" s="76" t="b">
        <v>0</v>
      </c>
      <c r="BE290" s="76" t="b">
        <v>0</v>
      </c>
      <c r="BF290" s="76" t="b">
        <v>0</v>
      </c>
      <c r="BG290" s="76" t="b">
        <v>0</v>
      </c>
      <c r="BH290" s="82" t="str">
        <f>HYPERLINK("https://pbs.twimg.com/profile_banners/178038914/1678980630")</f>
        <v>https://pbs.twimg.com/profile_banners/178038914/1678980630</v>
      </c>
      <c r="BI290" s="76"/>
      <c r="BJ290" s="76" t="s">
        <v>14450</v>
      </c>
      <c r="BK290" s="76" t="b">
        <v>0</v>
      </c>
      <c r="BL290" s="76"/>
      <c r="BM290" s="76" t="s">
        <v>66</v>
      </c>
      <c r="BN290" s="76" t="s">
        <v>14452</v>
      </c>
      <c r="BO290" s="82" t="str">
        <f>HYPERLINK("https://twitter.com/nacho_asprella")</f>
        <v>https://twitter.com/nacho_asprella</v>
      </c>
      <c r="BP290" s="2"/>
    </row>
    <row r="291" spans="1:68" x14ac:dyDescent="0.25">
      <c r="A291" s="62" t="s">
        <v>460</v>
      </c>
      <c r="B291" s="63"/>
      <c r="C291" s="63"/>
      <c r="D291" s="64"/>
      <c r="E291" s="66"/>
      <c r="F291" s="103" t="str">
        <f>HYPERLINK("https://pbs.twimg.com/profile_images/1554626465731383298/9KudSdu0_normal.jpg")</f>
        <v>https://pbs.twimg.com/profile_images/1554626465731383298/9KudSdu0_normal.jpg</v>
      </c>
      <c r="G291" s="63"/>
      <c r="H291" s="67"/>
      <c r="I291" s="68"/>
      <c r="J291" s="68"/>
      <c r="K291" s="67" t="s">
        <v>14740</v>
      </c>
      <c r="L291" s="71"/>
      <c r="M291" s="72"/>
      <c r="N291" s="72"/>
      <c r="O291" s="73"/>
      <c r="P291" s="74"/>
      <c r="Q291" s="74"/>
      <c r="R291" s="87"/>
      <c r="S291" s="87"/>
      <c r="T291" s="87"/>
      <c r="U291" s="87"/>
      <c r="V291" s="48"/>
      <c r="W291" s="48"/>
      <c r="X291" s="48"/>
      <c r="Y291" s="48"/>
      <c r="Z291" s="47"/>
      <c r="AA291" s="69">
        <v>291</v>
      </c>
      <c r="AB291" s="69"/>
      <c r="AC291" s="70"/>
      <c r="AD291" s="76" t="s">
        <v>12026</v>
      </c>
      <c r="AE291" s="80" t="s">
        <v>11523</v>
      </c>
      <c r="AF291" s="76">
        <v>11</v>
      </c>
      <c r="AG291" s="76">
        <v>22</v>
      </c>
      <c r="AH291" s="76">
        <v>877</v>
      </c>
      <c r="AI291" s="76">
        <v>0</v>
      </c>
      <c r="AJ291" s="76">
        <v>616</v>
      </c>
      <c r="AK291" s="76">
        <v>0</v>
      </c>
      <c r="AL291" s="76" t="b">
        <v>0</v>
      </c>
      <c r="AM291" s="78">
        <v>44776.020821759259</v>
      </c>
      <c r="AN291" s="76"/>
      <c r="AO291" s="76"/>
      <c r="AP291" s="76"/>
      <c r="AQ291" s="76"/>
      <c r="AR291" s="76"/>
      <c r="AS291" s="76"/>
      <c r="AT291" s="76"/>
      <c r="AU291" s="76"/>
      <c r="AV291" s="76"/>
      <c r="AW291" s="76"/>
      <c r="AX291" s="76" t="b">
        <v>0</v>
      </c>
      <c r="AY291" s="76"/>
      <c r="AZ291" s="76"/>
      <c r="BA291" s="76" t="b">
        <v>0</v>
      </c>
      <c r="BB291" s="76" t="b">
        <v>1</v>
      </c>
      <c r="BC291" s="76" t="b">
        <v>1</v>
      </c>
      <c r="BD291" s="76" t="b">
        <v>0</v>
      </c>
      <c r="BE291" s="76" t="b">
        <v>0</v>
      </c>
      <c r="BF291" s="76" t="b">
        <v>0</v>
      </c>
      <c r="BG291" s="76" t="b">
        <v>0</v>
      </c>
      <c r="BH291" s="76"/>
      <c r="BI291" s="76"/>
      <c r="BJ291" s="76" t="s">
        <v>14450</v>
      </c>
      <c r="BK291" s="76" t="b">
        <v>0</v>
      </c>
      <c r="BL291" s="76"/>
      <c r="BM291" s="76" t="s">
        <v>66</v>
      </c>
      <c r="BN291" s="76" t="s">
        <v>14452</v>
      </c>
      <c r="BO291" s="82" t="str">
        <f>HYPERLINK("https://twitter.com/mariana64692094")</f>
        <v>https://twitter.com/mariana64692094</v>
      </c>
      <c r="BP291" s="2"/>
    </row>
    <row r="292" spans="1:68" x14ac:dyDescent="0.25">
      <c r="A292" s="62" t="s">
        <v>915</v>
      </c>
      <c r="B292" s="63"/>
      <c r="C292" s="63"/>
      <c r="D292" s="64"/>
      <c r="E292" s="66"/>
      <c r="F292" s="103" t="str">
        <f>HYPERLINK("https://pbs.twimg.com/profile_images/976274534255898624/xxLFupqN_normal.jpg")</f>
        <v>https://pbs.twimg.com/profile_images/976274534255898624/xxLFupqN_normal.jpg</v>
      </c>
      <c r="G292" s="63"/>
      <c r="H292" s="67"/>
      <c r="I292" s="68"/>
      <c r="J292" s="68"/>
      <c r="K292" s="67" t="s">
        <v>14741</v>
      </c>
      <c r="L292" s="71"/>
      <c r="M292" s="72"/>
      <c r="N292" s="72"/>
      <c r="O292" s="73"/>
      <c r="P292" s="74"/>
      <c r="Q292" s="74"/>
      <c r="R292" s="87"/>
      <c r="S292" s="87"/>
      <c r="T292" s="87"/>
      <c r="U292" s="87"/>
      <c r="V292" s="48"/>
      <c r="W292" s="48"/>
      <c r="X292" s="48"/>
      <c r="Y292" s="48"/>
      <c r="Z292" s="47"/>
      <c r="AA292" s="69">
        <v>292</v>
      </c>
      <c r="AB292" s="69"/>
      <c r="AC292" s="70"/>
      <c r="AD292" s="76" t="s">
        <v>12027</v>
      </c>
      <c r="AE292" s="80" t="s">
        <v>12624</v>
      </c>
      <c r="AF292" s="76">
        <v>2148</v>
      </c>
      <c r="AG292" s="76">
        <v>4687</v>
      </c>
      <c r="AH292" s="76">
        <v>7303</v>
      </c>
      <c r="AI292" s="76">
        <v>6</v>
      </c>
      <c r="AJ292" s="76">
        <v>5210</v>
      </c>
      <c r="AK292" s="76">
        <v>1047</v>
      </c>
      <c r="AL292" s="76" t="b">
        <v>0</v>
      </c>
      <c r="AM292" s="78">
        <v>41175.735324074078</v>
      </c>
      <c r="AN292" s="76"/>
      <c r="AO292" s="76" t="s">
        <v>13486</v>
      </c>
      <c r="AP292" s="82" t="str">
        <f>HYPERLINK("https://t.co/QtnCFltPds")</f>
        <v>https://t.co/QtnCFltPds</v>
      </c>
      <c r="AQ292" s="82" t="str">
        <f>HYPERLINK("https://www.youtube.com/channel/UCrE84kvEBROSO8dMdRWUeQg")</f>
        <v>https://www.youtube.com/channel/UCrE84kvEBROSO8dMdRWUeQg</v>
      </c>
      <c r="AR292" s="76" t="s">
        <v>14077</v>
      </c>
      <c r="AS292" s="76"/>
      <c r="AT292" s="76"/>
      <c r="AU292" s="76"/>
      <c r="AV292" s="76">
        <v>1.4171889235544801E+18</v>
      </c>
      <c r="AW292" s="82" t="str">
        <f>HYPERLINK("https://t.co/QtnCFltPds")</f>
        <v>https://t.co/QtnCFltPds</v>
      </c>
      <c r="AX292" s="76" t="b">
        <v>0</v>
      </c>
      <c r="AY292" s="76"/>
      <c r="AZ292" s="76"/>
      <c r="BA292" s="76" t="b">
        <v>1</v>
      </c>
      <c r="BB292" s="76" t="b">
        <v>0</v>
      </c>
      <c r="BC292" s="76" t="b">
        <v>0</v>
      </c>
      <c r="BD292" s="76" t="b">
        <v>0</v>
      </c>
      <c r="BE292" s="76" t="b">
        <v>0</v>
      </c>
      <c r="BF292" s="76" t="b">
        <v>0</v>
      </c>
      <c r="BG292" s="76" t="b">
        <v>0</v>
      </c>
      <c r="BH292" s="82" t="str">
        <f>HYPERLINK("https://pbs.twimg.com/profile_banners/842098812/1671423555")</f>
        <v>https://pbs.twimg.com/profile_banners/842098812/1671423555</v>
      </c>
      <c r="BI292" s="76"/>
      <c r="BJ292" s="76" t="s">
        <v>14450</v>
      </c>
      <c r="BK292" s="76" t="b">
        <v>0</v>
      </c>
      <c r="BL292" s="76"/>
      <c r="BM292" s="76" t="s">
        <v>65</v>
      </c>
      <c r="BN292" s="76" t="s">
        <v>14452</v>
      </c>
      <c r="BO292" s="82" t="str">
        <f>HYPERLINK("https://twitter.com/romansanchezz")</f>
        <v>https://twitter.com/romansanchezz</v>
      </c>
      <c r="BP292" s="2"/>
    </row>
    <row r="293" spans="1:68" x14ac:dyDescent="0.25">
      <c r="A293" s="62" t="s">
        <v>916</v>
      </c>
      <c r="B293" s="63"/>
      <c r="C293" s="63"/>
      <c r="D293" s="64"/>
      <c r="E293" s="66"/>
      <c r="F293" s="103" t="str">
        <f>HYPERLINK("https://pbs.twimg.com/profile_images/1670793939903827971/7d7wsS_U_normal.jpg")</f>
        <v>https://pbs.twimg.com/profile_images/1670793939903827971/7d7wsS_U_normal.jpg</v>
      </c>
      <c r="G293" s="63"/>
      <c r="H293" s="67"/>
      <c r="I293" s="68"/>
      <c r="J293" s="68"/>
      <c r="K293" s="67" t="s">
        <v>14742</v>
      </c>
      <c r="L293" s="71"/>
      <c r="M293" s="72"/>
      <c r="N293" s="72"/>
      <c r="O293" s="73"/>
      <c r="P293" s="74"/>
      <c r="Q293" s="74"/>
      <c r="R293" s="87"/>
      <c r="S293" s="87"/>
      <c r="T293" s="87"/>
      <c r="U293" s="87"/>
      <c r="V293" s="48"/>
      <c r="W293" s="48"/>
      <c r="X293" s="48"/>
      <c r="Y293" s="48"/>
      <c r="Z293" s="47"/>
      <c r="AA293" s="69">
        <v>293</v>
      </c>
      <c r="AB293" s="69"/>
      <c r="AC293" s="70"/>
      <c r="AD293" s="76" t="s">
        <v>12028</v>
      </c>
      <c r="AE293" s="80" t="s">
        <v>12625</v>
      </c>
      <c r="AF293" s="76">
        <v>33204</v>
      </c>
      <c r="AG293" s="76">
        <v>127</v>
      </c>
      <c r="AH293" s="76">
        <v>36523</v>
      </c>
      <c r="AI293" s="76">
        <v>218</v>
      </c>
      <c r="AJ293" s="76">
        <v>4630</v>
      </c>
      <c r="AK293" s="76">
        <v>13285</v>
      </c>
      <c r="AL293" s="76" t="b">
        <v>0</v>
      </c>
      <c r="AM293" s="78">
        <v>40109.639050925929</v>
      </c>
      <c r="AN293" s="76" t="s">
        <v>13023</v>
      </c>
      <c r="AO293" s="76" t="s">
        <v>13487</v>
      </c>
      <c r="AP293" s="82" t="str">
        <f>HYPERLINK("https://t.co/xubnZgZY4n")</f>
        <v>https://t.co/xubnZgZY4n</v>
      </c>
      <c r="AQ293" s="82" t="str">
        <f>HYPERLINK("https://radioytv.buap.mx/")</f>
        <v>https://radioytv.buap.mx/</v>
      </c>
      <c r="AR293" s="76" t="s">
        <v>14078</v>
      </c>
      <c r="AS293" s="82" t="str">
        <f>HYPERLINK("https://t.co/QRm99p5W0H")</f>
        <v>https://t.co/QRm99p5W0H</v>
      </c>
      <c r="AT293" s="82" t="str">
        <f>HYPERLINK("http://radioytvbuap.mx")</f>
        <v>http://radioytvbuap.mx</v>
      </c>
      <c r="AU293" s="76" t="s">
        <v>14417</v>
      </c>
      <c r="AV293" s="76"/>
      <c r="AW293" s="82" t="str">
        <f>HYPERLINK("https://t.co/xubnZgZY4n")</f>
        <v>https://t.co/xubnZgZY4n</v>
      </c>
      <c r="AX293" s="76" t="b">
        <v>0</v>
      </c>
      <c r="AY293" s="76"/>
      <c r="AZ293" s="76"/>
      <c r="BA293" s="76" t="b">
        <v>0</v>
      </c>
      <c r="BB293" s="76" t="b">
        <v>1</v>
      </c>
      <c r="BC293" s="76" t="b">
        <v>1</v>
      </c>
      <c r="BD293" s="76" t="b">
        <v>0</v>
      </c>
      <c r="BE293" s="76" t="b">
        <v>1</v>
      </c>
      <c r="BF293" s="76" t="b">
        <v>0</v>
      </c>
      <c r="BG293" s="76" t="b">
        <v>0</v>
      </c>
      <c r="BH293" s="82" t="str">
        <f>HYPERLINK("https://pbs.twimg.com/profile_banners/84615197/1687196105")</f>
        <v>https://pbs.twimg.com/profile_banners/84615197/1687196105</v>
      </c>
      <c r="BI293" s="76"/>
      <c r="BJ293" s="76" t="s">
        <v>14450</v>
      </c>
      <c r="BK293" s="76" t="b">
        <v>0</v>
      </c>
      <c r="BL293" s="76"/>
      <c r="BM293" s="76" t="s">
        <v>65</v>
      </c>
      <c r="BN293" s="76" t="s">
        <v>14452</v>
      </c>
      <c r="BO293" s="82" t="str">
        <f>HYPERLINK("https://twitter.com/radiobuap")</f>
        <v>https://twitter.com/radiobuap</v>
      </c>
      <c r="BP293" s="2"/>
    </row>
    <row r="294" spans="1:68" x14ac:dyDescent="0.25">
      <c r="A294" s="62" t="s">
        <v>917</v>
      </c>
      <c r="B294" s="63"/>
      <c r="C294" s="63"/>
      <c r="D294" s="64"/>
      <c r="E294" s="66"/>
      <c r="F294" s="103" t="str">
        <f>HYPERLINK("https://pbs.twimg.com/profile_images/1684428752539852800/WW-D41vm_normal.jpg")</f>
        <v>https://pbs.twimg.com/profile_images/1684428752539852800/WW-D41vm_normal.jpg</v>
      </c>
      <c r="G294" s="63"/>
      <c r="H294" s="67"/>
      <c r="I294" s="68"/>
      <c r="J294" s="68"/>
      <c r="K294" s="67" t="s">
        <v>14743</v>
      </c>
      <c r="L294" s="71"/>
      <c r="M294" s="72"/>
      <c r="N294" s="72"/>
      <c r="O294" s="73"/>
      <c r="P294" s="74"/>
      <c r="Q294" s="74"/>
      <c r="R294" s="87"/>
      <c r="S294" s="87"/>
      <c r="T294" s="87"/>
      <c r="U294" s="87"/>
      <c r="V294" s="48"/>
      <c r="W294" s="48"/>
      <c r="X294" s="48"/>
      <c r="Y294" s="48"/>
      <c r="Z294" s="47"/>
      <c r="AA294" s="69">
        <v>294</v>
      </c>
      <c r="AB294" s="69"/>
      <c r="AC294" s="70"/>
      <c r="AD294" s="76" t="s">
        <v>12029</v>
      </c>
      <c r="AE294" s="80" t="s">
        <v>12626</v>
      </c>
      <c r="AF294" s="76">
        <v>254880</v>
      </c>
      <c r="AG294" s="76">
        <v>1221</v>
      </c>
      <c r="AH294" s="76">
        <v>56975</v>
      </c>
      <c r="AI294" s="76">
        <v>1470</v>
      </c>
      <c r="AJ294" s="76">
        <v>7317</v>
      </c>
      <c r="AK294" s="76">
        <v>22820</v>
      </c>
      <c r="AL294" s="76" t="b">
        <v>0</v>
      </c>
      <c r="AM294" s="78">
        <v>40183.993773148148</v>
      </c>
      <c r="AN294" s="76" t="s">
        <v>12878</v>
      </c>
      <c r="AO294" s="76" t="s">
        <v>13488</v>
      </c>
      <c r="AP294" s="82" t="str">
        <f>HYPERLINK("https://t.co/xYm0NYIt4o")</f>
        <v>https://t.co/xYm0NYIt4o</v>
      </c>
      <c r="AQ294" s="82" t="str">
        <f>HYPERLINK("http://www.radio.unam.mx")</f>
        <v>http://www.radio.unam.mx</v>
      </c>
      <c r="AR294" s="76" t="s">
        <v>14079</v>
      </c>
      <c r="AS294" s="76"/>
      <c r="AT294" s="76"/>
      <c r="AU294" s="76"/>
      <c r="AV294" s="76">
        <v>1.7056587313026199E+18</v>
      </c>
      <c r="AW294" s="82" t="str">
        <f>HYPERLINK("https://t.co/xYm0NYIt4o")</f>
        <v>https://t.co/xYm0NYIt4o</v>
      </c>
      <c r="AX294" s="76" t="b">
        <v>0</v>
      </c>
      <c r="AY294" s="76"/>
      <c r="AZ294" s="76"/>
      <c r="BA294" s="76" t="b">
        <v>1</v>
      </c>
      <c r="BB294" s="76" t="b">
        <v>1</v>
      </c>
      <c r="BC294" s="76" t="b">
        <v>0</v>
      </c>
      <c r="BD294" s="76" t="b">
        <v>0</v>
      </c>
      <c r="BE294" s="76" t="b">
        <v>1</v>
      </c>
      <c r="BF294" s="76" t="b">
        <v>0</v>
      </c>
      <c r="BG294" s="76" t="b">
        <v>0</v>
      </c>
      <c r="BH294" s="82" t="str">
        <f>HYPERLINK("https://pbs.twimg.com/profile_banners/102206860/1678977181")</f>
        <v>https://pbs.twimg.com/profile_banners/102206860/1678977181</v>
      </c>
      <c r="BI294" s="76"/>
      <c r="BJ294" s="76" t="s">
        <v>14450</v>
      </c>
      <c r="BK294" s="76" t="b">
        <v>0</v>
      </c>
      <c r="BL294" s="76"/>
      <c r="BM294" s="76" t="s">
        <v>65</v>
      </c>
      <c r="BN294" s="76" t="s">
        <v>14452</v>
      </c>
      <c r="BO294" s="82" t="str">
        <f>HYPERLINK("https://twitter.com/radiounam")</f>
        <v>https://twitter.com/radiounam</v>
      </c>
      <c r="BP294" s="2"/>
    </row>
    <row r="295" spans="1:68" x14ac:dyDescent="0.25">
      <c r="A295" s="62" t="s">
        <v>918</v>
      </c>
      <c r="B295" s="63"/>
      <c r="C295" s="63"/>
      <c r="D295" s="64"/>
      <c r="E295" s="66"/>
      <c r="F295" s="103" t="str">
        <f>HYPERLINK("https://pbs.twimg.com/profile_images/1477188106096979970/Wf3PwpIM_normal.jpg")</f>
        <v>https://pbs.twimg.com/profile_images/1477188106096979970/Wf3PwpIM_normal.jpg</v>
      </c>
      <c r="G295" s="63"/>
      <c r="H295" s="67"/>
      <c r="I295" s="68"/>
      <c r="J295" s="68"/>
      <c r="K295" s="67" t="s">
        <v>14744</v>
      </c>
      <c r="L295" s="71"/>
      <c r="M295" s="72"/>
      <c r="N295" s="72"/>
      <c r="O295" s="73"/>
      <c r="P295" s="74"/>
      <c r="Q295" s="74"/>
      <c r="R295" s="87"/>
      <c r="S295" s="87"/>
      <c r="T295" s="87"/>
      <c r="U295" s="87"/>
      <c r="V295" s="48"/>
      <c r="W295" s="48"/>
      <c r="X295" s="48"/>
      <c r="Y295" s="48"/>
      <c r="Z295" s="47"/>
      <c r="AA295" s="69">
        <v>295</v>
      </c>
      <c r="AB295" s="69"/>
      <c r="AC295" s="70"/>
      <c r="AD295" s="76" t="s">
        <v>12030</v>
      </c>
      <c r="AE295" s="80" t="s">
        <v>12627</v>
      </c>
      <c r="AF295" s="76">
        <v>228529</v>
      </c>
      <c r="AG295" s="76">
        <v>312</v>
      </c>
      <c r="AH295" s="76">
        <v>131235</v>
      </c>
      <c r="AI295" s="76">
        <v>317</v>
      </c>
      <c r="AJ295" s="76">
        <v>588</v>
      </c>
      <c r="AK295" s="76">
        <v>120718</v>
      </c>
      <c r="AL295" s="76" t="b">
        <v>0</v>
      </c>
      <c r="AM295" s="78">
        <v>43683.907407407409</v>
      </c>
      <c r="AN295" s="76" t="s">
        <v>12922</v>
      </c>
      <c r="AO295" s="76" t="s">
        <v>13489</v>
      </c>
      <c r="AP295" s="82" t="str">
        <f>HYPERLINK("https://t.co/hu6r4kBjEZ")</f>
        <v>https://t.co/hu6r4kBjEZ</v>
      </c>
      <c r="AQ295" s="82" t="str">
        <f>HYPERLINK("http://www.cincoradio.com.mx")</f>
        <v>http://www.cincoradio.com.mx</v>
      </c>
      <c r="AR295" s="76" t="s">
        <v>14080</v>
      </c>
      <c r="AS295" s="76"/>
      <c r="AT295" s="76"/>
      <c r="AU295" s="76"/>
      <c r="AV295" s="76"/>
      <c r="AW295" s="82" t="str">
        <f>HYPERLINK("https://t.co/hu6r4kBjEZ")</f>
        <v>https://t.co/hu6r4kBjEZ</v>
      </c>
      <c r="AX295" s="76" t="b">
        <v>1</v>
      </c>
      <c r="AY295" s="76"/>
      <c r="AZ295" s="76"/>
      <c r="BA295" s="76" t="b">
        <v>1</v>
      </c>
      <c r="BB295" s="76" t="b">
        <v>1</v>
      </c>
      <c r="BC295" s="76" t="b">
        <v>1</v>
      </c>
      <c r="BD295" s="76" t="b">
        <v>0</v>
      </c>
      <c r="BE295" s="76" t="b">
        <v>1</v>
      </c>
      <c r="BF295" s="76" t="b">
        <v>0</v>
      </c>
      <c r="BG295" s="76" t="b">
        <v>0</v>
      </c>
      <c r="BH295" s="82" t="str">
        <f>HYPERLINK("https://pbs.twimg.com/profile_banners/1158856942456049666/1673901305")</f>
        <v>https://pbs.twimg.com/profile_banners/1158856942456049666/1673901305</v>
      </c>
      <c r="BI295" s="76"/>
      <c r="BJ295" s="76" t="s">
        <v>14450</v>
      </c>
      <c r="BK295" s="76" t="b">
        <v>0</v>
      </c>
      <c r="BL295" s="76"/>
      <c r="BM295" s="76" t="s">
        <v>65</v>
      </c>
      <c r="BN295" s="76" t="s">
        <v>14452</v>
      </c>
      <c r="BO295" s="82" t="str">
        <f>HYPERLINK("https://twitter.com/laredcincoradio")</f>
        <v>https://twitter.com/laredcincoradio</v>
      </c>
      <c r="BP295" s="2"/>
    </row>
    <row r="296" spans="1:68" x14ac:dyDescent="0.25">
      <c r="A296" s="62" t="s">
        <v>919</v>
      </c>
      <c r="B296" s="63"/>
      <c r="C296" s="63"/>
      <c r="D296" s="64"/>
      <c r="E296" s="66"/>
      <c r="F296" s="103" t="str">
        <f>HYPERLINK("https://pbs.twimg.com/profile_images/1446242858583871489/mIEkOpLV_normal.jpg")</f>
        <v>https://pbs.twimg.com/profile_images/1446242858583871489/mIEkOpLV_normal.jpg</v>
      </c>
      <c r="G296" s="63"/>
      <c r="H296" s="67"/>
      <c r="I296" s="68"/>
      <c r="J296" s="68"/>
      <c r="K296" s="67" t="s">
        <v>14745</v>
      </c>
      <c r="L296" s="71"/>
      <c r="M296" s="72"/>
      <c r="N296" s="72"/>
      <c r="O296" s="73"/>
      <c r="P296" s="74"/>
      <c r="Q296" s="74"/>
      <c r="R296" s="87"/>
      <c r="S296" s="87"/>
      <c r="T296" s="87"/>
      <c r="U296" s="87"/>
      <c r="V296" s="48"/>
      <c r="W296" s="48"/>
      <c r="X296" s="48"/>
      <c r="Y296" s="48"/>
      <c r="Z296" s="47"/>
      <c r="AA296" s="69">
        <v>296</v>
      </c>
      <c r="AB296" s="69"/>
      <c r="AC296" s="70"/>
      <c r="AD296" s="76" t="s">
        <v>12031</v>
      </c>
      <c r="AE296" s="80" t="s">
        <v>12628</v>
      </c>
      <c r="AF296" s="76">
        <v>41980</v>
      </c>
      <c r="AG296" s="76">
        <v>6</v>
      </c>
      <c r="AH296" s="76">
        <v>506716</v>
      </c>
      <c r="AI296" s="76">
        <v>0</v>
      </c>
      <c r="AJ296" s="76">
        <v>63</v>
      </c>
      <c r="AK296" s="76">
        <v>1565</v>
      </c>
      <c r="AL296" s="76" t="b">
        <v>0</v>
      </c>
      <c r="AM296" s="78">
        <v>43177.278252314813</v>
      </c>
      <c r="AN296" s="76" t="s">
        <v>7767</v>
      </c>
      <c r="AO296" s="76" t="s">
        <v>13490</v>
      </c>
      <c r="AP296" s="82" t="str">
        <f>HYPERLINK("https://t.co/BjZOnWHELp")</f>
        <v>https://t.co/BjZOnWHELp</v>
      </c>
      <c r="AQ296" s="82" t="str">
        <f>HYPERLINK("https://www.gob.mx/profeco")</f>
        <v>https://www.gob.mx/profeco</v>
      </c>
      <c r="AR296" s="76" t="s">
        <v>14081</v>
      </c>
      <c r="AS296" s="76"/>
      <c r="AT296" s="76"/>
      <c r="AU296" s="76"/>
      <c r="AV296" s="76"/>
      <c r="AW296" s="82" t="str">
        <f>HYPERLINK("https://t.co/BjZOnWHELp")</f>
        <v>https://t.co/BjZOnWHELp</v>
      </c>
      <c r="AX296" s="76" t="b">
        <v>0</v>
      </c>
      <c r="AY296" s="76"/>
      <c r="AZ296" s="76"/>
      <c r="BA296" s="76" t="b">
        <v>0</v>
      </c>
      <c r="BB296" s="76" t="b">
        <v>1</v>
      </c>
      <c r="BC296" s="76" t="b">
        <v>0</v>
      </c>
      <c r="BD296" s="76" t="b">
        <v>0</v>
      </c>
      <c r="BE296" s="76" t="b">
        <v>1</v>
      </c>
      <c r="BF296" s="76" t="b">
        <v>0</v>
      </c>
      <c r="BG296" s="76" t="b">
        <v>0</v>
      </c>
      <c r="BH296" s="82" t="str">
        <f>HYPERLINK("https://pbs.twimg.com/profile_banners/975260683918036992/1679195750")</f>
        <v>https://pbs.twimg.com/profile_banners/975260683918036992/1679195750</v>
      </c>
      <c r="BI296" s="76"/>
      <c r="BJ296" s="76" t="s">
        <v>14450</v>
      </c>
      <c r="BK296" s="76" t="b">
        <v>0</v>
      </c>
      <c r="BL296" s="76"/>
      <c r="BM296" s="76" t="s">
        <v>65</v>
      </c>
      <c r="BN296" s="76" t="s">
        <v>14452</v>
      </c>
      <c r="BO296" s="82" t="str">
        <f>HYPERLINK("https://twitter.com/atencionprofeco")</f>
        <v>https://twitter.com/atencionprofeco</v>
      </c>
      <c r="BP296" s="2"/>
    </row>
    <row r="297" spans="1:68" x14ac:dyDescent="0.25">
      <c r="A297" s="62" t="s">
        <v>920</v>
      </c>
      <c r="B297" s="63"/>
      <c r="C297" s="63"/>
      <c r="D297" s="64"/>
      <c r="E297" s="66"/>
      <c r="F297" s="103" t="str">
        <f>HYPERLINK("https://pbs.twimg.com/profile_images/1675238550512492545/_iEAqNWa_normal.jpg")</f>
        <v>https://pbs.twimg.com/profile_images/1675238550512492545/_iEAqNWa_normal.jpg</v>
      </c>
      <c r="G297" s="63"/>
      <c r="H297" s="67"/>
      <c r="I297" s="68"/>
      <c r="J297" s="68"/>
      <c r="K297" s="67" t="s">
        <v>14746</v>
      </c>
      <c r="L297" s="71"/>
      <c r="M297" s="72"/>
      <c r="N297" s="72"/>
      <c r="O297" s="73"/>
      <c r="P297" s="74"/>
      <c r="Q297" s="74"/>
      <c r="R297" s="87"/>
      <c r="S297" s="87"/>
      <c r="T297" s="87"/>
      <c r="U297" s="87"/>
      <c r="V297" s="48"/>
      <c r="W297" s="48"/>
      <c r="X297" s="48"/>
      <c r="Y297" s="48"/>
      <c r="Z297" s="47"/>
      <c r="AA297" s="69">
        <v>297</v>
      </c>
      <c r="AB297" s="69"/>
      <c r="AC297" s="70"/>
      <c r="AD297" s="76" t="s">
        <v>12032</v>
      </c>
      <c r="AE297" s="80" t="s">
        <v>12629</v>
      </c>
      <c r="AF297" s="76">
        <v>1765315</v>
      </c>
      <c r="AG297" s="76">
        <v>86</v>
      </c>
      <c r="AH297" s="76">
        <v>366895</v>
      </c>
      <c r="AI297" s="76">
        <v>4464</v>
      </c>
      <c r="AJ297" s="76">
        <v>1006</v>
      </c>
      <c r="AK297" s="76">
        <v>28673</v>
      </c>
      <c r="AL297" s="76" t="b">
        <v>0</v>
      </c>
      <c r="AM297" s="78">
        <v>39850.797337962962</v>
      </c>
      <c r="AN297" s="76" t="s">
        <v>7767</v>
      </c>
      <c r="AO297" s="76" t="s">
        <v>13491</v>
      </c>
      <c r="AP297" s="82" t="str">
        <f>HYPERLINK("https://t.co/QSVw3ZZEc0")</f>
        <v>https://t.co/QSVw3ZZEc0</v>
      </c>
      <c r="AQ297" s="82" t="str">
        <f>HYPERLINK("http://www.gob.mx/profeco")</f>
        <v>http://www.gob.mx/profeco</v>
      </c>
      <c r="AR297" s="76" t="s">
        <v>14081</v>
      </c>
      <c r="AS297" s="76"/>
      <c r="AT297" s="76"/>
      <c r="AU297" s="76"/>
      <c r="AV297" s="76"/>
      <c r="AW297" s="82" t="str">
        <f>HYPERLINK("https://t.co/QSVw3ZZEc0")</f>
        <v>https://t.co/QSVw3ZZEc0</v>
      </c>
      <c r="AX297" s="76" t="b">
        <v>1</v>
      </c>
      <c r="AY297" s="76"/>
      <c r="AZ297" s="76"/>
      <c r="BA297" s="76" t="b">
        <v>0</v>
      </c>
      <c r="BB297" s="76" t="b">
        <v>1</v>
      </c>
      <c r="BC297" s="76" t="b">
        <v>0</v>
      </c>
      <c r="BD297" s="76" t="b">
        <v>0</v>
      </c>
      <c r="BE297" s="76" t="b">
        <v>1</v>
      </c>
      <c r="BF297" s="76" t="b">
        <v>0</v>
      </c>
      <c r="BG297" s="76" t="b">
        <v>0</v>
      </c>
      <c r="BH297" s="82" t="str">
        <f>HYPERLINK("https://pbs.twimg.com/profile_banners/20261685/1695231884")</f>
        <v>https://pbs.twimg.com/profile_banners/20261685/1695231884</v>
      </c>
      <c r="BI297" s="76"/>
      <c r="BJ297" s="76" t="s">
        <v>14450</v>
      </c>
      <c r="BK297" s="76" t="b">
        <v>0</v>
      </c>
      <c r="BL297" s="76"/>
      <c r="BM297" s="76" t="s">
        <v>65</v>
      </c>
      <c r="BN297" s="76" t="s">
        <v>14452</v>
      </c>
      <c r="BO297" s="82" t="str">
        <f>HYPERLINK("https://twitter.com/profeco")</f>
        <v>https://twitter.com/profeco</v>
      </c>
      <c r="BP297" s="2"/>
    </row>
    <row r="298" spans="1:68" x14ac:dyDescent="0.25">
      <c r="A298" s="62" t="s">
        <v>921</v>
      </c>
      <c r="B298" s="63"/>
      <c r="C298" s="63"/>
      <c r="D298" s="64"/>
      <c r="E298" s="66"/>
      <c r="F298" s="103" t="str">
        <f>HYPERLINK("https://pbs.twimg.com/profile_images/1502134533755392003/5oBtp4dx_normal.jpg")</f>
        <v>https://pbs.twimg.com/profile_images/1502134533755392003/5oBtp4dx_normal.jpg</v>
      </c>
      <c r="G298" s="63"/>
      <c r="H298" s="67"/>
      <c r="I298" s="68"/>
      <c r="J298" s="68"/>
      <c r="K298" s="67" t="s">
        <v>14747</v>
      </c>
      <c r="L298" s="71"/>
      <c r="M298" s="72"/>
      <c r="N298" s="72"/>
      <c r="O298" s="73"/>
      <c r="P298" s="74"/>
      <c r="Q298" s="74"/>
      <c r="R298" s="87"/>
      <c r="S298" s="87"/>
      <c r="T298" s="87"/>
      <c r="U298" s="87"/>
      <c r="V298" s="48"/>
      <c r="W298" s="48"/>
      <c r="X298" s="48"/>
      <c r="Y298" s="48"/>
      <c r="Z298" s="47"/>
      <c r="AA298" s="69">
        <v>298</v>
      </c>
      <c r="AB298" s="69"/>
      <c r="AC298" s="70"/>
      <c r="AD298" s="76" t="s">
        <v>12033</v>
      </c>
      <c r="AE298" s="80" t="s">
        <v>12630</v>
      </c>
      <c r="AF298" s="76">
        <v>319007</v>
      </c>
      <c r="AG298" s="76">
        <v>6172</v>
      </c>
      <c r="AH298" s="76">
        <v>30743</v>
      </c>
      <c r="AI298" s="76">
        <v>359</v>
      </c>
      <c r="AJ298" s="76">
        <v>4515</v>
      </c>
      <c r="AK298" s="76">
        <v>14906</v>
      </c>
      <c r="AL298" s="76" t="b">
        <v>0</v>
      </c>
      <c r="AM298" s="78">
        <v>40680.700324074074</v>
      </c>
      <c r="AN298" s="76" t="s">
        <v>12922</v>
      </c>
      <c r="AO298" s="76" t="s">
        <v>13492</v>
      </c>
      <c r="AP298" s="82" t="str">
        <f>HYPERLINK("https://t.co/Gc20hSXVJS")</f>
        <v>https://t.co/Gc20hSXVJS</v>
      </c>
      <c r="AQ298" s="82" t="str">
        <f>HYPERLINK("http://www.buap.mx")</f>
        <v>http://www.buap.mx</v>
      </c>
      <c r="AR298" s="76" t="s">
        <v>14082</v>
      </c>
      <c r="AS298" s="76"/>
      <c r="AT298" s="76"/>
      <c r="AU298" s="76"/>
      <c r="AV298" s="76"/>
      <c r="AW298" s="82" t="str">
        <f>HYPERLINK("https://t.co/Gc20hSXVJS")</f>
        <v>https://t.co/Gc20hSXVJS</v>
      </c>
      <c r="AX298" s="76" t="b">
        <v>1</v>
      </c>
      <c r="AY298" s="76"/>
      <c r="AZ298" s="76"/>
      <c r="BA298" s="76" t="b">
        <v>0</v>
      </c>
      <c r="BB298" s="76" t="b">
        <v>1</v>
      </c>
      <c r="BC298" s="76" t="b">
        <v>0</v>
      </c>
      <c r="BD298" s="76" t="b">
        <v>0</v>
      </c>
      <c r="BE298" s="76" t="b">
        <v>0</v>
      </c>
      <c r="BF298" s="76" t="b">
        <v>0</v>
      </c>
      <c r="BG298" s="76" t="b">
        <v>0</v>
      </c>
      <c r="BH298" s="82" t="str">
        <f>HYPERLINK("https://pbs.twimg.com/profile_banners/300359676/1695825891")</f>
        <v>https://pbs.twimg.com/profile_banners/300359676/1695825891</v>
      </c>
      <c r="BI298" s="76"/>
      <c r="BJ298" s="76" t="s">
        <v>14450</v>
      </c>
      <c r="BK298" s="76" t="b">
        <v>0</v>
      </c>
      <c r="BL298" s="76"/>
      <c r="BM298" s="76" t="s">
        <v>65</v>
      </c>
      <c r="BN298" s="76" t="s">
        <v>14452</v>
      </c>
      <c r="BO298" s="82" t="str">
        <f>HYPERLINK("https://twitter.com/buapoficial")</f>
        <v>https://twitter.com/buapoficial</v>
      </c>
      <c r="BP298" s="2"/>
    </row>
    <row r="299" spans="1:68" x14ac:dyDescent="0.25">
      <c r="A299" s="62" t="s">
        <v>922</v>
      </c>
      <c r="B299" s="63"/>
      <c r="C299" s="63"/>
      <c r="D299" s="64"/>
      <c r="E299" s="66"/>
      <c r="F299" s="103" t="str">
        <f>HYPERLINK("https://pbs.twimg.com/profile_images/1680303002685407232/OiRVRzAg_normal.jpg")</f>
        <v>https://pbs.twimg.com/profile_images/1680303002685407232/OiRVRzAg_normal.jpg</v>
      </c>
      <c r="G299" s="63"/>
      <c r="H299" s="67"/>
      <c r="I299" s="68"/>
      <c r="J299" s="68"/>
      <c r="K299" s="67" t="s">
        <v>14748</v>
      </c>
      <c r="L299" s="71"/>
      <c r="M299" s="72"/>
      <c r="N299" s="72"/>
      <c r="O299" s="73"/>
      <c r="P299" s="74"/>
      <c r="Q299" s="74"/>
      <c r="R299" s="87"/>
      <c r="S299" s="87"/>
      <c r="T299" s="87"/>
      <c r="U299" s="87"/>
      <c r="V299" s="48"/>
      <c r="W299" s="48"/>
      <c r="X299" s="48"/>
      <c r="Y299" s="48"/>
      <c r="Z299" s="47"/>
      <c r="AA299" s="69">
        <v>299</v>
      </c>
      <c r="AB299" s="69"/>
      <c r="AC299" s="70"/>
      <c r="AD299" s="76" t="s">
        <v>12034</v>
      </c>
      <c r="AE299" s="80" t="s">
        <v>12631</v>
      </c>
      <c r="AF299" s="76">
        <v>3077</v>
      </c>
      <c r="AG299" s="76">
        <v>0</v>
      </c>
      <c r="AH299" s="76">
        <v>4530</v>
      </c>
      <c r="AI299" s="76">
        <v>10</v>
      </c>
      <c r="AJ299" s="76">
        <v>287</v>
      </c>
      <c r="AK299" s="76">
        <v>2505</v>
      </c>
      <c r="AL299" s="76" t="b">
        <v>0</v>
      </c>
      <c r="AM299" s="78">
        <v>44058.767060185186</v>
      </c>
      <c r="AN299" s="76" t="s">
        <v>12922</v>
      </c>
      <c r="AO299" s="76" t="s">
        <v>13493</v>
      </c>
      <c r="AP299" s="82" t="str">
        <f>HYPERLINK("https://t.co/2trCMGFWq5")</f>
        <v>https://t.co/2trCMGFWq5</v>
      </c>
      <c r="AQ299" s="82" t="str">
        <f>HYPERLINK("https://radioytv.buap.mx/")</f>
        <v>https://radioytv.buap.mx/</v>
      </c>
      <c r="AR299" s="76" t="s">
        <v>14078</v>
      </c>
      <c r="AS299" s="82" t="str">
        <f>HYPERLINK("https://t.co/YdIzH2kO1C")</f>
        <v>https://t.co/YdIzH2kO1C</v>
      </c>
      <c r="AT299" s="82" t="str">
        <f>HYPERLINK("https://radioytvbuap.substack.com")</f>
        <v>https://radioytvbuap.substack.com</v>
      </c>
      <c r="AU299" s="76" t="s">
        <v>14418</v>
      </c>
      <c r="AV299" s="76"/>
      <c r="AW299" s="82" t="str">
        <f>HYPERLINK("https://t.co/2trCMGFWq5")</f>
        <v>https://t.co/2trCMGFWq5</v>
      </c>
      <c r="AX299" s="76" t="b">
        <v>0</v>
      </c>
      <c r="AY299" s="76"/>
      <c r="AZ299" s="76"/>
      <c r="BA299" s="76" t="b">
        <v>0</v>
      </c>
      <c r="BB299" s="76" t="b">
        <v>1</v>
      </c>
      <c r="BC299" s="76" t="b">
        <v>1</v>
      </c>
      <c r="BD299" s="76" t="b">
        <v>0</v>
      </c>
      <c r="BE299" s="76" t="b">
        <v>0</v>
      </c>
      <c r="BF299" s="76" t="b">
        <v>0</v>
      </c>
      <c r="BG299" s="76" t="b">
        <v>0</v>
      </c>
      <c r="BH299" s="82" t="str">
        <f>HYPERLINK("https://pbs.twimg.com/profile_banners/1294701476439187458/1689450444")</f>
        <v>https://pbs.twimg.com/profile_banners/1294701476439187458/1689450444</v>
      </c>
      <c r="BI299" s="76"/>
      <c r="BJ299" s="76" t="s">
        <v>14450</v>
      </c>
      <c r="BK299" s="76" t="b">
        <v>0</v>
      </c>
      <c r="BL299" s="76"/>
      <c r="BM299" s="76" t="s">
        <v>65</v>
      </c>
      <c r="BN299" s="76" t="s">
        <v>14452</v>
      </c>
      <c r="BO299" s="82" t="str">
        <f>HYPERLINK("https://twitter.com/tvbuap")</f>
        <v>https://twitter.com/tvbuap</v>
      </c>
      <c r="BP299" s="2"/>
    </row>
    <row r="300" spans="1:68" x14ac:dyDescent="0.25">
      <c r="A300" s="62" t="s">
        <v>923</v>
      </c>
      <c r="B300" s="63"/>
      <c r="C300" s="63"/>
      <c r="D300" s="64"/>
      <c r="E300" s="66"/>
      <c r="F300" s="103" t="str">
        <f>HYPERLINK("https://pbs.twimg.com/profile_images/1697021480494657536/NkIPQv_b_normal.jpg")</f>
        <v>https://pbs.twimg.com/profile_images/1697021480494657536/NkIPQv_b_normal.jpg</v>
      </c>
      <c r="G300" s="63"/>
      <c r="H300" s="67"/>
      <c r="I300" s="68"/>
      <c r="J300" s="68"/>
      <c r="K300" s="67" t="s">
        <v>14749</v>
      </c>
      <c r="L300" s="71"/>
      <c r="M300" s="72"/>
      <c r="N300" s="72"/>
      <c r="O300" s="73"/>
      <c r="P300" s="74"/>
      <c r="Q300" s="74"/>
      <c r="R300" s="87"/>
      <c r="S300" s="87"/>
      <c r="T300" s="87"/>
      <c r="U300" s="87"/>
      <c r="V300" s="48"/>
      <c r="W300" s="48"/>
      <c r="X300" s="48"/>
      <c r="Y300" s="48"/>
      <c r="Z300" s="47"/>
      <c r="AA300" s="69">
        <v>300</v>
      </c>
      <c r="AB300" s="69"/>
      <c r="AC300" s="70"/>
      <c r="AD300" s="76" t="s">
        <v>12035</v>
      </c>
      <c r="AE300" s="80" t="s">
        <v>11334</v>
      </c>
      <c r="AF300" s="76">
        <v>127</v>
      </c>
      <c r="AG300" s="76">
        <v>64</v>
      </c>
      <c r="AH300" s="76">
        <v>2122</v>
      </c>
      <c r="AI300" s="76">
        <v>0</v>
      </c>
      <c r="AJ300" s="76">
        <v>53</v>
      </c>
      <c r="AK300" s="76">
        <v>2106</v>
      </c>
      <c r="AL300" s="76" t="b">
        <v>0</v>
      </c>
      <c r="AM300" s="78">
        <v>44571.091886574075</v>
      </c>
      <c r="AN300" s="76"/>
      <c r="AO300" s="76" t="s">
        <v>13494</v>
      </c>
      <c r="AP300" s="76"/>
      <c r="AQ300" s="76"/>
      <c r="AR300" s="76"/>
      <c r="AS300" s="76"/>
      <c r="AT300" s="76"/>
      <c r="AU300" s="76"/>
      <c r="AV300" s="76">
        <v>1.6307078538445199E+18</v>
      </c>
      <c r="AW300" s="76"/>
      <c r="AX300" s="76" t="b">
        <v>0</v>
      </c>
      <c r="AY300" s="76"/>
      <c r="AZ300" s="76"/>
      <c r="BA300" s="76" t="b">
        <v>0</v>
      </c>
      <c r="BB300" s="76" t="b">
        <v>1</v>
      </c>
      <c r="BC300" s="76" t="b">
        <v>1</v>
      </c>
      <c r="BD300" s="76" t="b">
        <v>0</v>
      </c>
      <c r="BE300" s="76" t="b">
        <v>1</v>
      </c>
      <c r="BF300" s="76" t="b">
        <v>0</v>
      </c>
      <c r="BG300" s="76" t="b">
        <v>0</v>
      </c>
      <c r="BH300" s="82" t="str">
        <f>HYPERLINK("https://pbs.twimg.com/profile_banners/1480361744736337921/1642378621")</f>
        <v>https://pbs.twimg.com/profile_banners/1480361744736337921/1642378621</v>
      </c>
      <c r="BI300" s="76"/>
      <c r="BJ300" s="76" t="s">
        <v>14450</v>
      </c>
      <c r="BK300" s="76" t="b">
        <v>0</v>
      </c>
      <c r="BL300" s="76"/>
      <c r="BM300" s="76" t="s">
        <v>65</v>
      </c>
      <c r="BN300" s="76" t="s">
        <v>14452</v>
      </c>
      <c r="BO300" s="82" t="str">
        <f>HYPERLINK("https://twitter.com/rommynciudadano")</f>
        <v>https://twitter.com/rommynciudadano</v>
      </c>
      <c r="BP300" s="2"/>
    </row>
    <row r="301" spans="1:68" x14ac:dyDescent="0.25">
      <c r="A301" s="62" t="s">
        <v>461</v>
      </c>
      <c r="B301" s="63"/>
      <c r="C301" s="63"/>
      <c r="D301" s="64"/>
      <c r="E301" s="66"/>
      <c r="F301" s="103" t="str">
        <f>HYPERLINK("https://pbs.twimg.com/profile_images/1631349688006762496/ud4xyf2b_normal.jpg")</f>
        <v>https://pbs.twimg.com/profile_images/1631349688006762496/ud4xyf2b_normal.jpg</v>
      </c>
      <c r="G301" s="63"/>
      <c r="H301" s="67"/>
      <c r="I301" s="68"/>
      <c r="J301" s="68"/>
      <c r="K301" s="67" t="s">
        <v>14750</v>
      </c>
      <c r="L301" s="71"/>
      <c r="M301" s="72"/>
      <c r="N301" s="72"/>
      <c r="O301" s="73"/>
      <c r="P301" s="74"/>
      <c r="Q301" s="74"/>
      <c r="R301" s="87"/>
      <c r="S301" s="87"/>
      <c r="T301" s="87"/>
      <c r="U301" s="87"/>
      <c r="V301" s="48"/>
      <c r="W301" s="48"/>
      <c r="X301" s="48"/>
      <c r="Y301" s="48"/>
      <c r="Z301" s="47"/>
      <c r="AA301" s="69">
        <v>301</v>
      </c>
      <c r="AB301" s="69"/>
      <c r="AC301" s="70"/>
      <c r="AD301" s="76" t="s">
        <v>12036</v>
      </c>
      <c r="AE301" s="80" t="s">
        <v>12632</v>
      </c>
      <c r="AF301" s="76">
        <v>15023</v>
      </c>
      <c r="AG301" s="76">
        <v>1537</v>
      </c>
      <c r="AH301" s="76">
        <v>61628</v>
      </c>
      <c r="AI301" s="76">
        <v>204</v>
      </c>
      <c r="AJ301" s="76">
        <v>20506</v>
      </c>
      <c r="AK301" s="76">
        <v>4845</v>
      </c>
      <c r="AL301" s="76" t="b">
        <v>0</v>
      </c>
      <c r="AM301" s="78">
        <v>40112.783043981479</v>
      </c>
      <c r="AN301" s="76" t="s">
        <v>13020</v>
      </c>
      <c r="AO301" s="76" t="s">
        <v>13495</v>
      </c>
      <c r="AP301" s="82" t="str">
        <f>HYPERLINK("https://t.co/USvo6iercD")</f>
        <v>https://t.co/USvo6iercD</v>
      </c>
      <c r="AQ301" s="82" t="str">
        <f>HYPERLINK("http://www.jobomas.com")</f>
        <v>http://www.jobomas.com</v>
      </c>
      <c r="AR301" s="76" t="s">
        <v>14083</v>
      </c>
      <c r="AS301" s="76"/>
      <c r="AT301" s="76"/>
      <c r="AU301" s="76"/>
      <c r="AV301" s="76"/>
      <c r="AW301" s="82" t="str">
        <f>HYPERLINK("https://t.co/USvo6iercD")</f>
        <v>https://t.co/USvo6iercD</v>
      </c>
      <c r="AX301" s="76" t="b">
        <v>0</v>
      </c>
      <c r="AY301" s="76"/>
      <c r="AZ301" s="76"/>
      <c r="BA301" s="76" t="b">
        <v>1</v>
      </c>
      <c r="BB301" s="76" t="b">
        <v>1</v>
      </c>
      <c r="BC301" s="76" t="b">
        <v>0</v>
      </c>
      <c r="BD301" s="76" t="b">
        <v>0</v>
      </c>
      <c r="BE301" s="76" t="b">
        <v>1</v>
      </c>
      <c r="BF301" s="76" t="b">
        <v>0</v>
      </c>
      <c r="BG301" s="76" t="b">
        <v>0</v>
      </c>
      <c r="BH301" s="82" t="str">
        <f>HYPERLINK("https://pbs.twimg.com/profile_banners/85383413/1677779050")</f>
        <v>https://pbs.twimg.com/profile_banners/85383413/1677779050</v>
      </c>
      <c r="BI301" s="76"/>
      <c r="BJ301" s="76" t="s">
        <v>14451</v>
      </c>
      <c r="BK301" s="76" t="b">
        <v>0</v>
      </c>
      <c r="BL301" s="76"/>
      <c r="BM301" s="76" t="s">
        <v>66</v>
      </c>
      <c r="BN301" s="76" t="s">
        <v>14452</v>
      </c>
      <c r="BO301" s="82" t="str">
        <f>HYPERLINK("https://twitter.com/jobomas")</f>
        <v>https://twitter.com/jobomas</v>
      </c>
      <c r="BP301" s="2"/>
    </row>
    <row r="302" spans="1:68" x14ac:dyDescent="0.25">
      <c r="A302" s="62" t="s">
        <v>462</v>
      </c>
      <c r="B302" s="63"/>
      <c r="C302" s="63"/>
      <c r="D302" s="64"/>
      <c r="E302" s="66"/>
      <c r="F302" s="103" t="str">
        <f>HYPERLINK("https://pbs.twimg.com/profile_images/994921560854224897/itUjUxbW_normal.jpg")</f>
        <v>https://pbs.twimg.com/profile_images/994921560854224897/itUjUxbW_normal.jpg</v>
      </c>
      <c r="G302" s="63"/>
      <c r="H302" s="67"/>
      <c r="I302" s="68"/>
      <c r="J302" s="68"/>
      <c r="K302" s="67" t="s">
        <v>14751</v>
      </c>
      <c r="L302" s="71"/>
      <c r="M302" s="72"/>
      <c r="N302" s="72"/>
      <c r="O302" s="73"/>
      <c r="P302" s="74"/>
      <c r="Q302" s="74"/>
      <c r="R302" s="87"/>
      <c r="S302" s="87"/>
      <c r="T302" s="87"/>
      <c r="U302" s="87"/>
      <c r="V302" s="48"/>
      <c r="W302" s="48"/>
      <c r="X302" s="48"/>
      <c r="Y302" s="48"/>
      <c r="Z302" s="47"/>
      <c r="AA302" s="69">
        <v>302</v>
      </c>
      <c r="AB302" s="69"/>
      <c r="AC302" s="70"/>
      <c r="AD302" s="76" t="s">
        <v>12037</v>
      </c>
      <c r="AE302" s="80" t="s">
        <v>12633</v>
      </c>
      <c r="AF302" s="76">
        <v>138</v>
      </c>
      <c r="AG302" s="76">
        <v>230</v>
      </c>
      <c r="AH302" s="76">
        <v>555</v>
      </c>
      <c r="AI302" s="76">
        <v>0</v>
      </c>
      <c r="AJ302" s="76">
        <v>123</v>
      </c>
      <c r="AK302" s="76">
        <v>542</v>
      </c>
      <c r="AL302" s="76" t="b">
        <v>0</v>
      </c>
      <c r="AM302" s="78">
        <v>40302.765868055554</v>
      </c>
      <c r="AN302" s="76" t="s">
        <v>7782</v>
      </c>
      <c r="AO302" s="76" t="s">
        <v>13496</v>
      </c>
      <c r="AP302" s="82" t="str">
        <f>HYPERLINK("https://t.co/ZhQFiNlJhO")</f>
        <v>https://t.co/ZhQFiNlJhO</v>
      </c>
      <c r="AQ302" s="82" t="str">
        <f>HYPERLINK("http://www.automafast.com.br")</f>
        <v>http://www.automafast.com.br</v>
      </c>
      <c r="AR302" s="76" t="s">
        <v>14084</v>
      </c>
      <c r="AS302" s="82" t="str">
        <f>HYPERLINK("https://t.co/THhKANjnX2")</f>
        <v>https://t.co/THhKANjnX2</v>
      </c>
      <c r="AT302" s="82" t="str">
        <f>HYPERLINK("http://linktr.ee/automafast")</f>
        <v>http://linktr.ee/automafast</v>
      </c>
      <c r="AU302" s="76" t="s">
        <v>14419</v>
      </c>
      <c r="AV302" s="76"/>
      <c r="AW302" s="82" t="str">
        <f>HYPERLINK("https://t.co/ZhQFiNlJhO")</f>
        <v>https://t.co/ZhQFiNlJhO</v>
      </c>
      <c r="AX302" s="76" t="b">
        <v>0</v>
      </c>
      <c r="AY302" s="76"/>
      <c r="AZ302" s="76"/>
      <c r="BA302" s="76" t="b">
        <v>1</v>
      </c>
      <c r="BB302" s="76" t="b">
        <v>1</v>
      </c>
      <c r="BC302" s="76" t="b">
        <v>0</v>
      </c>
      <c r="BD302" s="76" t="b">
        <v>0</v>
      </c>
      <c r="BE302" s="76" t="b">
        <v>0</v>
      </c>
      <c r="BF302" s="76" t="b">
        <v>0</v>
      </c>
      <c r="BG302" s="76" t="b">
        <v>0</v>
      </c>
      <c r="BH302" s="82" t="str">
        <f>HYPERLINK("https://pbs.twimg.com/profile_banners/140144336/1526042741")</f>
        <v>https://pbs.twimg.com/profile_banners/140144336/1526042741</v>
      </c>
      <c r="BI302" s="76"/>
      <c r="BJ302" s="76" t="s">
        <v>14450</v>
      </c>
      <c r="BK302" s="76" t="b">
        <v>0</v>
      </c>
      <c r="BL302" s="76"/>
      <c r="BM302" s="76" t="s">
        <v>66</v>
      </c>
      <c r="BN302" s="76" t="s">
        <v>14452</v>
      </c>
      <c r="BO302" s="82" t="str">
        <f>HYPERLINK("https://twitter.com/automafast")</f>
        <v>https://twitter.com/automafast</v>
      </c>
      <c r="BP302" s="2"/>
    </row>
    <row r="303" spans="1:68" x14ac:dyDescent="0.25">
      <c r="A303" s="62" t="s">
        <v>463</v>
      </c>
      <c r="B303" s="63"/>
      <c r="C303" s="63"/>
      <c r="D303" s="64"/>
      <c r="E303" s="66"/>
      <c r="F303" s="103" t="str">
        <f>HYPERLINK("https://pbs.twimg.com/profile_images/1412179882155589633/dwDG_mG3_normal.jpg")</f>
        <v>https://pbs.twimg.com/profile_images/1412179882155589633/dwDG_mG3_normal.jpg</v>
      </c>
      <c r="G303" s="63"/>
      <c r="H303" s="67"/>
      <c r="I303" s="68"/>
      <c r="J303" s="68"/>
      <c r="K303" s="67" t="s">
        <v>14752</v>
      </c>
      <c r="L303" s="71"/>
      <c r="M303" s="72"/>
      <c r="N303" s="72"/>
      <c r="O303" s="73"/>
      <c r="P303" s="74"/>
      <c r="Q303" s="74"/>
      <c r="R303" s="87"/>
      <c r="S303" s="87"/>
      <c r="T303" s="87"/>
      <c r="U303" s="87"/>
      <c r="V303" s="48"/>
      <c r="W303" s="48"/>
      <c r="X303" s="48"/>
      <c r="Y303" s="48"/>
      <c r="Z303" s="47"/>
      <c r="AA303" s="69">
        <v>303</v>
      </c>
      <c r="AB303" s="69"/>
      <c r="AC303" s="70"/>
      <c r="AD303" s="76" t="s">
        <v>12038</v>
      </c>
      <c r="AE303" s="80" t="s">
        <v>12634</v>
      </c>
      <c r="AF303" s="76">
        <v>440</v>
      </c>
      <c r="AG303" s="76">
        <v>944</v>
      </c>
      <c r="AH303" s="76">
        <v>5003</v>
      </c>
      <c r="AI303" s="76">
        <v>20</v>
      </c>
      <c r="AJ303" s="76">
        <v>2033</v>
      </c>
      <c r="AK303" s="76">
        <v>637</v>
      </c>
      <c r="AL303" s="76" t="b">
        <v>0</v>
      </c>
      <c r="AM303" s="78">
        <v>40670.833425925928</v>
      </c>
      <c r="AN303" s="76" t="s">
        <v>13024</v>
      </c>
      <c r="AO303" s="76" t="s">
        <v>13497</v>
      </c>
      <c r="AP303" s="82" t="str">
        <f>HYPERLINK("https://t.co/QHh03UxCZ1")</f>
        <v>https://t.co/QHh03UxCZ1</v>
      </c>
      <c r="AQ303" s="82" t="str">
        <f>HYPERLINK("http://www.grupodimolk.com")</f>
        <v>http://www.grupodimolk.com</v>
      </c>
      <c r="AR303" s="76" t="s">
        <v>4329</v>
      </c>
      <c r="AS303" s="76"/>
      <c r="AT303" s="76"/>
      <c r="AU303" s="76"/>
      <c r="AV303" s="76"/>
      <c r="AW303" s="82" t="str">
        <f>HYPERLINK("https://t.co/QHh03UxCZ1")</f>
        <v>https://t.co/QHh03UxCZ1</v>
      </c>
      <c r="AX303" s="76" t="b">
        <v>0</v>
      </c>
      <c r="AY303" s="76"/>
      <c r="AZ303" s="76"/>
      <c r="BA303" s="76" t="b">
        <v>0</v>
      </c>
      <c r="BB303" s="76" t="b">
        <v>1</v>
      </c>
      <c r="BC303" s="76" t="b">
        <v>0</v>
      </c>
      <c r="BD303" s="76" t="b">
        <v>0</v>
      </c>
      <c r="BE303" s="76" t="b">
        <v>1</v>
      </c>
      <c r="BF303" s="76" t="b">
        <v>0</v>
      </c>
      <c r="BG303" s="76" t="b">
        <v>0</v>
      </c>
      <c r="BH303" s="82" t="str">
        <f>HYPERLINK("https://pbs.twimg.com/profile_banners/294798908/1585542889")</f>
        <v>https://pbs.twimg.com/profile_banners/294798908/1585542889</v>
      </c>
      <c r="BI303" s="76"/>
      <c r="BJ303" s="76" t="s">
        <v>14450</v>
      </c>
      <c r="BK303" s="76" t="b">
        <v>0</v>
      </c>
      <c r="BL303" s="76"/>
      <c r="BM303" s="76" t="s">
        <v>66</v>
      </c>
      <c r="BN303" s="76" t="s">
        <v>14452</v>
      </c>
      <c r="BO303" s="82" t="str">
        <f>HYPERLINK("https://twitter.com/molkiades")</f>
        <v>https://twitter.com/molkiades</v>
      </c>
      <c r="BP303" s="2"/>
    </row>
    <row r="304" spans="1:68" x14ac:dyDescent="0.25">
      <c r="A304" s="62" t="s">
        <v>464</v>
      </c>
      <c r="B304" s="63"/>
      <c r="C304" s="63"/>
      <c r="D304" s="64"/>
      <c r="E304" s="66"/>
      <c r="F304" s="103" t="str">
        <f>HYPERLINK("https://pbs.twimg.com/profile_images/1608159721793507329/Ze5iV_bj_normal.jpg")</f>
        <v>https://pbs.twimg.com/profile_images/1608159721793507329/Ze5iV_bj_normal.jpg</v>
      </c>
      <c r="G304" s="63"/>
      <c r="H304" s="67"/>
      <c r="I304" s="68"/>
      <c r="J304" s="68"/>
      <c r="K304" s="67" t="s">
        <v>14753</v>
      </c>
      <c r="L304" s="71"/>
      <c r="M304" s="72"/>
      <c r="N304" s="72"/>
      <c r="O304" s="73"/>
      <c r="P304" s="74"/>
      <c r="Q304" s="74"/>
      <c r="R304" s="87"/>
      <c r="S304" s="87"/>
      <c r="T304" s="87"/>
      <c r="U304" s="87"/>
      <c r="V304" s="48"/>
      <c r="W304" s="48"/>
      <c r="X304" s="48"/>
      <c r="Y304" s="48"/>
      <c r="Z304" s="47"/>
      <c r="AA304" s="69">
        <v>304</v>
      </c>
      <c r="AB304" s="69"/>
      <c r="AC304" s="70"/>
      <c r="AD304" s="76" t="s">
        <v>12039</v>
      </c>
      <c r="AE304" s="80" t="s">
        <v>12635</v>
      </c>
      <c r="AF304" s="76">
        <v>1373</v>
      </c>
      <c r="AG304" s="76">
        <v>369</v>
      </c>
      <c r="AH304" s="76">
        <v>116627</v>
      </c>
      <c r="AI304" s="76">
        <v>0</v>
      </c>
      <c r="AJ304" s="76">
        <v>18</v>
      </c>
      <c r="AK304" s="76">
        <v>3</v>
      </c>
      <c r="AL304" s="76" t="b">
        <v>0</v>
      </c>
      <c r="AM304" s="78">
        <v>40239.750856481478</v>
      </c>
      <c r="AN304" s="76" t="s">
        <v>12909</v>
      </c>
      <c r="AO304" s="76" t="s">
        <v>13498</v>
      </c>
      <c r="AP304" s="82" t="str">
        <f>HYPERLINK("https://t.co/Pc3ESwWuWe")</f>
        <v>https://t.co/Pc3ESwWuWe</v>
      </c>
      <c r="AQ304" s="82" t="str">
        <f>HYPERLINK("https://www.netcarreiras.com.br/")</f>
        <v>https://www.netcarreiras.com.br/</v>
      </c>
      <c r="AR304" s="76" t="s">
        <v>14085</v>
      </c>
      <c r="AS304" s="76"/>
      <c r="AT304" s="76"/>
      <c r="AU304" s="76"/>
      <c r="AV304" s="76"/>
      <c r="AW304" s="82" t="str">
        <f>HYPERLINK("https://t.co/Pc3ESwWuWe")</f>
        <v>https://t.co/Pc3ESwWuWe</v>
      </c>
      <c r="AX304" s="76" t="b">
        <v>0</v>
      </c>
      <c r="AY304" s="76"/>
      <c r="AZ304" s="76"/>
      <c r="BA304" s="76" t="b">
        <v>0</v>
      </c>
      <c r="BB304" s="76" t="b">
        <v>1</v>
      </c>
      <c r="BC304" s="76" t="b">
        <v>0</v>
      </c>
      <c r="BD304" s="76" t="b">
        <v>0</v>
      </c>
      <c r="BE304" s="76" t="b">
        <v>0</v>
      </c>
      <c r="BF304" s="76" t="b">
        <v>0</v>
      </c>
      <c r="BG304" s="76" t="b">
        <v>0</v>
      </c>
      <c r="BH304" s="82" t="str">
        <f>HYPERLINK("https://pbs.twimg.com/profile_banners/119107732/1672249823")</f>
        <v>https://pbs.twimg.com/profile_banners/119107732/1672249823</v>
      </c>
      <c r="BI304" s="76"/>
      <c r="BJ304" s="76" t="s">
        <v>14450</v>
      </c>
      <c r="BK304" s="76" t="b">
        <v>0</v>
      </c>
      <c r="BL304" s="76"/>
      <c r="BM304" s="76" t="s">
        <v>66</v>
      </c>
      <c r="BN304" s="76" t="s">
        <v>14452</v>
      </c>
      <c r="BO304" s="82" t="str">
        <f>HYPERLINK("https://twitter.com/netcarreiras")</f>
        <v>https://twitter.com/netcarreiras</v>
      </c>
      <c r="BP304" s="2"/>
    </row>
    <row r="305" spans="1:68" x14ac:dyDescent="0.25">
      <c r="A305" s="62" t="s">
        <v>465</v>
      </c>
      <c r="B305" s="63"/>
      <c r="C305" s="63"/>
      <c r="D305" s="64"/>
      <c r="E305" s="66"/>
      <c r="F305" s="103" t="str">
        <f>HYPERLINK("https://pbs.twimg.com/profile_images/1616844239995912193/WTQix30n_normal.jpg")</f>
        <v>https://pbs.twimg.com/profile_images/1616844239995912193/WTQix30n_normal.jpg</v>
      </c>
      <c r="G305" s="63"/>
      <c r="H305" s="67"/>
      <c r="I305" s="68"/>
      <c r="J305" s="68"/>
      <c r="K305" s="67" t="s">
        <v>14754</v>
      </c>
      <c r="L305" s="71"/>
      <c r="M305" s="72"/>
      <c r="N305" s="72"/>
      <c r="O305" s="73"/>
      <c r="P305" s="74"/>
      <c r="Q305" s="74"/>
      <c r="R305" s="87"/>
      <c r="S305" s="87"/>
      <c r="T305" s="87"/>
      <c r="U305" s="87"/>
      <c r="V305" s="48"/>
      <c r="W305" s="48"/>
      <c r="X305" s="48"/>
      <c r="Y305" s="48"/>
      <c r="Z305" s="47"/>
      <c r="AA305" s="69">
        <v>305</v>
      </c>
      <c r="AB305" s="69"/>
      <c r="AC305" s="70"/>
      <c r="AD305" s="76" t="s">
        <v>12040</v>
      </c>
      <c r="AE305" s="80" t="s">
        <v>11524</v>
      </c>
      <c r="AF305" s="76">
        <v>2</v>
      </c>
      <c r="AG305" s="76">
        <v>6</v>
      </c>
      <c r="AH305" s="76">
        <v>102</v>
      </c>
      <c r="AI305" s="76">
        <v>0</v>
      </c>
      <c r="AJ305" s="76">
        <v>0</v>
      </c>
      <c r="AK305" s="76">
        <v>100</v>
      </c>
      <c r="AL305" s="76" t="b">
        <v>0</v>
      </c>
      <c r="AM305" s="78">
        <v>44358.773055555554</v>
      </c>
      <c r="AN305" s="76"/>
      <c r="AO305" s="76" t="s">
        <v>13499</v>
      </c>
      <c r="AP305" s="82" t="str">
        <f>HYPERLINK("https://t.co/IvoWTHaCQp")</f>
        <v>https://t.co/IvoWTHaCQp</v>
      </c>
      <c r="AQ305" s="82" t="str">
        <f>HYPERLINK("http://digitare.com.br")</f>
        <v>http://digitare.com.br</v>
      </c>
      <c r="AR305" s="76" t="s">
        <v>14086</v>
      </c>
      <c r="AS305" s="76"/>
      <c r="AT305" s="76"/>
      <c r="AU305" s="76"/>
      <c r="AV305" s="76"/>
      <c r="AW305" s="82" t="str">
        <f>HYPERLINK("https://t.co/IvoWTHaCQp")</f>
        <v>https://t.co/IvoWTHaCQp</v>
      </c>
      <c r="AX305" s="76" t="b">
        <v>0</v>
      </c>
      <c r="AY305" s="76"/>
      <c r="AZ305" s="76"/>
      <c r="BA305" s="76" t="b">
        <v>0</v>
      </c>
      <c r="BB305" s="76" t="b">
        <v>1</v>
      </c>
      <c r="BC305" s="76" t="b">
        <v>1</v>
      </c>
      <c r="BD305" s="76" t="b">
        <v>0</v>
      </c>
      <c r="BE305" s="76" t="b">
        <v>0</v>
      </c>
      <c r="BF305" s="76" t="b">
        <v>0</v>
      </c>
      <c r="BG305" s="76" t="b">
        <v>0</v>
      </c>
      <c r="BH305" s="76"/>
      <c r="BI305" s="76"/>
      <c r="BJ305" s="76" t="s">
        <v>14450</v>
      </c>
      <c r="BK305" s="76" t="b">
        <v>0</v>
      </c>
      <c r="BL305" s="76"/>
      <c r="BM305" s="76" t="s">
        <v>66</v>
      </c>
      <c r="BN305" s="76" t="s">
        <v>14452</v>
      </c>
      <c r="BO305" s="82" t="str">
        <f>HYPERLINK("https://twitter.com/ederzardin")</f>
        <v>https://twitter.com/ederzardin</v>
      </c>
      <c r="BP305" s="2"/>
    </row>
    <row r="306" spans="1:68" x14ac:dyDescent="0.25">
      <c r="A306" s="62" t="s">
        <v>466</v>
      </c>
      <c r="B306" s="63"/>
      <c r="C306" s="63"/>
      <c r="D306" s="64"/>
      <c r="E306" s="66"/>
      <c r="F306" s="103" t="str">
        <f>HYPERLINK("https://pbs.twimg.com/profile_images/1541920769692794880/t8HAPPmN_normal.jpg")</f>
        <v>https://pbs.twimg.com/profile_images/1541920769692794880/t8HAPPmN_normal.jpg</v>
      </c>
      <c r="G306" s="63"/>
      <c r="H306" s="67"/>
      <c r="I306" s="68"/>
      <c r="J306" s="68"/>
      <c r="K306" s="67" t="s">
        <v>14755</v>
      </c>
      <c r="L306" s="71"/>
      <c r="M306" s="72"/>
      <c r="N306" s="72"/>
      <c r="O306" s="73"/>
      <c r="P306" s="74"/>
      <c r="Q306" s="74"/>
      <c r="R306" s="87"/>
      <c r="S306" s="87"/>
      <c r="T306" s="87"/>
      <c r="U306" s="87"/>
      <c r="V306" s="48"/>
      <c r="W306" s="48"/>
      <c r="X306" s="48"/>
      <c r="Y306" s="48"/>
      <c r="Z306" s="47"/>
      <c r="AA306" s="69">
        <v>306</v>
      </c>
      <c r="AB306" s="69"/>
      <c r="AC306" s="70"/>
      <c r="AD306" s="76" t="s">
        <v>12041</v>
      </c>
      <c r="AE306" s="80" t="s">
        <v>11525</v>
      </c>
      <c r="AF306" s="76">
        <v>1324</v>
      </c>
      <c r="AG306" s="76">
        <v>2061</v>
      </c>
      <c r="AH306" s="76">
        <v>39843</v>
      </c>
      <c r="AI306" s="76">
        <v>1</v>
      </c>
      <c r="AJ306" s="76">
        <v>49001</v>
      </c>
      <c r="AK306" s="76">
        <v>759</v>
      </c>
      <c r="AL306" s="76" t="b">
        <v>0</v>
      </c>
      <c r="AM306" s="78">
        <v>44424.930196759262</v>
      </c>
      <c r="AN306" s="76" t="s">
        <v>7769</v>
      </c>
      <c r="AO306" s="76" t="s">
        <v>13500</v>
      </c>
      <c r="AP306" s="76"/>
      <c r="AQ306" s="76"/>
      <c r="AR306" s="76"/>
      <c r="AS306" s="76"/>
      <c r="AT306" s="76"/>
      <c r="AU306" s="76"/>
      <c r="AV306" s="76"/>
      <c r="AW306" s="76"/>
      <c r="AX306" s="76" t="b">
        <v>0</v>
      </c>
      <c r="AY306" s="76"/>
      <c r="AZ306" s="76"/>
      <c r="BA306" s="76" t="b">
        <v>0</v>
      </c>
      <c r="BB306" s="76" t="b">
        <v>1</v>
      </c>
      <c r="BC306" s="76" t="b">
        <v>1</v>
      </c>
      <c r="BD306" s="76" t="b">
        <v>0</v>
      </c>
      <c r="BE306" s="76" t="b">
        <v>1</v>
      </c>
      <c r="BF306" s="76" t="b">
        <v>0</v>
      </c>
      <c r="BG306" s="76" t="b">
        <v>0</v>
      </c>
      <c r="BH306" s="82" t="str">
        <f>HYPERLINK("https://pbs.twimg.com/profile_banners/1427394443255156737/1630041274")</f>
        <v>https://pbs.twimg.com/profile_banners/1427394443255156737/1630041274</v>
      </c>
      <c r="BI306" s="76"/>
      <c r="BJ306" s="76" t="s">
        <v>14450</v>
      </c>
      <c r="BK306" s="76" t="b">
        <v>0</v>
      </c>
      <c r="BL306" s="76"/>
      <c r="BM306" s="76" t="s">
        <v>66</v>
      </c>
      <c r="BN306" s="76" t="s">
        <v>14452</v>
      </c>
      <c r="BO306" s="82" t="str">
        <f>HYPERLINK("https://twitter.com/victorv82449539")</f>
        <v>https://twitter.com/victorv82449539</v>
      </c>
      <c r="BP306" s="2"/>
    </row>
    <row r="307" spans="1:68" x14ac:dyDescent="0.25">
      <c r="A307" s="62" t="s">
        <v>467</v>
      </c>
      <c r="B307" s="63"/>
      <c r="C307" s="63"/>
      <c r="D307" s="64"/>
      <c r="E307" s="66"/>
      <c r="F307" s="103" t="str">
        <f>HYPERLINK("https://pbs.twimg.com/profile_images/1623347163852857344/cjWvUN3C_normal.jpg")</f>
        <v>https://pbs.twimg.com/profile_images/1623347163852857344/cjWvUN3C_normal.jpg</v>
      </c>
      <c r="G307" s="63"/>
      <c r="H307" s="67"/>
      <c r="I307" s="68"/>
      <c r="J307" s="68"/>
      <c r="K307" s="67" t="s">
        <v>14756</v>
      </c>
      <c r="L307" s="71"/>
      <c r="M307" s="72"/>
      <c r="N307" s="72"/>
      <c r="O307" s="73"/>
      <c r="P307" s="74"/>
      <c r="Q307" s="74"/>
      <c r="R307" s="87"/>
      <c r="S307" s="87"/>
      <c r="T307" s="87"/>
      <c r="U307" s="87"/>
      <c r="V307" s="48"/>
      <c r="W307" s="48"/>
      <c r="X307" s="48"/>
      <c r="Y307" s="48"/>
      <c r="Z307" s="47"/>
      <c r="AA307" s="69">
        <v>307</v>
      </c>
      <c r="AB307" s="69"/>
      <c r="AC307" s="70"/>
      <c r="AD307" s="76" t="s">
        <v>12042</v>
      </c>
      <c r="AE307" s="80" t="s">
        <v>11526</v>
      </c>
      <c r="AF307" s="76">
        <v>179</v>
      </c>
      <c r="AG307" s="76">
        <v>83</v>
      </c>
      <c r="AH307" s="76">
        <v>4000</v>
      </c>
      <c r="AI307" s="76">
        <v>3</v>
      </c>
      <c r="AJ307" s="76">
        <v>214</v>
      </c>
      <c r="AK307" s="76">
        <v>250</v>
      </c>
      <c r="AL307" s="76" t="b">
        <v>0</v>
      </c>
      <c r="AM307" s="78">
        <v>44958.680694444447</v>
      </c>
      <c r="AN307" s="76" t="s">
        <v>13025</v>
      </c>
      <c r="AO307" s="76" t="s">
        <v>13501</v>
      </c>
      <c r="AP307" s="82" t="str">
        <f>HYPERLINK("https://t.co/DqFknSOhjS")</f>
        <v>https://t.co/DqFknSOhjS</v>
      </c>
      <c r="AQ307" s="82" t="str">
        <f>HYPERLINK("http://durango.posta.com.mx")</f>
        <v>http://durango.posta.com.mx</v>
      </c>
      <c r="AR307" s="76" t="s">
        <v>14087</v>
      </c>
      <c r="AS307" s="76"/>
      <c r="AT307" s="76"/>
      <c r="AU307" s="76"/>
      <c r="AV307" s="76"/>
      <c r="AW307" s="82" t="str">
        <f>HYPERLINK("https://t.co/DqFknSOhjS")</f>
        <v>https://t.co/DqFknSOhjS</v>
      </c>
      <c r="AX307" s="76" t="b">
        <v>0</v>
      </c>
      <c r="AY307" s="76"/>
      <c r="AZ307" s="76"/>
      <c r="BA307" s="76" t="b">
        <v>0</v>
      </c>
      <c r="BB307" s="76" t="b">
        <v>1</v>
      </c>
      <c r="BC307" s="76" t="b">
        <v>1</v>
      </c>
      <c r="BD307" s="76" t="b">
        <v>0</v>
      </c>
      <c r="BE307" s="76" t="b">
        <v>0</v>
      </c>
      <c r="BF307" s="76" t="b">
        <v>0</v>
      </c>
      <c r="BG307" s="76" t="b">
        <v>0</v>
      </c>
      <c r="BH307" s="82" t="str">
        <f>HYPERLINK("https://pbs.twimg.com/profile_banners/1620819247504003072/1678380322")</f>
        <v>https://pbs.twimg.com/profile_banners/1620819247504003072/1678380322</v>
      </c>
      <c r="BI307" s="76"/>
      <c r="BJ307" s="76" t="s">
        <v>14450</v>
      </c>
      <c r="BK307" s="76" t="b">
        <v>0</v>
      </c>
      <c r="BL307" s="76"/>
      <c r="BM307" s="76" t="s">
        <v>66</v>
      </c>
      <c r="BN307" s="76" t="s">
        <v>14452</v>
      </c>
      <c r="BO307" s="82" t="str">
        <f>HYPERLINK("https://twitter.com/postadurango")</f>
        <v>https://twitter.com/postadurango</v>
      </c>
      <c r="BP307" s="2"/>
    </row>
    <row r="308" spans="1:68" x14ac:dyDescent="0.25">
      <c r="A308" s="62" t="s">
        <v>468</v>
      </c>
      <c r="B308" s="63"/>
      <c r="C308" s="63"/>
      <c r="D308" s="64"/>
      <c r="E308" s="66"/>
      <c r="F308" s="103" t="str">
        <f>HYPERLINK("https://pbs.twimg.com/profile_images/1642017011428360192/NcsMmTON_normal.jpg")</f>
        <v>https://pbs.twimg.com/profile_images/1642017011428360192/NcsMmTON_normal.jpg</v>
      </c>
      <c r="G308" s="63"/>
      <c r="H308" s="67"/>
      <c r="I308" s="68"/>
      <c r="J308" s="68"/>
      <c r="K308" s="67" t="s">
        <v>14757</v>
      </c>
      <c r="L308" s="71"/>
      <c r="M308" s="72"/>
      <c r="N308" s="72"/>
      <c r="O308" s="73"/>
      <c r="P308" s="74"/>
      <c r="Q308" s="74"/>
      <c r="R308" s="87"/>
      <c r="S308" s="87"/>
      <c r="T308" s="87"/>
      <c r="U308" s="87"/>
      <c r="V308" s="48"/>
      <c r="W308" s="48"/>
      <c r="X308" s="48"/>
      <c r="Y308" s="48"/>
      <c r="Z308" s="47"/>
      <c r="AA308" s="69">
        <v>308</v>
      </c>
      <c r="AB308" s="69"/>
      <c r="AC308" s="70"/>
      <c r="AD308" s="76" t="s">
        <v>12043</v>
      </c>
      <c r="AE308" s="80" t="s">
        <v>12636</v>
      </c>
      <c r="AF308" s="76">
        <v>52</v>
      </c>
      <c r="AG308" s="76">
        <v>338</v>
      </c>
      <c r="AH308" s="76">
        <v>196</v>
      </c>
      <c r="AI308" s="76">
        <v>0</v>
      </c>
      <c r="AJ308" s="76">
        <v>681</v>
      </c>
      <c r="AK308" s="76">
        <v>37</v>
      </c>
      <c r="AL308" s="76" t="b">
        <v>0</v>
      </c>
      <c r="AM308" s="78">
        <v>42195.344340277778</v>
      </c>
      <c r="AN308" s="76"/>
      <c r="AO308" s="76" t="s">
        <v>13502</v>
      </c>
      <c r="AP308" s="82" t="str">
        <f>HYPERLINK("https://t.co/eyY3zO3z4d")</f>
        <v>https://t.co/eyY3zO3z4d</v>
      </c>
      <c r="AQ308" s="82" t="str">
        <f>HYPERLINK("https://davidhernandes.com.br/gestor-de-trafego/")</f>
        <v>https://davidhernandes.com.br/gestor-de-trafego/</v>
      </c>
      <c r="AR308" s="76" t="s">
        <v>14088</v>
      </c>
      <c r="AS308" s="76"/>
      <c r="AT308" s="76"/>
      <c r="AU308" s="76"/>
      <c r="AV308" s="76">
        <v>1.6424674389345101E+18</v>
      </c>
      <c r="AW308" s="82" t="str">
        <f>HYPERLINK("https://t.co/eyY3zO3z4d")</f>
        <v>https://t.co/eyY3zO3z4d</v>
      </c>
      <c r="AX308" s="76" t="b">
        <v>0</v>
      </c>
      <c r="AY308" s="76"/>
      <c r="AZ308" s="76"/>
      <c r="BA308" s="76" t="b">
        <v>1</v>
      </c>
      <c r="BB308" s="76" t="b">
        <v>1</v>
      </c>
      <c r="BC308" s="76" t="b">
        <v>1</v>
      </c>
      <c r="BD308" s="76" t="b">
        <v>0</v>
      </c>
      <c r="BE308" s="76" t="b">
        <v>1</v>
      </c>
      <c r="BF308" s="76" t="b">
        <v>0</v>
      </c>
      <c r="BG308" s="76" t="b">
        <v>0</v>
      </c>
      <c r="BH308" s="82" t="str">
        <f>HYPERLINK("https://pbs.twimg.com/profile_banners/3368950330/1677622117")</f>
        <v>https://pbs.twimg.com/profile_banners/3368950330/1677622117</v>
      </c>
      <c r="BI308" s="76"/>
      <c r="BJ308" s="76" t="s">
        <v>14450</v>
      </c>
      <c r="BK308" s="76" t="b">
        <v>0</v>
      </c>
      <c r="BL308" s="76"/>
      <c r="BM308" s="76" t="s">
        <v>66</v>
      </c>
      <c r="BN308" s="76" t="s">
        <v>14452</v>
      </c>
      <c r="BO308" s="82" t="str">
        <f>HYPERLINK("https://twitter.com/eudavidhernande")</f>
        <v>https://twitter.com/eudavidhernande</v>
      </c>
      <c r="BP308" s="2"/>
    </row>
    <row r="309" spans="1:68" x14ac:dyDescent="0.25">
      <c r="A309" s="62" t="s">
        <v>469</v>
      </c>
      <c r="B309" s="63"/>
      <c r="C309" s="63"/>
      <c r="D309" s="64"/>
      <c r="E309" s="66"/>
      <c r="F309" s="103" t="str">
        <f>HYPERLINK("https://pbs.twimg.com/profile_images/1040799221740392448/Sd9MNV_a_normal.jpg")</f>
        <v>https://pbs.twimg.com/profile_images/1040799221740392448/Sd9MNV_a_normal.jpg</v>
      </c>
      <c r="G309" s="63"/>
      <c r="H309" s="67"/>
      <c r="I309" s="68"/>
      <c r="J309" s="68"/>
      <c r="K309" s="67" t="s">
        <v>14758</v>
      </c>
      <c r="L309" s="71"/>
      <c r="M309" s="72"/>
      <c r="N309" s="72"/>
      <c r="O309" s="73"/>
      <c r="P309" s="74"/>
      <c r="Q309" s="74"/>
      <c r="R309" s="87"/>
      <c r="S309" s="87"/>
      <c r="T309" s="87"/>
      <c r="U309" s="87"/>
      <c r="V309" s="48"/>
      <c r="W309" s="48"/>
      <c r="X309" s="48"/>
      <c r="Y309" s="48"/>
      <c r="Z309" s="47"/>
      <c r="AA309" s="69">
        <v>309</v>
      </c>
      <c r="AB309" s="69"/>
      <c r="AC309" s="70"/>
      <c r="AD309" s="76" t="s">
        <v>12044</v>
      </c>
      <c r="AE309" s="80" t="s">
        <v>12637</v>
      </c>
      <c r="AF309" s="76">
        <v>457</v>
      </c>
      <c r="AG309" s="76">
        <v>899</v>
      </c>
      <c r="AH309" s="76">
        <v>7036</v>
      </c>
      <c r="AI309" s="76">
        <v>1</v>
      </c>
      <c r="AJ309" s="76">
        <v>1203</v>
      </c>
      <c r="AK309" s="76">
        <v>1065</v>
      </c>
      <c r="AL309" s="76" t="b">
        <v>0</v>
      </c>
      <c r="AM309" s="78">
        <v>42355.628275462965</v>
      </c>
      <c r="AN309" s="76" t="s">
        <v>13026</v>
      </c>
      <c r="AO309" s="76" t="s">
        <v>13503</v>
      </c>
      <c r="AP309" s="76"/>
      <c r="AQ309" s="76"/>
      <c r="AR309" s="76"/>
      <c r="AS309" s="76"/>
      <c r="AT309" s="76"/>
      <c r="AU309" s="76"/>
      <c r="AV309" s="76">
        <v>1.1263406515184399E+18</v>
      </c>
      <c r="AW309" s="76"/>
      <c r="AX309" s="76" t="b">
        <v>0</v>
      </c>
      <c r="AY309" s="76"/>
      <c r="AZ309" s="76"/>
      <c r="BA309" s="76" t="b">
        <v>0</v>
      </c>
      <c r="BB309" s="76" t="b">
        <v>0</v>
      </c>
      <c r="BC309" s="76" t="b">
        <v>1</v>
      </c>
      <c r="BD309" s="76" t="b">
        <v>0</v>
      </c>
      <c r="BE309" s="76" t="b">
        <v>1</v>
      </c>
      <c r="BF309" s="76" t="b">
        <v>0</v>
      </c>
      <c r="BG309" s="76" t="b">
        <v>0</v>
      </c>
      <c r="BH309" s="82" t="str">
        <f>HYPERLINK("https://pbs.twimg.com/profile_banners/4514931041/1670184105")</f>
        <v>https://pbs.twimg.com/profile_banners/4514931041/1670184105</v>
      </c>
      <c r="BI309" s="76"/>
      <c r="BJ309" s="76" t="s">
        <v>14450</v>
      </c>
      <c r="BK309" s="76" t="b">
        <v>0</v>
      </c>
      <c r="BL309" s="76"/>
      <c r="BM309" s="76" t="s">
        <v>66</v>
      </c>
      <c r="BN309" s="76" t="s">
        <v>14452</v>
      </c>
      <c r="BO309" s="82" t="str">
        <f>HYPERLINK("https://twitter.com/elmeromero90210")</f>
        <v>https://twitter.com/elmeromero90210</v>
      </c>
      <c r="BP309" s="2"/>
    </row>
    <row r="310" spans="1:68" x14ac:dyDescent="0.25">
      <c r="A310" s="62" t="s">
        <v>473</v>
      </c>
      <c r="B310" s="63"/>
      <c r="C310" s="63"/>
      <c r="D310" s="64"/>
      <c r="E310" s="66"/>
      <c r="F310" s="103" t="str">
        <f>HYPERLINK("https://pbs.twimg.com/profile_images/845576244091654144/RLBFSJsX_normal.jpg")</f>
        <v>https://pbs.twimg.com/profile_images/845576244091654144/RLBFSJsX_normal.jpg</v>
      </c>
      <c r="G310" s="63"/>
      <c r="H310" s="67"/>
      <c r="I310" s="68"/>
      <c r="J310" s="68"/>
      <c r="K310" s="67" t="s">
        <v>14759</v>
      </c>
      <c r="L310" s="71"/>
      <c r="M310" s="72"/>
      <c r="N310" s="72"/>
      <c r="O310" s="73"/>
      <c r="P310" s="74"/>
      <c r="Q310" s="74"/>
      <c r="R310" s="87"/>
      <c r="S310" s="87"/>
      <c r="T310" s="87"/>
      <c r="U310" s="87"/>
      <c r="V310" s="48"/>
      <c r="W310" s="48"/>
      <c r="X310" s="48"/>
      <c r="Y310" s="48"/>
      <c r="Z310" s="47"/>
      <c r="AA310" s="69">
        <v>310</v>
      </c>
      <c r="AB310" s="69"/>
      <c r="AC310" s="70"/>
      <c r="AD310" s="76" t="s">
        <v>12045</v>
      </c>
      <c r="AE310" s="80" t="s">
        <v>12638</v>
      </c>
      <c r="AF310" s="76">
        <v>1022</v>
      </c>
      <c r="AG310" s="76">
        <v>47</v>
      </c>
      <c r="AH310" s="76">
        <v>436</v>
      </c>
      <c r="AI310" s="76">
        <v>39</v>
      </c>
      <c r="AJ310" s="76">
        <v>61</v>
      </c>
      <c r="AK310" s="76">
        <v>126</v>
      </c>
      <c r="AL310" s="76" t="b">
        <v>0</v>
      </c>
      <c r="AM310" s="78">
        <v>40308.361886574072</v>
      </c>
      <c r="AN310" s="76"/>
      <c r="AO310" s="76" t="s">
        <v>13504</v>
      </c>
      <c r="AP310" s="82" t="str">
        <f>HYPERLINK("https://t.co/e81CDuSOKr")</f>
        <v>https://t.co/e81CDuSOKr</v>
      </c>
      <c r="AQ310" s="82" t="str">
        <f>HYPERLINK("http://www.lauracantizano.com")</f>
        <v>http://www.lauracantizano.com</v>
      </c>
      <c r="AR310" s="76" t="s">
        <v>14089</v>
      </c>
      <c r="AS310" s="76"/>
      <c r="AT310" s="76"/>
      <c r="AU310" s="76"/>
      <c r="AV310" s="76"/>
      <c r="AW310" s="82" t="str">
        <f>HYPERLINK("https://t.co/e81CDuSOKr")</f>
        <v>https://t.co/e81CDuSOKr</v>
      </c>
      <c r="AX310" s="76" t="b">
        <v>0</v>
      </c>
      <c r="AY310" s="76"/>
      <c r="AZ310" s="76"/>
      <c r="BA310" s="76" t="b">
        <v>0</v>
      </c>
      <c r="BB310" s="76" t="b">
        <v>1</v>
      </c>
      <c r="BC310" s="76" t="b">
        <v>0</v>
      </c>
      <c r="BD310" s="76" t="b">
        <v>0</v>
      </c>
      <c r="BE310" s="76" t="b">
        <v>0</v>
      </c>
      <c r="BF310" s="76" t="b">
        <v>0</v>
      </c>
      <c r="BG310" s="76" t="b">
        <v>0</v>
      </c>
      <c r="BH310" s="82" t="str">
        <f>HYPERLINK("https://pbs.twimg.com/profile_banners/142218758/1523135880")</f>
        <v>https://pbs.twimg.com/profile_banners/142218758/1523135880</v>
      </c>
      <c r="BI310" s="76"/>
      <c r="BJ310" s="76" t="s">
        <v>14450</v>
      </c>
      <c r="BK310" s="76" t="b">
        <v>0</v>
      </c>
      <c r="BL310" s="76"/>
      <c r="BM310" s="76" t="s">
        <v>66</v>
      </c>
      <c r="BN310" s="76" t="s">
        <v>14452</v>
      </c>
      <c r="BO310" s="82" t="str">
        <f>HYPERLINK("https://twitter.com/lauracantizano")</f>
        <v>https://twitter.com/lauracantizano</v>
      </c>
      <c r="BP310" s="2"/>
    </row>
    <row r="311" spans="1:68" x14ac:dyDescent="0.25">
      <c r="A311" s="62" t="s">
        <v>470</v>
      </c>
      <c r="B311" s="63"/>
      <c r="C311" s="63"/>
      <c r="D311" s="64"/>
      <c r="E311" s="66"/>
      <c r="F311" s="103" t="str">
        <f>HYPERLINK("https://pbs.twimg.com/profile_images/1081505759559643137/MkuLdu_J_normal.jpg")</f>
        <v>https://pbs.twimg.com/profile_images/1081505759559643137/MkuLdu_J_normal.jpg</v>
      </c>
      <c r="G311" s="63"/>
      <c r="H311" s="67"/>
      <c r="I311" s="68"/>
      <c r="J311" s="68"/>
      <c r="K311" s="67" t="s">
        <v>14760</v>
      </c>
      <c r="L311" s="71"/>
      <c r="M311" s="72"/>
      <c r="N311" s="72"/>
      <c r="O311" s="73"/>
      <c r="P311" s="74"/>
      <c r="Q311" s="74"/>
      <c r="R311" s="87"/>
      <c r="S311" s="87"/>
      <c r="T311" s="87"/>
      <c r="U311" s="87"/>
      <c r="V311" s="48"/>
      <c r="W311" s="48"/>
      <c r="X311" s="48"/>
      <c r="Y311" s="48"/>
      <c r="Z311" s="47"/>
      <c r="AA311" s="69">
        <v>311</v>
      </c>
      <c r="AB311" s="69"/>
      <c r="AC311" s="70"/>
      <c r="AD311" s="76" t="s">
        <v>12046</v>
      </c>
      <c r="AE311" s="80" t="s">
        <v>12639</v>
      </c>
      <c r="AF311" s="76">
        <v>1197</v>
      </c>
      <c r="AG311" s="76">
        <v>1917</v>
      </c>
      <c r="AH311" s="76">
        <v>3080</v>
      </c>
      <c r="AI311" s="76">
        <v>0</v>
      </c>
      <c r="AJ311" s="76">
        <v>670</v>
      </c>
      <c r="AK311" s="76">
        <v>824</v>
      </c>
      <c r="AL311" s="76" t="b">
        <v>0</v>
      </c>
      <c r="AM311" s="78">
        <v>40398.531030092592</v>
      </c>
      <c r="AN311" s="76" t="s">
        <v>13027</v>
      </c>
      <c r="AO311" s="76" t="s">
        <v>13505</v>
      </c>
      <c r="AP311" s="82" t="str">
        <f>HYPERLINK("http://t.co/wc0WdXNcSG")</f>
        <v>http://t.co/wc0WdXNcSG</v>
      </c>
      <c r="AQ311" s="82" t="str">
        <f>HYPERLINK("http://www.ciebarcelona.com")</f>
        <v>http://www.ciebarcelona.com</v>
      </c>
      <c r="AR311" s="76" t="s">
        <v>14090</v>
      </c>
      <c r="AS311" s="76"/>
      <c r="AT311" s="76"/>
      <c r="AU311" s="76"/>
      <c r="AV311" s="76"/>
      <c r="AW311" s="82" t="str">
        <f>HYPERLINK("http://t.co/wc0WdXNcSG")</f>
        <v>http://t.co/wc0WdXNcSG</v>
      </c>
      <c r="AX311" s="76" t="b">
        <v>0</v>
      </c>
      <c r="AY311" s="76"/>
      <c r="AZ311" s="76"/>
      <c r="BA311" s="76" t="b">
        <v>0</v>
      </c>
      <c r="BB311" s="76" t="b">
        <v>1</v>
      </c>
      <c r="BC311" s="76" t="b">
        <v>0</v>
      </c>
      <c r="BD311" s="76" t="b">
        <v>0</v>
      </c>
      <c r="BE311" s="76" t="b">
        <v>1</v>
      </c>
      <c r="BF311" s="76" t="b">
        <v>0</v>
      </c>
      <c r="BG311" s="76" t="b">
        <v>0</v>
      </c>
      <c r="BH311" s="76"/>
      <c r="BI311" s="76"/>
      <c r="BJ311" s="76" t="s">
        <v>14450</v>
      </c>
      <c r="BK311" s="76" t="b">
        <v>0</v>
      </c>
      <c r="BL311" s="76"/>
      <c r="BM311" s="76" t="s">
        <v>66</v>
      </c>
      <c r="BN311" s="76" t="s">
        <v>14452</v>
      </c>
      <c r="BO311" s="82" t="str">
        <f>HYPERLINK("https://twitter.com/ciebarcelona")</f>
        <v>https://twitter.com/ciebarcelona</v>
      </c>
      <c r="BP311" s="2"/>
    </row>
    <row r="312" spans="1:68" x14ac:dyDescent="0.25">
      <c r="A312" s="62" t="s">
        <v>471</v>
      </c>
      <c r="B312" s="63"/>
      <c r="C312" s="63"/>
      <c r="D312" s="64"/>
      <c r="E312" s="66"/>
      <c r="F312" s="103" t="str">
        <f>HYPERLINK("https://pbs.twimg.com/profile_images/1490030253376475138/nAYxwJx4_normal.jpg")</f>
        <v>https://pbs.twimg.com/profile_images/1490030253376475138/nAYxwJx4_normal.jpg</v>
      </c>
      <c r="G312" s="63"/>
      <c r="H312" s="67"/>
      <c r="I312" s="68"/>
      <c r="J312" s="68"/>
      <c r="K312" s="67" t="s">
        <v>14761</v>
      </c>
      <c r="L312" s="71"/>
      <c r="M312" s="72"/>
      <c r="N312" s="72"/>
      <c r="O312" s="73"/>
      <c r="P312" s="74"/>
      <c r="Q312" s="74"/>
      <c r="R312" s="87"/>
      <c r="S312" s="87"/>
      <c r="T312" s="87"/>
      <c r="U312" s="87"/>
      <c r="V312" s="48"/>
      <c r="W312" s="48"/>
      <c r="X312" s="48"/>
      <c r="Y312" s="48"/>
      <c r="Z312" s="47"/>
      <c r="AA312" s="69">
        <v>312</v>
      </c>
      <c r="AB312" s="69"/>
      <c r="AC312" s="70"/>
      <c r="AD312" s="76" t="s">
        <v>12047</v>
      </c>
      <c r="AE312" s="80" t="s">
        <v>12640</v>
      </c>
      <c r="AF312" s="76">
        <v>195</v>
      </c>
      <c r="AG312" s="76">
        <v>2158</v>
      </c>
      <c r="AH312" s="76">
        <v>870</v>
      </c>
      <c r="AI312" s="76">
        <v>4</v>
      </c>
      <c r="AJ312" s="76">
        <v>201</v>
      </c>
      <c r="AK312" s="76">
        <v>30</v>
      </c>
      <c r="AL312" s="76" t="b">
        <v>0</v>
      </c>
      <c r="AM312" s="78">
        <v>40697.604490740741</v>
      </c>
      <c r="AN312" s="76" t="s">
        <v>13028</v>
      </c>
      <c r="AO312" s="76" t="s">
        <v>13506</v>
      </c>
      <c r="AP312" s="82" t="str">
        <f>HYPERLINK("https://t.co/c1DKRxjwPE")</f>
        <v>https://t.co/c1DKRxjwPE</v>
      </c>
      <c r="AQ312" s="82" t="str">
        <f>HYPERLINK("https://twitter.com/luiswolly?s=21&amp;t=lPAJSqp_a1a67Xa_kEmDyA")</f>
        <v>https://twitter.com/luiswolly?s=21&amp;t=lPAJSqp_a1a67Xa_kEmDyA</v>
      </c>
      <c r="AR312" s="76" t="s">
        <v>14091</v>
      </c>
      <c r="AS312" s="76"/>
      <c r="AT312" s="76"/>
      <c r="AU312" s="76"/>
      <c r="AV312" s="76"/>
      <c r="AW312" s="82" t="str">
        <f>HYPERLINK("https://t.co/c1DKRxjwPE")</f>
        <v>https://t.co/c1DKRxjwPE</v>
      </c>
      <c r="AX312" s="76" t="b">
        <v>0</v>
      </c>
      <c r="AY312" s="76"/>
      <c r="AZ312" s="76"/>
      <c r="BA312" s="76" t="b">
        <v>1</v>
      </c>
      <c r="BB312" s="76" t="b">
        <v>1</v>
      </c>
      <c r="BC312" s="76" t="b">
        <v>1</v>
      </c>
      <c r="BD312" s="76" t="b">
        <v>0</v>
      </c>
      <c r="BE312" s="76" t="b">
        <v>1</v>
      </c>
      <c r="BF312" s="76" t="b">
        <v>0</v>
      </c>
      <c r="BG312" s="76" t="b">
        <v>0</v>
      </c>
      <c r="BH312" s="82" t="str">
        <f>HYPERLINK("https://pbs.twimg.com/profile_banners/310300658/1644085990")</f>
        <v>https://pbs.twimg.com/profile_banners/310300658/1644085990</v>
      </c>
      <c r="BI312" s="76"/>
      <c r="BJ312" s="76" t="s">
        <v>14450</v>
      </c>
      <c r="BK312" s="76" t="b">
        <v>0</v>
      </c>
      <c r="BL312" s="76"/>
      <c r="BM312" s="76" t="s">
        <v>66</v>
      </c>
      <c r="BN312" s="76" t="s">
        <v>14452</v>
      </c>
      <c r="BO312" s="82" t="str">
        <f>HYPERLINK("https://twitter.com/luiswolly")</f>
        <v>https://twitter.com/luiswolly</v>
      </c>
      <c r="BP312" s="2"/>
    </row>
    <row r="313" spans="1:68" x14ac:dyDescent="0.25">
      <c r="A313" s="62" t="s">
        <v>472</v>
      </c>
      <c r="B313" s="63"/>
      <c r="C313" s="63"/>
      <c r="D313" s="64"/>
      <c r="E313" s="66"/>
      <c r="F313" s="103" t="str">
        <f>HYPERLINK("https://pbs.twimg.com/profile_images/1375153363755614214/4stVMh0D_normal.jpg")</f>
        <v>https://pbs.twimg.com/profile_images/1375153363755614214/4stVMh0D_normal.jpg</v>
      </c>
      <c r="G313" s="63"/>
      <c r="H313" s="67"/>
      <c r="I313" s="68"/>
      <c r="J313" s="68"/>
      <c r="K313" s="67" t="s">
        <v>14762</v>
      </c>
      <c r="L313" s="71"/>
      <c r="M313" s="72"/>
      <c r="N313" s="72"/>
      <c r="O313" s="73"/>
      <c r="P313" s="74"/>
      <c r="Q313" s="74"/>
      <c r="R313" s="87"/>
      <c r="S313" s="87"/>
      <c r="T313" s="87"/>
      <c r="U313" s="87"/>
      <c r="V313" s="48"/>
      <c r="W313" s="48"/>
      <c r="X313" s="48"/>
      <c r="Y313" s="48"/>
      <c r="Z313" s="47"/>
      <c r="AA313" s="69">
        <v>313</v>
      </c>
      <c r="AB313" s="69"/>
      <c r="AC313" s="70"/>
      <c r="AD313" s="76" t="s">
        <v>12048</v>
      </c>
      <c r="AE313" s="80" t="s">
        <v>12641</v>
      </c>
      <c r="AF313" s="76">
        <v>149</v>
      </c>
      <c r="AG313" s="76">
        <v>258</v>
      </c>
      <c r="AH313" s="76">
        <v>3652</v>
      </c>
      <c r="AI313" s="76">
        <v>0</v>
      </c>
      <c r="AJ313" s="76">
        <v>13</v>
      </c>
      <c r="AK313" s="76">
        <v>170</v>
      </c>
      <c r="AL313" s="76" t="b">
        <v>0</v>
      </c>
      <c r="AM313" s="78">
        <v>40181.538622685184</v>
      </c>
      <c r="AN313" s="76" t="s">
        <v>13029</v>
      </c>
      <c r="AO313" s="76" t="s">
        <v>13507</v>
      </c>
      <c r="AP313" s="82" t="str">
        <f>HYPERLINK("https://t.co/Q8tx9nthbQ")</f>
        <v>https://t.co/Q8tx9nthbQ</v>
      </c>
      <c r="AQ313" s="82" t="str">
        <f>HYPERLINK("http://www.allman.com.br")</f>
        <v>http://www.allman.com.br</v>
      </c>
      <c r="AR313" s="76" t="s">
        <v>14092</v>
      </c>
      <c r="AS313" s="76"/>
      <c r="AT313" s="76"/>
      <c r="AU313" s="76"/>
      <c r="AV313" s="76"/>
      <c r="AW313" s="82" t="str">
        <f>HYPERLINK("https://t.co/Q8tx9nthbQ")</f>
        <v>https://t.co/Q8tx9nthbQ</v>
      </c>
      <c r="AX313" s="76" t="b">
        <v>0</v>
      </c>
      <c r="AY313" s="76"/>
      <c r="AZ313" s="76"/>
      <c r="BA313" s="76" t="b">
        <v>0</v>
      </c>
      <c r="BB313" s="76" t="b">
        <v>1</v>
      </c>
      <c r="BC313" s="76" t="b">
        <v>0</v>
      </c>
      <c r="BD313" s="76" t="b">
        <v>0</v>
      </c>
      <c r="BE313" s="76" t="b">
        <v>0</v>
      </c>
      <c r="BF313" s="76" t="b">
        <v>0</v>
      </c>
      <c r="BG313" s="76" t="b">
        <v>0</v>
      </c>
      <c r="BH313" s="82" t="str">
        <f>HYPERLINK("https://pbs.twimg.com/profile_banners/101472210/1616697002")</f>
        <v>https://pbs.twimg.com/profile_banners/101472210/1616697002</v>
      </c>
      <c r="BI313" s="76"/>
      <c r="BJ313" s="76" t="s">
        <v>14450</v>
      </c>
      <c r="BK313" s="76" t="b">
        <v>0</v>
      </c>
      <c r="BL313" s="76"/>
      <c r="BM313" s="76" t="s">
        <v>66</v>
      </c>
      <c r="BN313" s="76" t="s">
        <v>14452</v>
      </c>
      <c r="BO313" s="82" t="str">
        <f>HYPERLINK("https://twitter.com/deciopes")</f>
        <v>https://twitter.com/deciopes</v>
      </c>
      <c r="BP313" s="2"/>
    </row>
    <row r="314" spans="1:68" x14ac:dyDescent="0.25">
      <c r="A314" s="62" t="s">
        <v>474</v>
      </c>
      <c r="B314" s="63"/>
      <c r="C314" s="63"/>
      <c r="D314" s="64"/>
      <c r="E314" s="66"/>
      <c r="F314" s="103" t="str">
        <f>HYPERLINK("https://pbs.twimg.com/profile_images/1376589377623756807/ZnoegsMV_normal.jpg")</f>
        <v>https://pbs.twimg.com/profile_images/1376589377623756807/ZnoegsMV_normal.jpg</v>
      </c>
      <c r="G314" s="63"/>
      <c r="H314" s="67"/>
      <c r="I314" s="68"/>
      <c r="J314" s="68"/>
      <c r="K314" s="67" t="s">
        <v>14763</v>
      </c>
      <c r="L314" s="71"/>
      <c r="M314" s="72"/>
      <c r="N314" s="72"/>
      <c r="O314" s="73"/>
      <c r="P314" s="74"/>
      <c r="Q314" s="74"/>
      <c r="R314" s="87"/>
      <c r="S314" s="87"/>
      <c r="T314" s="87"/>
      <c r="U314" s="87"/>
      <c r="V314" s="48"/>
      <c r="W314" s="48"/>
      <c r="X314" s="48"/>
      <c r="Y314" s="48"/>
      <c r="Z314" s="47"/>
      <c r="AA314" s="69">
        <v>314</v>
      </c>
      <c r="AB314" s="69"/>
      <c r="AC314" s="70"/>
      <c r="AD314" s="76" t="s">
        <v>12049</v>
      </c>
      <c r="AE314" s="80" t="s">
        <v>11527</v>
      </c>
      <c r="AF314" s="76">
        <v>5</v>
      </c>
      <c r="AG314" s="76">
        <v>6</v>
      </c>
      <c r="AH314" s="76">
        <v>574</v>
      </c>
      <c r="AI314" s="76">
        <v>0</v>
      </c>
      <c r="AJ314" s="76">
        <v>0</v>
      </c>
      <c r="AK314" s="76">
        <v>536</v>
      </c>
      <c r="AL314" s="76" t="b">
        <v>0</v>
      </c>
      <c r="AM314" s="78">
        <v>44283.626250000001</v>
      </c>
      <c r="AN314" s="76"/>
      <c r="AO314" s="76" t="s">
        <v>13508</v>
      </c>
      <c r="AP314" s="82" t="str">
        <f>HYPERLINK("https://t.co/g5SZ3uVtgp")</f>
        <v>https://t.co/g5SZ3uVtgp</v>
      </c>
      <c r="AQ314" s="82" t="str">
        <f>HYPERLINK("http://www.mercasa.com.mx")</f>
        <v>http://www.mercasa.com.mx</v>
      </c>
      <c r="AR314" s="76" t="s">
        <v>14093</v>
      </c>
      <c r="AS314" s="76"/>
      <c r="AT314" s="76"/>
      <c r="AU314" s="76"/>
      <c r="AV314" s="76"/>
      <c r="AW314" s="82" t="str">
        <f>HYPERLINK("https://t.co/g5SZ3uVtgp")</f>
        <v>https://t.co/g5SZ3uVtgp</v>
      </c>
      <c r="AX314" s="76" t="b">
        <v>0</v>
      </c>
      <c r="AY314" s="76"/>
      <c r="AZ314" s="76"/>
      <c r="BA314" s="76" t="b">
        <v>0</v>
      </c>
      <c r="BB314" s="76" t="b">
        <v>1</v>
      </c>
      <c r="BC314" s="76" t="b">
        <v>1</v>
      </c>
      <c r="BD314" s="76" t="b">
        <v>0</v>
      </c>
      <c r="BE314" s="76" t="b">
        <v>0</v>
      </c>
      <c r="BF314" s="76" t="b">
        <v>0</v>
      </c>
      <c r="BG314" s="76" t="b">
        <v>0</v>
      </c>
      <c r="BH314" s="82" t="str">
        <f>HYPERLINK("https://pbs.twimg.com/profile_banners/1376187717772529667/1617039545")</f>
        <v>https://pbs.twimg.com/profile_banners/1376187717772529667/1617039545</v>
      </c>
      <c r="BI314" s="76"/>
      <c r="BJ314" s="76" t="s">
        <v>14450</v>
      </c>
      <c r="BK314" s="76" t="b">
        <v>0</v>
      </c>
      <c r="BL314" s="76"/>
      <c r="BM314" s="76" t="s">
        <v>66</v>
      </c>
      <c r="BN314" s="76" t="s">
        <v>14452</v>
      </c>
      <c r="BO314" s="82" t="str">
        <f>HYPERLINK("https://twitter.com/mercasa3")</f>
        <v>https://twitter.com/mercasa3</v>
      </c>
      <c r="BP314" s="2"/>
    </row>
    <row r="315" spans="1:68" x14ac:dyDescent="0.25">
      <c r="A315" s="62" t="s">
        <v>475</v>
      </c>
      <c r="B315" s="63"/>
      <c r="C315" s="63"/>
      <c r="D315" s="64"/>
      <c r="E315" s="66"/>
      <c r="F315" s="103" t="str">
        <f>HYPERLINK("https://pbs.twimg.com/profile_images/1600619634364915732/NBqQ0ehF_normal.jpg")</f>
        <v>https://pbs.twimg.com/profile_images/1600619634364915732/NBqQ0ehF_normal.jpg</v>
      </c>
      <c r="G315" s="63"/>
      <c r="H315" s="67"/>
      <c r="I315" s="68"/>
      <c r="J315" s="68"/>
      <c r="K315" s="67" t="s">
        <v>14764</v>
      </c>
      <c r="L315" s="71"/>
      <c r="M315" s="72"/>
      <c r="N315" s="72"/>
      <c r="O315" s="73"/>
      <c r="P315" s="74"/>
      <c r="Q315" s="74"/>
      <c r="R315" s="87"/>
      <c r="S315" s="87"/>
      <c r="T315" s="87"/>
      <c r="U315" s="87"/>
      <c r="V315" s="48"/>
      <c r="W315" s="48"/>
      <c r="X315" s="48"/>
      <c r="Y315" s="48"/>
      <c r="Z315" s="47"/>
      <c r="AA315" s="69">
        <v>315</v>
      </c>
      <c r="AB315" s="69"/>
      <c r="AC315" s="70"/>
      <c r="AD315" s="76" t="s">
        <v>12050</v>
      </c>
      <c r="AE315" s="80" t="s">
        <v>11528</v>
      </c>
      <c r="AF315" s="76">
        <v>11</v>
      </c>
      <c r="AG315" s="76">
        <v>10</v>
      </c>
      <c r="AH315" s="76">
        <v>30</v>
      </c>
      <c r="AI315" s="76">
        <v>0</v>
      </c>
      <c r="AJ315" s="76">
        <v>8</v>
      </c>
      <c r="AK315" s="76">
        <v>6</v>
      </c>
      <c r="AL315" s="76" t="b">
        <v>0</v>
      </c>
      <c r="AM315" s="78">
        <v>44902.939444444448</v>
      </c>
      <c r="AN315" s="76" t="s">
        <v>13030</v>
      </c>
      <c r="AO315" s="76" t="s">
        <v>13509</v>
      </c>
      <c r="AP315" s="82" t="str">
        <f>HYPERLINK("https://t.co/LqQy4QAMtc")</f>
        <v>https://t.co/LqQy4QAMtc</v>
      </c>
      <c r="AQ315" s="82" t="str">
        <f>HYPERLINK("https://agricolacenteno.com.ar/")</f>
        <v>https://agricolacenteno.com.ar/</v>
      </c>
      <c r="AR315" s="76" t="s">
        <v>14094</v>
      </c>
      <c r="AS315" s="76"/>
      <c r="AT315" s="76"/>
      <c r="AU315" s="76"/>
      <c r="AV315" s="76">
        <v>1.60880241890048E+18</v>
      </c>
      <c r="AW315" s="82" t="str">
        <f>HYPERLINK("https://t.co/LqQy4QAMtc")</f>
        <v>https://t.co/LqQy4QAMtc</v>
      </c>
      <c r="AX315" s="76" t="b">
        <v>0</v>
      </c>
      <c r="AY315" s="76"/>
      <c r="AZ315" s="76"/>
      <c r="BA315" s="76" t="b">
        <v>0</v>
      </c>
      <c r="BB315" s="76" t="b">
        <v>1</v>
      </c>
      <c r="BC315" s="76" t="b">
        <v>1</v>
      </c>
      <c r="BD315" s="76" t="b">
        <v>0</v>
      </c>
      <c r="BE315" s="76" t="b">
        <v>0</v>
      </c>
      <c r="BF315" s="76" t="b">
        <v>0</v>
      </c>
      <c r="BG315" s="76" t="b">
        <v>0</v>
      </c>
      <c r="BH315" s="82" t="str">
        <f>HYPERLINK("https://pbs.twimg.com/profile_banners/1600619338402234368/1670498689")</f>
        <v>https://pbs.twimg.com/profile_banners/1600619338402234368/1670498689</v>
      </c>
      <c r="BI315" s="76"/>
      <c r="BJ315" s="76" t="s">
        <v>14450</v>
      </c>
      <c r="BK315" s="76" t="b">
        <v>0</v>
      </c>
      <c r="BL315" s="76"/>
      <c r="BM315" s="76" t="s">
        <v>66</v>
      </c>
      <c r="BN315" s="76" t="s">
        <v>14452</v>
      </c>
      <c r="BO315" s="82" t="str">
        <f>HYPERLINK("https://twitter.com/agricolacenteno")</f>
        <v>https://twitter.com/agricolacenteno</v>
      </c>
      <c r="BP315" s="2"/>
    </row>
    <row r="316" spans="1:68" x14ac:dyDescent="0.25">
      <c r="A316" s="62" t="s">
        <v>476</v>
      </c>
      <c r="B316" s="63"/>
      <c r="C316" s="63"/>
      <c r="D316" s="64"/>
      <c r="E316" s="66"/>
      <c r="F316" s="103" t="str">
        <f>HYPERLINK("https://pbs.twimg.com/profile_images/1561862507806871552/petAdq7f_normal.jpg")</f>
        <v>https://pbs.twimg.com/profile_images/1561862507806871552/petAdq7f_normal.jpg</v>
      </c>
      <c r="G316" s="63"/>
      <c r="H316" s="67"/>
      <c r="I316" s="68"/>
      <c r="J316" s="68"/>
      <c r="K316" s="67" t="s">
        <v>14765</v>
      </c>
      <c r="L316" s="71"/>
      <c r="M316" s="72"/>
      <c r="N316" s="72"/>
      <c r="O316" s="73"/>
      <c r="P316" s="74"/>
      <c r="Q316" s="74"/>
      <c r="R316" s="87"/>
      <c r="S316" s="87"/>
      <c r="T316" s="87"/>
      <c r="U316" s="87"/>
      <c r="V316" s="48"/>
      <c r="W316" s="48"/>
      <c r="X316" s="48"/>
      <c r="Y316" s="48"/>
      <c r="Z316" s="47"/>
      <c r="AA316" s="69">
        <v>316</v>
      </c>
      <c r="AB316" s="69"/>
      <c r="AC316" s="70"/>
      <c r="AD316" s="76" t="s">
        <v>12051</v>
      </c>
      <c r="AE316" s="80" t="s">
        <v>11529</v>
      </c>
      <c r="AF316" s="76">
        <v>885</v>
      </c>
      <c r="AG316" s="76">
        <v>752</v>
      </c>
      <c r="AH316" s="76">
        <v>4049</v>
      </c>
      <c r="AI316" s="76">
        <v>0</v>
      </c>
      <c r="AJ316" s="76">
        <v>5317</v>
      </c>
      <c r="AK316" s="76">
        <v>473</v>
      </c>
      <c r="AL316" s="76" t="b">
        <v>0</v>
      </c>
      <c r="AM316" s="78">
        <v>43548.984988425924</v>
      </c>
      <c r="AN316" s="76" t="s">
        <v>13031</v>
      </c>
      <c r="AO316" s="76" t="s">
        <v>13510</v>
      </c>
      <c r="AP316" s="76"/>
      <c r="AQ316" s="76"/>
      <c r="AR316" s="76"/>
      <c r="AS316" s="76"/>
      <c r="AT316" s="76"/>
      <c r="AU316" s="76"/>
      <c r="AV316" s="76">
        <v>1.5618631066234399E+18</v>
      </c>
      <c r="AW316" s="76"/>
      <c r="AX316" s="76" t="b">
        <v>0</v>
      </c>
      <c r="AY316" s="76"/>
      <c r="AZ316" s="76"/>
      <c r="BA316" s="76" t="b">
        <v>0</v>
      </c>
      <c r="BB316" s="76" t="b">
        <v>1</v>
      </c>
      <c r="BC316" s="76" t="b">
        <v>1</v>
      </c>
      <c r="BD316" s="76" t="b">
        <v>0</v>
      </c>
      <c r="BE316" s="76" t="b">
        <v>1</v>
      </c>
      <c r="BF316" s="76" t="b">
        <v>0</v>
      </c>
      <c r="BG316" s="76" t="b">
        <v>0</v>
      </c>
      <c r="BH316" s="82" t="str">
        <f>HYPERLINK("https://pbs.twimg.com/profile_banners/1109962696705929216/1553471236")</f>
        <v>https://pbs.twimg.com/profile_banners/1109962696705929216/1553471236</v>
      </c>
      <c r="BI316" s="76"/>
      <c r="BJ316" s="76" t="s">
        <v>14450</v>
      </c>
      <c r="BK316" s="76" t="b">
        <v>0</v>
      </c>
      <c r="BL316" s="76"/>
      <c r="BM316" s="76" t="s">
        <v>66</v>
      </c>
      <c r="BN316" s="76" t="s">
        <v>14452</v>
      </c>
      <c r="BO316" s="82" t="str">
        <f>HYPERLINK("https://twitter.com/bolsadtrabajot")</f>
        <v>https://twitter.com/bolsadtrabajot</v>
      </c>
      <c r="BP316" s="2"/>
    </row>
    <row r="317" spans="1:68" x14ac:dyDescent="0.25">
      <c r="A317" s="62" t="s">
        <v>477</v>
      </c>
      <c r="B317" s="63"/>
      <c r="C317" s="63"/>
      <c r="D317" s="64"/>
      <c r="E317" s="66"/>
      <c r="F317" s="103" t="str">
        <f>HYPERLINK("https://pbs.twimg.com/profile_images/1187507375974109184/6C6SL_OC_normal.jpg")</f>
        <v>https://pbs.twimg.com/profile_images/1187507375974109184/6C6SL_OC_normal.jpg</v>
      </c>
      <c r="G317" s="63"/>
      <c r="H317" s="67"/>
      <c r="I317" s="68"/>
      <c r="J317" s="68"/>
      <c r="K317" s="67" t="s">
        <v>14766</v>
      </c>
      <c r="L317" s="71"/>
      <c r="M317" s="72"/>
      <c r="N317" s="72"/>
      <c r="O317" s="73"/>
      <c r="P317" s="74"/>
      <c r="Q317" s="74"/>
      <c r="R317" s="87"/>
      <c r="S317" s="87"/>
      <c r="T317" s="87"/>
      <c r="U317" s="87"/>
      <c r="V317" s="48"/>
      <c r="W317" s="48"/>
      <c r="X317" s="48"/>
      <c r="Y317" s="48"/>
      <c r="Z317" s="47"/>
      <c r="AA317" s="69">
        <v>317</v>
      </c>
      <c r="AB317" s="69"/>
      <c r="AC317" s="70"/>
      <c r="AD317" s="76" t="s">
        <v>12052</v>
      </c>
      <c r="AE317" s="80" t="s">
        <v>12642</v>
      </c>
      <c r="AF317" s="76">
        <v>155</v>
      </c>
      <c r="AG317" s="76">
        <v>340</v>
      </c>
      <c r="AH317" s="76">
        <v>270</v>
      </c>
      <c r="AI317" s="76">
        <v>0</v>
      </c>
      <c r="AJ317" s="76">
        <v>8</v>
      </c>
      <c r="AK317" s="76">
        <v>27</v>
      </c>
      <c r="AL317" s="76" t="b">
        <v>0</v>
      </c>
      <c r="AM317" s="78">
        <v>40345.864120370374</v>
      </c>
      <c r="AN317" s="76" t="s">
        <v>7763</v>
      </c>
      <c r="AO317" s="76" t="s">
        <v>13511</v>
      </c>
      <c r="AP317" s="82" t="str">
        <f>HYPERLINK("https://t.co/pRcfep1MCF")</f>
        <v>https://t.co/pRcfep1MCF</v>
      </c>
      <c r="AQ317" s="82" t="str">
        <f>HYPERLINK("http://www.niurymartins.com.br")</f>
        <v>http://www.niurymartins.com.br</v>
      </c>
      <c r="AR317" s="76" t="s">
        <v>14095</v>
      </c>
      <c r="AS317" s="76"/>
      <c r="AT317" s="76"/>
      <c r="AU317" s="76"/>
      <c r="AV317" s="76"/>
      <c r="AW317" s="82" t="str">
        <f>HYPERLINK("https://t.co/pRcfep1MCF")</f>
        <v>https://t.co/pRcfep1MCF</v>
      </c>
      <c r="AX317" s="76" t="b">
        <v>0</v>
      </c>
      <c r="AY317" s="76"/>
      <c r="AZ317" s="76"/>
      <c r="BA317" s="76" t="b">
        <v>0</v>
      </c>
      <c r="BB317" s="76" t="b">
        <v>1</v>
      </c>
      <c r="BC317" s="76" t="b">
        <v>1</v>
      </c>
      <c r="BD317" s="76" t="b">
        <v>0</v>
      </c>
      <c r="BE317" s="76" t="b">
        <v>0</v>
      </c>
      <c r="BF317" s="76" t="b">
        <v>0</v>
      </c>
      <c r="BG317" s="76" t="b">
        <v>0</v>
      </c>
      <c r="BH317" s="76"/>
      <c r="BI317" s="76"/>
      <c r="BJ317" s="76" t="s">
        <v>14450</v>
      </c>
      <c r="BK317" s="76" t="b">
        <v>0</v>
      </c>
      <c r="BL317" s="76"/>
      <c r="BM317" s="76" t="s">
        <v>66</v>
      </c>
      <c r="BN317" s="76" t="s">
        <v>14452</v>
      </c>
      <c r="BO317" s="82" t="str">
        <f>HYPERLINK("https://twitter.com/niurymartins")</f>
        <v>https://twitter.com/niurymartins</v>
      </c>
      <c r="BP317" s="2"/>
    </row>
    <row r="318" spans="1:68" x14ac:dyDescent="0.25">
      <c r="A318" s="62" t="s">
        <v>478</v>
      </c>
      <c r="B318" s="63"/>
      <c r="C318" s="63"/>
      <c r="D318" s="64"/>
      <c r="E318" s="66"/>
      <c r="F318" s="103" t="str">
        <f>HYPERLINK("https://pbs.twimg.com/profile_images/1531167330750939138/hYv4M54J_normal.jpg")</f>
        <v>https://pbs.twimg.com/profile_images/1531167330750939138/hYv4M54J_normal.jpg</v>
      </c>
      <c r="G318" s="63"/>
      <c r="H318" s="67"/>
      <c r="I318" s="68"/>
      <c r="J318" s="68"/>
      <c r="K318" s="67" t="s">
        <v>14767</v>
      </c>
      <c r="L318" s="71"/>
      <c r="M318" s="72"/>
      <c r="N318" s="72"/>
      <c r="O318" s="73"/>
      <c r="P318" s="74"/>
      <c r="Q318" s="74"/>
      <c r="R318" s="87"/>
      <c r="S318" s="87"/>
      <c r="T318" s="87"/>
      <c r="U318" s="87"/>
      <c r="V318" s="48"/>
      <c r="W318" s="48"/>
      <c r="X318" s="48"/>
      <c r="Y318" s="48"/>
      <c r="Z318" s="47"/>
      <c r="AA318" s="69">
        <v>318</v>
      </c>
      <c r="AB318" s="69"/>
      <c r="AC318" s="70"/>
      <c r="AD318" s="76" t="s">
        <v>12053</v>
      </c>
      <c r="AE318" s="80" t="s">
        <v>11530</v>
      </c>
      <c r="AF318" s="76">
        <v>374945</v>
      </c>
      <c r="AG318" s="76">
        <v>68582</v>
      </c>
      <c r="AH318" s="76">
        <v>103301</v>
      </c>
      <c r="AI318" s="76">
        <v>441</v>
      </c>
      <c r="AJ318" s="76">
        <v>832</v>
      </c>
      <c r="AK318" s="76">
        <v>86143</v>
      </c>
      <c r="AL318" s="76" t="b">
        <v>0</v>
      </c>
      <c r="AM318" s="78">
        <v>42440.055115740739</v>
      </c>
      <c r="AN318" s="76" t="s">
        <v>13032</v>
      </c>
      <c r="AO318" s="76" t="s">
        <v>13512</v>
      </c>
      <c r="AP318" s="82" t="str">
        <f>HYPERLINK("https://t.co/W3fRPLXMav")</f>
        <v>https://t.co/W3fRPLXMav</v>
      </c>
      <c r="AQ318" s="82" t="str">
        <f>HYPERLINK("http://www.quepocamadre.mx")</f>
        <v>http://www.quepocamadre.mx</v>
      </c>
      <c r="AR318" s="76" t="s">
        <v>14096</v>
      </c>
      <c r="AS318" s="76"/>
      <c r="AT318" s="76"/>
      <c r="AU318" s="76"/>
      <c r="AV318" s="76"/>
      <c r="AW318" s="82" t="str">
        <f>HYPERLINK("https://t.co/W3fRPLXMav")</f>
        <v>https://t.co/W3fRPLXMav</v>
      </c>
      <c r="AX318" s="76" t="b">
        <v>0</v>
      </c>
      <c r="AY318" s="76"/>
      <c r="AZ318" s="76"/>
      <c r="BA318" s="76" t="b">
        <v>1</v>
      </c>
      <c r="BB318" s="76" t="b">
        <v>1</v>
      </c>
      <c r="BC318" s="76" t="b">
        <v>1</v>
      </c>
      <c r="BD318" s="76" t="b">
        <v>0</v>
      </c>
      <c r="BE318" s="76" t="b">
        <v>1</v>
      </c>
      <c r="BF318" s="76" t="b">
        <v>0</v>
      </c>
      <c r="BG318" s="76" t="b">
        <v>0</v>
      </c>
      <c r="BH318" s="82" t="str">
        <f>HYPERLINK("https://pbs.twimg.com/profile_banners/708099965264891904/1655400535")</f>
        <v>https://pbs.twimg.com/profile_banners/708099965264891904/1655400535</v>
      </c>
      <c r="BI318" s="76"/>
      <c r="BJ318" s="76" t="s">
        <v>14450</v>
      </c>
      <c r="BK318" s="76" t="b">
        <v>0</v>
      </c>
      <c r="BL318" s="76"/>
      <c r="BM318" s="76" t="s">
        <v>66</v>
      </c>
      <c r="BN318" s="76" t="s">
        <v>14452</v>
      </c>
      <c r="BO318" s="82" t="str">
        <f>HYPERLINK("https://twitter.com/quepocamadre_mx")</f>
        <v>https://twitter.com/quepocamadre_mx</v>
      </c>
      <c r="BP318" s="2"/>
    </row>
    <row r="319" spans="1:68" x14ac:dyDescent="0.25">
      <c r="A319" s="62" t="s">
        <v>479</v>
      </c>
      <c r="B319" s="63"/>
      <c r="C319" s="63"/>
      <c r="D319" s="64"/>
      <c r="E319" s="66"/>
      <c r="F319" s="103" t="str">
        <f>HYPERLINK("https://pbs.twimg.com/profile_images/1023803317619773440/QtAz359u_normal.jpg")</f>
        <v>https://pbs.twimg.com/profile_images/1023803317619773440/QtAz359u_normal.jpg</v>
      </c>
      <c r="G319" s="63"/>
      <c r="H319" s="67"/>
      <c r="I319" s="68"/>
      <c r="J319" s="68"/>
      <c r="K319" s="67" t="s">
        <v>14768</v>
      </c>
      <c r="L319" s="71"/>
      <c r="M319" s="72"/>
      <c r="N319" s="72"/>
      <c r="O319" s="73"/>
      <c r="P319" s="74"/>
      <c r="Q319" s="74"/>
      <c r="R319" s="87"/>
      <c r="S319" s="87"/>
      <c r="T319" s="87"/>
      <c r="U319" s="87"/>
      <c r="V319" s="48"/>
      <c r="W319" s="48"/>
      <c r="X319" s="48"/>
      <c r="Y319" s="48"/>
      <c r="Z319" s="47"/>
      <c r="AA319" s="69">
        <v>319</v>
      </c>
      <c r="AB319" s="69"/>
      <c r="AC319" s="70"/>
      <c r="AD319" s="76" t="s">
        <v>12054</v>
      </c>
      <c r="AE319" s="80" t="s">
        <v>11531</v>
      </c>
      <c r="AF319" s="76">
        <v>191</v>
      </c>
      <c r="AG319" s="76">
        <v>298</v>
      </c>
      <c r="AH319" s="76">
        <v>1108</v>
      </c>
      <c r="AI319" s="76">
        <v>3</v>
      </c>
      <c r="AJ319" s="76">
        <v>278</v>
      </c>
      <c r="AK319" s="76">
        <v>373</v>
      </c>
      <c r="AL319" s="76" t="b">
        <v>0</v>
      </c>
      <c r="AM319" s="78">
        <v>43159.648356481484</v>
      </c>
      <c r="AN319" s="76" t="s">
        <v>12980</v>
      </c>
      <c r="AO319" s="76" t="s">
        <v>13513</v>
      </c>
      <c r="AP319" s="82" t="str">
        <f>HYPERLINK("https://t.co/W7NIz1G3VU")</f>
        <v>https://t.co/W7NIz1G3VU</v>
      </c>
      <c r="AQ319" s="82" t="str">
        <f>HYPERLINK("http://www.habiteo.com/es")</f>
        <v>http://www.habiteo.com/es</v>
      </c>
      <c r="AR319" s="76" t="s">
        <v>14097</v>
      </c>
      <c r="AS319" s="76"/>
      <c r="AT319" s="76"/>
      <c r="AU319" s="76"/>
      <c r="AV319" s="76">
        <v>1.57213892322014E+18</v>
      </c>
      <c r="AW319" s="82" t="str">
        <f>HYPERLINK("https://t.co/W7NIz1G3VU")</f>
        <v>https://t.co/W7NIz1G3VU</v>
      </c>
      <c r="AX319" s="76" t="b">
        <v>0</v>
      </c>
      <c r="AY319" s="76"/>
      <c r="AZ319" s="76"/>
      <c r="BA319" s="76" t="b">
        <v>0</v>
      </c>
      <c r="BB319" s="76" t="b">
        <v>1</v>
      </c>
      <c r="BC319" s="76" t="b">
        <v>1</v>
      </c>
      <c r="BD319" s="76" t="b">
        <v>0</v>
      </c>
      <c r="BE319" s="76" t="b">
        <v>1</v>
      </c>
      <c r="BF319" s="76" t="b">
        <v>0</v>
      </c>
      <c r="BG319" s="76" t="b">
        <v>0</v>
      </c>
      <c r="BH319" s="82" t="str">
        <f>HYPERLINK("https://pbs.twimg.com/profile_banners/968871826028941315/1654584275")</f>
        <v>https://pbs.twimg.com/profile_banners/968871826028941315/1654584275</v>
      </c>
      <c r="BI319" s="76"/>
      <c r="BJ319" s="76" t="s">
        <v>14450</v>
      </c>
      <c r="BK319" s="76" t="b">
        <v>0</v>
      </c>
      <c r="BL319" s="76"/>
      <c r="BM319" s="76" t="s">
        <v>66</v>
      </c>
      <c r="BN319" s="76" t="s">
        <v>14452</v>
      </c>
      <c r="BO319" s="82" t="str">
        <f>HYPERLINK("https://twitter.com/habiteoes")</f>
        <v>https://twitter.com/habiteoes</v>
      </c>
      <c r="BP319" s="2"/>
    </row>
    <row r="320" spans="1:68" x14ac:dyDescent="0.25">
      <c r="A320" s="62" t="s">
        <v>480</v>
      </c>
      <c r="B320" s="63"/>
      <c r="C320" s="63"/>
      <c r="D320" s="64"/>
      <c r="E320" s="66"/>
      <c r="F320" s="103" t="str">
        <f>HYPERLINK("https://pbs.twimg.com/profile_images/1540320004469669890/Z7ouVCDf_normal.jpg")</f>
        <v>https://pbs.twimg.com/profile_images/1540320004469669890/Z7ouVCDf_normal.jpg</v>
      </c>
      <c r="G320" s="63"/>
      <c r="H320" s="67"/>
      <c r="I320" s="68"/>
      <c r="J320" s="68"/>
      <c r="K320" s="67" t="s">
        <v>14769</v>
      </c>
      <c r="L320" s="71"/>
      <c r="M320" s="72"/>
      <c r="N320" s="72"/>
      <c r="O320" s="73"/>
      <c r="P320" s="74"/>
      <c r="Q320" s="74"/>
      <c r="R320" s="87"/>
      <c r="S320" s="87"/>
      <c r="T320" s="87"/>
      <c r="U320" s="87"/>
      <c r="V320" s="48"/>
      <c r="W320" s="48"/>
      <c r="X320" s="48"/>
      <c r="Y320" s="48"/>
      <c r="Z320" s="47"/>
      <c r="AA320" s="69">
        <v>320</v>
      </c>
      <c r="AB320" s="69"/>
      <c r="AC320" s="70"/>
      <c r="AD320" s="76" t="s">
        <v>12055</v>
      </c>
      <c r="AE320" s="80" t="s">
        <v>11335</v>
      </c>
      <c r="AF320" s="76">
        <v>88</v>
      </c>
      <c r="AG320" s="76">
        <v>2416</v>
      </c>
      <c r="AH320" s="76">
        <v>11405</v>
      </c>
      <c r="AI320" s="76">
        <v>1</v>
      </c>
      <c r="AJ320" s="76">
        <v>5979</v>
      </c>
      <c r="AK320" s="76">
        <v>357</v>
      </c>
      <c r="AL320" s="76" t="b">
        <v>0</v>
      </c>
      <c r="AM320" s="78">
        <v>43049.664004629631</v>
      </c>
      <c r="AN320" s="76" t="s">
        <v>12898</v>
      </c>
      <c r="AO320" s="76" t="s">
        <v>13514</v>
      </c>
      <c r="AP320" s="76"/>
      <c r="AQ320" s="76"/>
      <c r="AR320" s="76"/>
      <c r="AS320" s="82" t="str">
        <f>HYPERLINK("https://t.co/4FJEkurHna")</f>
        <v>https://t.co/4FJEkurHna</v>
      </c>
      <c r="AT320" s="82" t="str">
        <f>HYPERLINK("http://cb.run/cKE8")</f>
        <v>http://cb.run/cKE8</v>
      </c>
      <c r="AU320" s="76" t="s">
        <v>14420</v>
      </c>
      <c r="AV320" s="76">
        <v>1.3509011347062899E+18</v>
      </c>
      <c r="AW320" s="76"/>
      <c r="AX320" s="76" t="b">
        <v>0</v>
      </c>
      <c r="AY320" s="76"/>
      <c r="AZ320" s="76"/>
      <c r="BA320" s="76" t="b">
        <v>0</v>
      </c>
      <c r="BB320" s="76" t="b">
        <v>1</v>
      </c>
      <c r="BC320" s="76" t="b">
        <v>1</v>
      </c>
      <c r="BD320" s="76" t="b">
        <v>0</v>
      </c>
      <c r="BE320" s="76" t="b">
        <v>1</v>
      </c>
      <c r="BF320" s="76" t="b">
        <v>0</v>
      </c>
      <c r="BG320" s="76" t="b">
        <v>0</v>
      </c>
      <c r="BH320" s="82" t="str">
        <f>HYPERLINK("https://pbs.twimg.com/profile_banners/929014829964251138/1656076840")</f>
        <v>https://pbs.twimg.com/profile_banners/929014829964251138/1656076840</v>
      </c>
      <c r="BI320" s="76"/>
      <c r="BJ320" s="76" t="s">
        <v>14450</v>
      </c>
      <c r="BK320" s="76" t="b">
        <v>0</v>
      </c>
      <c r="BL320" s="76"/>
      <c r="BM320" s="76" t="s">
        <v>66</v>
      </c>
      <c r="BN320" s="76" t="s">
        <v>14452</v>
      </c>
      <c r="BO320" s="82" t="str">
        <f>HYPERLINK("https://twitter.com/el_ruana")</f>
        <v>https://twitter.com/el_ruana</v>
      </c>
      <c r="BP320" s="2"/>
    </row>
    <row r="321" spans="1:68" x14ac:dyDescent="0.25">
      <c r="A321" s="62" t="s">
        <v>481</v>
      </c>
      <c r="B321" s="63"/>
      <c r="C321" s="63"/>
      <c r="D321" s="64"/>
      <c r="E321" s="66"/>
      <c r="F321" s="103" t="str">
        <f>HYPERLINK("https://pbs.twimg.com/profile_images/1143018869851713541/DNqXLKX-_normal.jpg")</f>
        <v>https://pbs.twimg.com/profile_images/1143018869851713541/DNqXLKX-_normal.jpg</v>
      </c>
      <c r="G321" s="63"/>
      <c r="H321" s="67"/>
      <c r="I321" s="68"/>
      <c r="J321" s="68"/>
      <c r="K321" s="67" t="s">
        <v>14770</v>
      </c>
      <c r="L321" s="71"/>
      <c r="M321" s="72"/>
      <c r="N321" s="72"/>
      <c r="O321" s="73"/>
      <c r="P321" s="74"/>
      <c r="Q321" s="74"/>
      <c r="R321" s="87"/>
      <c r="S321" s="87"/>
      <c r="T321" s="87"/>
      <c r="U321" s="87"/>
      <c r="V321" s="48"/>
      <c r="W321" s="48"/>
      <c r="X321" s="48"/>
      <c r="Y321" s="48"/>
      <c r="Z321" s="47"/>
      <c r="AA321" s="69">
        <v>321</v>
      </c>
      <c r="AB321" s="69"/>
      <c r="AC321" s="70"/>
      <c r="AD321" s="76" t="s">
        <v>12056</v>
      </c>
      <c r="AE321" s="80" t="s">
        <v>12643</v>
      </c>
      <c r="AF321" s="76">
        <v>333</v>
      </c>
      <c r="AG321" s="76">
        <v>701</v>
      </c>
      <c r="AH321" s="76">
        <v>24005</v>
      </c>
      <c r="AI321" s="76">
        <v>4</v>
      </c>
      <c r="AJ321" s="76">
        <v>25109</v>
      </c>
      <c r="AK321" s="76">
        <v>1189</v>
      </c>
      <c r="AL321" s="76" t="b">
        <v>0</v>
      </c>
      <c r="AM321" s="78">
        <v>40176.30364583333</v>
      </c>
      <c r="AN321" s="76" t="s">
        <v>13033</v>
      </c>
      <c r="AO321" s="76" t="s">
        <v>13515</v>
      </c>
      <c r="AP321" s="76"/>
      <c r="AQ321" s="76"/>
      <c r="AR321" s="76"/>
      <c r="AS321" s="76"/>
      <c r="AT321" s="76"/>
      <c r="AU321" s="76"/>
      <c r="AV321" s="76"/>
      <c r="AW321" s="76"/>
      <c r="AX321" s="76" t="b">
        <v>0</v>
      </c>
      <c r="AY321" s="76"/>
      <c r="AZ321" s="76"/>
      <c r="BA321" s="76" t="b">
        <v>0</v>
      </c>
      <c r="BB321" s="76" t="b">
        <v>0</v>
      </c>
      <c r="BC321" s="76" t="b">
        <v>0</v>
      </c>
      <c r="BD321" s="76" t="b">
        <v>0</v>
      </c>
      <c r="BE321" s="76" t="b">
        <v>0</v>
      </c>
      <c r="BF321" s="76" t="b">
        <v>0</v>
      </c>
      <c r="BG321" s="76" t="b">
        <v>0</v>
      </c>
      <c r="BH321" s="82" t="str">
        <f>HYPERLINK("https://pbs.twimg.com/profile_banners/100163645/1626145447")</f>
        <v>https://pbs.twimg.com/profile_banners/100163645/1626145447</v>
      </c>
      <c r="BI321" s="76"/>
      <c r="BJ321" s="76" t="s">
        <v>14450</v>
      </c>
      <c r="BK321" s="76" t="b">
        <v>0</v>
      </c>
      <c r="BL321" s="76"/>
      <c r="BM321" s="76" t="s">
        <v>66</v>
      </c>
      <c r="BN321" s="76" t="s">
        <v>14452</v>
      </c>
      <c r="BO321" s="82" t="str">
        <f>HYPERLINK("https://twitter.com/roollingstar")</f>
        <v>https://twitter.com/roollingstar</v>
      </c>
      <c r="BP321" s="2"/>
    </row>
    <row r="322" spans="1:68" x14ac:dyDescent="0.25">
      <c r="A322" s="62" t="s">
        <v>482</v>
      </c>
      <c r="B322" s="63"/>
      <c r="C322" s="63"/>
      <c r="D322" s="64"/>
      <c r="E322" s="66"/>
      <c r="F322" s="103" t="str">
        <f>HYPERLINK("https://pbs.twimg.com/profile_images/1524490174071246849/Ts-pJmFi_normal.jpg")</f>
        <v>https://pbs.twimg.com/profile_images/1524490174071246849/Ts-pJmFi_normal.jpg</v>
      </c>
      <c r="G322" s="63"/>
      <c r="H322" s="67"/>
      <c r="I322" s="68"/>
      <c r="J322" s="68"/>
      <c r="K322" s="67" t="s">
        <v>14771</v>
      </c>
      <c r="L322" s="71"/>
      <c r="M322" s="72"/>
      <c r="N322" s="72"/>
      <c r="O322" s="73"/>
      <c r="P322" s="74"/>
      <c r="Q322" s="74"/>
      <c r="R322" s="87"/>
      <c r="S322" s="87"/>
      <c r="T322" s="87"/>
      <c r="U322" s="87"/>
      <c r="V322" s="48"/>
      <c r="W322" s="48"/>
      <c r="X322" s="48"/>
      <c r="Y322" s="48"/>
      <c r="Z322" s="47"/>
      <c r="AA322" s="69">
        <v>322</v>
      </c>
      <c r="AB322" s="69"/>
      <c r="AC322" s="70"/>
      <c r="AD322" s="76" t="s">
        <v>12057</v>
      </c>
      <c r="AE322" s="80" t="s">
        <v>12644</v>
      </c>
      <c r="AF322" s="76">
        <v>442485</v>
      </c>
      <c r="AG322" s="76">
        <v>844</v>
      </c>
      <c r="AH322" s="76">
        <v>163868</v>
      </c>
      <c r="AI322" s="76">
        <v>473</v>
      </c>
      <c r="AJ322" s="76">
        <v>910</v>
      </c>
      <c r="AK322" s="76">
        <v>23848</v>
      </c>
      <c r="AL322" s="76" t="b">
        <v>0</v>
      </c>
      <c r="AM322" s="78">
        <v>39674.575462962966</v>
      </c>
      <c r="AN322" s="76" t="s">
        <v>13034</v>
      </c>
      <c r="AO322" s="76" t="s">
        <v>13516</v>
      </c>
      <c r="AP322" s="82" t="str">
        <f>HYPERLINK("https://t.co/ndQS7kDEh8")</f>
        <v>https://t.co/ndQS7kDEh8</v>
      </c>
      <c r="AQ322" s="82" t="str">
        <f>HYPERLINK("http://www.ibahia.com")</f>
        <v>http://www.ibahia.com</v>
      </c>
      <c r="AR322" s="76" t="s">
        <v>14098</v>
      </c>
      <c r="AS322" s="76"/>
      <c r="AT322" s="76"/>
      <c r="AU322" s="76"/>
      <c r="AV322" s="76">
        <v>1.70495416153869E+18</v>
      </c>
      <c r="AW322" s="82" t="str">
        <f>HYPERLINK("https://t.co/ndQS7kDEh8")</f>
        <v>https://t.co/ndQS7kDEh8</v>
      </c>
      <c r="AX322" s="76" t="b">
        <v>0</v>
      </c>
      <c r="AY322" s="76"/>
      <c r="AZ322" s="76"/>
      <c r="BA322" s="76" t="b">
        <v>0</v>
      </c>
      <c r="BB322" s="76" t="b">
        <v>1</v>
      </c>
      <c r="BC322" s="76" t="b">
        <v>0</v>
      </c>
      <c r="BD322" s="76" t="b">
        <v>0</v>
      </c>
      <c r="BE322" s="76" t="b">
        <v>1</v>
      </c>
      <c r="BF322" s="76" t="b">
        <v>0</v>
      </c>
      <c r="BG322" s="76" t="b">
        <v>0</v>
      </c>
      <c r="BH322" s="82" t="str">
        <f>HYPERLINK("https://pbs.twimg.com/profile_banners/15850306/1683074505")</f>
        <v>https://pbs.twimg.com/profile_banners/15850306/1683074505</v>
      </c>
      <c r="BI322" s="76"/>
      <c r="BJ322" s="76" t="s">
        <v>14450</v>
      </c>
      <c r="BK322" s="76" t="b">
        <v>0</v>
      </c>
      <c r="BL322" s="76"/>
      <c r="BM322" s="76" t="s">
        <v>66</v>
      </c>
      <c r="BN322" s="76" t="s">
        <v>14452</v>
      </c>
      <c r="BO322" s="82" t="str">
        <f>HYPERLINK("https://twitter.com/ibahia")</f>
        <v>https://twitter.com/ibahia</v>
      </c>
      <c r="BP322" s="2"/>
    </row>
    <row r="323" spans="1:68" x14ac:dyDescent="0.25">
      <c r="A323" s="62" t="s">
        <v>483</v>
      </c>
      <c r="B323" s="63"/>
      <c r="C323" s="63"/>
      <c r="D323" s="64"/>
      <c r="E323" s="66"/>
      <c r="F323" s="103" t="str">
        <f>HYPERLINK("https://pbs.twimg.com/profile_images/1628949905015287808/4QxyVyNF_normal.jpg")</f>
        <v>https://pbs.twimg.com/profile_images/1628949905015287808/4QxyVyNF_normal.jpg</v>
      </c>
      <c r="G323" s="63"/>
      <c r="H323" s="67"/>
      <c r="I323" s="68"/>
      <c r="J323" s="68"/>
      <c r="K323" s="67" t="s">
        <v>14772</v>
      </c>
      <c r="L323" s="71"/>
      <c r="M323" s="72"/>
      <c r="N323" s="72"/>
      <c r="O323" s="73"/>
      <c r="P323" s="74"/>
      <c r="Q323" s="74"/>
      <c r="R323" s="87"/>
      <c r="S323" s="87"/>
      <c r="T323" s="87"/>
      <c r="U323" s="87"/>
      <c r="V323" s="48"/>
      <c r="W323" s="48"/>
      <c r="X323" s="48"/>
      <c r="Y323" s="48"/>
      <c r="Z323" s="47"/>
      <c r="AA323" s="69">
        <v>323</v>
      </c>
      <c r="AB323" s="69"/>
      <c r="AC323" s="70"/>
      <c r="AD323" s="76" t="s">
        <v>12058</v>
      </c>
      <c r="AE323" s="80" t="s">
        <v>12645</v>
      </c>
      <c r="AF323" s="76">
        <v>531</v>
      </c>
      <c r="AG323" s="76">
        <v>509</v>
      </c>
      <c r="AH323" s="76">
        <v>14212</v>
      </c>
      <c r="AI323" s="76">
        <v>1</v>
      </c>
      <c r="AJ323" s="76">
        <v>7193</v>
      </c>
      <c r="AK323" s="76">
        <v>247</v>
      </c>
      <c r="AL323" s="76" t="b">
        <v>0</v>
      </c>
      <c r="AM323" s="78">
        <v>41595.677800925929</v>
      </c>
      <c r="AN323" s="76" t="s">
        <v>13035</v>
      </c>
      <c r="AO323" s="76" t="s">
        <v>13517</v>
      </c>
      <c r="AP323" s="76"/>
      <c r="AQ323" s="76"/>
      <c r="AR323" s="76"/>
      <c r="AS323" s="76"/>
      <c r="AT323" s="76"/>
      <c r="AU323" s="76"/>
      <c r="AV323" s="76"/>
      <c r="AW323" s="76"/>
      <c r="AX323" s="76" t="b">
        <v>0</v>
      </c>
      <c r="AY323" s="76"/>
      <c r="AZ323" s="76"/>
      <c r="BA323" s="76" t="b">
        <v>1</v>
      </c>
      <c r="BB323" s="76" t="b">
        <v>1</v>
      </c>
      <c r="BC323" s="76" t="b">
        <v>0</v>
      </c>
      <c r="BD323" s="76" t="b">
        <v>0</v>
      </c>
      <c r="BE323" s="76" t="b">
        <v>1</v>
      </c>
      <c r="BF323" s="76" t="b">
        <v>0</v>
      </c>
      <c r="BG323" s="76" t="b">
        <v>1</v>
      </c>
      <c r="BH323" s="82" t="str">
        <f>HYPERLINK("https://pbs.twimg.com/profile_banners/2184751331/1677206908")</f>
        <v>https://pbs.twimg.com/profile_banners/2184751331/1677206908</v>
      </c>
      <c r="BI323" s="76"/>
      <c r="BJ323" s="76" t="s">
        <v>14450</v>
      </c>
      <c r="BK323" s="76" t="b">
        <v>0</v>
      </c>
      <c r="BL323" s="76"/>
      <c r="BM323" s="76" t="s">
        <v>66</v>
      </c>
      <c r="BN323" s="76" t="s">
        <v>14452</v>
      </c>
      <c r="BO323" s="82" t="str">
        <f>HYPERLINK("https://twitter.com/vpinguim")</f>
        <v>https://twitter.com/vpinguim</v>
      </c>
      <c r="BP323" s="2"/>
    </row>
    <row r="324" spans="1:68" x14ac:dyDescent="0.25">
      <c r="A324" s="62" t="s">
        <v>484</v>
      </c>
      <c r="B324" s="63"/>
      <c r="C324" s="63"/>
      <c r="D324" s="64"/>
      <c r="E324" s="66"/>
      <c r="F324" s="103" t="str">
        <f>HYPERLINK("https://pbs.twimg.com/profile_images/1663377106833645568/LKpgIf7j_normal.jpg")</f>
        <v>https://pbs.twimg.com/profile_images/1663377106833645568/LKpgIf7j_normal.jpg</v>
      </c>
      <c r="G324" s="63"/>
      <c r="H324" s="67"/>
      <c r="I324" s="68"/>
      <c r="J324" s="68"/>
      <c r="K324" s="67" t="s">
        <v>14773</v>
      </c>
      <c r="L324" s="71"/>
      <c r="M324" s="72"/>
      <c r="N324" s="72"/>
      <c r="O324" s="73"/>
      <c r="P324" s="74"/>
      <c r="Q324" s="74"/>
      <c r="R324" s="87"/>
      <c r="S324" s="87"/>
      <c r="T324" s="87"/>
      <c r="U324" s="87"/>
      <c r="V324" s="48"/>
      <c r="W324" s="48"/>
      <c r="X324" s="48"/>
      <c r="Y324" s="48"/>
      <c r="Z324" s="47"/>
      <c r="AA324" s="69">
        <v>324</v>
      </c>
      <c r="AB324" s="69"/>
      <c r="AC324" s="70"/>
      <c r="AD324" s="76" t="s">
        <v>12059</v>
      </c>
      <c r="AE324" s="80" t="s">
        <v>11532</v>
      </c>
      <c r="AF324" s="76">
        <v>4</v>
      </c>
      <c r="AG324" s="76">
        <v>51</v>
      </c>
      <c r="AH324" s="76">
        <v>169</v>
      </c>
      <c r="AI324" s="76">
        <v>0</v>
      </c>
      <c r="AJ324" s="76">
        <v>3</v>
      </c>
      <c r="AK324" s="76">
        <v>169</v>
      </c>
      <c r="AL324" s="76" t="b">
        <v>0</v>
      </c>
      <c r="AM324" s="78">
        <v>45075.590289351851</v>
      </c>
      <c r="AN324" s="76"/>
      <c r="AO324" s="76"/>
      <c r="AP324" s="76"/>
      <c r="AQ324" s="76"/>
      <c r="AR324" s="76"/>
      <c r="AS324" s="76"/>
      <c r="AT324" s="76"/>
      <c r="AU324" s="76"/>
      <c r="AV324" s="76"/>
      <c r="AW324" s="76"/>
      <c r="AX324" s="76" t="b">
        <v>0</v>
      </c>
      <c r="AY324" s="76"/>
      <c r="AZ324" s="76"/>
      <c r="BA324" s="76" t="b">
        <v>0</v>
      </c>
      <c r="BB324" s="76" t="b">
        <v>1</v>
      </c>
      <c r="BC324" s="76" t="b">
        <v>1</v>
      </c>
      <c r="BD324" s="76" t="b">
        <v>0</v>
      </c>
      <c r="BE324" s="76" t="b">
        <v>0</v>
      </c>
      <c r="BF324" s="76" t="b">
        <v>0</v>
      </c>
      <c r="BG324" s="76" t="b">
        <v>0</v>
      </c>
      <c r="BH324" s="76"/>
      <c r="BI324" s="76"/>
      <c r="BJ324" s="76" t="s">
        <v>14450</v>
      </c>
      <c r="BK324" s="76" t="b">
        <v>0</v>
      </c>
      <c r="BL324" s="76"/>
      <c r="BM324" s="76" t="s">
        <v>66</v>
      </c>
      <c r="BN324" s="76" t="s">
        <v>14452</v>
      </c>
      <c r="BO324" s="82" t="str">
        <f>HYPERLINK("https://twitter.com/euqueroameta")</f>
        <v>https://twitter.com/euqueroameta</v>
      </c>
      <c r="BP324" s="2"/>
    </row>
    <row r="325" spans="1:68" x14ac:dyDescent="0.25">
      <c r="A325" s="62" t="s">
        <v>924</v>
      </c>
      <c r="B325" s="63"/>
      <c r="C325" s="63"/>
      <c r="D325" s="64"/>
      <c r="E325" s="66"/>
      <c r="F325" s="103" t="str">
        <f>HYPERLINK("https://pbs.twimg.com/profile_images/1333737355459633152/etCaJooz_normal.jpg")</f>
        <v>https://pbs.twimg.com/profile_images/1333737355459633152/etCaJooz_normal.jpg</v>
      </c>
      <c r="G325" s="63"/>
      <c r="H325" s="67"/>
      <c r="I325" s="68"/>
      <c r="J325" s="68"/>
      <c r="K325" s="67" t="s">
        <v>14774</v>
      </c>
      <c r="L325" s="71"/>
      <c r="M325" s="72"/>
      <c r="N325" s="72"/>
      <c r="O325" s="73"/>
      <c r="P325" s="74"/>
      <c r="Q325" s="74"/>
      <c r="R325" s="87"/>
      <c r="S325" s="87"/>
      <c r="T325" s="87"/>
      <c r="U325" s="87"/>
      <c r="V325" s="48"/>
      <c r="W325" s="48"/>
      <c r="X325" s="48"/>
      <c r="Y325" s="48"/>
      <c r="Z325" s="47"/>
      <c r="AA325" s="69">
        <v>325</v>
      </c>
      <c r="AB325" s="69"/>
      <c r="AC325" s="70"/>
      <c r="AD325" s="76" t="s">
        <v>12060</v>
      </c>
      <c r="AE325" s="80" t="s">
        <v>12646</v>
      </c>
      <c r="AF325" s="76">
        <v>14</v>
      </c>
      <c r="AG325" s="76">
        <v>61</v>
      </c>
      <c r="AH325" s="76">
        <v>299</v>
      </c>
      <c r="AI325" s="76">
        <v>0</v>
      </c>
      <c r="AJ325" s="76">
        <v>14</v>
      </c>
      <c r="AK325" s="76">
        <v>5</v>
      </c>
      <c r="AL325" s="76" t="b">
        <v>0</v>
      </c>
      <c r="AM325" s="78">
        <v>39562.873622685183</v>
      </c>
      <c r="AN325" s="76"/>
      <c r="AO325" s="76"/>
      <c r="AP325" s="76"/>
      <c r="AQ325" s="76"/>
      <c r="AR325" s="76"/>
      <c r="AS325" s="76"/>
      <c r="AT325" s="76"/>
      <c r="AU325" s="76"/>
      <c r="AV325" s="76"/>
      <c r="AW325" s="76"/>
      <c r="AX325" s="76" t="b">
        <v>0</v>
      </c>
      <c r="AY325" s="76"/>
      <c r="AZ325" s="76"/>
      <c r="BA325" s="76" t="b">
        <v>1</v>
      </c>
      <c r="BB325" s="76" t="b">
        <v>0</v>
      </c>
      <c r="BC325" s="76" t="b">
        <v>0</v>
      </c>
      <c r="BD325" s="76" t="b">
        <v>0</v>
      </c>
      <c r="BE325" s="76" t="b">
        <v>0</v>
      </c>
      <c r="BF325" s="76" t="b">
        <v>0</v>
      </c>
      <c r="BG325" s="76" t="b">
        <v>0</v>
      </c>
      <c r="BH325" s="76"/>
      <c r="BI325" s="76"/>
      <c r="BJ325" s="76" t="s">
        <v>14450</v>
      </c>
      <c r="BK325" s="76" t="b">
        <v>0</v>
      </c>
      <c r="BL325" s="76"/>
      <c r="BM325" s="76" t="s">
        <v>65</v>
      </c>
      <c r="BN325" s="76" t="s">
        <v>14452</v>
      </c>
      <c r="BO325" s="82" t="str">
        <f>HYPERLINK("https://twitter.com/mineiro")</f>
        <v>https://twitter.com/mineiro</v>
      </c>
      <c r="BP325" s="2"/>
    </row>
    <row r="326" spans="1:68" x14ac:dyDescent="0.25">
      <c r="A326" s="62" t="s">
        <v>485</v>
      </c>
      <c r="B326" s="63"/>
      <c r="C326" s="63"/>
      <c r="D326" s="64"/>
      <c r="E326" s="66"/>
      <c r="F326" s="103" t="str">
        <f>HYPERLINK("https://pbs.twimg.com/profile_images/1059491524952518660/3Du0RZ8I_normal.jpg")</f>
        <v>https://pbs.twimg.com/profile_images/1059491524952518660/3Du0RZ8I_normal.jpg</v>
      </c>
      <c r="G326" s="63"/>
      <c r="H326" s="67"/>
      <c r="I326" s="68"/>
      <c r="J326" s="68"/>
      <c r="K326" s="67" t="s">
        <v>14775</v>
      </c>
      <c r="L326" s="71"/>
      <c r="M326" s="72"/>
      <c r="N326" s="72"/>
      <c r="O326" s="73"/>
      <c r="P326" s="74"/>
      <c r="Q326" s="74"/>
      <c r="R326" s="87"/>
      <c r="S326" s="87"/>
      <c r="T326" s="87"/>
      <c r="U326" s="87"/>
      <c r="V326" s="48"/>
      <c r="W326" s="48"/>
      <c r="X326" s="48"/>
      <c r="Y326" s="48"/>
      <c r="Z326" s="47"/>
      <c r="AA326" s="69">
        <v>326</v>
      </c>
      <c r="AB326" s="69"/>
      <c r="AC326" s="70"/>
      <c r="AD326" s="76" t="s">
        <v>12061</v>
      </c>
      <c r="AE326" s="80" t="s">
        <v>11533</v>
      </c>
      <c r="AF326" s="76">
        <v>383</v>
      </c>
      <c r="AG326" s="76">
        <v>190</v>
      </c>
      <c r="AH326" s="76">
        <v>655</v>
      </c>
      <c r="AI326" s="76">
        <v>0</v>
      </c>
      <c r="AJ326" s="76">
        <v>326</v>
      </c>
      <c r="AK326" s="76">
        <v>574</v>
      </c>
      <c r="AL326" s="76" t="b">
        <v>0</v>
      </c>
      <c r="AM326" s="78">
        <v>43236.82402777778</v>
      </c>
      <c r="AN326" s="76" t="s">
        <v>7767</v>
      </c>
      <c r="AO326" s="76" t="s">
        <v>13518</v>
      </c>
      <c r="AP326" s="76"/>
      <c r="AQ326" s="76"/>
      <c r="AR326" s="76"/>
      <c r="AS326" s="76"/>
      <c r="AT326" s="76"/>
      <c r="AU326" s="76"/>
      <c r="AV326" s="76"/>
      <c r="AW326" s="76"/>
      <c r="AX326" s="76" t="b">
        <v>0</v>
      </c>
      <c r="AY326" s="76"/>
      <c r="AZ326" s="76"/>
      <c r="BA326" s="76" t="b">
        <v>0</v>
      </c>
      <c r="BB326" s="76" t="b">
        <v>1</v>
      </c>
      <c r="BC326" s="76" t="b">
        <v>0</v>
      </c>
      <c r="BD326" s="76" t="b">
        <v>0</v>
      </c>
      <c r="BE326" s="76" t="b">
        <v>0</v>
      </c>
      <c r="BF326" s="76" t="b">
        <v>0</v>
      </c>
      <c r="BG326" s="76" t="b">
        <v>0</v>
      </c>
      <c r="BH326" s="82" t="str">
        <f>HYPERLINK("https://pbs.twimg.com/profile_banners/996839351542845441/1597678875")</f>
        <v>https://pbs.twimg.com/profile_banners/996839351542845441/1597678875</v>
      </c>
      <c r="BI326" s="76"/>
      <c r="BJ326" s="76" t="s">
        <v>14450</v>
      </c>
      <c r="BK326" s="76" t="b">
        <v>0</v>
      </c>
      <c r="BL326" s="76"/>
      <c r="BM326" s="76" t="s">
        <v>66</v>
      </c>
      <c r="BN326" s="76" t="s">
        <v>14452</v>
      </c>
      <c r="BO326" s="82" t="str">
        <f>HYPERLINK("https://twitter.com/amvdmx")</f>
        <v>https://twitter.com/amvdmx</v>
      </c>
      <c r="BP326" s="2"/>
    </row>
    <row r="327" spans="1:68" x14ac:dyDescent="0.25">
      <c r="A327" s="62" t="s">
        <v>486</v>
      </c>
      <c r="B327" s="63"/>
      <c r="C327" s="63"/>
      <c r="D327" s="64"/>
      <c r="E327" s="66"/>
      <c r="F327" s="103" t="str">
        <f>HYPERLINK("https://pbs.twimg.com/profile_images/1615030961548165120/jZ7Jch6J_normal.png")</f>
        <v>https://pbs.twimg.com/profile_images/1615030961548165120/jZ7Jch6J_normal.png</v>
      </c>
      <c r="G327" s="63"/>
      <c r="H327" s="67"/>
      <c r="I327" s="68"/>
      <c r="J327" s="68"/>
      <c r="K327" s="67" t="s">
        <v>14776</v>
      </c>
      <c r="L327" s="71"/>
      <c r="M327" s="72"/>
      <c r="N327" s="72"/>
      <c r="O327" s="73"/>
      <c r="P327" s="74"/>
      <c r="Q327" s="74"/>
      <c r="R327" s="87"/>
      <c r="S327" s="87"/>
      <c r="T327" s="87"/>
      <c r="U327" s="87"/>
      <c r="V327" s="48"/>
      <c r="W327" s="48"/>
      <c r="X327" s="48"/>
      <c r="Y327" s="48"/>
      <c r="Z327" s="47"/>
      <c r="AA327" s="69">
        <v>327</v>
      </c>
      <c r="AB327" s="69"/>
      <c r="AC327" s="70"/>
      <c r="AD327" s="76" t="s">
        <v>12062</v>
      </c>
      <c r="AE327" s="80" t="s">
        <v>12647</v>
      </c>
      <c r="AF327" s="76">
        <v>15405</v>
      </c>
      <c r="AG327" s="76">
        <v>60</v>
      </c>
      <c r="AH327" s="76">
        <v>25596</v>
      </c>
      <c r="AI327" s="76">
        <v>82</v>
      </c>
      <c r="AJ327" s="76">
        <v>279</v>
      </c>
      <c r="AK327" s="76">
        <v>2553</v>
      </c>
      <c r="AL327" s="76" t="b">
        <v>0</v>
      </c>
      <c r="AM327" s="78">
        <v>40316.578726851854</v>
      </c>
      <c r="AN327" s="76" t="s">
        <v>12963</v>
      </c>
      <c r="AO327" s="76" t="s">
        <v>13519</v>
      </c>
      <c r="AP327" s="82" t="str">
        <f>HYPERLINK("https://t.co/KtmJ6IuobF")</f>
        <v>https://t.co/KtmJ6IuobF</v>
      </c>
      <c r="AQ327" s="82" t="str">
        <f>HYPERLINK("https://www.accounter.co/")</f>
        <v>https://www.accounter.co/</v>
      </c>
      <c r="AR327" s="76" t="s">
        <v>14099</v>
      </c>
      <c r="AS327" s="76"/>
      <c r="AT327" s="76"/>
      <c r="AU327" s="76"/>
      <c r="AV327" s="76"/>
      <c r="AW327" s="82" t="str">
        <f>HYPERLINK("https://t.co/KtmJ6IuobF")</f>
        <v>https://t.co/KtmJ6IuobF</v>
      </c>
      <c r="AX327" s="76" t="b">
        <v>0</v>
      </c>
      <c r="AY327" s="76"/>
      <c r="AZ327" s="76"/>
      <c r="BA327" s="76" t="b">
        <v>0</v>
      </c>
      <c r="BB327" s="76" t="b">
        <v>1</v>
      </c>
      <c r="BC327" s="76" t="b">
        <v>0</v>
      </c>
      <c r="BD327" s="76" t="b">
        <v>0</v>
      </c>
      <c r="BE327" s="76" t="b">
        <v>0</v>
      </c>
      <c r="BF327" s="76" t="b">
        <v>0</v>
      </c>
      <c r="BG327" s="76" t="b">
        <v>0</v>
      </c>
      <c r="BH327" s="82" t="str">
        <f>HYPERLINK("https://pbs.twimg.com/profile_banners/145250574/1670971584")</f>
        <v>https://pbs.twimg.com/profile_banners/145250574/1670971584</v>
      </c>
      <c r="BI327" s="76"/>
      <c r="BJ327" s="76" t="s">
        <v>14450</v>
      </c>
      <c r="BK327" s="76" t="b">
        <v>0</v>
      </c>
      <c r="BL327" s="76"/>
      <c r="BM327" s="76" t="s">
        <v>66</v>
      </c>
      <c r="BN327" s="76" t="s">
        <v>14452</v>
      </c>
      <c r="BO327" s="82" t="str">
        <f>HYPERLINK("https://twitter.com/accounterweb")</f>
        <v>https://twitter.com/accounterweb</v>
      </c>
      <c r="BP327" s="2"/>
    </row>
    <row r="328" spans="1:68" x14ac:dyDescent="0.25">
      <c r="A328" s="62" t="s">
        <v>487</v>
      </c>
      <c r="B328" s="63"/>
      <c r="C328" s="63"/>
      <c r="D328" s="64"/>
      <c r="E328" s="66"/>
      <c r="F328" s="103" t="str">
        <f>HYPERLINK("https://abs.twimg.com/sticky/default_profile_images/default_profile_normal.png")</f>
        <v>https://abs.twimg.com/sticky/default_profile_images/default_profile_normal.png</v>
      </c>
      <c r="G328" s="63"/>
      <c r="H328" s="67"/>
      <c r="I328" s="68"/>
      <c r="J328" s="68"/>
      <c r="K328" s="67" t="s">
        <v>14777</v>
      </c>
      <c r="L328" s="71"/>
      <c r="M328" s="72"/>
      <c r="N328" s="72"/>
      <c r="O328" s="73"/>
      <c r="P328" s="74"/>
      <c r="Q328" s="74"/>
      <c r="R328" s="87"/>
      <c r="S328" s="87"/>
      <c r="T328" s="87"/>
      <c r="U328" s="87"/>
      <c r="V328" s="48"/>
      <c r="W328" s="48"/>
      <c r="X328" s="48"/>
      <c r="Y328" s="48"/>
      <c r="Z328" s="47"/>
      <c r="AA328" s="69">
        <v>328</v>
      </c>
      <c r="AB328" s="69"/>
      <c r="AC328" s="70"/>
      <c r="AD328" s="76" t="s">
        <v>12063</v>
      </c>
      <c r="AE328" s="80" t="s">
        <v>12648</v>
      </c>
      <c r="AF328" s="76">
        <v>10</v>
      </c>
      <c r="AG328" s="76">
        <v>23</v>
      </c>
      <c r="AH328" s="76">
        <v>440</v>
      </c>
      <c r="AI328" s="76">
        <v>0</v>
      </c>
      <c r="AJ328" s="76">
        <v>2</v>
      </c>
      <c r="AK328" s="76">
        <v>411</v>
      </c>
      <c r="AL328" s="76" t="b">
        <v>0</v>
      </c>
      <c r="AM328" s="78">
        <v>39966.24391203704</v>
      </c>
      <c r="AN328" s="76"/>
      <c r="AO328" s="76"/>
      <c r="AP328" s="76"/>
      <c r="AQ328" s="76"/>
      <c r="AR328" s="76"/>
      <c r="AS328" s="76"/>
      <c r="AT328" s="76"/>
      <c r="AU328" s="76"/>
      <c r="AV328" s="76"/>
      <c r="AW328" s="76"/>
      <c r="AX328" s="76" t="b">
        <v>0</v>
      </c>
      <c r="AY328" s="76"/>
      <c r="AZ328" s="76"/>
      <c r="BA328" s="76" t="b">
        <v>0</v>
      </c>
      <c r="BB328" s="76" t="b">
        <v>1</v>
      </c>
      <c r="BC328" s="76" t="b">
        <v>1</v>
      </c>
      <c r="BD328" s="76" t="b">
        <v>1</v>
      </c>
      <c r="BE328" s="76" t="b">
        <v>0</v>
      </c>
      <c r="BF328" s="76" t="b">
        <v>0</v>
      </c>
      <c r="BG328" s="76" t="b">
        <v>0</v>
      </c>
      <c r="BH328" s="76"/>
      <c r="BI328" s="76"/>
      <c r="BJ328" s="76" t="s">
        <v>14450</v>
      </c>
      <c r="BK328" s="76" t="b">
        <v>0</v>
      </c>
      <c r="BL328" s="76"/>
      <c r="BM328" s="76" t="s">
        <v>66</v>
      </c>
      <c r="BN328" s="76" t="s">
        <v>14452</v>
      </c>
      <c r="BO328" s="82" t="str">
        <f>HYPERLINK("https://twitter.com/maria_mzorrilla")</f>
        <v>https://twitter.com/maria_mzorrilla</v>
      </c>
      <c r="BP328" s="2"/>
    </row>
    <row r="329" spans="1:68" x14ac:dyDescent="0.25">
      <c r="A329" s="62" t="s">
        <v>488</v>
      </c>
      <c r="B329" s="63"/>
      <c r="C329" s="63"/>
      <c r="D329" s="64"/>
      <c r="E329" s="66"/>
      <c r="F329" s="103" t="str">
        <f>HYPERLINK("https://pbs.twimg.com/profile_images/1690752518068867072/R3hYdx8C_normal.jpg")</f>
        <v>https://pbs.twimg.com/profile_images/1690752518068867072/R3hYdx8C_normal.jpg</v>
      </c>
      <c r="G329" s="63"/>
      <c r="H329" s="67"/>
      <c r="I329" s="68"/>
      <c r="J329" s="68"/>
      <c r="K329" s="67" t="s">
        <v>14778</v>
      </c>
      <c r="L329" s="71"/>
      <c r="M329" s="72"/>
      <c r="N329" s="72"/>
      <c r="O329" s="73"/>
      <c r="P329" s="74"/>
      <c r="Q329" s="74"/>
      <c r="R329" s="87"/>
      <c r="S329" s="87"/>
      <c r="T329" s="87"/>
      <c r="U329" s="87"/>
      <c r="V329" s="48"/>
      <c r="W329" s="48"/>
      <c r="X329" s="48"/>
      <c r="Y329" s="48"/>
      <c r="Z329" s="47"/>
      <c r="AA329" s="69">
        <v>329</v>
      </c>
      <c r="AB329" s="69"/>
      <c r="AC329" s="70"/>
      <c r="AD329" s="76" t="s">
        <v>12064</v>
      </c>
      <c r="AE329" s="80" t="s">
        <v>12649</v>
      </c>
      <c r="AF329" s="76">
        <v>1007</v>
      </c>
      <c r="AG329" s="76">
        <v>518</v>
      </c>
      <c r="AH329" s="76">
        <v>14812</v>
      </c>
      <c r="AI329" s="76">
        <v>9</v>
      </c>
      <c r="AJ329" s="76">
        <v>3381</v>
      </c>
      <c r="AK329" s="76">
        <v>2017</v>
      </c>
      <c r="AL329" s="76" t="b">
        <v>0</v>
      </c>
      <c r="AM329" s="78">
        <v>41108.719166666669</v>
      </c>
      <c r="AN329" s="76" t="s">
        <v>13036</v>
      </c>
      <c r="AO329" s="76" t="s">
        <v>13520</v>
      </c>
      <c r="AP329" s="82" t="str">
        <f>HYPERLINK("https://t.co/TYWWF75Ajx")</f>
        <v>https://t.co/TYWWF75Ajx</v>
      </c>
      <c r="AQ329" s="82" t="str">
        <f>HYPERLINK("http://www.PentagramaTuRadio.com")</f>
        <v>http://www.PentagramaTuRadio.com</v>
      </c>
      <c r="AR329" s="76" t="s">
        <v>14100</v>
      </c>
      <c r="AS329" s="76"/>
      <c r="AT329" s="76"/>
      <c r="AU329" s="76"/>
      <c r="AV329" s="76"/>
      <c r="AW329" s="82" t="str">
        <f>HYPERLINK("https://t.co/TYWWF75Ajx")</f>
        <v>https://t.co/TYWWF75Ajx</v>
      </c>
      <c r="AX329" s="76" t="b">
        <v>0</v>
      </c>
      <c r="AY329" s="76"/>
      <c r="AZ329" s="76"/>
      <c r="BA329" s="76" t="b">
        <v>1</v>
      </c>
      <c r="BB329" s="76" t="b">
        <v>1</v>
      </c>
      <c r="BC329" s="76" t="b">
        <v>0</v>
      </c>
      <c r="BD329" s="76" t="b">
        <v>0</v>
      </c>
      <c r="BE329" s="76" t="b">
        <v>1</v>
      </c>
      <c r="BF329" s="76" t="b">
        <v>0</v>
      </c>
      <c r="BG329" s="76" t="b">
        <v>0</v>
      </c>
      <c r="BH329" s="82" t="str">
        <f>HYPERLINK("https://pbs.twimg.com/profile_banners/703440234/1691941789")</f>
        <v>https://pbs.twimg.com/profile_banners/703440234/1691941789</v>
      </c>
      <c r="BI329" s="76"/>
      <c r="BJ329" s="76" t="s">
        <v>14450</v>
      </c>
      <c r="BK329" s="76" t="b">
        <v>0</v>
      </c>
      <c r="BL329" s="76"/>
      <c r="BM329" s="76" t="s">
        <v>66</v>
      </c>
      <c r="BN329" s="76" t="s">
        <v>14452</v>
      </c>
      <c r="BO329" s="82" t="str">
        <f>HYPERLINK("https://twitter.com/tupentagrama")</f>
        <v>https://twitter.com/tupentagrama</v>
      </c>
      <c r="BP329" s="2"/>
    </row>
    <row r="330" spans="1:68" x14ac:dyDescent="0.25">
      <c r="A330" s="62" t="s">
        <v>489</v>
      </c>
      <c r="B330" s="63"/>
      <c r="C330" s="63"/>
      <c r="D330" s="64"/>
      <c r="E330" s="66"/>
      <c r="F330" s="103" t="str">
        <f>HYPERLINK("https://pbs.twimg.com/profile_images/1531153049376407552/KjzMnIu4_normal.jpg")</f>
        <v>https://pbs.twimg.com/profile_images/1531153049376407552/KjzMnIu4_normal.jpg</v>
      </c>
      <c r="G330" s="63"/>
      <c r="H330" s="67"/>
      <c r="I330" s="68"/>
      <c r="J330" s="68"/>
      <c r="K330" s="67" t="s">
        <v>14779</v>
      </c>
      <c r="L330" s="71"/>
      <c r="M330" s="72"/>
      <c r="N330" s="72"/>
      <c r="O330" s="73"/>
      <c r="P330" s="74"/>
      <c r="Q330" s="74"/>
      <c r="R330" s="87"/>
      <c r="S330" s="87"/>
      <c r="T330" s="87"/>
      <c r="U330" s="87"/>
      <c r="V330" s="48"/>
      <c r="W330" s="48"/>
      <c r="X330" s="48"/>
      <c r="Y330" s="48"/>
      <c r="Z330" s="47"/>
      <c r="AA330" s="69">
        <v>330</v>
      </c>
      <c r="AB330" s="69"/>
      <c r="AC330" s="70"/>
      <c r="AD330" s="76" t="s">
        <v>12053</v>
      </c>
      <c r="AE330" s="80" t="s">
        <v>11534</v>
      </c>
      <c r="AF330" s="76">
        <v>123823</v>
      </c>
      <c r="AG330" s="76">
        <v>1489</v>
      </c>
      <c r="AH330" s="76">
        <v>52714</v>
      </c>
      <c r="AI330" s="76">
        <v>109</v>
      </c>
      <c r="AJ330" s="76">
        <v>548</v>
      </c>
      <c r="AK330" s="76">
        <v>23484</v>
      </c>
      <c r="AL330" s="76" t="b">
        <v>0</v>
      </c>
      <c r="AM330" s="78">
        <v>43833.964166666665</v>
      </c>
      <c r="AN330" s="76"/>
      <c r="AO330" s="76" t="s">
        <v>13521</v>
      </c>
      <c r="AP330" s="82" t="str">
        <f>HYPERLINK("https://t.co/ZSkmynUQ2I")</f>
        <v>https://t.co/ZSkmynUQ2I</v>
      </c>
      <c r="AQ330" s="82" t="str">
        <f>HYPERLINK("http://www.quepocamadre.mx")</f>
        <v>http://www.quepocamadre.mx</v>
      </c>
      <c r="AR330" s="76" t="s">
        <v>14096</v>
      </c>
      <c r="AS330" s="76"/>
      <c r="AT330" s="76"/>
      <c r="AU330" s="76"/>
      <c r="AV330" s="76"/>
      <c r="AW330" s="82" t="str">
        <f>HYPERLINK("https://t.co/ZSkmynUQ2I")</f>
        <v>https://t.co/ZSkmynUQ2I</v>
      </c>
      <c r="AX330" s="76" t="b">
        <v>0</v>
      </c>
      <c r="AY330" s="76"/>
      <c r="AZ330" s="76"/>
      <c r="BA330" s="76" t="b">
        <v>0</v>
      </c>
      <c r="BB330" s="76" t="b">
        <v>1</v>
      </c>
      <c r="BC330" s="76" t="b">
        <v>1</v>
      </c>
      <c r="BD330" s="76" t="b">
        <v>0</v>
      </c>
      <c r="BE330" s="76" t="b">
        <v>0</v>
      </c>
      <c r="BF330" s="76" t="b">
        <v>0</v>
      </c>
      <c r="BG330" s="76" t="b">
        <v>0</v>
      </c>
      <c r="BH330" s="82" t="str">
        <f>HYPERLINK("https://pbs.twimg.com/profile_banners/1213235659202125825/1655400844")</f>
        <v>https://pbs.twimg.com/profile_banners/1213235659202125825/1655400844</v>
      </c>
      <c r="BI330" s="76"/>
      <c r="BJ330" s="76" t="s">
        <v>14450</v>
      </c>
      <c r="BK330" s="76" t="b">
        <v>0</v>
      </c>
      <c r="BL330" s="76"/>
      <c r="BM330" s="76" t="s">
        <v>66</v>
      </c>
      <c r="BN330" s="76" t="s">
        <v>14452</v>
      </c>
      <c r="BO330" s="82" t="str">
        <f>HYPERLINK("https://twitter.com/quepocamadremex")</f>
        <v>https://twitter.com/quepocamadremex</v>
      </c>
      <c r="BP330" s="2"/>
    </row>
    <row r="331" spans="1:68" x14ac:dyDescent="0.25">
      <c r="A331" s="62" t="s">
        <v>490</v>
      </c>
      <c r="B331" s="63"/>
      <c r="C331" s="63"/>
      <c r="D331" s="64"/>
      <c r="E331" s="66"/>
      <c r="F331" s="103" t="str">
        <f>HYPERLINK("https://pbs.twimg.com/profile_images/1387115855104913409/DCHAfWhA_normal.jpg")</f>
        <v>https://pbs.twimg.com/profile_images/1387115855104913409/DCHAfWhA_normal.jpg</v>
      </c>
      <c r="G331" s="63"/>
      <c r="H331" s="67"/>
      <c r="I331" s="68"/>
      <c r="J331" s="68"/>
      <c r="K331" s="67" t="s">
        <v>14780</v>
      </c>
      <c r="L331" s="71"/>
      <c r="M331" s="72"/>
      <c r="N331" s="72"/>
      <c r="O331" s="73"/>
      <c r="P331" s="74"/>
      <c r="Q331" s="74"/>
      <c r="R331" s="87"/>
      <c r="S331" s="87"/>
      <c r="T331" s="87"/>
      <c r="U331" s="87"/>
      <c r="V331" s="48"/>
      <c r="W331" s="48"/>
      <c r="X331" s="48"/>
      <c r="Y331" s="48"/>
      <c r="Z331" s="47"/>
      <c r="AA331" s="69">
        <v>331</v>
      </c>
      <c r="AB331" s="69"/>
      <c r="AC331" s="70"/>
      <c r="AD331" s="76" t="s">
        <v>12065</v>
      </c>
      <c r="AE331" s="80" t="s">
        <v>11535</v>
      </c>
      <c r="AF331" s="76">
        <v>2</v>
      </c>
      <c r="AG331" s="76">
        <v>0</v>
      </c>
      <c r="AH331" s="76">
        <v>173</v>
      </c>
      <c r="AI331" s="76">
        <v>0</v>
      </c>
      <c r="AJ331" s="76">
        <v>3</v>
      </c>
      <c r="AK331" s="76">
        <v>173</v>
      </c>
      <c r="AL331" s="76" t="b">
        <v>0</v>
      </c>
      <c r="AM331" s="78">
        <v>44313.781712962962</v>
      </c>
      <c r="AN331" s="76" t="s">
        <v>13037</v>
      </c>
      <c r="AO331" s="76" t="s">
        <v>13522</v>
      </c>
      <c r="AP331" s="76"/>
      <c r="AQ331" s="76"/>
      <c r="AR331" s="76"/>
      <c r="AS331" s="76"/>
      <c r="AT331" s="76"/>
      <c r="AU331" s="76"/>
      <c r="AV331" s="76"/>
      <c r="AW331" s="76"/>
      <c r="AX331" s="76" t="b">
        <v>0</v>
      </c>
      <c r="AY331" s="76"/>
      <c r="AZ331" s="76"/>
      <c r="BA331" s="76" t="b">
        <v>0</v>
      </c>
      <c r="BB331" s="76" t="b">
        <v>1</v>
      </c>
      <c r="BC331" s="76" t="b">
        <v>1</v>
      </c>
      <c r="BD331" s="76" t="b">
        <v>0</v>
      </c>
      <c r="BE331" s="76" t="b">
        <v>0</v>
      </c>
      <c r="BF331" s="76" t="b">
        <v>0</v>
      </c>
      <c r="BG331" s="76" t="b">
        <v>0</v>
      </c>
      <c r="BH331" s="82" t="str">
        <f>HYPERLINK("https://pbs.twimg.com/profile_banners/1387115369928798214/1619549522")</f>
        <v>https://pbs.twimg.com/profile_banners/1387115369928798214/1619549522</v>
      </c>
      <c r="BI331" s="76"/>
      <c r="BJ331" s="76" t="s">
        <v>14450</v>
      </c>
      <c r="BK331" s="76" t="b">
        <v>0</v>
      </c>
      <c r="BL331" s="76"/>
      <c r="BM331" s="76" t="s">
        <v>66</v>
      </c>
      <c r="BN331" s="76" t="s">
        <v>14452</v>
      </c>
      <c r="BO331" s="82" t="str">
        <f>HYPERLINK("https://twitter.com/maatacado")</f>
        <v>https://twitter.com/maatacado</v>
      </c>
      <c r="BP331" s="2"/>
    </row>
    <row r="332" spans="1:68" x14ac:dyDescent="0.25">
      <c r="A332" s="62" t="s">
        <v>491</v>
      </c>
      <c r="B332" s="63"/>
      <c r="C332" s="63"/>
      <c r="D332" s="64"/>
      <c r="E332" s="66"/>
      <c r="F332" s="103" t="str">
        <f>HYPERLINK("https://abs.twimg.com/sticky/default_profile_images/default_profile_normal.png")</f>
        <v>https://abs.twimg.com/sticky/default_profile_images/default_profile_normal.png</v>
      </c>
      <c r="G332" s="63"/>
      <c r="H332" s="67"/>
      <c r="I332" s="68"/>
      <c r="J332" s="68"/>
      <c r="K332" s="67" t="s">
        <v>14781</v>
      </c>
      <c r="L332" s="71"/>
      <c r="M332" s="72"/>
      <c r="N332" s="72"/>
      <c r="O332" s="73"/>
      <c r="P332" s="74"/>
      <c r="Q332" s="74"/>
      <c r="R332" s="87"/>
      <c r="S332" s="87"/>
      <c r="T332" s="87"/>
      <c r="U332" s="87"/>
      <c r="V332" s="48"/>
      <c r="W332" s="48"/>
      <c r="X332" s="48"/>
      <c r="Y332" s="48"/>
      <c r="Z332" s="47"/>
      <c r="AA332" s="69">
        <v>332</v>
      </c>
      <c r="AB332" s="69"/>
      <c r="AC332" s="70"/>
      <c r="AD332" s="76" t="s">
        <v>12066</v>
      </c>
      <c r="AE332" s="80" t="s">
        <v>11536</v>
      </c>
      <c r="AF332" s="76">
        <v>1</v>
      </c>
      <c r="AG332" s="76">
        <v>4</v>
      </c>
      <c r="AH332" s="76">
        <v>50</v>
      </c>
      <c r="AI332" s="76">
        <v>0</v>
      </c>
      <c r="AJ332" s="76">
        <v>63</v>
      </c>
      <c r="AK332" s="76">
        <v>0</v>
      </c>
      <c r="AL332" s="76" t="b">
        <v>0</v>
      </c>
      <c r="AM332" s="78">
        <v>43779.354768518519</v>
      </c>
      <c r="AN332" s="76"/>
      <c r="AO332" s="76"/>
      <c r="AP332" s="76"/>
      <c r="AQ332" s="76"/>
      <c r="AR332" s="76"/>
      <c r="AS332" s="76"/>
      <c r="AT332" s="76"/>
      <c r="AU332" s="76"/>
      <c r="AV332" s="76"/>
      <c r="AW332" s="76"/>
      <c r="AX332" s="76" t="b">
        <v>0</v>
      </c>
      <c r="AY332" s="76"/>
      <c r="AZ332" s="76"/>
      <c r="BA332" s="76" t="b">
        <v>0</v>
      </c>
      <c r="BB332" s="76" t="b">
        <v>1</v>
      </c>
      <c r="BC332" s="76" t="b">
        <v>1</v>
      </c>
      <c r="BD332" s="76" t="b">
        <v>1</v>
      </c>
      <c r="BE332" s="76" t="b">
        <v>0</v>
      </c>
      <c r="BF332" s="76" t="b">
        <v>0</v>
      </c>
      <c r="BG332" s="76" t="b">
        <v>0</v>
      </c>
      <c r="BH332" s="76"/>
      <c r="BI332" s="76"/>
      <c r="BJ332" s="76" t="s">
        <v>14450</v>
      </c>
      <c r="BK332" s="76" t="b">
        <v>0</v>
      </c>
      <c r="BL332" s="76"/>
      <c r="BM332" s="76" t="s">
        <v>66</v>
      </c>
      <c r="BN332" s="76" t="s">
        <v>14452</v>
      </c>
      <c r="BO332" s="82" t="str">
        <f>HYPERLINK("https://twitter.com/juanpedroporra2")</f>
        <v>https://twitter.com/juanpedroporra2</v>
      </c>
      <c r="BP332" s="2"/>
    </row>
    <row r="333" spans="1:68" x14ac:dyDescent="0.25">
      <c r="A333" s="62" t="s">
        <v>492</v>
      </c>
      <c r="B333" s="63"/>
      <c r="C333" s="63"/>
      <c r="D333" s="64"/>
      <c r="E333" s="66"/>
      <c r="F333" s="103" t="str">
        <f>HYPERLINK("https://pbs.twimg.com/profile_images/1664012541968744448/FKI_eorr_normal.jpg")</f>
        <v>https://pbs.twimg.com/profile_images/1664012541968744448/FKI_eorr_normal.jpg</v>
      </c>
      <c r="G333" s="63"/>
      <c r="H333" s="67"/>
      <c r="I333" s="68"/>
      <c r="J333" s="68"/>
      <c r="K333" s="67" t="s">
        <v>14782</v>
      </c>
      <c r="L333" s="71"/>
      <c r="M333" s="72"/>
      <c r="N333" s="72"/>
      <c r="O333" s="73"/>
      <c r="P333" s="74"/>
      <c r="Q333" s="74"/>
      <c r="R333" s="87"/>
      <c r="S333" s="87"/>
      <c r="T333" s="87"/>
      <c r="U333" s="87"/>
      <c r="V333" s="48"/>
      <c r="W333" s="48"/>
      <c r="X333" s="48"/>
      <c r="Y333" s="48"/>
      <c r="Z333" s="47"/>
      <c r="AA333" s="69">
        <v>333</v>
      </c>
      <c r="AB333" s="69"/>
      <c r="AC333" s="70"/>
      <c r="AD333" s="76" t="s">
        <v>12067</v>
      </c>
      <c r="AE333" s="80" t="s">
        <v>11537</v>
      </c>
      <c r="AF333" s="76">
        <v>258</v>
      </c>
      <c r="AG333" s="76">
        <v>554</v>
      </c>
      <c r="AH333" s="76">
        <v>7673</v>
      </c>
      <c r="AI333" s="76">
        <v>1</v>
      </c>
      <c r="AJ333" s="76">
        <v>13847</v>
      </c>
      <c r="AK333" s="76">
        <v>1871</v>
      </c>
      <c r="AL333" s="76" t="b">
        <v>0</v>
      </c>
      <c r="AM333" s="78">
        <v>44796.126608796294</v>
      </c>
      <c r="AN333" s="76" t="s">
        <v>7796</v>
      </c>
      <c r="AO333" s="76" t="s">
        <v>13523</v>
      </c>
      <c r="AP333" s="76"/>
      <c r="AQ333" s="76"/>
      <c r="AR333" s="76"/>
      <c r="AS333" s="76"/>
      <c r="AT333" s="76"/>
      <c r="AU333" s="76"/>
      <c r="AV333" s="76"/>
      <c r="AW333" s="76"/>
      <c r="AX333" s="76" t="b">
        <v>0</v>
      </c>
      <c r="AY333" s="76"/>
      <c r="AZ333" s="76"/>
      <c r="BA333" s="76" t="b">
        <v>0</v>
      </c>
      <c r="BB333" s="76" t="b">
        <v>1</v>
      </c>
      <c r="BC333" s="76" t="b">
        <v>1</v>
      </c>
      <c r="BD333" s="76" t="b">
        <v>0</v>
      </c>
      <c r="BE333" s="76" t="b">
        <v>1</v>
      </c>
      <c r="BF333" s="76" t="b">
        <v>0</v>
      </c>
      <c r="BG333" s="76" t="b">
        <v>0</v>
      </c>
      <c r="BH333" s="82" t="str">
        <f>HYPERLINK("https://pbs.twimg.com/profile_banners/1561911520472322048/1685566554")</f>
        <v>https://pbs.twimg.com/profile_banners/1561911520472322048/1685566554</v>
      </c>
      <c r="BI333" s="76"/>
      <c r="BJ333" s="76" t="s">
        <v>14450</v>
      </c>
      <c r="BK333" s="76" t="b">
        <v>0</v>
      </c>
      <c r="BL333" s="76"/>
      <c r="BM333" s="76" t="s">
        <v>66</v>
      </c>
      <c r="BN333" s="76" t="s">
        <v>14452</v>
      </c>
      <c r="BO333" s="82" t="str">
        <f>HYPERLINK("https://twitter.com/mktraquelsouza")</f>
        <v>https://twitter.com/mktraquelsouza</v>
      </c>
      <c r="BP333" s="2"/>
    </row>
    <row r="334" spans="1:68" x14ac:dyDescent="0.25">
      <c r="A334" s="62" t="s">
        <v>493</v>
      </c>
      <c r="B334" s="63"/>
      <c r="C334" s="63"/>
      <c r="D334" s="64"/>
      <c r="E334" s="66"/>
      <c r="F334" s="103" t="str">
        <f>HYPERLINK("https://pbs.twimg.com/profile_images/1453747082641170443/OCGblkKc_normal.jpg")</f>
        <v>https://pbs.twimg.com/profile_images/1453747082641170443/OCGblkKc_normal.jpg</v>
      </c>
      <c r="G334" s="63"/>
      <c r="H334" s="67"/>
      <c r="I334" s="68"/>
      <c r="J334" s="68"/>
      <c r="K334" s="67" t="s">
        <v>14783</v>
      </c>
      <c r="L334" s="71"/>
      <c r="M334" s="72"/>
      <c r="N334" s="72"/>
      <c r="O334" s="73"/>
      <c r="P334" s="74"/>
      <c r="Q334" s="74"/>
      <c r="R334" s="87"/>
      <c r="S334" s="87"/>
      <c r="T334" s="87"/>
      <c r="U334" s="87"/>
      <c r="V334" s="48"/>
      <c r="W334" s="48"/>
      <c r="X334" s="48"/>
      <c r="Y334" s="48"/>
      <c r="Z334" s="47"/>
      <c r="AA334" s="69">
        <v>334</v>
      </c>
      <c r="AB334" s="69"/>
      <c r="AC334" s="70"/>
      <c r="AD334" s="76" t="s">
        <v>12068</v>
      </c>
      <c r="AE334" s="80" t="s">
        <v>11538</v>
      </c>
      <c r="AF334" s="76">
        <v>4</v>
      </c>
      <c r="AG334" s="76">
        <v>38</v>
      </c>
      <c r="AH334" s="76">
        <v>897</v>
      </c>
      <c r="AI334" s="76">
        <v>0</v>
      </c>
      <c r="AJ334" s="76">
        <v>84</v>
      </c>
      <c r="AK334" s="76">
        <v>894</v>
      </c>
      <c r="AL334" s="76" t="b">
        <v>0</v>
      </c>
      <c r="AM334" s="78">
        <v>44495.607083333336</v>
      </c>
      <c r="AN334" s="76"/>
      <c r="AO334" s="76" t="s">
        <v>13524</v>
      </c>
      <c r="AP334" s="76"/>
      <c r="AQ334" s="76"/>
      <c r="AR334" s="76"/>
      <c r="AS334" s="76"/>
      <c r="AT334" s="76"/>
      <c r="AU334" s="76"/>
      <c r="AV334" s="76"/>
      <c r="AW334" s="76"/>
      <c r="AX334" s="76" t="b">
        <v>0</v>
      </c>
      <c r="AY334" s="76"/>
      <c r="AZ334" s="76"/>
      <c r="BA334" s="76" t="b">
        <v>0</v>
      </c>
      <c r="BB334" s="76" t="b">
        <v>1</v>
      </c>
      <c r="BC334" s="76" t="b">
        <v>1</v>
      </c>
      <c r="BD334" s="76" t="b">
        <v>0</v>
      </c>
      <c r="BE334" s="76" t="b">
        <v>0</v>
      </c>
      <c r="BF334" s="76" t="b">
        <v>0</v>
      </c>
      <c r="BG334" s="76" t="b">
        <v>0</v>
      </c>
      <c r="BH334" s="82" t="str">
        <f>HYPERLINK("https://pbs.twimg.com/profile_banners/1453005306347327488/1635435289")</f>
        <v>https://pbs.twimg.com/profile_banners/1453005306347327488/1635435289</v>
      </c>
      <c r="BI334" s="76"/>
      <c r="BJ334" s="76" t="s">
        <v>14450</v>
      </c>
      <c r="BK334" s="76" t="b">
        <v>0</v>
      </c>
      <c r="BL334" s="76"/>
      <c r="BM334" s="76" t="s">
        <v>66</v>
      </c>
      <c r="BN334" s="76" t="s">
        <v>14452</v>
      </c>
      <c r="BO334" s="82" t="str">
        <f>HYPERLINK("https://twitter.com/talentomayan")</f>
        <v>https://twitter.com/talentomayan</v>
      </c>
      <c r="BP334" s="2"/>
    </row>
    <row r="335" spans="1:68" x14ac:dyDescent="0.25">
      <c r="A335" s="62" t="s">
        <v>494</v>
      </c>
      <c r="B335" s="63"/>
      <c r="C335" s="63"/>
      <c r="D335" s="64"/>
      <c r="E335" s="66"/>
      <c r="F335" s="103" t="str">
        <f>HYPERLINK("https://pbs.twimg.com/profile_images/1627809396498608131/WG9a5uTe_normal.jpg")</f>
        <v>https://pbs.twimg.com/profile_images/1627809396498608131/WG9a5uTe_normal.jpg</v>
      </c>
      <c r="G335" s="63"/>
      <c r="H335" s="67"/>
      <c r="I335" s="68"/>
      <c r="J335" s="68"/>
      <c r="K335" s="67" t="s">
        <v>14784</v>
      </c>
      <c r="L335" s="71"/>
      <c r="M335" s="72"/>
      <c r="N335" s="72"/>
      <c r="O335" s="73"/>
      <c r="P335" s="74"/>
      <c r="Q335" s="74"/>
      <c r="R335" s="87"/>
      <c r="S335" s="87"/>
      <c r="T335" s="87"/>
      <c r="U335" s="87"/>
      <c r="V335" s="48"/>
      <c r="W335" s="48"/>
      <c r="X335" s="48"/>
      <c r="Y335" s="48"/>
      <c r="Z335" s="47"/>
      <c r="AA335" s="69">
        <v>335</v>
      </c>
      <c r="AB335" s="69"/>
      <c r="AC335" s="70"/>
      <c r="AD335" s="76" t="s">
        <v>12069</v>
      </c>
      <c r="AE335" s="80" t="s">
        <v>11539</v>
      </c>
      <c r="AF335" s="76">
        <v>5</v>
      </c>
      <c r="AG335" s="76">
        <v>3</v>
      </c>
      <c r="AH335" s="76">
        <v>59</v>
      </c>
      <c r="AI335" s="76">
        <v>0</v>
      </c>
      <c r="AJ335" s="76">
        <v>91</v>
      </c>
      <c r="AK335" s="76">
        <v>26</v>
      </c>
      <c r="AL335" s="76" t="b">
        <v>0</v>
      </c>
      <c r="AM335" s="78">
        <v>44647.974502314813</v>
      </c>
      <c r="AN335" s="76" t="s">
        <v>13038</v>
      </c>
      <c r="AO335" s="76" t="s">
        <v>13525</v>
      </c>
      <c r="AP335" s="82" t="str">
        <f>HYPERLINK("https://t.co/kDFGunPexo")</f>
        <v>https://t.co/kDFGunPexo</v>
      </c>
      <c r="AQ335" s="82" t="str">
        <f>HYPERLINK("https://frame.agencia.promo/")</f>
        <v>https://frame.agencia.promo/</v>
      </c>
      <c r="AR335" s="76" t="s">
        <v>14101</v>
      </c>
      <c r="AS335" s="76"/>
      <c r="AT335" s="76"/>
      <c r="AU335" s="76"/>
      <c r="AV335" s="76"/>
      <c r="AW335" s="82" t="str">
        <f>HYPERLINK("https://t.co/kDFGunPexo")</f>
        <v>https://t.co/kDFGunPexo</v>
      </c>
      <c r="AX335" s="76" t="b">
        <v>0</v>
      </c>
      <c r="AY335" s="76"/>
      <c r="AZ335" s="76"/>
      <c r="BA335" s="76" t="b">
        <v>1</v>
      </c>
      <c r="BB335" s="76" t="b">
        <v>1</v>
      </c>
      <c r="BC335" s="76" t="b">
        <v>1</v>
      </c>
      <c r="BD335" s="76" t="b">
        <v>0</v>
      </c>
      <c r="BE335" s="76" t="b">
        <v>0</v>
      </c>
      <c r="BF335" s="76" t="b">
        <v>0</v>
      </c>
      <c r="BG335" s="76" t="b">
        <v>0</v>
      </c>
      <c r="BH335" s="82" t="str">
        <f>HYPERLINK("https://pbs.twimg.com/profile_banners/1508223070317785089/1676934978")</f>
        <v>https://pbs.twimg.com/profile_banners/1508223070317785089/1676934978</v>
      </c>
      <c r="BI335" s="76"/>
      <c r="BJ335" s="76" t="s">
        <v>14450</v>
      </c>
      <c r="BK335" s="76" t="b">
        <v>0</v>
      </c>
      <c r="BL335" s="76"/>
      <c r="BM335" s="76" t="s">
        <v>66</v>
      </c>
      <c r="BN335" s="76" t="s">
        <v>14452</v>
      </c>
      <c r="BO335" s="82" t="str">
        <f>HYPERLINK("https://twitter.com/framemktdigital")</f>
        <v>https://twitter.com/framemktdigital</v>
      </c>
      <c r="BP335" s="2"/>
    </row>
    <row r="336" spans="1:68" x14ac:dyDescent="0.25">
      <c r="A336" s="62" t="s">
        <v>495</v>
      </c>
      <c r="B336" s="63"/>
      <c r="C336" s="63"/>
      <c r="D336" s="64"/>
      <c r="E336" s="66"/>
      <c r="F336" s="103" t="str">
        <f>HYPERLINK("https://pbs.twimg.com/profile_images/1483396071267184642/hmBvIB_4_normal.jpg")</f>
        <v>https://pbs.twimg.com/profile_images/1483396071267184642/hmBvIB_4_normal.jpg</v>
      </c>
      <c r="G336" s="63"/>
      <c r="H336" s="67"/>
      <c r="I336" s="68"/>
      <c r="J336" s="68"/>
      <c r="K336" s="67" t="s">
        <v>14785</v>
      </c>
      <c r="L336" s="71"/>
      <c r="M336" s="72"/>
      <c r="N336" s="72"/>
      <c r="O336" s="73"/>
      <c r="P336" s="74"/>
      <c r="Q336" s="74"/>
      <c r="R336" s="87"/>
      <c r="S336" s="87"/>
      <c r="T336" s="87"/>
      <c r="U336" s="87"/>
      <c r="V336" s="48"/>
      <c r="W336" s="48"/>
      <c r="X336" s="48"/>
      <c r="Y336" s="48"/>
      <c r="Z336" s="47"/>
      <c r="AA336" s="69">
        <v>336</v>
      </c>
      <c r="AB336" s="69"/>
      <c r="AC336" s="70"/>
      <c r="AD336" s="76" t="s">
        <v>12070</v>
      </c>
      <c r="AE336" s="80" t="s">
        <v>12650</v>
      </c>
      <c r="AF336" s="76">
        <v>2470</v>
      </c>
      <c r="AG336" s="76">
        <v>3092</v>
      </c>
      <c r="AH336" s="76">
        <v>28950</v>
      </c>
      <c r="AI336" s="76">
        <v>30</v>
      </c>
      <c r="AJ336" s="76">
        <v>105</v>
      </c>
      <c r="AK336" s="76">
        <v>9328</v>
      </c>
      <c r="AL336" s="76" t="b">
        <v>0</v>
      </c>
      <c r="AM336" s="78">
        <v>39835.444328703707</v>
      </c>
      <c r="AN336" s="76" t="s">
        <v>13039</v>
      </c>
      <c r="AO336" s="76" t="s">
        <v>13526</v>
      </c>
      <c r="AP336" s="82" t="str">
        <f>HYPERLINK("https://t.co/1jkLxatL4R")</f>
        <v>https://t.co/1jkLxatL4R</v>
      </c>
      <c r="AQ336" s="82" t="str">
        <f>HYPERLINK("http://www.ideiasedesafios.com")</f>
        <v>http://www.ideiasedesafios.com</v>
      </c>
      <c r="AR336" s="76" t="s">
        <v>14102</v>
      </c>
      <c r="AS336" s="76"/>
      <c r="AT336" s="76"/>
      <c r="AU336" s="76"/>
      <c r="AV336" s="76"/>
      <c r="AW336" s="82" t="str">
        <f>HYPERLINK("https://t.co/1jkLxatL4R")</f>
        <v>https://t.co/1jkLxatL4R</v>
      </c>
      <c r="AX336" s="76" t="b">
        <v>0</v>
      </c>
      <c r="AY336" s="76"/>
      <c r="AZ336" s="76"/>
      <c r="BA336" s="76" t="b">
        <v>0</v>
      </c>
      <c r="BB336" s="76" t="b">
        <v>1</v>
      </c>
      <c r="BC336" s="76" t="b">
        <v>0</v>
      </c>
      <c r="BD336" s="76" t="b">
        <v>0</v>
      </c>
      <c r="BE336" s="76" t="b">
        <v>0</v>
      </c>
      <c r="BF336" s="76" t="b">
        <v>0</v>
      </c>
      <c r="BG336" s="76" t="b">
        <v>0</v>
      </c>
      <c r="BH336" s="82" t="str">
        <f>HYPERLINK("https://pbs.twimg.com/profile_banners/19333798/1469533691")</f>
        <v>https://pbs.twimg.com/profile_banners/19333798/1469533691</v>
      </c>
      <c r="BI336" s="76"/>
      <c r="BJ336" s="76" t="s">
        <v>14450</v>
      </c>
      <c r="BK336" s="76" t="b">
        <v>0</v>
      </c>
      <c r="BL336" s="76"/>
      <c r="BM336" s="76" t="s">
        <v>66</v>
      </c>
      <c r="BN336" s="76" t="s">
        <v>14452</v>
      </c>
      <c r="BO336" s="82" t="str">
        <f>HYPERLINK("https://twitter.com/ideiasedesafios")</f>
        <v>https://twitter.com/ideiasedesafios</v>
      </c>
      <c r="BP336" s="2"/>
    </row>
    <row r="337" spans="1:68" x14ac:dyDescent="0.25">
      <c r="A337" s="62" t="s">
        <v>496</v>
      </c>
      <c r="B337" s="63"/>
      <c r="C337" s="63"/>
      <c r="D337" s="64"/>
      <c r="E337" s="66"/>
      <c r="F337" s="103" t="str">
        <f>HYPERLINK("https://pbs.twimg.com/profile_images/1052028626105982981/QSEdhQdz_normal.jpg")</f>
        <v>https://pbs.twimg.com/profile_images/1052028626105982981/QSEdhQdz_normal.jpg</v>
      </c>
      <c r="G337" s="63"/>
      <c r="H337" s="67"/>
      <c r="I337" s="68"/>
      <c r="J337" s="68"/>
      <c r="K337" s="67" t="s">
        <v>14786</v>
      </c>
      <c r="L337" s="71"/>
      <c r="M337" s="72"/>
      <c r="N337" s="72"/>
      <c r="O337" s="73"/>
      <c r="P337" s="74"/>
      <c r="Q337" s="74"/>
      <c r="R337" s="87"/>
      <c r="S337" s="87"/>
      <c r="T337" s="87"/>
      <c r="U337" s="87"/>
      <c r="V337" s="48"/>
      <c r="W337" s="48"/>
      <c r="X337" s="48"/>
      <c r="Y337" s="48"/>
      <c r="Z337" s="47"/>
      <c r="AA337" s="69">
        <v>337</v>
      </c>
      <c r="AB337" s="69"/>
      <c r="AC337" s="70"/>
      <c r="AD337" s="76" t="s">
        <v>12071</v>
      </c>
      <c r="AE337" s="80" t="s">
        <v>12651</v>
      </c>
      <c r="AF337" s="76">
        <v>573</v>
      </c>
      <c r="AG337" s="76">
        <v>343</v>
      </c>
      <c r="AH337" s="76">
        <v>880</v>
      </c>
      <c r="AI337" s="76">
        <v>7</v>
      </c>
      <c r="AJ337" s="76">
        <v>967</v>
      </c>
      <c r="AK337" s="76">
        <v>149</v>
      </c>
      <c r="AL337" s="76" t="b">
        <v>0</v>
      </c>
      <c r="AM337" s="78">
        <v>39886.698483796295</v>
      </c>
      <c r="AN337" s="76" t="s">
        <v>7763</v>
      </c>
      <c r="AO337" s="76" t="s">
        <v>13527</v>
      </c>
      <c r="AP337" s="76"/>
      <c r="AQ337" s="76"/>
      <c r="AR337" s="76"/>
      <c r="AS337" s="76"/>
      <c r="AT337" s="76"/>
      <c r="AU337" s="76"/>
      <c r="AV337" s="76"/>
      <c r="AW337" s="76"/>
      <c r="AX337" s="76" t="b">
        <v>0</v>
      </c>
      <c r="AY337" s="76"/>
      <c r="AZ337" s="76"/>
      <c r="BA337" s="76" t="b">
        <v>0</v>
      </c>
      <c r="BB337" s="76" t="b">
        <v>1</v>
      </c>
      <c r="BC337" s="76" t="b">
        <v>0</v>
      </c>
      <c r="BD337" s="76" t="b">
        <v>0</v>
      </c>
      <c r="BE337" s="76" t="b">
        <v>0</v>
      </c>
      <c r="BF337" s="76" t="b">
        <v>0</v>
      </c>
      <c r="BG337" s="76" t="b">
        <v>0</v>
      </c>
      <c r="BH337" s="82" t="str">
        <f>HYPERLINK("https://pbs.twimg.com/profile_banners/24393381/1682213003")</f>
        <v>https://pbs.twimg.com/profile_banners/24393381/1682213003</v>
      </c>
      <c r="BI337" s="76"/>
      <c r="BJ337" s="76" t="s">
        <v>14450</v>
      </c>
      <c r="BK337" s="76" t="b">
        <v>0</v>
      </c>
      <c r="BL337" s="76"/>
      <c r="BM337" s="76" t="s">
        <v>66</v>
      </c>
      <c r="BN337" s="76" t="s">
        <v>14452</v>
      </c>
      <c r="BO337" s="82" t="str">
        <f>HYPERLINK("https://twitter.com/alexandremota")</f>
        <v>https://twitter.com/alexandremota</v>
      </c>
      <c r="BP337" s="2"/>
    </row>
    <row r="338" spans="1:68" x14ac:dyDescent="0.25">
      <c r="A338" s="62" t="s">
        <v>497</v>
      </c>
      <c r="B338" s="63"/>
      <c r="C338" s="63"/>
      <c r="D338" s="64"/>
      <c r="E338" s="66"/>
      <c r="F338" s="103" t="str">
        <f>HYPERLINK("https://pbs.twimg.com/profile_images/1158841122439028744/PrFDgxOK_normal.png")</f>
        <v>https://pbs.twimg.com/profile_images/1158841122439028744/PrFDgxOK_normal.png</v>
      </c>
      <c r="G338" s="63"/>
      <c r="H338" s="67"/>
      <c r="I338" s="68"/>
      <c r="J338" s="68"/>
      <c r="K338" s="67" t="s">
        <v>14787</v>
      </c>
      <c r="L338" s="71"/>
      <c r="M338" s="72"/>
      <c r="N338" s="72"/>
      <c r="O338" s="73"/>
      <c r="P338" s="74"/>
      <c r="Q338" s="74"/>
      <c r="R338" s="87"/>
      <c r="S338" s="87"/>
      <c r="T338" s="87"/>
      <c r="U338" s="87"/>
      <c r="V338" s="48"/>
      <c r="W338" s="48"/>
      <c r="X338" s="48"/>
      <c r="Y338" s="48"/>
      <c r="Z338" s="47"/>
      <c r="AA338" s="69">
        <v>338</v>
      </c>
      <c r="AB338" s="69"/>
      <c r="AC338" s="70"/>
      <c r="AD338" s="76" t="s">
        <v>12072</v>
      </c>
      <c r="AE338" s="80" t="s">
        <v>11540</v>
      </c>
      <c r="AF338" s="76">
        <v>13</v>
      </c>
      <c r="AG338" s="76">
        <v>7</v>
      </c>
      <c r="AH338" s="76">
        <v>657</v>
      </c>
      <c r="AI338" s="76">
        <v>0</v>
      </c>
      <c r="AJ338" s="76">
        <v>0</v>
      </c>
      <c r="AK338" s="76">
        <v>626</v>
      </c>
      <c r="AL338" s="76" t="b">
        <v>0</v>
      </c>
      <c r="AM338" s="78">
        <v>42675.454131944447</v>
      </c>
      <c r="AN338" s="76" t="s">
        <v>7809</v>
      </c>
      <c r="AO338" s="76" t="s">
        <v>13528</v>
      </c>
      <c r="AP338" s="82" t="str">
        <f>HYPERLINK("https://t.co/PetZ4UbU3W")</f>
        <v>https://t.co/PetZ4UbU3W</v>
      </c>
      <c r="AQ338" s="82" t="str">
        <f>HYPERLINK("http://www.easycob.com.br")</f>
        <v>http://www.easycob.com.br</v>
      </c>
      <c r="AR338" s="76" t="s">
        <v>14103</v>
      </c>
      <c r="AS338" s="76"/>
      <c r="AT338" s="76"/>
      <c r="AU338" s="76"/>
      <c r="AV338" s="76"/>
      <c r="AW338" s="82" t="str">
        <f>HYPERLINK("https://t.co/PetZ4UbU3W")</f>
        <v>https://t.co/PetZ4UbU3W</v>
      </c>
      <c r="AX338" s="76" t="b">
        <v>0</v>
      </c>
      <c r="AY338" s="76"/>
      <c r="AZ338" s="76"/>
      <c r="BA338" s="76" t="b">
        <v>0</v>
      </c>
      <c r="BB338" s="76" t="b">
        <v>1</v>
      </c>
      <c r="BC338" s="76" t="b">
        <v>1</v>
      </c>
      <c r="BD338" s="76" t="b">
        <v>0</v>
      </c>
      <c r="BE338" s="76" t="b">
        <v>0</v>
      </c>
      <c r="BF338" s="76" t="b">
        <v>0</v>
      </c>
      <c r="BG338" s="76" t="b">
        <v>0</v>
      </c>
      <c r="BH338" s="82" t="str">
        <f>HYPERLINK("https://pbs.twimg.com/profile_banners/793405711267028992/1477998237")</f>
        <v>https://pbs.twimg.com/profile_banners/793405711267028992/1477998237</v>
      </c>
      <c r="BI338" s="76"/>
      <c r="BJ338" s="76" t="s">
        <v>14450</v>
      </c>
      <c r="BK338" s="76" t="b">
        <v>0</v>
      </c>
      <c r="BL338" s="76"/>
      <c r="BM338" s="76" t="s">
        <v>66</v>
      </c>
      <c r="BN338" s="76" t="s">
        <v>14452</v>
      </c>
      <c r="BO338" s="82" t="str">
        <f>HYPERLINK("https://twitter.com/easycoboficial")</f>
        <v>https://twitter.com/easycoboficial</v>
      </c>
      <c r="BP338" s="2"/>
    </row>
    <row r="339" spans="1:68" x14ac:dyDescent="0.25">
      <c r="A339" s="62" t="s">
        <v>498</v>
      </c>
      <c r="B339" s="63"/>
      <c r="C339" s="63"/>
      <c r="D339" s="64"/>
      <c r="E339" s="66"/>
      <c r="F339" s="103" t="str">
        <f>HYPERLINK("https://pbs.twimg.com/profile_images/1612599228873969665/MZjgFnj-_normal.jpg")</f>
        <v>https://pbs.twimg.com/profile_images/1612599228873969665/MZjgFnj-_normal.jpg</v>
      </c>
      <c r="G339" s="63"/>
      <c r="H339" s="67"/>
      <c r="I339" s="68"/>
      <c r="J339" s="68"/>
      <c r="K339" s="67" t="s">
        <v>14788</v>
      </c>
      <c r="L339" s="71"/>
      <c r="M339" s="72"/>
      <c r="N339" s="72"/>
      <c r="O339" s="73"/>
      <c r="P339" s="74"/>
      <c r="Q339" s="74"/>
      <c r="R339" s="87"/>
      <c r="S339" s="87"/>
      <c r="T339" s="87"/>
      <c r="U339" s="87"/>
      <c r="V339" s="48"/>
      <c r="W339" s="48"/>
      <c r="X339" s="48"/>
      <c r="Y339" s="48"/>
      <c r="Z339" s="47"/>
      <c r="AA339" s="69">
        <v>339</v>
      </c>
      <c r="AB339" s="69"/>
      <c r="AC339" s="70"/>
      <c r="AD339" s="76" t="s">
        <v>12073</v>
      </c>
      <c r="AE339" s="80" t="s">
        <v>11541</v>
      </c>
      <c r="AF339" s="76">
        <v>6</v>
      </c>
      <c r="AG339" s="76">
        <v>25</v>
      </c>
      <c r="AH339" s="76">
        <v>38</v>
      </c>
      <c r="AI339" s="76">
        <v>0</v>
      </c>
      <c r="AJ339" s="76">
        <v>23</v>
      </c>
      <c r="AK339" s="76">
        <v>33</v>
      </c>
      <c r="AL339" s="76" t="b">
        <v>0</v>
      </c>
      <c r="AM339" s="78">
        <v>44133.282002314816</v>
      </c>
      <c r="AN339" s="76"/>
      <c r="AO339" s="76" t="s">
        <v>13529</v>
      </c>
      <c r="AP339" s="76"/>
      <c r="AQ339" s="76"/>
      <c r="AR339" s="76"/>
      <c r="AS339" s="76"/>
      <c r="AT339" s="76"/>
      <c r="AU339" s="76"/>
      <c r="AV339" s="76"/>
      <c r="AW339" s="76"/>
      <c r="AX339" s="76" t="b">
        <v>0</v>
      </c>
      <c r="AY339" s="76"/>
      <c r="AZ339" s="76"/>
      <c r="BA339" s="76" t="b">
        <v>0</v>
      </c>
      <c r="BB339" s="76" t="b">
        <v>1</v>
      </c>
      <c r="BC339" s="76" t="b">
        <v>1</v>
      </c>
      <c r="BD339" s="76" t="b">
        <v>0</v>
      </c>
      <c r="BE339" s="76" t="b">
        <v>0</v>
      </c>
      <c r="BF339" s="76" t="b">
        <v>0</v>
      </c>
      <c r="BG339" s="76" t="b">
        <v>0</v>
      </c>
      <c r="BH339" s="76"/>
      <c r="BI339" s="76"/>
      <c r="BJ339" s="76" t="s">
        <v>14450</v>
      </c>
      <c r="BK339" s="76" t="b">
        <v>0</v>
      </c>
      <c r="BL339" s="76"/>
      <c r="BM339" s="76" t="s">
        <v>66</v>
      </c>
      <c r="BN339" s="76" t="s">
        <v>14452</v>
      </c>
      <c r="BO339" s="82" t="str">
        <f>HYPERLINK("https://twitter.com/jesusal50997127")</f>
        <v>https://twitter.com/jesusal50997127</v>
      </c>
      <c r="BP339" s="2"/>
    </row>
    <row r="340" spans="1:68" x14ac:dyDescent="0.25">
      <c r="A340" s="62" t="s">
        <v>499</v>
      </c>
      <c r="B340" s="63"/>
      <c r="C340" s="63"/>
      <c r="D340" s="64"/>
      <c r="E340" s="66"/>
      <c r="F340" s="103" t="str">
        <f>HYPERLINK("https://pbs.twimg.com/profile_images/1639233751212253187/IqMC-4Vy_normal.jpg")</f>
        <v>https://pbs.twimg.com/profile_images/1639233751212253187/IqMC-4Vy_normal.jpg</v>
      </c>
      <c r="G340" s="63"/>
      <c r="H340" s="67"/>
      <c r="I340" s="68"/>
      <c r="J340" s="68"/>
      <c r="K340" s="67" t="s">
        <v>14789</v>
      </c>
      <c r="L340" s="71"/>
      <c r="M340" s="72"/>
      <c r="N340" s="72"/>
      <c r="O340" s="73"/>
      <c r="P340" s="74"/>
      <c r="Q340" s="74"/>
      <c r="R340" s="87"/>
      <c r="S340" s="87"/>
      <c r="T340" s="87"/>
      <c r="U340" s="87"/>
      <c r="V340" s="48"/>
      <c r="W340" s="48"/>
      <c r="X340" s="48"/>
      <c r="Y340" s="48"/>
      <c r="Z340" s="47"/>
      <c r="AA340" s="69">
        <v>340</v>
      </c>
      <c r="AB340" s="69"/>
      <c r="AC340" s="70"/>
      <c r="AD340" s="76" t="s">
        <v>12074</v>
      </c>
      <c r="AE340" s="80" t="s">
        <v>11542</v>
      </c>
      <c r="AF340" s="76">
        <v>0</v>
      </c>
      <c r="AG340" s="76">
        <v>13</v>
      </c>
      <c r="AH340" s="76">
        <v>17</v>
      </c>
      <c r="AI340" s="76">
        <v>0</v>
      </c>
      <c r="AJ340" s="76">
        <v>2</v>
      </c>
      <c r="AK340" s="76">
        <v>15</v>
      </c>
      <c r="AL340" s="76" t="b">
        <v>0</v>
      </c>
      <c r="AM340" s="78">
        <v>45008.959074074075</v>
      </c>
      <c r="AN340" s="76" t="s">
        <v>7791</v>
      </c>
      <c r="AO340" s="76" t="s">
        <v>13530</v>
      </c>
      <c r="AP340" s="76"/>
      <c r="AQ340" s="76"/>
      <c r="AR340" s="76"/>
      <c r="AS340" s="76"/>
      <c r="AT340" s="76"/>
      <c r="AU340" s="76"/>
      <c r="AV340" s="76"/>
      <c r="AW340" s="76"/>
      <c r="AX340" s="76" t="b">
        <v>0</v>
      </c>
      <c r="AY340" s="76"/>
      <c r="AZ340" s="76"/>
      <c r="BA340" s="76" t="b">
        <v>0</v>
      </c>
      <c r="BB340" s="76" t="b">
        <v>1</v>
      </c>
      <c r="BC340" s="76" t="b">
        <v>1</v>
      </c>
      <c r="BD340" s="76" t="b">
        <v>0</v>
      </c>
      <c r="BE340" s="76" t="b">
        <v>0</v>
      </c>
      <c r="BF340" s="76" t="b">
        <v>0</v>
      </c>
      <c r="BG340" s="76" t="b">
        <v>0</v>
      </c>
      <c r="BH340" s="82" t="str">
        <f>HYPERLINK("https://pbs.twimg.com/profile_banners/1639039465669763072/1679656809")</f>
        <v>https://pbs.twimg.com/profile_banners/1639039465669763072/1679656809</v>
      </c>
      <c r="BI340" s="76"/>
      <c r="BJ340" s="76" t="s">
        <v>14450</v>
      </c>
      <c r="BK340" s="76" t="b">
        <v>0</v>
      </c>
      <c r="BL340" s="76"/>
      <c r="BM340" s="76" t="s">
        <v>66</v>
      </c>
      <c r="BN340" s="76" t="s">
        <v>14452</v>
      </c>
      <c r="BO340" s="82" t="str">
        <f>HYPERLINK("https://twitter.com/segevidenceone")</f>
        <v>https://twitter.com/segevidenceone</v>
      </c>
      <c r="BP340" s="2"/>
    </row>
    <row r="341" spans="1:68" x14ac:dyDescent="0.25">
      <c r="A341" s="62" t="s">
        <v>500</v>
      </c>
      <c r="B341" s="63"/>
      <c r="C341" s="63"/>
      <c r="D341" s="64"/>
      <c r="E341" s="66"/>
      <c r="F341" s="103" t="str">
        <f>HYPERLINK("https://pbs.twimg.com/profile_images/1615335446594129922/f3qpJ74I_normal.jpg")</f>
        <v>https://pbs.twimg.com/profile_images/1615335446594129922/f3qpJ74I_normal.jpg</v>
      </c>
      <c r="G341" s="63"/>
      <c r="H341" s="67"/>
      <c r="I341" s="68"/>
      <c r="J341" s="68"/>
      <c r="K341" s="67" t="s">
        <v>14790</v>
      </c>
      <c r="L341" s="71"/>
      <c r="M341" s="72"/>
      <c r="N341" s="72"/>
      <c r="O341" s="73"/>
      <c r="P341" s="74"/>
      <c r="Q341" s="74"/>
      <c r="R341" s="87"/>
      <c r="S341" s="87"/>
      <c r="T341" s="87"/>
      <c r="U341" s="87"/>
      <c r="V341" s="48"/>
      <c r="W341" s="48"/>
      <c r="X341" s="48"/>
      <c r="Y341" s="48"/>
      <c r="Z341" s="47"/>
      <c r="AA341" s="69">
        <v>341</v>
      </c>
      <c r="AB341" s="69"/>
      <c r="AC341" s="70"/>
      <c r="AD341" s="76" t="s">
        <v>12075</v>
      </c>
      <c r="AE341" s="80" t="s">
        <v>11543</v>
      </c>
      <c r="AF341" s="76">
        <v>1146</v>
      </c>
      <c r="AG341" s="76">
        <v>4995</v>
      </c>
      <c r="AH341" s="76">
        <v>2343</v>
      </c>
      <c r="AI341" s="76">
        <v>0</v>
      </c>
      <c r="AJ341" s="76">
        <v>203616</v>
      </c>
      <c r="AK341" s="76">
        <v>920</v>
      </c>
      <c r="AL341" s="76" t="b">
        <v>0</v>
      </c>
      <c r="AM341" s="78">
        <v>42685.147094907406</v>
      </c>
      <c r="AN341" s="76" t="s">
        <v>13040</v>
      </c>
      <c r="AO341" s="76" t="s">
        <v>13531</v>
      </c>
      <c r="AP341" s="82" t="str">
        <f>HYPERLINK("https://t.co/XsTPOhNt08")</f>
        <v>https://t.co/XsTPOhNt08</v>
      </c>
      <c r="AQ341" s="82" t="str">
        <f>HYPERLINK("https://www.youtube.com/c/PhilipFernandes")</f>
        <v>https://www.youtube.com/c/PhilipFernandes</v>
      </c>
      <c r="AR341" s="76" t="s">
        <v>14104</v>
      </c>
      <c r="AS341" s="76"/>
      <c r="AT341" s="76"/>
      <c r="AU341" s="76"/>
      <c r="AV341" s="76"/>
      <c r="AW341" s="82" t="str">
        <f>HYPERLINK("https://t.co/XsTPOhNt08")</f>
        <v>https://t.co/XsTPOhNt08</v>
      </c>
      <c r="AX341" s="76" t="b">
        <v>0</v>
      </c>
      <c r="AY341" s="76"/>
      <c r="AZ341" s="76"/>
      <c r="BA341" s="76" t="b">
        <v>1</v>
      </c>
      <c r="BB341" s="76" t="b">
        <v>1</v>
      </c>
      <c r="BC341" s="76" t="b">
        <v>0</v>
      </c>
      <c r="BD341" s="76" t="b">
        <v>0</v>
      </c>
      <c r="BE341" s="76" t="b">
        <v>0</v>
      </c>
      <c r="BF341" s="76" t="b">
        <v>0</v>
      </c>
      <c r="BG341" s="76" t="b">
        <v>0</v>
      </c>
      <c r="BH341" s="82" t="str">
        <f>HYPERLINK("https://pbs.twimg.com/profile_banners/796918325406269442/1685113762")</f>
        <v>https://pbs.twimg.com/profile_banners/796918325406269442/1685113762</v>
      </c>
      <c r="BI341" s="76"/>
      <c r="BJ341" s="76" t="s">
        <v>14450</v>
      </c>
      <c r="BK341" s="76" t="b">
        <v>0</v>
      </c>
      <c r="BL341" s="76"/>
      <c r="BM341" s="76" t="s">
        <v>66</v>
      </c>
      <c r="BN341" s="76" t="s">
        <v>14452</v>
      </c>
      <c r="BO341" s="82" t="str">
        <f>HYPERLINK("https://twitter.com/ofcphilip")</f>
        <v>https://twitter.com/ofcphilip</v>
      </c>
      <c r="BP341" s="2"/>
    </row>
    <row r="342" spans="1:68" x14ac:dyDescent="0.25">
      <c r="A342" s="62" t="s">
        <v>501</v>
      </c>
      <c r="B342" s="63"/>
      <c r="C342" s="63"/>
      <c r="D342" s="64"/>
      <c r="E342" s="66"/>
      <c r="F342" s="103" t="str">
        <f>HYPERLINK("https://pbs.twimg.com/profile_images/1273349896993681409/A-MbagAF_normal.jpg")</f>
        <v>https://pbs.twimg.com/profile_images/1273349896993681409/A-MbagAF_normal.jpg</v>
      </c>
      <c r="G342" s="63"/>
      <c r="H342" s="67"/>
      <c r="I342" s="68"/>
      <c r="J342" s="68"/>
      <c r="K342" s="67" t="s">
        <v>14791</v>
      </c>
      <c r="L342" s="71"/>
      <c r="M342" s="72"/>
      <c r="N342" s="72"/>
      <c r="O342" s="73"/>
      <c r="P342" s="74"/>
      <c r="Q342" s="74"/>
      <c r="R342" s="87"/>
      <c r="S342" s="87"/>
      <c r="T342" s="87"/>
      <c r="U342" s="87"/>
      <c r="V342" s="48"/>
      <c r="W342" s="48"/>
      <c r="X342" s="48"/>
      <c r="Y342" s="48"/>
      <c r="Z342" s="47"/>
      <c r="AA342" s="69">
        <v>342</v>
      </c>
      <c r="AB342" s="69"/>
      <c r="AC342" s="70"/>
      <c r="AD342" s="76" t="s">
        <v>12076</v>
      </c>
      <c r="AE342" s="80" t="s">
        <v>11544</v>
      </c>
      <c r="AF342" s="76">
        <v>17</v>
      </c>
      <c r="AG342" s="76">
        <v>88</v>
      </c>
      <c r="AH342" s="76">
        <v>830</v>
      </c>
      <c r="AI342" s="76">
        <v>0</v>
      </c>
      <c r="AJ342" s="76">
        <v>113</v>
      </c>
      <c r="AK342" s="76">
        <v>757</v>
      </c>
      <c r="AL342" s="76" t="b">
        <v>0</v>
      </c>
      <c r="AM342" s="78">
        <v>43999.845532407409</v>
      </c>
      <c r="AN342" s="76" t="s">
        <v>13041</v>
      </c>
      <c r="AO342" s="76" t="s">
        <v>13532</v>
      </c>
      <c r="AP342" s="82" t="str">
        <f>HYPERLINK("https://t.co/WGq0XCuzmx")</f>
        <v>https://t.co/WGq0XCuzmx</v>
      </c>
      <c r="AQ342" s="82" t="str">
        <f>HYPERLINK("https://kiafra.com/mx/")</f>
        <v>https://kiafra.com/mx/</v>
      </c>
      <c r="AR342" s="76" t="s">
        <v>14105</v>
      </c>
      <c r="AS342" s="76"/>
      <c r="AT342" s="76"/>
      <c r="AU342" s="76"/>
      <c r="AV342" s="76"/>
      <c r="AW342" s="82" t="str">
        <f>HYPERLINK("https://t.co/WGq0XCuzmx")</f>
        <v>https://t.co/WGq0XCuzmx</v>
      </c>
      <c r="AX342" s="76" t="b">
        <v>0</v>
      </c>
      <c r="AY342" s="76"/>
      <c r="AZ342" s="76"/>
      <c r="BA342" s="76" t="b">
        <v>0</v>
      </c>
      <c r="BB342" s="76" t="b">
        <v>1</v>
      </c>
      <c r="BC342" s="76" t="b">
        <v>1</v>
      </c>
      <c r="BD342" s="76" t="b">
        <v>0</v>
      </c>
      <c r="BE342" s="76" t="b">
        <v>0</v>
      </c>
      <c r="BF342" s="76" t="b">
        <v>0</v>
      </c>
      <c r="BG342" s="76" t="b">
        <v>0</v>
      </c>
      <c r="BH342" s="82" t="str">
        <f>HYPERLINK("https://pbs.twimg.com/profile_banners/1273348877274488836/1654180620")</f>
        <v>https://pbs.twimg.com/profile_banners/1273348877274488836/1654180620</v>
      </c>
      <c r="BI342" s="76"/>
      <c r="BJ342" s="76" t="s">
        <v>14450</v>
      </c>
      <c r="BK342" s="76" t="b">
        <v>0</v>
      </c>
      <c r="BL342" s="76"/>
      <c r="BM342" s="76" t="s">
        <v>66</v>
      </c>
      <c r="BN342" s="76" t="s">
        <v>14452</v>
      </c>
      <c r="BO342" s="82" t="str">
        <f>HYPERLINK("https://twitter.com/kiaframx")</f>
        <v>https://twitter.com/kiaframx</v>
      </c>
      <c r="BP342" s="2"/>
    </row>
    <row r="343" spans="1:68" x14ac:dyDescent="0.25">
      <c r="A343" s="62" t="s">
        <v>502</v>
      </c>
      <c r="B343" s="63"/>
      <c r="C343" s="63"/>
      <c r="D343" s="64"/>
      <c r="E343" s="66"/>
      <c r="F343" s="103" t="str">
        <f>HYPERLINK("https://pbs.twimg.com/profile_images/1620539909084745730/-zMyS6fj_normal.jpg")</f>
        <v>https://pbs.twimg.com/profile_images/1620539909084745730/-zMyS6fj_normal.jpg</v>
      </c>
      <c r="G343" s="63"/>
      <c r="H343" s="67"/>
      <c r="I343" s="68"/>
      <c r="J343" s="68"/>
      <c r="K343" s="67" t="s">
        <v>14792</v>
      </c>
      <c r="L343" s="71"/>
      <c r="M343" s="72"/>
      <c r="N343" s="72"/>
      <c r="O343" s="73"/>
      <c r="P343" s="74"/>
      <c r="Q343" s="74"/>
      <c r="R343" s="87"/>
      <c r="S343" s="87"/>
      <c r="T343" s="87"/>
      <c r="U343" s="87"/>
      <c r="V343" s="48"/>
      <c r="W343" s="48"/>
      <c r="X343" s="48"/>
      <c r="Y343" s="48"/>
      <c r="Z343" s="47"/>
      <c r="AA343" s="69">
        <v>343</v>
      </c>
      <c r="AB343" s="69"/>
      <c r="AC343" s="70"/>
      <c r="AD343" s="76" t="s">
        <v>12077</v>
      </c>
      <c r="AE343" s="80" t="s">
        <v>12652</v>
      </c>
      <c r="AF343" s="76">
        <v>125</v>
      </c>
      <c r="AG343" s="76">
        <v>119</v>
      </c>
      <c r="AH343" s="76">
        <v>511</v>
      </c>
      <c r="AI343" s="76">
        <v>3</v>
      </c>
      <c r="AJ343" s="76">
        <v>13</v>
      </c>
      <c r="AK343" s="76">
        <v>9</v>
      </c>
      <c r="AL343" s="76" t="b">
        <v>0</v>
      </c>
      <c r="AM343" s="78">
        <v>40504.947025462963</v>
      </c>
      <c r="AN343" s="76" t="s">
        <v>13042</v>
      </c>
      <c r="AO343" s="76" t="s">
        <v>13533</v>
      </c>
      <c r="AP343" s="82" t="str">
        <f>HYPERLINK("https://t.co/GSW7OjSmco")</f>
        <v>https://t.co/GSW7OjSmco</v>
      </c>
      <c r="AQ343" s="82" t="str">
        <f>HYPERLINK("https://www.instagram.com/henriquesilverio/")</f>
        <v>https://www.instagram.com/henriquesilverio/</v>
      </c>
      <c r="AR343" s="76" t="s">
        <v>14106</v>
      </c>
      <c r="AS343" s="76"/>
      <c r="AT343" s="76"/>
      <c r="AU343" s="76"/>
      <c r="AV343" s="76"/>
      <c r="AW343" s="82" t="str">
        <f>HYPERLINK("https://t.co/GSW7OjSmco")</f>
        <v>https://t.co/GSW7OjSmco</v>
      </c>
      <c r="AX343" s="76" t="b">
        <v>0</v>
      </c>
      <c r="AY343" s="76"/>
      <c r="AZ343" s="76"/>
      <c r="BA343" s="76" t="b">
        <v>0</v>
      </c>
      <c r="BB343" s="76" t="b">
        <v>1</v>
      </c>
      <c r="BC343" s="76" t="b">
        <v>0</v>
      </c>
      <c r="BD343" s="76" t="b">
        <v>0</v>
      </c>
      <c r="BE343" s="76" t="b">
        <v>0</v>
      </c>
      <c r="BF343" s="76" t="b">
        <v>0</v>
      </c>
      <c r="BG343" s="76" t="b">
        <v>0</v>
      </c>
      <c r="BH343" s="76"/>
      <c r="BI343" s="76"/>
      <c r="BJ343" s="76" t="s">
        <v>14450</v>
      </c>
      <c r="BK343" s="76" t="b">
        <v>0</v>
      </c>
      <c r="BL343" s="76"/>
      <c r="BM343" s="76" t="s">
        <v>66</v>
      </c>
      <c r="BN343" s="76" t="s">
        <v>14452</v>
      </c>
      <c r="BO343" s="82" t="str">
        <f>HYPERLINK("https://twitter.com/silveriorique")</f>
        <v>https://twitter.com/silveriorique</v>
      </c>
      <c r="BP343" s="2"/>
    </row>
    <row r="344" spans="1:68" x14ac:dyDescent="0.25">
      <c r="A344" s="62" t="s">
        <v>503</v>
      </c>
      <c r="B344" s="63"/>
      <c r="C344" s="63"/>
      <c r="D344" s="64"/>
      <c r="E344" s="66"/>
      <c r="F344" s="103" t="str">
        <f>HYPERLINK("https://pbs.twimg.com/profile_images/144849505/pylarge_normal.gif")</f>
        <v>https://pbs.twimg.com/profile_images/144849505/pylarge_normal.gif</v>
      </c>
      <c r="G344" s="63"/>
      <c r="H344" s="67"/>
      <c r="I344" s="68"/>
      <c r="J344" s="68"/>
      <c r="K344" s="67" t="s">
        <v>14793</v>
      </c>
      <c r="L344" s="71"/>
      <c r="M344" s="72"/>
      <c r="N344" s="72"/>
      <c r="O344" s="73"/>
      <c r="P344" s="74"/>
      <c r="Q344" s="74"/>
      <c r="R344" s="87"/>
      <c r="S344" s="87"/>
      <c r="T344" s="87"/>
      <c r="U344" s="87"/>
      <c r="V344" s="48"/>
      <c r="W344" s="48"/>
      <c r="X344" s="48"/>
      <c r="Y344" s="48"/>
      <c r="Z344" s="47"/>
      <c r="AA344" s="69">
        <v>344</v>
      </c>
      <c r="AB344" s="69"/>
      <c r="AC344" s="70"/>
      <c r="AD344" s="76" t="s">
        <v>12078</v>
      </c>
      <c r="AE344" s="80" t="s">
        <v>12653</v>
      </c>
      <c r="AF344" s="76">
        <v>788</v>
      </c>
      <c r="AG344" s="76">
        <v>294</v>
      </c>
      <c r="AH344" s="76">
        <v>21888</v>
      </c>
      <c r="AI344" s="76">
        <v>2</v>
      </c>
      <c r="AJ344" s="76">
        <v>10</v>
      </c>
      <c r="AK344" s="76">
        <v>207</v>
      </c>
      <c r="AL344" s="76" t="b">
        <v>0</v>
      </c>
      <c r="AM344" s="78">
        <v>39921.659490740742</v>
      </c>
      <c r="AN344" s="76" t="s">
        <v>13043</v>
      </c>
      <c r="AO344" s="76" t="s">
        <v>13534</v>
      </c>
      <c r="AP344" s="82" t="str">
        <f>HYPERLINK("https://t.co/PoQFWBEBZE")</f>
        <v>https://t.co/PoQFWBEBZE</v>
      </c>
      <c r="AQ344" s="82" t="str">
        <f>HYPERLINK("https://www.ipparaguay.com.py/")</f>
        <v>https://www.ipparaguay.com.py/</v>
      </c>
      <c r="AR344" s="76" t="s">
        <v>14107</v>
      </c>
      <c r="AS344" s="76"/>
      <c r="AT344" s="76"/>
      <c r="AU344" s="76"/>
      <c r="AV344" s="76"/>
      <c r="AW344" s="82" t="str">
        <f>HYPERLINK("https://t.co/PoQFWBEBZE")</f>
        <v>https://t.co/PoQFWBEBZE</v>
      </c>
      <c r="AX344" s="76" t="b">
        <v>0</v>
      </c>
      <c r="AY344" s="76"/>
      <c r="AZ344" s="76"/>
      <c r="BA344" s="76" t="b">
        <v>0</v>
      </c>
      <c r="BB344" s="76" t="b">
        <v>1</v>
      </c>
      <c r="BC344" s="76" t="b">
        <v>1</v>
      </c>
      <c r="BD344" s="76" t="b">
        <v>0</v>
      </c>
      <c r="BE344" s="76" t="b">
        <v>0</v>
      </c>
      <c r="BF344" s="76" t="b">
        <v>0</v>
      </c>
      <c r="BG344" s="76" t="b">
        <v>0</v>
      </c>
      <c r="BH344" s="82" t="str">
        <f>HYPERLINK("https://pbs.twimg.com/profile_banners/32920184/1585971668")</f>
        <v>https://pbs.twimg.com/profile_banners/32920184/1585971668</v>
      </c>
      <c r="BI344" s="76"/>
      <c r="BJ344" s="76" t="s">
        <v>14450</v>
      </c>
      <c r="BK344" s="76" t="b">
        <v>0</v>
      </c>
      <c r="BL344" s="76"/>
      <c r="BM344" s="76" t="s">
        <v>66</v>
      </c>
      <c r="BN344" s="76" t="s">
        <v>14452</v>
      </c>
      <c r="BO344" s="82" t="str">
        <f>HYPERLINK("https://twitter.com/desdeparaguay")</f>
        <v>https://twitter.com/desdeparaguay</v>
      </c>
      <c r="BP344" s="2"/>
    </row>
    <row r="345" spans="1:68" x14ac:dyDescent="0.25">
      <c r="A345" s="62" t="s">
        <v>504</v>
      </c>
      <c r="B345" s="63"/>
      <c r="C345" s="63"/>
      <c r="D345" s="64"/>
      <c r="E345" s="66"/>
      <c r="F345" s="103" t="str">
        <f>HYPERLINK("https://pbs.twimg.com/profile_images/1157780273112715264/VrTYn4Si_normal.jpg")</f>
        <v>https://pbs.twimg.com/profile_images/1157780273112715264/VrTYn4Si_normal.jpg</v>
      </c>
      <c r="G345" s="63"/>
      <c r="H345" s="67"/>
      <c r="I345" s="68"/>
      <c r="J345" s="68"/>
      <c r="K345" s="67" t="s">
        <v>14794</v>
      </c>
      <c r="L345" s="71"/>
      <c r="M345" s="72"/>
      <c r="N345" s="72"/>
      <c r="O345" s="73"/>
      <c r="P345" s="74"/>
      <c r="Q345" s="74"/>
      <c r="R345" s="87"/>
      <c r="S345" s="87"/>
      <c r="T345" s="87"/>
      <c r="U345" s="87"/>
      <c r="V345" s="48"/>
      <c r="W345" s="48"/>
      <c r="X345" s="48"/>
      <c r="Y345" s="48"/>
      <c r="Z345" s="47"/>
      <c r="AA345" s="69">
        <v>345</v>
      </c>
      <c r="AB345" s="69"/>
      <c r="AC345" s="70"/>
      <c r="AD345" s="76" t="s">
        <v>12079</v>
      </c>
      <c r="AE345" s="80" t="s">
        <v>12654</v>
      </c>
      <c r="AF345" s="76">
        <v>15092</v>
      </c>
      <c r="AG345" s="76">
        <v>3790</v>
      </c>
      <c r="AH345" s="76">
        <v>40839</v>
      </c>
      <c r="AI345" s="76">
        <v>180</v>
      </c>
      <c r="AJ345" s="76">
        <v>10610</v>
      </c>
      <c r="AK345" s="76">
        <v>15716</v>
      </c>
      <c r="AL345" s="76" t="b">
        <v>0</v>
      </c>
      <c r="AM345" s="78">
        <v>40729.778067129628</v>
      </c>
      <c r="AN345" s="76" t="s">
        <v>12900</v>
      </c>
      <c r="AO345" s="76" t="s">
        <v>13535</v>
      </c>
      <c r="AP345" s="82" t="str">
        <f>HYPERLINK("https://t.co/diQhU18WJr")</f>
        <v>https://t.co/diQhU18WJr</v>
      </c>
      <c r="AQ345" s="82" t="str">
        <f>HYPERLINK("https://www.sonoticiaboa.com.br/")</f>
        <v>https://www.sonoticiaboa.com.br/</v>
      </c>
      <c r="AR345" s="76" t="s">
        <v>14108</v>
      </c>
      <c r="AS345" s="76"/>
      <c r="AT345" s="76"/>
      <c r="AU345" s="76"/>
      <c r="AV345" s="76">
        <v>1.7069977533629499E+18</v>
      </c>
      <c r="AW345" s="82" t="str">
        <f>HYPERLINK("https://t.co/diQhU18WJr")</f>
        <v>https://t.co/diQhU18WJr</v>
      </c>
      <c r="AX345" s="76" t="b">
        <v>0</v>
      </c>
      <c r="AY345" s="76"/>
      <c r="AZ345" s="76"/>
      <c r="BA345" s="76" t="b">
        <v>1</v>
      </c>
      <c r="BB345" s="76" t="b">
        <v>1</v>
      </c>
      <c r="BC345" s="76" t="b">
        <v>0</v>
      </c>
      <c r="BD345" s="76" t="b">
        <v>0</v>
      </c>
      <c r="BE345" s="76" t="b">
        <v>0</v>
      </c>
      <c r="BF345" s="76" t="b">
        <v>0</v>
      </c>
      <c r="BG345" s="76" t="b">
        <v>1</v>
      </c>
      <c r="BH345" s="82" t="str">
        <f>HYPERLINK("https://pbs.twimg.com/profile_banners/329857969/1564871306")</f>
        <v>https://pbs.twimg.com/profile_banners/329857969/1564871306</v>
      </c>
      <c r="BI345" s="76"/>
      <c r="BJ345" s="76" t="s">
        <v>14450</v>
      </c>
      <c r="BK345" s="76" t="b">
        <v>0</v>
      </c>
      <c r="BL345" s="76"/>
      <c r="BM345" s="76" t="s">
        <v>66</v>
      </c>
      <c r="BN345" s="76" t="s">
        <v>14452</v>
      </c>
      <c r="BO345" s="82" t="str">
        <f>HYPERLINK("https://twitter.com/sonoticiaboaofc")</f>
        <v>https://twitter.com/sonoticiaboaofc</v>
      </c>
      <c r="BP345" s="2"/>
    </row>
    <row r="346" spans="1:68" x14ac:dyDescent="0.25">
      <c r="A346" s="62" t="s">
        <v>925</v>
      </c>
      <c r="B346" s="63"/>
      <c r="C346" s="63"/>
      <c r="D346" s="64"/>
      <c r="E346" s="66"/>
      <c r="F346" s="103" t="str">
        <f>HYPERLINK("https://pbs.twimg.com/profile_images/1645789885935292429/bukxn-7h_normal.jpg")</f>
        <v>https://pbs.twimg.com/profile_images/1645789885935292429/bukxn-7h_normal.jpg</v>
      </c>
      <c r="G346" s="63"/>
      <c r="H346" s="67"/>
      <c r="I346" s="68"/>
      <c r="J346" s="68"/>
      <c r="K346" s="67" t="s">
        <v>14795</v>
      </c>
      <c r="L346" s="71"/>
      <c r="M346" s="72"/>
      <c r="N346" s="72"/>
      <c r="O346" s="73"/>
      <c r="P346" s="74"/>
      <c r="Q346" s="74"/>
      <c r="R346" s="87"/>
      <c r="S346" s="87"/>
      <c r="T346" s="87"/>
      <c r="U346" s="87"/>
      <c r="V346" s="48"/>
      <c r="W346" s="48"/>
      <c r="X346" s="48"/>
      <c r="Y346" s="48"/>
      <c r="Z346" s="47"/>
      <c r="AA346" s="69">
        <v>346</v>
      </c>
      <c r="AB346" s="69"/>
      <c r="AC346" s="70"/>
      <c r="AD346" s="76" t="s">
        <v>12080</v>
      </c>
      <c r="AE346" s="80" t="s">
        <v>12655</v>
      </c>
      <c r="AF346" s="76">
        <v>419</v>
      </c>
      <c r="AG346" s="76">
        <v>47</v>
      </c>
      <c r="AH346" s="76">
        <v>496</v>
      </c>
      <c r="AI346" s="76">
        <v>0</v>
      </c>
      <c r="AJ346" s="76">
        <v>828</v>
      </c>
      <c r="AK346" s="76">
        <v>246</v>
      </c>
      <c r="AL346" s="76" t="b">
        <v>0</v>
      </c>
      <c r="AM346" s="78">
        <v>43864.878506944442</v>
      </c>
      <c r="AN346" s="76" t="s">
        <v>13044</v>
      </c>
      <c r="AO346" s="76" t="s">
        <v>13536</v>
      </c>
      <c r="AP346" s="82" t="str">
        <f>HYPERLINK("https://t.co/g0MmHTnfIn")</f>
        <v>https://t.co/g0MmHTnfIn</v>
      </c>
      <c r="AQ346" s="82" t="str">
        <f>HYPERLINK("https://parceirosbrilhantes.com.br")</f>
        <v>https://parceirosbrilhantes.com.br</v>
      </c>
      <c r="AR346" s="76" t="s">
        <v>14109</v>
      </c>
      <c r="AS346" s="76"/>
      <c r="AT346" s="76"/>
      <c r="AU346" s="76"/>
      <c r="AV346" s="76"/>
      <c r="AW346" s="82" t="str">
        <f>HYPERLINK("https://t.co/g0MmHTnfIn")</f>
        <v>https://t.co/g0MmHTnfIn</v>
      </c>
      <c r="AX346" s="76" t="b">
        <v>0</v>
      </c>
      <c r="AY346" s="76"/>
      <c r="AZ346" s="76"/>
      <c r="BA346" s="76" t="b">
        <v>1</v>
      </c>
      <c r="BB346" s="76" t="b">
        <v>1</v>
      </c>
      <c r="BC346" s="76" t="b">
        <v>1</v>
      </c>
      <c r="BD346" s="76" t="b">
        <v>0</v>
      </c>
      <c r="BE346" s="76" t="b">
        <v>0</v>
      </c>
      <c r="BF346" s="76" t="b">
        <v>0</v>
      </c>
      <c r="BG346" s="76" t="b">
        <v>0</v>
      </c>
      <c r="BH346" s="82" t="str">
        <f>HYPERLINK("https://pbs.twimg.com/profile_banners/1224438625758261255/1681221861")</f>
        <v>https://pbs.twimg.com/profile_banners/1224438625758261255/1681221861</v>
      </c>
      <c r="BI346" s="76"/>
      <c r="BJ346" s="76" t="s">
        <v>14450</v>
      </c>
      <c r="BK346" s="76" t="b">
        <v>0</v>
      </c>
      <c r="BL346" s="76"/>
      <c r="BM346" s="76" t="s">
        <v>65</v>
      </c>
      <c r="BN346" s="76" t="s">
        <v>14452</v>
      </c>
      <c r="BO346" s="82" t="str">
        <f>HYPERLINK("https://twitter.com/parcbrilhantes")</f>
        <v>https://twitter.com/parcbrilhantes</v>
      </c>
      <c r="BP346" s="2"/>
    </row>
    <row r="347" spans="1:68" x14ac:dyDescent="0.25">
      <c r="A347" s="62" t="s">
        <v>926</v>
      </c>
      <c r="B347" s="63"/>
      <c r="C347" s="63"/>
      <c r="D347" s="64"/>
      <c r="E347" s="66"/>
      <c r="F347" s="103" t="str">
        <f>HYPERLINK("https://pbs.twimg.com/profile_images/1380111110683115529/E9AjUf03_normal.jpg")</f>
        <v>https://pbs.twimg.com/profile_images/1380111110683115529/E9AjUf03_normal.jpg</v>
      </c>
      <c r="G347" s="63"/>
      <c r="H347" s="67"/>
      <c r="I347" s="68"/>
      <c r="J347" s="68"/>
      <c r="K347" s="67" t="s">
        <v>14796</v>
      </c>
      <c r="L347" s="71"/>
      <c r="M347" s="72"/>
      <c r="N347" s="72"/>
      <c r="O347" s="73"/>
      <c r="P347" s="74"/>
      <c r="Q347" s="74"/>
      <c r="R347" s="87"/>
      <c r="S347" s="87"/>
      <c r="T347" s="87"/>
      <c r="U347" s="87"/>
      <c r="V347" s="48"/>
      <c r="W347" s="48"/>
      <c r="X347" s="48"/>
      <c r="Y347" s="48"/>
      <c r="Z347" s="47"/>
      <c r="AA347" s="69">
        <v>347</v>
      </c>
      <c r="AB347" s="69"/>
      <c r="AC347" s="70"/>
      <c r="AD347" s="76" t="s">
        <v>12081</v>
      </c>
      <c r="AE347" s="80" t="s">
        <v>12656</v>
      </c>
      <c r="AF347" s="76">
        <v>25</v>
      </c>
      <c r="AG347" s="76">
        <v>7</v>
      </c>
      <c r="AH347" s="76">
        <v>154</v>
      </c>
      <c r="AI347" s="76">
        <v>0</v>
      </c>
      <c r="AJ347" s="76">
        <v>8</v>
      </c>
      <c r="AK347" s="76">
        <v>102</v>
      </c>
      <c r="AL347" s="76" t="b">
        <v>0</v>
      </c>
      <c r="AM347" s="78">
        <v>44245.860509259262</v>
      </c>
      <c r="AN347" s="76"/>
      <c r="AO347" s="76" t="s">
        <v>13537</v>
      </c>
      <c r="AP347" s="82" t="str">
        <f>HYPERLINK("https://t.co/IHilwy2zet")</f>
        <v>https://t.co/IHilwy2zet</v>
      </c>
      <c r="AQ347" s="82" t="str">
        <f>HYPERLINK("http://www.sovaquinhaboa.com.br")</f>
        <v>http://www.sovaquinhaboa.com.br</v>
      </c>
      <c r="AR347" s="76" t="s">
        <v>14110</v>
      </c>
      <c r="AS347" s="76"/>
      <c r="AT347" s="76"/>
      <c r="AU347" s="76"/>
      <c r="AV347" s="76"/>
      <c r="AW347" s="82" t="str">
        <f>HYPERLINK("https://t.co/IHilwy2zet")</f>
        <v>https://t.co/IHilwy2zet</v>
      </c>
      <c r="AX347" s="76" t="b">
        <v>0</v>
      </c>
      <c r="AY347" s="76"/>
      <c r="AZ347" s="76"/>
      <c r="BA347" s="76" t="b">
        <v>0</v>
      </c>
      <c r="BB347" s="76" t="b">
        <v>1</v>
      </c>
      <c r="BC347" s="76" t="b">
        <v>1</v>
      </c>
      <c r="BD347" s="76" t="b">
        <v>0</v>
      </c>
      <c r="BE347" s="76" t="b">
        <v>0</v>
      </c>
      <c r="BF347" s="76" t="b">
        <v>0</v>
      </c>
      <c r="BG347" s="76" t="b">
        <v>0</v>
      </c>
      <c r="BH347" s="82" t="str">
        <f>HYPERLINK("https://pbs.twimg.com/profile_banners/1362501875082420230/1617880447")</f>
        <v>https://pbs.twimg.com/profile_banners/1362501875082420230/1617880447</v>
      </c>
      <c r="BI347" s="76"/>
      <c r="BJ347" s="76" t="s">
        <v>14450</v>
      </c>
      <c r="BK347" s="76" t="b">
        <v>0</v>
      </c>
      <c r="BL347" s="76"/>
      <c r="BM347" s="76" t="s">
        <v>65</v>
      </c>
      <c r="BN347" s="76" t="s">
        <v>14452</v>
      </c>
      <c r="BO347" s="82" t="str">
        <f>HYPERLINK("https://twitter.com/sovaquinhaboa")</f>
        <v>https://twitter.com/sovaquinhaboa</v>
      </c>
      <c r="BP347" s="2"/>
    </row>
    <row r="348" spans="1:68" x14ac:dyDescent="0.25">
      <c r="A348" s="62" t="s">
        <v>505</v>
      </c>
      <c r="B348" s="63"/>
      <c r="C348" s="63"/>
      <c r="D348" s="64"/>
      <c r="E348" s="66"/>
      <c r="F348" s="103" t="str">
        <f>HYPERLINK("https://pbs.twimg.com/profile_images/1706386134501044224/ALwlYs1l_normal.jpg")</f>
        <v>https://pbs.twimg.com/profile_images/1706386134501044224/ALwlYs1l_normal.jpg</v>
      </c>
      <c r="G348" s="63"/>
      <c r="H348" s="67"/>
      <c r="I348" s="68"/>
      <c r="J348" s="68"/>
      <c r="K348" s="67" t="s">
        <v>14797</v>
      </c>
      <c r="L348" s="71"/>
      <c r="M348" s="72"/>
      <c r="N348" s="72"/>
      <c r="O348" s="73"/>
      <c r="P348" s="74"/>
      <c r="Q348" s="74"/>
      <c r="R348" s="87"/>
      <c r="S348" s="87"/>
      <c r="T348" s="87"/>
      <c r="U348" s="87"/>
      <c r="V348" s="48"/>
      <c r="W348" s="48"/>
      <c r="X348" s="48"/>
      <c r="Y348" s="48"/>
      <c r="Z348" s="47"/>
      <c r="AA348" s="69">
        <v>348</v>
      </c>
      <c r="AB348" s="69"/>
      <c r="AC348" s="70"/>
      <c r="AD348" s="76" t="s">
        <v>12082</v>
      </c>
      <c r="AE348" s="80" t="s">
        <v>12657</v>
      </c>
      <c r="AF348" s="76">
        <v>1393</v>
      </c>
      <c r="AG348" s="76">
        <v>1741</v>
      </c>
      <c r="AH348" s="76">
        <v>100187</v>
      </c>
      <c r="AI348" s="76">
        <v>9</v>
      </c>
      <c r="AJ348" s="76">
        <v>41643</v>
      </c>
      <c r="AK348" s="76">
        <v>2650</v>
      </c>
      <c r="AL348" s="76" t="b">
        <v>0</v>
      </c>
      <c r="AM348" s="78">
        <v>39944.924097222225</v>
      </c>
      <c r="AN348" s="76"/>
      <c r="AO348" s="76" t="s">
        <v>13538</v>
      </c>
      <c r="AP348" s="82" t="str">
        <f>HYPERLINK("https://t.co/CXdGjJRRLv")</f>
        <v>https://t.co/CXdGjJRRLv</v>
      </c>
      <c r="AQ348" s="82" t="str">
        <f>HYPERLINK("http://www.casada.com")</f>
        <v>http://www.casada.com</v>
      </c>
      <c r="AR348" s="76" t="s">
        <v>14111</v>
      </c>
      <c r="AS348" s="76"/>
      <c r="AT348" s="76"/>
      <c r="AU348" s="76"/>
      <c r="AV348" s="76"/>
      <c r="AW348" s="82" t="str">
        <f>HYPERLINK("https://t.co/CXdGjJRRLv")</f>
        <v>https://t.co/CXdGjJRRLv</v>
      </c>
      <c r="AX348" s="76" t="b">
        <v>0</v>
      </c>
      <c r="AY348" s="76"/>
      <c r="AZ348" s="76"/>
      <c r="BA348" s="76" t="b">
        <v>1</v>
      </c>
      <c r="BB348" s="76" t="b">
        <v>0</v>
      </c>
      <c r="BC348" s="76" t="b">
        <v>0</v>
      </c>
      <c r="BD348" s="76" t="b">
        <v>0</v>
      </c>
      <c r="BE348" s="76" t="b">
        <v>1</v>
      </c>
      <c r="BF348" s="76" t="b">
        <v>0</v>
      </c>
      <c r="BG348" s="76" t="b">
        <v>0</v>
      </c>
      <c r="BH348" s="82" t="str">
        <f>HYPERLINK("https://pbs.twimg.com/profile_banners/39355971/1671947924")</f>
        <v>https://pbs.twimg.com/profile_banners/39355971/1671947924</v>
      </c>
      <c r="BI348" s="76"/>
      <c r="BJ348" s="76" t="s">
        <v>14450</v>
      </c>
      <c r="BK348" s="76" t="b">
        <v>0</v>
      </c>
      <c r="BL348" s="76"/>
      <c r="BM348" s="76" t="s">
        <v>66</v>
      </c>
      <c r="BN348" s="76" t="s">
        <v>14452</v>
      </c>
      <c r="BO348" s="82" t="str">
        <f>HYPERLINK("https://twitter.com/carolcamponez")</f>
        <v>https://twitter.com/carolcamponez</v>
      </c>
      <c r="BP348" s="2"/>
    </row>
    <row r="349" spans="1:68" x14ac:dyDescent="0.25">
      <c r="A349" s="62" t="s">
        <v>506</v>
      </c>
      <c r="B349" s="63"/>
      <c r="C349" s="63"/>
      <c r="D349" s="64"/>
      <c r="E349" s="66"/>
      <c r="F349" s="103" t="str">
        <f>HYPERLINK("https://pbs.twimg.com/profile_images/927814721574711296/dbEGz1hz_normal.jpg")</f>
        <v>https://pbs.twimg.com/profile_images/927814721574711296/dbEGz1hz_normal.jpg</v>
      </c>
      <c r="G349" s="63"/>
      <c r="H349" s="67"/>
      <c r="I349" s="68"/>
      <c r="J349" s="68"/>
      <c r="K349" s="67" t="s">
        <v>14798</v>
      </c>
      <c r="L349" s="71"/>
      <c r="M349" s="72"/>
      <c r="N349" s="72"/>
      <c r="O349" s="73"/>
      <c r="P349" s="74"/>
      <c r="Q349" s="74"/>
      <c r="R349" s="87"/>
      <c r="S349" s="87"/>
      <c r="T349" s="87"/>
      <c r="U349" s="87"/>
      <c r="V349" s="48"/>
      <c r="W349" s="48"/>
      <c r="X349" s="48"/>
      <c r="Y349" s="48"/>
      <c r="Z349" s="47"/>
      <c r="AA349" s="69">
        <v>349</v>
      </c>
      <c r="AB349" s="69"/>
      <c r="AC349" s="70"/>
      <c r="AD349" s="76" t="s">
        <v>506</v>
      </c>
      <c r="AE349" s="80" t="s">
        <v>12658</v>
      </c>
      <c r="AF349" s="76">
        <v>993</v>
      </c>
      <c r="AG349" s="76">
        <v>1011</v>
      </c>
      <c r="AH349" s="76">
        <v>14415</v>
      </c>
      <c r="AI349" s="76">
        <v>55</v>
      </c>
      <c r="AJ349" s="76">
        <v>65</v>
      </c>
      <c r="AK349" s="76">
        <v>4044</v>
      </c>
      <c r="AL349" s="76" t="b">
        <v>0</v>
      </c>
      <c r="AM349" s="78">
        <v>40856.481458333335</v>
      </c>
      <c r="AN349" s="76" t="s">
        <v>7801</v>
      </c>
      <c r="AO349" s="76" t="s">
        <v>13539</v>
      </c>
      <c r="AP349" s="82" t="str">
        <f>HYPERLINK("http://t.co/Hkgbhdq8Gm")</f>
        <v>http://t.co/Hkgbhdq8Gm</v>
      </c>
      <c r="AQ349" s="82" t="str">
        <f>HYPERLINK("http://fotoganando.com")</f>
        <v>http://fotoganando.com</v>
      </c>
      <c r="AR349" s="76" t="s">
        <v>14112</v>
      </c>
      <c r="AS349" s="76"/>
      <c r="AT349" s="76"/>
      <c r="AU349" s="76"/>
      <c r="AV349" s="76"/>
      <c r="AW349" s="82" t="str">
        <f>HYPERLINK("http://t.co/Hkgbhdq8Gm")</f>
        <v>http://t.co/Hkgbhdq8Gm</v>
      </c>
      <c r="AX349" s="76" t="b">
        <v>0</v>
      </c>
      <c r="AY349" s="76"/>
      <c r="AZ349" s="76"/>
      <c r="BA349" s="76" t="b">
        <v>0</v>
      </c>
      <c r="BB349" s="76" t="b">
        <v>1</v>
      </c>
      <c r="BC349" s="76" t="b">
        <v>0</v>
      </c>
      <c r="BD349" s="76" t="b">
        <v>0</v>
      </c>
      <c r="BE349" s="76" t="b">
        <v>0</v>
      </c>
      <c r="BF349" s="76" t="b">
        <v>0</v>
      </c>
      <c r="BG349" s="76" t="b">
        <v>0</v>
      </c>
      <c r="BH349" s="82" t="str">
        <f>HYPERLINK("https://pbs.twimg.com/profile_banners/408407234/1481194980")</f>
        <v>https://pbs.twimg.com/profile_banners/408407234/1481194980</v>
      </c>
      <c r="BI349" s="76"/>
      <c r="BJ349" s="76" t="s">
        <v>14450</v>
      </c>
      <c r="BK349" s="76" t="b">
        <v>0</v>
      </c>
      <c r="BL349" s="76"/>
      <c r="BM349" s="76" t="s">
        <v>66</v>
      </c>
      <c r="BN349" s="76" t="s">
        <v>14452</v>
      </c>
      <c r="BO349" s="82" t="str">
        <f>HYPERLINK("https://twitter.com/fotoganando")</f>
        <v>https://twitter.com/fotoganando</v>
      </c>
      <c r="BP349" s="2"/>
    </row>
    <row r="350" spans="1:68" x14ac:dyDescent="0.25">
      <c r="A350" s="62" t="s">
        <v>507</v>
      </c>
      <c r="B350" s="63"/>
      <c r="C350" s="63"/>
      <c r="D350" s="64"/>
      <c r="E350" s="66"/>
      <c r="F350" s="103" t="str">
        <f>HYPERLINK("https://pbs.twimg.com/profile_images/1251632128166629378/qmXQ_3Ip_normal.jpg")</f>
        <v>https://pbs.twimg.com/profile_images/1251632128166629378/qmXQ_3Ip_normal.jpg</v>
      </c>
      <c r="G350" s="63"/>
      <c r="H350" s="67"/>
      <c r="I350" s="68"/>
      <c r="J350" s="68"/>
      <c r="K350" s="67" t="s">
        <v>14799</v>
      </c>
      <c r="L350" s="71"/>
      <c r="M350" s="72"/>
      <c r="N350" s="72"/>
      <c r="O350" s="73"/>
      <c r="P350" s="74"/>
      <c r="Q350" s="74"/>
      <c r="R350" s="87"/>
      <c r="S350" s="87"/>
      <c r="T350" s="87"/>
      <c r="U350" s="87"/>
      <c r="V350" s="48"/>
      <c r="W350" s="48"/>
      <c r="X350" s="48"/>
      <c r="Y350" s="48"/>
      <c r="Z350" s="47"/>
      <c r="AA350" s="69">
        <v>350</v>
      </c>
      <c r="AB350" s="69"/>
      <c r="AC350" s="70"/>
      <c r="AD350" s="76" t="s">
        <v>12083</v>
      </c>
      <c r="AE350" s="80" t="s">
        <v>11545</v>
      </c>
      <c r="AF350" s="76">
        <v>25</v>
      </c>
      <c r="AG350" s="76">
        <v>243</v>
      </c>
      <c r="AH350" s="76">
        <v>709</v>
      </c>
      <c r="AI350" s="76">
        <v>0</v>
      </c>
      <c r="AJ350" s="76">
        <v>171</v>
      </c>
      <c r="AK350" s="76">
        <v>16</v>
      </c>
      <c r="AL350" s="76" t="b">
        <v>0</v>
      </c>
      <c r="AM350" s="78">
        <v>43115.763067129628</v>
      </c>
      <c r="AN350" s="76"/>
      <c r="AO350" s="76" t="s">
        <v>13540</v>
      </c>
      <c r="AP350" s="76"/>
      <c r="AQ350" s="76"/>
      <c r="AR350" s="76"/>
      <c r="AS350" s="76" t="s">
        <v>14375</v>
      </c>
      <c r="AT350" s="76" t="s">
        <v>14387</v>
      </c>
      <c r="AU350" s="76" t="s">
        <v>14421</v>
      </c>
      <c r="AV350" s="76"/>
      <c r="AW350" s="76"/>
      <c r="AX350" s="76" t="b">
        <v>0</v>
      </c>
      <c r="AY350" s="76"/>
      <c r="AZ350" s="76"/>
      <c r="BA350" s="76" t="b">
        <v>0</v>
      </c>
      <c r="BB350" s="76" t="b">
        <v>1</v>
      </c>
      <c r="BC350" s="76" t="b">
        <v>1</v>
      </c>
      <c r="BD350" s="76" t="b">
        <v>0</v>
      </c>
      <c r="BE350" s="76" t="b">
        <v>1</v>
      </c>
      <c r="BF350" s="76" t="b">
        <v>0</v>
      </c>
      <c r="BG350" s="76" t="b">
        <v>0</v>
      </c>
      <c r="BH350" s="82" t="str">
        <f>HYPERLINK("https://pbs.twimg.com/profile_banners/952968326606671872/1587247389")</f>
        <v>https://pbs.twimg.com/profile_banners/952968326606671872/1587247389</v>
      </c>
      <c r="BI350" s="76"/>
      <c r="BJ350" s="76" t="s">
        <v>14450</v>
      </c>
      <c r="BK350" s="76" t="b">
        <v>0</v>
      </c>
      <c r="BL350" s="76"/>
      <c r="BM350" s="76" t="s">
        <v>66</v>
      </c>
      <c r="BN350" s="76" t="s">
        <v>14452</v>
      </c>
      <c r="BO350" s="82" t="str">
        <f>HYPERLINK("https://twitter.com/rafaelcineasta7")</f>
        <v>https://twitter.com/rafaelcineasta7</v>
      </c>
      <c r="BP350" s="2"/>
    </row>
    <row r="351" spans="1:68" x14ac:dyDescent="0.25">
      <c r="A351" s="62" t="s">
        <v>508</v>
      </c>
      <c r="B351" s="63"/>
      <c r="C351" s="63"/>
      <c r="D351" s="64"/>
      <c r="E351" s="66"/>
      <c r="F351" s="103" t="str">
        <f>HYPERLINK("https://pbs.twimg.com/profile_images/1595420833031258113/LYxCj5Mz_normal.jpg")</f>
        <v>https://pbs.twimg.com/profile_images/1595420833031258113/LYxCj5Mz_normal.jpg</v>
      </c>
      <c r="G351" s="63"/>
      <c r="H351" s="67"/>
      <c r="I351" s="68"/>
      <c r="J351" s="68"/>
      <c r="K351" s="67" t="s">
        <v>14800</v>
      </c>
      <c r="L351" s="71"/>
      <c r="M351" s="72"/>
      <c r="N351" s="72"/>
      <c r="O351" s="73"/>
      <c r="P351" s="74"/>
      <c r="Q351" s="74"/>
      <c r="R351" s="87"/>
      <c r="S351" s="87"/>
      <c r="T351" s="87"/>
      <c r="U351" s="87"/>
      <c r="V351" s="48"/>
      <c r="W351" s="48"/>
      <c r="X351" s="48"/>
      <c r="Y351" s="48"/>
      <c r="Z351" s="47"/>
      <c r="AA351" s="69">
        <v>351</v>
      </c>
      <c r="AB351" s="69"/>
      <c r="AC351" s="70"/>
      <c r="AD351" s="76" t="s">
        <v>12084</v>
      </c>
      <c r="AE351" s="80" t="s">
        <v>12659</v>
      </c>
      <c r="AF351" s="76">
        <v>323</v>
      </c>
      <c r="AG351" s="76">
        <v>589</v>
      </c>
      <c r="AH351" s="76">
        <v>4773</v>
      </c>
      <c r="AI351" s="76">
        <v>1</v>
      </c>
      <c r="AJ351" s="76">
        <v>11030</v>
      </c>
      <c r="AK351" s="76">
        <v>1348</v>
      </c>
      <c r="AL351" s="76" t="b">
        <v>0</v>
      </c>
      <c r="AM351" s="78">
        <v>42356.706018518518</v>
      </c>
      <c r="AN351" s="76" t="s">
        <v>13045</v>
      </c>
      <c r="AO351" s="76" t="s">
        <v>13541</v>
      </c>
      <c r="AP351" s="82" t="str">
        <f>HYPERLINK("https://t.co/l98kHGXzDx")</f>
        <v>https://t.co/l98kHGXzDx</v>
      </c>
      <c r="AQ351" s="82" t="str">
        <f>HYPERLINK("https://www.facebook.com/noelia.ferreira.906")</f>
        <v>https://www.facebook.com/noelia.ferreira.906</v>
      </c>
      <c r="AR351" s="76" t="s">
        <v>14113</v>
      </c>
      <c r="AS351" s="76"/>
      <c r="AT351" s="76"/>
      <c r="AU351" s="76"/>
      <c r="AV351" s="76">
        <v>1.68771686394851E+18</v>
      </c>
      <c r="AW351" s="82" t="str">
        <f>HYPERLINK("https://t.co/l98kHGXzDx")</f>
        <v>https://t.co/l98kHGXzDx</v>
      </c>
      <c r="AX351" s="76" t="b">
        <v>0</v>
      </c>
      <c r="AY351" s="76"/>
      <c r="AZ351" s="76"/>
      <c r="BA351" s="76" t="b">
        <v>1</v>
      </c>
      <c r="BB351" s="76" t="b">
        <v>1</v>
      </c>
      <c r="BC351" s="76" t="b">
        <v>0</v>
      </c>
      <c r="BD351" s="76" t="b">
        <v>0</v>
      </c>
      <c r="BE351" s="76" t="b">
        <v>0</v>
      </c>
      <c r="BF351" s="76" t="b">
        <v>0</v>
      </c>
      <c r="BG351" s="76" t="b">
        <v>0</v>
      </c>
      <c r="BH351" s="82" t="str">
        <f>HYPERLINK("https://pbs.twimg.com/profile_banners/4526577023/1552073875")</f>
        <v>https://pbs.twimg.com/profile_banners/4526577023/1552073875</v>
      </c>
      <c r="BI351" s="76"/>
      <c r="BJ351" s="76" t="s">
        <v>14450</v>
      </c>
      <c r="BK351" s="76" t="b">
        <v>0</v>
      </c>
      <c r="BL351" s="76"/>
      <c r="BM351" s="76" t="s">
        <v>66</v>
      </c>
      <c r="BN351" s="76" t="s">
        <v>14452</v>
      </c>
      <c r="BO351" s="82" t="str">
        <f>HYPERLINK("https://twitter.com/noejaz77")</f>
        <v>https://twitter.com/noejaz77</v>
      </c>
      <c r="BP351" s="2"/>
    </row>
    <row r="352" spans="1:68" x14ac:dyDescent="0.25">
      <c r="A352" s="62" t="s">
        <v>509</v>
      </c>
      <c r="B352" s="63"/>
      <c r="C352" s="63"/>
      <c r="D352" s="64"/>
      <c r="E352" s="66"/>
      <c r="F352" s="103" t="str">
        <f>HYPERLINK("https://pbs.twimg.com/profile_images/1701252345835757569/JFMjUgx5_normal.jpg")</f>
        <v>https://pbs.twimg.com/profile_images/1701252345835757569/JFMjUgx5_normal.jpg</v>
      </c>
      <c r="G352" s="63"/>
      <c r="H352" s="67"/>
      <c r="I352" s="68"/>
      <c r="J352" s="68"/>
      <c r="K352" s="67" t="s">
        <v>14801</v>
      </c>
      <c r="L352" s="71"/>
      <c r="M352" s="72"/>
      <c r="N352" s="72"/>
      <c r="O352" s="73"/>
      <c r="P352" s="74"/>
      <c r="Q352" s="74"/>
      <c r="R352" s="87"/>
      <c r="S352" s="87"/>
      <c r="T352" s="87"/>
      <c r="U352" s="87"/>
      <c r="V352" s="48"/>
      <c r="W352" s="48"/>
      <c r="X352" s="48"/>
      <c r="Y352" s="48"/>
      <c r="Z352" s="47"/>
      <c r="AA352" s="69">
        <v>352</v>
      </c>
      <c r="AB352" s="69"/>
      <c r="AC352" s="70"/>
      <c r="AD352" s="76" t="s">
        <v>12085</v>
      </c>
      <c r="AE352" s="80" t="s">
        <v>11546</v>
      </c>
      <c r="AF352" s="76">
        <v>24</v>
      </c>
      <c r="AG352" s="76">
        <v>49</v>
      </c>
      <c r="AH352" s="76">
        <v>225</v>
      </c>
      <c r="AI352" s="76">
        <v>0</v>
      </c>
      <c r="AJ352" s="76">
        <v>269</v>
      </c>
      <c r="AK352" s="76">
        <v>174</v>
      </c>
      <c r="AL352" s="76" t="b">
        <v>0</v>
      </c>
      <c r="AM352" s="78">
        <v>44733.708923611113</v>
      </c>
      <c r="AN352" s="76" t="s">
        <v>13046</v>
      </c>
      <c r="AO352" s="76" t="s">
        <v>13542</v>
      </c>
      <c r="AP352" s="82" t="str">
        <f>HYPERLINK("https://t.co/wHDptCms4n")</f>
        <v>https://t.co/wHDptCms4n</v>
      </c>
      <c r="AQ352" s="82" t="str">
        <f>HYPERLINK("http://www.tklegal.com.br")</f>
        <v>http://www.tklegal.com.br</v>
      </c>
      <c r="AR352" s="76" t="s">
        <v>14114</v>
      </c>
      <c r="AS352" s="76"/>
      <c r="AT352" s="76"/>
      <c r="AU352" s="76"/>
      <c r="AV352" s="76"/>
      <c r="AW352" s="82" t="str">
        <f>HYPERLINK("https://t.co/wHDptCms4n")</f>
        <v>https://t.co/wHDptCms4n</v>
      </c>
      <c r="AX352" s="76" t="b">
        <v>0</v>
      </c>
      <c r="AY352" s="76"/>
      <c r="AZ352" s="76"/>
      <c r="BA352" s="76" t="b">
        <v>0</v>
      </c>
      <c r="BB352" s="76" t="b">
        <v>1</v>
      </c>
      <c r="BC352" s="76" t="b">
        <v>1</v>
      </c>
      <c r="BD352" s="76" t="b">
        <v>0</v>
      </c>
      <c r="BE352" s="76" t="b">
        <v>0</v>
      </c>
      <c r="BF352" s="76" t="b">
        <v>0</v>
      </c>
      <c r="BG352" s="76" t="b">
        <v>0</v>
      </c>
      <c r="BH352" s="82" t="str">
        <f>HYPERLINK("https://pbs.twimg.com/profile_banners/1539292216857853952/1658264555")</f>
        <v>https://pbs.twimg.com/profile_banners/1539292216857853952/1658264555</v>
      </c>
      <c r="BI352" s="76"/>
      <c r="BJ352" s="76" t="s">
        <v>14450</v>
      </c>
      <c r="BK352" s="76" t="b">
        <v>0</v>
      </c>
      <c r="BL352" s="76"/>
      <c r="BM352" s="76" t="s">
        <v>66</v>
      </c>
      <c r="BN352" s="76" t="s">
        <v>14452</v>
      </c>
      <c r="BO352" s="82" t="str">
        <f>HYPERLINK("https://twitter.com/advtalinykrein")</f>
        <v>https://twitter.com/advtalinykrein</v>
      </c>
      <c r="BP352" s="2"/>
    </row>
    <row r="353" spans="1:68" x14ac:dyDescent="0.25">
      <c r="A353" s="62" t="s">
        <v>510</v>
      </c>
      <c r="B353" s="63"/>
      <c r="C353" s="63"/>
      <c r="D353" s="64"/>
      <c r="E353" s="66"/>
      <c r="F353" s="103" t="str">
        <f>HYPERLINK("https://pbs.twimg.com/profile_images/1595577433578676224/IPzPWw_q_normal.jpg")</f>
        <v>https://pbs.twimg.com/profile_images/1595577433578676224/IPzPWw_q_normal.jpg</v>
      </c>
      <c r="G353" s="63"/>
      <c r="H353" s="67"/>
      <c r="I353" s="68"/>
      <c r="J353" s="68"/>
      <c r="K353" s="67" t="s">
        <v>14802</v>
      </c>
      <c r="L353" s="71"/>
      <c r="M353" s="72"/>
      <c r="N353" s="72"/>
      <c r="O353" s="73"/>
      <c r="P353" s="74"/>
      <c r="Q353" s="74"/>
      <c r="R353" s="87"/>
      <c r="S353" s="87"/>
      <c r="T353" s="87"/>
      <c r="U353" s="87"/>
      <c r="V353" s="48"/>
      <c r="W353" s="48"/>
      <c r="X353" s="48"/>
      <c r="Y353" s="48"/>
      <c r="Z353" s="47"/>
      <c r="AA353" s="69">
        <v>353</v>
      </c>
      <c r="AB353" s="69"/>
      <c r="AC353" s="70"/>
      <c r="AD353" s="76" t="s">
        <v>12086</v>
      </c>
      <c r="AE353" s="80" t="s">
        <v>11547</v>
      </c>
      <c r="AF353" s="76">
        <v>24</v>
      </c>
      <c r="AG353" s="76">
        <v>46</v>
      </c>
      <c r="AH353" s="76">
        <v>34</v>
      </c>
      <c r="AI353" s="76">
        <v>1</v>
      </c>
      <c r="AJ353" s="76">
        <v>41</v>
      </c>
      <c r="AK353" s="76">
        <v>0</v>
      </c>
      <c r="AL353" s="76" t="b">
        <v>0</v>
      </c>
      <c r="AM353" s="78">
        <v>44889.026365740741</v>
      </c>
      <c r="AN353" s="76"/>
      <c r="AO353" s="76" t="s">
        <v>13543</v>
      </c>
      <c r="AP353" s="82" t="str">
        <f>HYPERLINK("https://t.co/MnDpAsjhzk")</f>
        <v>https://t.co/MnDpAsjhzk</v>
      </c>
      <c r="AQ353" s="82" t="str">
        <f>HYPERLINK("http://www.dinheironoseubolso.com.br")</f>
        <v>http://www.dinheironoseubolso.com.br</v>
      </c>
      <c r="AR353" s="76" t="s">
        <v>14115</v>
      </c>
      <c r="AS353" s="76"/>
      <c r="AT353" s="76"/>
      <c r="AU353" s="76"/>
      <c r="AV353" s="76"/>
      <c r="AW353" s="82" t="str">
        <f>HYPERLINK("https://t.co/MnDpAsjhzk")</f>
        <v>https://t.co/MnDpAsjhzk</v>
      </c>
      <c r="AX353" s="76" t="b">
        <v>0</v>
      </c>
      <c r="AY353" s="76"/>
      <c r="AZ353" s="76"/>
      <c r="BA353" s="76" t="b">
        <v>0</v>
      </c>
      <c r="BB353" s="76" t="b">
        <v>1</v>
      </c>
      <c r="BC353" s="76" t="b">
        <v>1</v>
      </c>
      <c r="BD353" s="76" t="b">
        <v>0</v>
      </c>
      <c r="BE353" s="76" t="b">
        <v>0</v>
      </c>
      <c r="BF353" s="76" t="b">
        <v>0</v>
      </c>
      <c r="BG353" s="76" t="b">
        <v>0</v>
      </c>
      <c r="BH353" s="76"/>
      <c r="BI353" s="76"/>
      <c r="BJ353" s="76" t="s">
        <v>14450</v>
      </c>
      <c r="BK353" s="76" t="b">
        <v>0</v>
      </c>
      <c r="BL353" s="76"/>
      <c r="BM353" s="76" t="s">
        <v>66</v>
      </c>
      <c r="BN353" s="76" t="s">
        <v>14452</v>
      </c>
      <c r="BO353" s="82" t="str">
        <f>HYPERLINK("https://twitter.com/crisperezmkt")</f>
        <v>https://twitter.com/crisperezmkt</v>
      </c>
      <c r="BP353" s="2"/>
    </row>
    <row r="354" spans="1:68" x14ac:dyDescent="0.25">
      <c r="A354" s="62" t="s">
        <v>511</v>
      </c>
      <c r="B354" s="63"/>
      <c r="C354" s="63"/>
      <c r="D354" s="64"/>
      <c r="E354" s="66"/>
      <c r="F354" s="103" t="str">
        <f>HYPERLINK("https://pbs.twimg.com/profile_images/1463832982180057093/FKOCslVU_normal.jpg")</f>
        <v>https://pbs.twimg.com/profile_images/1463832982180057093/FKOCslVU_normal.jpg</v>
      </c>
      <c r="G354" s="63"/>
      <c r="H354" s="67"/>
      <c r="I354" s="68"/>
      <c r="J354" s="68"/>
      <c r="K354" s="67" t="s">
        <v>14803</v>
      </c>
      <c r="L354" s="71"/>
      <c r="M354" s="72"/>
      <c r="N354" s="72"/>
      <c r="O354" s="73"/>
      <c r="P354" s="74"/>
      <c r="Q354" s="74"/>
      <c r="R354" s="87"/>
      <c r="S354" s="87"/>
      <c r="T354" s="87"/>
      <c r="U354" s="87"/>
      <c r="V354" s="48"/>
      <c r="W354" s="48"/>
      <c r="X354" s="48"/>
      <c r="Y354" s="48"/>
      <c r="Z354" s="47"/>
      <c r="AA354" s="69">
        <v>354</v>
      </c>
      <c r="AB354" s="69"/>
      <c r="AC354" s="70"/>
      <c r="AD354" s="76" t="s">
        <v>12087</v>
      </c>
      <c r="AE354" s="80" t="s">
        <v>12660</v>
      </c>
      <c r="AF354" s="76">
        <v>253</v>
      </c>
      <c r="AG354" s="76">
        <v>632</v>
      </c>
      <c r="AH354" s="76">
        <v>8427</v>
      </c>
      <c r="AI354" s="76">
        <v>7</v>
      </c>
      <c r="AJ354" s="76">
        <v>2131</v>
      </c>
      <c r="AK354" s="76">
        <v>2223</v>
      </c>
      <c r="AL354" s="76" t="b">
        <v>0</v>
      </c>
      <c r="AM354" s="78">
        <v>39981.883043981485</v>
      </c>
      <c r="AN354" s="76" t="s">
        <v>12888</v>
      </c>
      <c r="AO354" s="76" t="s">
        <v>13544</v>
      </c>
      <c r="AP354" s="76"/>
      <c r="AQ354" s="76"/>
      <c r="AR354" s="76"/>
      <c r="AS354" s="76"/>
      <c r="AT354" s="76"/>
      <c r="AU354" s="76"/>
      <c r="AV354" s="76">
        <v>1.7062018765075699E+18</v>
      </c>
      <c r="AW354" s="76"/>
      <c r="AX354" s="76" t="b">
        <v>0</v>
      </c>
      <c r="AY354" s="76"/>
      <c r="AZ354" s="76"/>
      <c r="BA354" s="76" t="b">
        <v>1</v>
      </c>
      <c r="BB354" s="76" t="b">
        <v>1</v>
      </c>
      <c r="BC354" s="76" t="b">
        <v>1</v>
      </c>
      <c r="BD354" s="76" t="b">
        <v>0</v>
      </c>
      <c r="BE354" s="76" t="b">
        <v>1</v>
      </c>
      <c r="BF354" s="76" t="b">
        <v>0</v>
      </c>
      <c r="BG354" s="76" t="b">
        <v>0</v>
      </c>
      <c r="BH354" s="82" t="str">
        <f>HYPERLINK("https://pbs.twimg.com/profile_banners/48117689/1637842156")</f>
        <v>https://pbs.twimg.com/profile_banners/48117689/1637842156</v>
      </c>
      <c r="BI354" s="76"/>
      <c r="BJ354" s="76" t="s">
        <v>14450</v>
      </c>
      <c r="BK354" s="76" t="b">
        <v>0</v>
      </c>
      <c r="BL354" s="76"/>
      <c r="BM354" s="76" t="s">
        <v>66</v>
      </c>
      <c r="BN354" s="76" t="s">
        <v>14452</v>
      </c>
      <c r="BO354" s="82" t="str">
        <f>HYPERLINK("https://twitter.com/carlossolisd")</f>
        <v>https://twitter.com/carlossolisd</v>
      </c>
      <c r="BP354" s="2"/>
    </row>
    <row r="355" spans="1:68" x14ac:dyDescent="0.25">
      <c r="A355" s="62" t="s">
        <v>512</v>
      </c>
      <c r="B355" s="63"/>
      <c r="C355" s="63"/>
      <c r="D355" s="64"/>
      <c r="E355" s="66"/>
      <c r="F355" s="103" t="str">
        <f>HYPERLINK("https://pbs.twimg.com/profile_images/1562903978500923392/aTpZg30G_normal.jpg")</f>
        <v>https://pbs.twimg.com/profile_images/1562903978500923392/aTpZg30G_normal.jpg</v>
      </c>
      <c r="G355" s="63"/>
      <c r="H355" s="67"/>
      <c r="I355" s="68"/>
      <c r="J355" s="68"/>
      <c r="K355" s="67" t="s">
        <v>14804</v>
      </c>
      <c r="L355" s="71"/>
      <c r="M355" s="72"/>
      <c r="N355" s="72"/>
      <c r="O355" s="73"/>
      <c r="P355" s="74"/>
      <c r="Q355" s="74"/>
      <c r="R355" s="87"/>
      <c r="S355" s="87"/>
      <c r="T355" s="87"/>
      <c r="U355" s="87"/>
      <c r="V355" s="48"/>
      <c r="W355" s="48"/>
      <c r="X355" s="48"/>
      <c r="Y355" s="48"/>
      <c r="Z355" s="47"/>
      <c r="AA355" s="69">
        <v>355</v>
      </c>
      <c r="AB355" s="69"/>
      <c r="AC355" s="70"/>
      <c r="AD355" s="76" t="s">
        <v>12088</v>
      </c>
      <c r="AE355" s="80" t="s">
        <v>12661</v>
      </c>
      <c r="AF355" s="76">
        <v>115</v>
      </c>
      <c r="AG355" s="76">
        <v>74</v>
      </c>
      <c r="AH355" s="76">
        <v>283</v>
      </c>
      <c r="AI355" s="76">
        <v>1</v>
      </c>
      <c r="AJ355" s="76">
        <v>266</v>
      </c>
      <c r="AK355" s="76">
        <v>53</v>
      </c>
      <c r="AL355" s="76" t="b">
        <v>0</v>
      </c>
      <c r="AM355" s="78">
        <v>41014.106041666666</v>
      </c>
      <c r="AN355" s="76" t="s">
        <v>13047</v>
      </c>
      <c r="AO355" s="76" t="s">
        <v>13545</v>
      </c>
      <c r="AP355" s="76"/>
      <c r="AQ355" s="76"/>
      <c r="AR355" s="76"/>
      <c r="AS355" s="76"/>
      <c r="AT355" s="76"/>
      <c r="AU355" s="76"/>
      <c r="AV355" s="76"/>
      <c r="AW355" s="76"/>
      <c r="AX355" s="76" t="b">
        <v>0</v>
      </c>
      <c r="AY355" s="76"/>
      <c r="AZ355" s="76"/>
      <c r="BA355" s="76" t="b">
        <v>0</v>
      </c>
      <c r="BB355" s="76" t="b">
        <v>1</v>
      </c>
      <c r="BC355" s="76" t="b">
        <v>0</v>
      </c>
      <c r="BD355" s="76" t="b">
        <v>0</v>
      </c>
      <c r="BE355" s="76" t="b">
        <v>0</v>
      </c>
      <c r="BF355" s="76" t="b">
        <v>0</v>
      </c>
      <c r="BG355" s="76" t="b">
        <v>0</v>
      </c>
      <c r="BH355" s="82" t="str">
        <f>HYPERLINK("https://pbs.twimg.com/profile_banners/554088474/1660609596")</f>
        <v>https://pbs.twimg.com/profile_banners/554088474/1660609596</v>
      </c>
      <c r="BI355" s="76"/>
      <c r="BJ355" s="76" t="s">
        <v>14450</v>
      </c>
      <c r="BK355" s="76" t="b">
        <v>0</v>
      </c>
      <c r="BL355" s="76"/>
      <c r="BM355" s="76" t="s">
        <v>66</v>
      </c>
      <c r="BN355" s="76" t="s">
        <v>14452</v>
      </c>
      <c r="BO355" s="82" t="str">
        <f>HYPERLINK("https://twitter.com/nortemediacion")</f>
        <v>https://twitter.com/nortemediacion</v>
      </c>
      <c r="BP355" s="2"/>
    </row>
    <row r="356" spans="1:68" x14ac:dyDescent="0.25">
      <c r="A356" s="62" t="s">
        <v>513</v>
      </c>
      <c r="B356" s="63"/>
      <c r="C356" s="63"/>
      <c r="D356" s="64"/>
      <c r="E356" s="66"/>
      <c r="F356" s="103" t="str">
        <f>HYPERLINK("https://pbs.twimg.com/profile_images/1523640063397179393/A9i71JMU_normal.jpg")</f>
        <v>https://pbs.twimg.com/profile_images/1523640063397179393/A9i71JMU_normal.jpg</v>
      </c>
      <c r="G356" s="63"/>
      <c r="H356" s="67"/>
      <c r="I356" s="68"/>
      <c r="J356" s="68"/>
      <c r="K356" s="67" t="s">
        <v>14805</v>
      </c>
      <c r="L356" s="71"/>
      <c r="M356" s="72"/>
      <c r="N356" s="72"/>
      <c r="O356" s="73"/>
      <c r="P356" s="74"/>
      <c r="Q356" s="74"/>
      <c r="R356" s="87"/>
      <c r="S356" s="87"/>
      <c r="T356" s="87"/>
      <c r="U356" s="87"/>
      <c r="V356" s="48"/>
      <c r="W356" s="48"/>
      <c r="X356" s="48"/>
      <c r="Y356" s="48"/>
      <c r="Z356" s="47"/>
      <c r="AA356" s="69">
        <v>356</v>
      </c>
      <c r="AB356" s="69"/>
      <c r="AC356" s="70"/>
      <c r="AD356" s="76" t="s">
        <v>12089</v>
      </c>
      <c r="AE356" s="80" t="s">
        <v>11548</v>
      </c>
      <c r="AF356" s="76">
        <v>28</v>
      </c>
      <c r="AG356" s="76">
        <v>48</v>
      </c>
      <c r="AH356" s="76">
        <v>274</v>
      </c>
      <c r="AI356" s="76">
        <v>0</v>
      </c>
      <c r="AJ356" s="76">
        <v>1</v>
      </c>
      <c r="AK356" s="76">
        <v>273</v>
      </c>
      <c r="AL356" s="76" t="b">
        <v>0</v>
      </c>
      <c r="AM356" s="78">
        <v>44616.820937500001</v>
      </c>
      <c r="AN356" s="76"/>
      <c r="AO356" s="76" t="s">
        <v>13546</v>
      </c>
      <c r="AP356" s="76"/>
      <c r="AQ356" s="76"/>
      <c r="AR356" s="76"/>
      <c r="AS356" s="76"/>
      <c r="AT356" s="76"/>
      <c r="AU356" s="76"/>
      <c r="AV356" s="76"/>
      <c r="AW356" s="76"/>
      <c r="AX356" s="76" t="b">
        <v>0</v>
      </c>
      <c r="AY356" s="76"/>
      <c r="AZ356" s="76"/>
      <c r="BA356" s="76" t="b">
        <v>0</v>
      </c>
      <c r="BB356" s="76" t="b">
        <v>1</v>
      </c>
      <c r="BC356" s="76" t="b">
        <v>1</v>
      </c>
      <c r="BD356" s="76" t="b">
        <v>0</v>
      </c>
      <c r="BE356" s="76" t="b">
        <v>0</v>
      </c>
      <c r="BF356" s="76" t="b">
        <v>0</v>
      </c>
      <c r="BG356" s="76" t="b">
        <v>0</v>
      </c>
      <c r="BH356" s="82" t="str">
        <f>HYPERLINK("https://pbs.twimg.com/profile_banners/1496933378272206853/1652116470")</f>
        <v>https://pbs.twimg.com/profile_banners/1496933378272206853/1652116470</v>
      </c>
      <c r="BI356" s="76"/>
      <c r="BJ356" s="76" t="s">
        <v>14450</v>
      </c>
      <c r="BK356" s="76" t="b">
        <v>0</v>
      </c>
      <c r="BL356" s="76"/>
      <c r="BM356" s="76" t="s">
        <v>66</v>
      </c>
      <c r="BN356" s="76" t="s">
        <v>14452</v>
      </c>
      <c r="BO356" s="82" t="str">
        <f>HYPERLINK("https://twitter.com/se_empreendedor")</f>
        <v>https://twitter.com/se_empreendedor</v>
      </c>
      <c r="BP356" s="2"/>
    </row>
    <row r="357" spans="1:68" x14ac:dyDescent="0.25">
      <c r="A357" s="62" t="s">
        <v>514</v>
      </c>
      <c r="B357" s="63"/>
      <c r="C357" s="63"/>
      <c r="D357" s="64"/>
      <c r="E357" s="66"/>
      <c r="F357" s="103" t="str">
        <f>HYPERLINK("https://pbs.twimg.com/profile_images/1628388946517401602/Hf-sb8Gu_normal.jpg")</f>
        <v>https://pbs.twimg.com/profile_images/1628388946517401602/Hf-sb8Gu_normal.jpg</v>
      </c>
      <c r="G357" s="63"/>
      <c r="H357" s="67"/>
      <c r="I357" s="68"/>
      <c r="J357" s="68"/>
      <c r="K357" s="67" t="s">
        <v>14806</v>
      </c>
      <c r="L357" s="71"/>
      <c r="M357" s="72"/>
      <c r="N357" s="72"/>
      <c r="O357" s="73"/>
      <c r="P357" s="74"/>
      <c r="Q357" s="74"/>
      <c r="R357" s="87"/>
      <c r="S357" s="87"/>
      <c r="T357" s="87"/>
      <c r="U357" s="87"/>
      <c r="V357" s="48"/>
      <c r="W357" s="48"/>
      <c r="X357" s="48"/>
      <c r="Y357" s="48"/>
      <c r="Z357" s="47"/>
      <c r="AA357" s="69">
        <v>357</v>
      </c>
      <c r="AB357" s="69"/>
      <c r="AC357" s="70"/>
      <c r="AD357" s="76" t="s">
        <v>12090</v>
      </c>
      <c r="AE357" s="80" t="s">
        <v>11549</v>
      </c>
      <c r="AF357" s="76">
        <v>0</v>
      </c>
      <c r="AG357" s="76">
        <v>6</v>
      </c>
      <c r="AH357" s="76">
        <v>32</v>
      </c>
      <c r="AI357" s="76">
        <v>0</v>
      </c>
      <c r="AJ357" s="76">
        <v>77</v>
      </c>
      <c r="AK357" s="76">
        <v>12</v>
      </c>
      <c r="AL357" s="76" t="b">
        <v>0</v>
      </c>
      <c r="AM357" s="78">
        <v>44979.56890046296</v>
      </c>
      <c r="AN357" s="76"/>
      <c r="AO357" s="76" t="s">
        <v>13547</v>
      </c>
      <c r="AP357" s="76"/>
      <c r="AQ357" s="76"/>
      <c r="AR357" s="76"/>
      <c r="AS357" s="76"/>
      <c r="AT357" s="76"/>
      <c r="AU357" s="76"/>
      <c r="AV357" s="76">
        <v>1.6377794830998999E+18</v>
      </c>
      <c r="AW357" s="76"/>
      <c r="AX357" s="76" t="b">
        <v>0</v>
      </c>
      <c r="AY357" s="76"/>
      <c r="AZ357" s="76"/>
      <c r="BA357" s="76" t="b">
        <v>0</v>
      </c>
      <c r="BB357" s="76" t="b">
        <v>1</v>
      </c>
      <c r="BC357" s="76" t="b">
        <v>1</v>
      </c>
      <c r="BD357" s="76" t="b">
        <v>0</v>
      </c>
      <c r="BE357" s="76" t="b">
        <v>0</v>
      </c>
      <c r="BF357" s="76" t="b">
        <v>0</v>
      </c>
      <c r="BG357" s="76" t="b">
        <v>0</v>
      </c>
      <c r="BH357" s="76"/>
      <c r="BI357" s="76"/>
      <c r="BJ357" s="76" t="s">
        <v>14450</v>
      </c>
      <c r="BK357" s="76" t="b">
        <v>0</v>
      </c>
      <c r="BL357" s="76"/>
      <c r="BM357" s="76" t="s">
        <v>66</v>
      </c>
      <c r="BN357" s="76" t="s">
        <v>14452</v>
      </c>
      <c r="BO357" s="82" t="str">
        <f>HYPERLINK("https://twitter.com/exordia_ma")</f>
        <v>https://twitter.com/exordia_ma</v>
      </c>
      <c r="BP357" s="2"/>
    </row>
    <row r="358" spans="1:68" x14ac:dyDescent="0.25">
      <c r="A358" s="62" t="s">
        <v>515</v>
      </c>
      <c r="B358" s="63"/>
      <c r="C358" s="63"/>
      <c r="D358" s="64"/>
      <c r="E358" s="66"/>
      <c r="F358" s="103" t="str">
        <f>HYPERLINK("https://pbs.twimg.com/profile_images/1507144022648840203/ZZuntqpz_normal.jpg")</f>
        <v>https://pbs.twimg.com/profile_images/1507144022648840203/ZZuntqpz_normal.jpg</v>
      </c>
      <c r="G358" s="63"/>
      <c r="H358" s="67"/>
      <c r="I358" s="68"/>
      <c r="J358" s="68"/>
      <c r="K358" s="67" t="s">
        <v>14807</v>
      </c>
      <c r="L358" s="71"/>
      <c r="M358" s="72"/>
      <c r="N358" s="72"/>
      <c r="O358" s="73"/>
      <c r="P358" s="74"/>
      <c r="Q358" s="74"/>
      <c r="R358" s="87"/>
      <c r="S358" s="87"/>
      <c r="T358" s="87"/>
      <c r="U358" s="87"/>
      <c r="V358" s="48"/>
      <c r="W358" s="48"/>
      <c r="X358" s="48"/>
      <c r="Y358" s="48"/>
      <c r="Z358" s="47"/>
      <c r="AA358" s="69">
        <v>358</v>
      </c>
      <c r="AB358" s="69"/>
      <c r="AC358" s="70"/>
      <c r="AD358" s="76" t="s">
        <v>12091</v>
      </c>
      <c r="AE358" s="80" t="s">
        <v>12662</v>
      </c>
      <c r="AF358" s="76">
        <v>15623</v>
      </c>
      <c r="AG358" s="76">
        <v>12941</v>
      </c>
      <c r="AH358" s="76">
        <v>22628</v>
      </c>
      <c r="AI358" s="76">
        <v>66</v>
      </c>
      <c r="AJ358" s="76">
        <v>949</v>
      </c>
      <c r="AK358" s="76">
        <v>13768</v>
      </c>
      <c r="AL358" s="76" t="b">
        <v>0</v>
      </c>
      <c r="AM358" s="78">
        <v>40969.679502314815</v>
      </c>
      <c r="AN358" s="76" t="s">
        <v>7767</v>
      </c>
      <c r="AO358" s="76" t="s">
        <v>13548</v>
      </c>
      <c r="AP358" s="82" t="str">
        <f>HYPERLINK("https://t.co/UA8I5jfvDD")</f>
        <v>https://t.co/UA8I5jfvDD</v>
      </c>
      <c r="AQ358" s="82" t="str">
        <f>HYPERLINK("https://www.avisooportuno.mx/")</f>
        <v>https://www.avisooportuno.mx/</v>
      </c>
      <c r="AR358" s="76" t="s">
        <v>14116</v>
      </c>
      <c r="AS358" s="76"/>
      <c r="AT358" s="76"/>
      <c r="AU358" s="76"/>
      <c r="AV358" s="76"/>
      <c r="AW358" s="82" t="str">
        <f>HYPERLINK("https://t.co/UA8I5jfvDD")</f>
        <v>https://t.co/UA8I5jfvDD</v>
      </c>
      <c r="AX358" s="76" t="b">
        <v>0</v>
      </c>
      <c r="AY358" s="76"/>
      <c r="AZ358" s="76"/>
      <c r="BA358" s="76" t="b">
        <v>0</v>
      </c>
      <c r="BB358" s="76" t="b">
        <v>1</v>
      </c>
      <c r="BC358" s="76" t="b">
        <v>0</v>
      </c>
      <c r="BD358" s="76" t="b">
        <v>0</v>
      </c>
      <c r="BE358" s="76" t="b">
        <v>0</v>
      </c>
      <c r="BF358" s="76" t="b">
        <v>0</v>
      </c>
      <c r="BG358" s="76" t="b">
        <v>0</v>
      </c>
      <c r="BH358" s="82" t="str">
        <f>HYPERLINK("https://pbs.twimg.com/profile_banners/510470074/1693596665")</f>
        <v>https://pbs.twimg.com/profile_banners/510470074/1693596665</v>
      </c>
      <c r="BI358" s="76"/>
      <c r="BJ358" s="76" t="s">
        <v>14450</v>
      </c>
      <c r="BK358" s="76" t="b">
        <v>0</v>
      </c>
      <c r="BL358" s="76"/>
      <c r="BM358" s="76" t="s">
        <v>66</v>
      </c>
      <c r="BN358" s="76" t="s">
        <v>14452</v>
      </c>
      <c r="BO358" s="82" t="str">
        <f>HYPERLINK("https://twitter.com/avisooportunomx")</f>
        <v>https://twitter.com/avisooportunomx</v>
      </c>
      <c r="BP358" s="2"/>
    </row>
    <row r="359" spans="1:68" x14ac:dyDescent="0.25">
      <c r="A359" s="62" t="s">
        <v>516</v>
      </c>
      <c r="B359" s="63"/>
      <c r="C359" s="63"/>
      <c r="D359" s="64"/>
      <c r="E359" s="66"/>
      <c r="F359" s="103" t="str">
        <f>HYPERLINK("https://pbs.twimg.com/profile_images/1655540206265614336/P7D-yloe_normal.jpg")</f>
        <v>https://pbs.twimg.com/profile_images/1655540206265614336/P7D-yloe_normal.jpg</v>
      </c>
      <c r="G359" s="63"/>
      <c r="H359" s="67"/>
      <c r="I359" s="68"/>
      <c r="J359" s="68"/>
      <c r="K359" s="67" t="s">
        <v>14808</v>
      </c>
      <c r="L359" s="71"/>
      <c r="M359" s="72"/>
      <c r="N359" s="72"/>
      <c r="O359" s="73"/>
      <c r="P359" s="74"/>
      <c r="Q359" s="74"/>
      <c r="R359" s="87"/>
      <c r="S359" s="87"/>
      <c r="T359" s="87"/>
      <c r="U359" s="87"/>
      <c r="V359" s="48"/>
      <c r="W359" s="48"/>
      <c r="X359" s="48"/>
      <c r="Y359" s="48"/>
      <c r="Z359" s="47"/>
      <c r="AA359" s="69">
        <v>359</v>
      </c>
      <c r="AB359" s="69"/>
      <c r="AC359" s="70"/>
      <c r="AD359" s="76" t="s">
        <v>12092</v>
      </c>
      <c r="AE359" s="80" t="s">
        <v>11550</v>
      </c>
      <c r="AF359" s="76">
        <v>4</v>
      </c>
      <c r="AG359" s="76">
        <v>4</v>
      </c>
      <c r="AH359" s="76">
        <v>60</v>
      </c>
      <c r="AI359" s="76">
        <v>0</v>
      </c>
      <c r="AJ359" s="76">
        <v>0</v>
      </c>
      <c r="AK359" s="76">
        <v>57</v>
      </c>
      <c r="AL359" s="76" t="b">
        <v>0</v>
      </c>
      <c r="AM359" s="78">
        <v>45054.491759259261</v>
      </c>
      <c r="AN359" s="76"/>
      <c r="AO359" s="76" t="s">
        <v>13549</v>
      </c>
      <c r="AP359" s="82" t="str">
        <f>HYPERLINK("https://t.co/PbVmaPL3sN")</f>
        <v>https://t.co/PbVmaPL3sN</v>
      </c>
      <c r="AQ359" s="82" t="str">
        <f>HYPERLINK("http://douglasdallagnol.com.br")</f>
        <v>http://douglasdallagnol.com.br</v>
      </c>
      <c r="AR359" s="76" t="s">
        <v>14117</v>
      </c>
      <c r="AS359" s="76"/>
      <c r="AT359" s="76"/>
      <c r="AU359" s="76"/>
      <c r="AV359" s="76"/>
      <c r="AW359" s="82" t="str">
        <f>HYPERLINK("https://t.co/PbVmaPL3sN")</f>
        <v>https://t.co/PbVmaPL3sN</v>
      </c>
      <c r="AX359" s="76" t="b">
        <v>0</v>
      </c>
      <c r="AY359" s="76"/>
      <c r="AZ359" s="76"/>
      <c r="BA359" s="76" t="b">
        <v>0</v>
      </c>
      <c r="BB359" s="76" t="b">
        <v>1</v>
      </c>
      <c r="BC359" s="76" t="b">
        <v>1</v>
      </c>
      <c r="BD359" s="76" t="b">
        <v>0</v>
      </c>
      <c r="BE359" s="76" t="b">
        <v>0</v>
      </c>
      <c r="BF359" s="76" t="b">
        <v>0</v>
      </c>
      <c r="BG359" s="76" t="b">
        <v>0</v>
      </c>
      <c r="BH359" s="82" t="str">
        <f>HYPERLINK("https://pbs.twimg.com/profile_banners/1655540047586762754/1683550677")</f>
        <v>https://pbs.twimg.com/profile_banners/1655540047586762754/1683550677</v>
      </c>
      <c r="BI359" s="76"/>
      <c r="BJ359" s="76" t="s">
        <v>14450</v>
      </c>
      <c r="BK359" s="76" t="b">
        <v>0</v>
      </c>
      <c r="BL359" s="76"/>
      <c r="BM359" s="76" t="s">
        <v>66</v>
      </c>
      <c r="BN359" s="76" t="s">
        <v>14452</v>
      </c>
      <c r="BO359" s="82" t="str">
        <f>HYPERLINK("https://twitter.com/douglaswebp")</f>
        <v>https://twitter.com/douglaswebp</v>
      </c>
      <c r="BP359" s="2"/>
    </row>
    <row r="360" spans="1:68" x14ac:dyDescent="0.25">
      <c r="A360" s="62" t="s">
        <v>517</v>
      </c>
      <c r="B360" s="63"/>
      <c r="C360" s="63"/>
      <c r="D360" s="64"/>
      <c r="E360" s="66"/>
      <c r="F360" s="103" t="str">
        <f>HYPERLINK("https://pbs.twimg.com/profile_images/1700197105766166528/KttHzyrv_normal.jpg")</f>
        <v>https://pbs.twimg.com/profile_images/1700197105766166528/KttHzyrv_normal.jpg</v>
      </c>
      <c r="G360" s="63"/>
      <c r="H360" s="67"/>
      <c r="I360" s="68"/>
      <c r="J360" s="68"/>
      <c r="K360" s="67" t="s">
        <v>14809</v>
      </c>
      <c r="L360" s="71"/>
      <c r="M360" s="72"/>
      <c r="N360" s="72"/>
      <c r="O360" s="73"/>
      <c r="P360" s="74"/>
      <c r="Q360" s="74"/>
      <c r="R360" s="87"/>
      <c r="S360" s="87"/>
      <c r="T360" s="87"/>
      <c r="U360" s="87"/>
      <c r="V360" s="48"/>
      <c r="W360" s="48"/>
      <c r="X360" s="48"/>
      <c r="Y360" s="48"/>
      <c r="Z360" s="47"/>
      <c r="AA360" s="69">
        <v>360</v>
      </c>
      <c r="AB360" s="69"/>
      <c r="AC360" s="70"/>
      <c r="AD360" s="76" t="s">
        <v>12093</v>
      </c>
      <c r="AE360" s="80" t="s">
        <v>12663</v>
      </c>
      <c r="AF360" s="76">
        <v>1129</v>
      </c>
      <c r="AG360" s="76">
        <v>690</v>
      </c>
      <c r="AH360" s="76">
        <v>24051</v>
      </c>
      <c r="AI360" s="76">
        <v>0</v>
      </c>
      <c r="AJ360" s="76">
        <v>596</v>
      </c>
      <c r="AK360" s="76">
        <v>12897</v>
      </c>
      <c r="AL360" s="76" t="b">
        <v>0</v>
      </c>
      <c r="AM360" s="78">
        <v>40396.85833333333</v>
      </c>
      <c r="AN360" s="76" t="s">
        <v>13048</v>
      </c>
      <c r="AO360" s="76" t="s">
        <v>13550</v>
      </c>
      <c r="AP360" s="82" t="str">
        <f>HYPERLINK("https://t.co/7tjBiZ4V3O")</f>
        <v>https://t.co/7tjBiZ4V3O</v>
      </c>
      <c r="AQ360" s="82" t="str">
        <f>HYPERLINK("https://www.facebook.com/saulsalazarnoticias")</f>
        <v>https://www.facebook.com/saulsalazarnoticias</v>
      </c>
      <c r="AR360" s="76" t="s">
        <v>14118</v>
      </c>
      <c r="AS360" s="76"/>
      <c r="AT360" s="76"/>
      <c r="AU360" s="76"/>
      <c r="AV360" s="76"/>
      <c r="AW360" s="82" t="str">
        <f>HYPERLINK("https://t.co/7tjBiZ4V3O")</f>
        <v>https://t.co/7tjBiZ4V3O</v>
      </c>
      <c r="AX360" s="76" t="b">
        <v>0</v>
      </c>
      <c r="AY360" s="76"/>
      <c r="AZ360" s="76"/>
      <c r="BA360" s="76" t="b">
        <v>0</v>
      </c>
      <c r="BB360" s="76" t="b">
        <v>1</v>
      </c>
      <c r="BC360" s="76" t="b">
        <v>0</v>
      </c>
      <c r="BD360" s="76" t="b">
        <v>0</v>
      </c>
      <c r="BE360" s="76" t="b">
        <v>0</v>
      </c>
      <c r="BF360" s="76" t="b">
        <v>0</v>
      </c>
      <c r="BG360" s="76" t="b">
        <v>0</v>
      </c>
      <c r="BH360" s="82" t="str">
        <f>HYPERLINK("https://pbs.twimg.com/profile_banners/175514011/1694193554")</f>
        <v>https://pbs.twimg.com/profile_banners/175514011/1694193554</v>
      </c>
      <c r="BI360" s="76"/>
      <c r="BJ360" s="76" t="s">
        <v>14450</v>
      </c>
      <c r="BK360" s="76" t="b">
        <v>0</v>
      </c>
      <c r="BL360" s="76"/>
      <c r="BM360" s="76" t="s">
        <v>66</v>
      </c>
      <c r="BN360" s="76" t="s">
        <v>14452</v>
      </c>
      <c r="BO360" s="82" t="str">
        <f>HYPERLINK("https://twitter.com/salazarbalbuena")</f>
        <v>https://twitter.com/salazarbalbuena</v>
      </c>
      <c r="BP360" s="2"/>
    </row>
    <row r="361" spans="1:68" x14ac:dyDescent="0.25">
      <c r="A361" s="62" t="s">
        <v>518</v>
      </c>
      <c r="B361" s="63"/>
      <c r="C361" s="63"/>
      <c r="D361" s="64"/>
      <c r="E361" s="66"/>
      <c r="F361" s="103" t="str">
        <f>HYPERLINK("https://pbs.twimg.com/profile_images/1661763793272070144/-ynEqOJ9_normal.jpg")</f>
        <v>https://pbs.twimg.com/profile_images/1661763793272070144/-ynEqOJ9_normal.jpg</v>
      </c>
      <c r="G361" s="63"/>
      <c r="H361" s="67"/>
      <c r="I361" s="68"/>
      <c r="J361" s="68"/>
      <c r="K361" s="67" t="s">
        <v>14810</v>
      </c>
      <c r="L361" s="71"/>
      <c r="M361" s="72"/>
      <c r="N361" s="72"/>
      <c r="O361" s="73"/>
      <c r="P361" s="74"/>
      <c r="Q361" s="74"/>
      <c r="R361" s="87"/>
      <c r="S361" s="87"/>
      <c r="T361" s="87"/>
      <c r="U361" s="87"/>
      <c r="V361" s="48"/>
      <c r="W361" s="48"/>
      <c r="X361" s="48"/>
      <c r="Y361" s="48"/>
      <c r="Z361" s="47"/>
      <c r="AA361" s="69">
        <v>361</v>
      </c>
      <c r="AB361" s="69"/>
      <c r="AC361" s="70"/>
      <c r="AD361" s="76" t="s">
        <v>12094</v>
      </c>
      <c r="AE361" s="80" t="s">
        <v>11551</v>
      </c>
      <c r="AF361" s="76">
        <v>0</v>
      </c>
      <c r="AG361" s="76">
        <v>8</v>
      </c>
      <c r="AH361" s="76">
        <v>3</v>
      </c>
      <c r="AI361" s="76">
        <v>0</v>
      </c>
      <c r="AJ361" s="76">
        <v>3</v>
      </c>
      <c r="AK361" s="76">
        <v>3</v>
      </c>
      <c r="AL361" s="76" t="b">
        <v>0</v>
      </c>
      <c r="AM361" s="78">
        <v>45071.653356481482</v>
      </c>
      <c r="AN361" s="76" t="s">
        <v>13049</v>
      </c>
      <c r="AO361" s="76" t="s">
        <v>13551</v>
      </c>
      <c r="AP361" s="76"/>
      <c r="AQ361" s="76"/>
      <c r="AR361" s="76"/>
      <c r="AS361" s="76"/>
      <c r="AT361" s="76"/>
      <c r="AU361" s="76"/>
      <c r="AV361" s="76"/>
      <c r="AW361" s="76"/>
      <c r="AX361" s="76" t="b">
        <v>0</v>
      </c>
      <c r="AY361" s="76"/>
      <c r="AZ361" s="76"/>
      <c r="BA361" s="76" t="b">
        <v>0</v>
      </c>
      <c r="BB361" s="76" t="b">
        <v>1</v>
      </c>
      <c r="BC361" s="76" t="b">
        <v>1</v>
      </c>
      <c r="BD361" s="76" t="b">
        <v>0</v>
      </c>
      <c r="BE361" s="76" t="b">
        <v>0</v>
      </c>
      <c r="BF361" s="76" t="b">
        <v>0</v>
      </c>
      <c r="BG361" s="76" t="b">
        <v>0</v>
      </c>
      <c r="BH361" s="82" t="str">
        <f>HYPERLINK("https://pbs.twimg.com/profile_banners/1661758935420874753/1685030376")</f>
        <v>https://pbs.twimg.com/profile_banners/1661758935420874753/1685030376</v>
      </c>
      <c r="BI361" s="76"/>
      <c r="BJ361" s="76" t="s">
        <v>14450</v>
      </c>
      <c r="BK361" s="76" t="b">
        <v>0</v>
      </c>
      <c r="BL361" s="76"/>
      <c r="BM361" s="76" t="s">
        <v>66</v>
      </c>
      <c r="BN361" s="76" t="s">
        <v>14452</v>
      </c>
      <c r="BO361" s="82" t="str">
        <f>HYPERLINK("https://twitter.com/teneriadiaz")</f>
        <v>https://twitter.com/teneriadiaz</v>
      </c>
      <c r="BP361" s="2"/>
    </row>
    <row r="362" spans="1:68" x14ac:dyDescent="0.25">
      <c r="A362" s="62" t="s">
        <v>519</v>
      </c>
      <c r="B362" s="63"/>
      <c r="C362" s="63"/>
      <c r="D362" s="64"/>
      <c r="E362" s="66"/>
      <c r="F362" s="103" t="str">
        <f>HYPERLINK("https://pbs.twimg.com/profile_images/1602829044688556032/AUZW557a_normal.jpg")</f>
        <v>https://pbs.twimg.com/profile_images/1602829044688556032/AUZW557a_normal.jpg</v>
      </c>
      <c r="G362" s="63"/>
      <c r="H362" s="67"/>
      <c r="I362" s="68"/>
      <c r="J362" s="68"/>
      <c r="K362" s="67" t="s">
        <v>14811</v>
      </c>
      <c r="L362" s="71"/>
      <c r="M362" s="72"/>
      <c r="N362" s="72"/>
      <c r="O362" s="73"/>
      <c r="P362" s="74"/>
      <c r="Q362" s="74"/>
      <c r="R362" s="87"/>
      <c r="S362" s="87"/>
      <c r="T362" s="87"/>
      <c r="U362" s="87"/>
      <c r="V362" s="48"/>
      <c r="W362" s="48"/>
      <c r="X362" s="48"/>
      <c r="Y362" s="48"/>
      <c r="Z362" s="47"/>
      <c r="AA362" s="69">
        <v>362</v>
      </c>
      <c r="AB362" s="69"/>
      <c r="AC362" s="70"/>
      <c r="AD362" s="76" t="s">
        <v>12095</v>
      </c>
      <c r="AE362" s="80" t="s">
        <v>12664</v>
      </c>
      <c r="AF362" s="76">
        <v>238</v>
      </c>
      <c r="AG362" s="76">
        <v>19</v>
      </c>
      <c r="AH362" s="76">
        <v>328</v>
      </c>
      <c r="AI362" s="76">
        <v>1</v>
      </c>
      <c r="AJ362" s="76">
        <v>136</v>
      </c>
      <c r="AK362" s="76">
        <v>17</v>
      </c>
      <c r="AL362" s="76" t="b">
        <v>0</v>
      </c>
      <c r="AM362" s="78">
        <v>40294.971678240741</v>
      </c>
      <c r="AN362" s="76" t="s">
        <v>13050</v>
      </c>
      <c r="AO362" s="76" t="s">
        <v>13552</v>
      </c>
      <c r="AP362" s="82" t="str">
        <f>HYPERLINK("https://t.co/XXMByBElAt")</f>
        <v>https://t.co/XXMByBElAt</v>
      </c>
      <c r="AQ362" s="82" t="str">
        <f>HYPERLINK("https://linktr.ee/josueseibel")</f>
        <v>https://linktr.ee/josueseibel</v>
      </c>
      <c r="AR362" s="76" t="s">
        <v>14119</v>
      </c>
      <c r="AS362" s="76"/>
      <c r="AT362" s="76"/>
      <c r="AU362" s="76"/>
      <c r="AV362" s="76"/>
      <c r="AW362" s="82" t="str">
        <f>HYPERLINK("https://t.co/XXMByBElAt")</f>
        <v>https://t.co/XXMByBElAt</v>
      </c>
      <c r="AX362" s="76" t="b">
        <v>0</v>
      </c>
      <c r="AY362" s="76"/>
      <c r="AZ362" s="76"/>
      <c r="BA362" s="76" t="b">
        <v>0</v>
      </c>
      <c r="BB362" s="76" t="b">
        <v>1</v>
      </c>
      <c r="BC362" s="76" t="b">
        <v>0</v>
      </c>
      <c r="BD362" s="76" t="b">
        <v>0</v>
      </c>
      <c r="BE362" s="76" t="b">
        <v>0</v>
      </c>
      <c r="BF362" s="76" t="b">
        <v>0</v>
      </c>
      <c r="BG362" s="76" t="b">
        <v>0</v>
      </c>
      <c r="BH362" s="82" t="str">
        <f>HYPERLINK("https://pbs.twimg.com/profile_banners/137503362/1646158582")</f>
        <v>https://pbs.twimg.com/profile_banners/137503362/1646158582</v>
      </c>
      <c r="BI362" s="76"/>
      <c r="BJ362" s="76" t="s">
        <v>14450</v>
      </c>
      <c r="BK362" s="76" t="b">
        <v>0</v>
      </c>
      <c r="BL362" s="76"/>
      <c r="BM362" s="76" t="s">
        <v>66</v>
      </c>
      <c r="BN362" s="76" t="s">
        <v>14452</v>
      </c>
      <c r="BO362" s="82" t="str">
        <f>HYPERLINK("https://twitter.com/josueseibel")</f>
        <v>https://twitter.com/josueseibel</v>
      </c>
      <c r="BP362" s="2"/>
    </row>
    <row r="363" spans="1:68" x14ac:dyDescent="0.25">
      <c r="A363" s="62" t="s">
        <v>520</v>
      </c>
      <c r="B363" s="63"/>
      <c r="C363" s="63"/>
      <c r="D363" s="64"/>
      <c r="E363" s="66"/>
      <c r="F363" s="103" t="str">
        <f>HYPERLINK("https://pbs.twimg.com/profile_images/1009728410074173440/iF-vDbyW_normal.jpg")</f>
        <v>https://pbs.twimg.com/profile_images/1009728410074173440/iF-vDbyW_normal.jpg</v>
      </c>
      <c r="G363" s="63"/>
      <c r="H363" s="67"/>
      <c r="I363" s="68"/>
      <c r="J363" s="68"/>
      <c r="K363" s="67" t="s">
        <v>14812</v>
      </c>
      <c r="L363" s="71"/>
      <c r="M363" s="72"/>
      <c r="N363" s="72"/>
      <c r="O363" s="73"/>
      <c r="P363" s="74"/>
      <c r="Q363" s="74"/>
      <c r="R363" s="87"/>
      <c r="S363" s="87"/>
      <c r="T363" s="87"/>
      <c r="U363" s="87"/>
      <c r="V363" s="48"/>
      <c r="W363" s="48"/>
      <c r="X363" s="48"/>
      <c r="Y363" s="48"/>
      <c r="Z363" s="47"/>
      <c r="AA363" s="69">
        <v>363</v>
      </c>
      <c r="AB363" s="69"/>
      <c r="AC363" s="70"/>
      <c r="AD363" s="76" t="s">
        <v>12096</v>
      </c>
      <c r="AE363" s="80" t="s">
        <v>12665</v>
      </c>
      <c r="AF363" s="76">
        <v>2786</v>
      </c>
      <c r="AG363" s="76">
        <v>3326</v>
      </c>
      <c r="AH363" s="76">
        <v>16100</v>
      </c>
      <c r="AI363" s="76">
        <v>253</v>
      </c>
      <c r="AJ363" s="76">
        <v>1645</v>
      </c>
      <c r="AK363" s="76">
        <v>170</v>
      </c>
      <c r="AL363" s="76" t="b">
        <v>0</v>
      </c>
      <c r="AM363" s="78">
        <v>40174.44222222222</v>
      </c>
      <c r="AN363" s="76" t="s">
        <v>13051</v>
      </c>
      <c r="AO363" s="76" t="s">
        <v>13553</v>
      </c>
      <c r="AP363" s="82" t="str">
        <f>HYPERLINK("https://t.co/dbL8zaOlAt")</f>
        <v>https://t.co/dbL8zaOlAt</v>
      </c>
      <c r="AQ363" s="82" t="str">
        <f>HYPERLINK("https://josepdegaia.es")</f>
        <v>https://josepdegaia.es</v>
      </c>
      <c r="AR363" s="76" t="s">
        <v>14120</v>
      </c>
      <c r="AS363" s="76"/>
      <c r="AT363" s="76"/>
      <c r="AU363" s="76"/>
      <c r="AV363" s="76">
        <v>1.67252737274095E+18</v>
      </c>
      <c r="AW363" s="82" t="str">
        <f>HYPERLINK("https://t.co/dbL8zaOlAt")</f>
        <v>https://t.co/dbL8zaOlAt</v>
      </c>
      <c r="AX363" s="76" t="b">
        <v>0</v>
      </c>
      <c r="AY363" s="76"/>
      <c r="AZ363" s="76"/>
      <c r="BA363" s="76" t="b">
        <v>0</v>
      </c>
      <c r="BB363" s="76" t="b">
        <v>1</v>
      </c>
      <c r="BC363" s="76" t="b">
        <v>0</v>
      </c>
      <c r="BD363" s="76" t="b">
        <v>0</v>
      </c>
      <c r="BE363" s="76" t="b">
        <v>0</v>
      </c>
      <c r="BF363" s="76" t="b">
        <v>0</v>
      </c>
      <c r="BG363" s="76" t="b">
        <v>0</v>
      </c>
      <c r="BH363" s="82" t="str">
        <f>HYPERLINK("https://pbs.twimg.com/profile_banners/99685581/1414588342")</f>
        <v>https://pbs.twimg.com/profile_banners/99685581/1414588342</v>
      </c>
      <c r="BI363" s="76"/>
      <c r="BJ363" s="76" t="s">
        <v>14450</v>
      </c>
      <c r="BK363" s="76" t="b">
        <v>0</v>
      </c>
      <c r="BL363" s="76"/>
      <c r="BM363" s="76" t="s">
        <v>66</v>
      </c>
      <c r="BN363" s="76" t="s">
        <v>14452</v>
      </c>
      <c r="BO363" s="82" t="str">
        <f>HYPERLINK("https://twitter.com/joclarbh")</f>
        <v>https://twitter.com/joclarbh</v>
      </c>
      <c r="BP363" s="2"/>
    </row>
    <row r="364" spans="1:68" x14ac:dyDescent="0.25">
      <c r="A364" s="62" t="s">
        <v>521</v>
      </c>
      <c r="B364" s="63"/>
      <c r="C364" s="63"/>
      <c r="D364" s="64"/>
      <c r="E364" s="66"/>
      <c r="F364" s="103" t="str">
        <f>HYPERLINK("https://pbs.twimg.com/profile_images/1429649891555430401/9WLcIZHX_normal.jpg")</f>
        <v>https://pbs.twimg.com/profile_images/1429649891555430401/9WLcIZHX_normal.jpg</v>
      </c>
      <c r="G364" s="63"/>
      <c r="H364" s="67"/>
      <c r="I364" s="68"/>
      <c r="J364" s="68"/>
      <c r="K364" s="67" t="s">
        <v>14813</v>
      </c>
      <c r="L364" s="71"/>
      <c r="M364" s="72"/>
      <c r="N364" s="72"/>
      <c r="O364" s="73"/>
      <c r="P364" s="74"/>
      <c r="Q364" s="74"/>
      <c r="R364" s="87"/>
      <c r="S364" s="87"/>
      <c r="T364" s="87"/>
      <c r="U364" s="87"/>
      <c r="V364" s="48"/>
      <c r="W364" s="48"/>
      <c r="X364" s="48"/>
      <c r="Y364" s="48"/>
      <c r="Z364" s="47"/>
      <c r="AA364" s="69">
        <v>364</v>
      </c>
      <c r="AB364" s="69"/>
      <c r="AC364" s="70"/>
      <c r="AD364" s="76" t="s">
        <v>12097</v>
      </c>
      <c r="AE364" s="80" t="s">
        <v>11552</v>
      </c>
      <c r="AF364" s="76">
        <v>2</v>
      </c>
      <c r="AG364" s="76">
        <v>1</v>
      </c>
      <c r="AH364" s="76">
        <v>26</v>
      </c>
      <c r="AI364" s="76">
        <v>0</v>
      </c>
      <c r="AJ364" s="76">
        <v>3</v>
      </c>
      <c r="AK364" s="76">
        <v>1</v>
      </c>
      <c r="AL364" s="76" t="b">
        <v>0</v>
      </c>
      <c r="AM364" s="78">
        <v>44431.152789351851</v>
      </c>
      <c r="AN364" s="76" t="s">
        <v>13006</v>
      </c>
      <c r="AO364" s="76" t="s">
        <v>13554</v>
      </c>
      <c r="AP364" s="76"/>
      <c r="AQ364" s="76"/>
      <c r="AR364" s="76"/>
      <c r="AS364" s="76"/>
      <c r="AT364" s="76"/>
      <c r="AU364" s="76"/>
      <c r="AV364" s="76"/>
      <c r="AW364" s="76"/>
      <c r="AX364" s="76" t="b">
        <v>0</v>
      </c>
      <c r="AY364" s="76"/>
      <c r="AZ364" s="76"/>
      <c r="BA364" s="76" t="b">
        <v>0</v>
      </c>
      <c r="BB364" s="76" t="b">
        <v>1</v>
      </c>
      <c r="BC364" s="76" t="b">
        <v>1</v>
      </c>
      <c r="BD364" s="76" t="b">
        <v>0</v>
      </c>
      <c r="BE364" s="76" t="b">
        <v>0</v>
      </c>
      <c r="BF364" s="76" t="b">
        <v>0</v>
      </c>
      <c r="BG364" s="76" t="b">
        <v>0</v>
      </c>
      <c r="BH364" s="76"/>
      <c r="BI364" s="76"/>
      <c r="BJ364" s="76" t="s">
        <v>14450</v>
      </c>
      <c r="BK364" s="76" t="b">
        <v>0</v>
      </c>
      <c r="BL364" s="76"/>
      <c r="BM364" s="76" t="s">
        <v>66</v>
      </c>
      <c r="BN364" s="76" t="s">
        <v>14452</v>
      </c>
      <c r="BO364" s="82" t="str">
        <f>HYPERLINK("https://twitter.com/pablosu91535628")</f>
        <v>https://twitter.com/pablosu91535628</v>
      </c>
      <c r="BP364" s="2"/>
    </row>
    <row r="365" spans="1:68" x14ac:dyDescent="0.25">
      <c r="A365" s="62" t="s">
        <v>522</v>
      </c>
      <c r="B365" s="63"/>
      <c r="C365" s="63"/>
      <c r="D365" s="64"/>
      <c r="E365" s="66"/>
      <c r="F365" s="103" t="str">
        <f>HYPERLINK("https://pbs.twimg.com/profile_images/1489646525688991746/zTAdW97Q_normal.jpg")</f>
        <v>https://pbs.twimg.com/profile_images/1489646525688991746/zTAdW97Q_normal.jpg</v>
      </c>
      <c r="G365" s="63"/>
      <c r="H365" s="67"/>
      <c r="I365" s="68"/>
      <c r="J365" s="68"/>
      <c r="K365" s="67" t="s">
        <v>14814</v>
      </c>
      <c r="L365" s="71"/>
      <c r="M365" s="72"/>
      <c r="N365" s="72"/>
      <c r="O365" s="73"/>
      <c r="P365" s="74"/>
      <c r="Q365" s="74"/>
      <c r="R365" s="87"/>
      <c r="S365" s="87"/>
      <c r="T365" s="87"/>
      <c r="U365" s="87"/>
      <c r="V365" s="48"/>
      <c r="W365" s="48"/>
      <c r="X365" s="48"/>
      <c r="Y365" s="48"/>
      <c r="Z365" s="47"/>
      <c r="AA365" s="69">
        <v>365</v>
      </c>
      <c r="AB365" s="69"/>
      <c r="AC365" s="70"/>
      <c r="AD365" s="76" t="s">
        <v>12098</v>
      </c>
      <c r="AE365" s="80" t="s">
        <v>11553</v>
      </c>
      <c r="AF365" s="76">
        <v>12</v>
      </c>
      <c r="AG365" s="76">
        <v>0</v>
      </c>
      <c r="AH365" s="76">
        <v>477</v>
      </c>
      <c r="AI365" s="76">
        <v>0</v>
      </c>
      <c r="AJ365" s="76">
        <v>0</v>
      </c>
      <c r="AK365" s="76">
        <v>12</v>
      </c>
      <c r="AL365" s="76" t="b">
        <v>0</v>
      </c>
      <c r="AM365" s="78">
        <v>43151.473113425927</v>
      </c>
      <c r="AN365" s="76" t="s">
        <v>12893</v>
      </c>
      <c r="AO365" s="76" t="s">
        <v>13555</v>
      </c>
      <c r="AP365" s="82" t="str">
        <f>HYPERLINK("https://t.co/OvNgepjEYe")</f>
        <v>https://t.co/OvNgepjEYe</v>
      </c>
      <c r="AQ365" s="82" t="str">
        <f>HYPERLINK("https://coformacion.com")</f>
        <v>https://coformacion.com</v>
      </c>
      <c r="AR365" s="76" t="s">
        <v>14121</v>
      </c>
      <c r="AS365" s="76"/>
      <c r="AT365" s="76"/>
      <c r="AU365" s="76"/>
      <c r="AV365" s="76"/>
      <c r="AW365" s="82" t="str">
        <f>HYPERLINK("https://t.co/OvNgepjEYe")</f>
        <v>https://t.co/OvNgepjEYe</v>
      </c>
      <c r="AX365" s="76" t="b">
        <v>0</v>
      </c>
      <c r="AY365" s="76"/>
      <c r="AZ365" s="76"/>
      <c r="BA365" s="76" t="b">
        <v>0</v>
      </c>
      <c r="BB365" s="76" t="b">
        <v>1</v>
      </c>
      <c r="BC365" s="76" t="b">
        <v>1</v>
      </c>
      <c r="BD365" s="76" t="b">
        <v>0</v>
      </c>
      <c r="BE365" s="76" t="b">
        <v>0</v>
      </c>
      <c r="BF365" s="76" t="b">
        <v>0</v>
      </c>
      <c r="BG365" s="76" t="b">
        <v>0</v>
      </c>
      <c r="BH365" s="82" t="str">
        <f>HYPERLINK("https://pbs.twimg.com/profile_banners/965909214349680640/1645558237")</f>
        <v>https://pbs.twimg.com/profile_banners/965909214349680640/1645558237</v>
      </c>
      <c r="BI365" s="76"/>
      <c r="BJ365" s="76" t="s">
        <v>14450</v>
      </c>
      <c r="BK365" s="76" t="b">
        <v>0</v>
      </c>
      <c r="BL365" s="76"/>
      <c r="BM365" s="76" t="s">
        <v>66</v>
      </c>
      <c r="BN365" s="76" t="s">
        <v>14452</v>
      </c>
      <c r="BO365" s="82" t="str">
        <f>HYPERLINK("https://twitter.com/coformacion")</f>
        <v>https://twitter.com/coformacion</v>
      </c>
      <c r="BP365" s="2"/>
    </row>
    <row r="366" spans="1:68" x14ac:dyDescent="0.25">
      <c r="A366" s="62" t="s">
        <v>523</v>
      </c>
      <c r="B366" s="63"/>
      <c r="C366" s="63"/>
      <c r="D366" s="64"/>
      <c r="E366" s="66"/>
      <c r="F366" s="103" t="str">
        <f>HYPERLINK("https://pbs.twimg.com/profile_images/1223381990365368320/CqKjhHNm_normal.jpg")</f>
        <v>https://pbs.twimg.com/profile_images/1223381990365368320/CqKjhHNm_normal.jpg</v>
      </c>
      <c r="G366" s="63"/>
      <c r="H366" s="67"/>
      <c r="I366" s="68"/>
      <c r="J366" s="68"/>
      <c r="K366" s="67" t="s">
        <v>14815</v>
      </c>
      <c r="L366" s="71"/>
      <c r="M366" s="72"/>
      <c r="N366" s="72"/>
      <c r="O366" s="73"/>
      <c r="P366" s="74"/>
      <c r="Q366" s="74"/>
      <c r="R366" s="87"/>
      <c r="S366" s="87"/>
      <c r="T366" s="87"/>
      <c r="U366" s="87"/>
      <c r="V366" s="48"/>
      <c r="W366" s="48"/>
      <c r="X366" s="48"/>
      <c r="Y366" s="48"/>
      <c r="Z366" s="47"/>
      <c r="AA366" s="69">
        <v>366</v>
      </c>
      <c r="AB366" s="69"/>
      <c r="AC366" s="70"/>
      <c r="AD366" s="76" t="s">
        <v>12099</v>
      </c>
      <c r="AE366" s="80" t="s">
        <v>12666</v>
      </c>
      <c r="AF366" s="76">
        <v>1003</v>
      </c>
      <c r="AG366" s="76">
        <v>807</v>
      </c>
      <c r="AH366" s="76">
        <v>25321</v>
      </c>
      <c r="AI366" s="76">
        <v>34</v>
      </c>
      <c r="AJ366" s="76">
        <v>834</v>
      </c>
      <c r="AK366" s="76">
        <v>22196</v>
      </c>
      <c r="AL366" s="76" t="b">
        <v>0</v>
      </c>
      <c r="AM366" s="78">
        <v>41959.959537037037</v>
      </c>
      <c r="AN366" s="76" t="s">
        <v>13052</v>
      </c>
      <c r="AO366" s="76" t="s">
        <v>13556</v>
      </c>
      <c r="AP366" s="82" t="str">
        <f>HYPERLINK("https://t.co/f0qZ7WytfJ")</f>
        <v>https://t.co/f0qZ7WytfJ</v>
      </c>
      <c r="AQ366" s="82" t="str">
        <f>HYPERLINK("http://www.clasicsfm.com")</f>
        <v>http://www.clasicsfm.com</v>
      </c>
      <c r="AR366" s="76" t="s">
        <v>14122</v>
      </c>
      <c r="AS366" s="76"/>
      <c r="AT366" s="76"/>
      <c r="AU366" s="76"/>
      <c r="AV366" s="76">
        <v>8.3194387668862106E+17</v>
      </c>
      <c r="AW366" s="82" t="str">
        <f>HYPERLINK("https://t.co/f0qZ7WytfJ")</f>
        <v>https://t.co/f0qZ7WytfJ</v>
      </c>
      <c r="AX366" s="76" t="b">
        <v>0</v>
      </c>
      <c r="AY366" s="76"/>
      <c r="AZ366" s="76"/>
      <c r="BA366" s="76" t="b">
        <v>0</v>
      </c>
      <c r="BB366" s="76" t="b">
        <v>1</v>
      </c>
      <c r="BC366" s="76" t="b">
        <v>0</v>
      </c>
      <c r="BD366" s="76" t="b">
        <v>0</v>
      </c>
      <c r="BE366" s="76" t="b">
        <v>0</v>
      </c>
      <c r="BF366" s="76" t="b">
        <v>0</v>
      </c>
      <c r="BG366" s="76" t="b">
        <v>0</v>
      </c>
      <c r="BH366" s="82" t="str">
        <f>HYPERLINK("https://pbs.twimg.com/profile_banners/2880211492/1515434679")</f>
        <v>https://pbs.twimg.com/profile_banners/2880211492/1515434679</v>
      </c>
      <c r="BI366" s="76"/>
      <c r="BJ366" s="76" t="s">
        <v>14450</v>
      </c>
      <c r="BK366" s="76" t="b">
        <v>0</v>
      </c>
      <c r="BL366" s="76"/>
      <c r="BM366" s="76" t="s">
        <v>66</v>
      </c>
      <c r="BN366" s="76" t="s">
        <v>14452</v>
      </c>
      <c r="BO366" s="82" t="str">
        <f>HYPERLINK("https://twitter.com/clasicsfm")</f>
        <v>https://twitter.com/clasicsfm</v>
      </c>
      <c r="BP366" s="2"/>
    </row>
    <row r="367" spans="1:68" x14ac:dyDescent="0.25">
      <c r="A367" s="62" t="s">
        <v>524</v>
      </c>
      <c r="B367" s="63"/>
      <c r="C367" s="63"/>
      <c r="D367" s="64"/>
      <c r="E367" s="66"/>
      <c r="F367" s="103" t="str">
        <f>HYPERLINK("https://pbs.twimg.com/profile_images/1389136917120356352/Dmd2AXzz_normal.jpg")</f>
        <v>https://pbs.twimg.com/profile_images/1389136917120356352/Dmd2AXzz_normal.jpg</v>
      </c>
      <c r="G367" s="63"/>
      <c r="H367" s="67"/>
      <c r="I367" s="68"/>
      <c r="J367" s="68"/>
      <c r="K367" s="67" t="s">
        <v>14816</v>
      </c>
      <c r="L367" s="71"/>
      <c r="M367" s="72"/>
      <c r="N367" s="72"/>
      <c r="O367" s="73"/>
      <c r="P367" s="74"/>
      <c r="Q367" s="74"/>
      <c r="R367" s="87"/>
      <c r="S367" s="87"/>
      <c r="T367" s="87"/>
      <c r="U367" s="87"/>
      <c r="V367" s="48"/>
      <c r="W367" s="48"/>
      <c r="X367" s="48"/>
      <c r="Y367" s="48"/>
      <c r="Z367" s="47"/>
      <c r="AA367" s="69">
        <v>367</v>
      </c>
      <c r="AB367" s="69"/>
      <c r="AC367" s="70"/>
      <c r="AD367" s="76" t="s">
        <v>12100</v>
      </c>
      <c r="AE367" s="80" t="s">
        <v>11554</v>
      </c>
      <c r="AF367" s="76">
        <v>16</v>
      </c>
      <c r="AG367" s="76">
        <v>128</v>
      </c>
      <c r="AH367" s="76">
        <v>641</v>
      </c>
      <c r="AI367" s="76">
        <v>0</v>
      </c>
      <c r="AJ367" s="76">
        <v>31</v>
      </c>
      <c r="AK367" s="76">
        <v>547</v>
      </c>
      <c r="AL367" s="76" t="b">
        <v>0</v>
      </c>
      <c r="AM367" s="78">
        <v>42759.56212962963</v>
      </c>
      <c r="AN367" s="76" t="s">
        <v>13053</v>
      </c>
      <c r="AO367" s="76" t="s">
        <v>13557</v>
      </c>
      <c r="AP367" s="82" t="str">
        <f>HYPERLINK("https://t.co/bIIdLSnbV6")</f>
        <v>https://t.co/bIIdLSnbV6</v>
      </c>
      <c r="AQ367" s="82" t="str">
        <f>HYPERLINK("http://www.abtoc.pt")</f>
        <v>http://www.abtoc.pt</v>
      </c>
      <c r="AR367" s="76" t="s">
        <v>14123</v>
      </c>
      <c r="AS367" s="76"/>
      <c r="AT367" s="76"/>
      <c r="AU367" s="76"/>
      <c r="AV367" s="76"/>
      <c r="AW367" s="82" t="str">
        <f>HYPERLINK("https://t.co/bIIdLSnbV6")</f>
        <v>https://t.co/bIIdLSnbV6</v>
      </c>
      <c r="AX367" s="76" t="b">
        <v>0</v>
      </c>
      <c r="AY367" s="76"/>
      <c r="AZ367" s="76"/>
      <c r="BA367" s="76" t="b">
        <v>0</v>
      </c>
      <c r="BB367" s="76" t="b">
        <v>1</v>
      </c>
      <c r="BC367" s="76" t="b">
        <v>1</v>
      </c>
      <c r="BD367" s="76" t="b">
        <v>0</v>
      </c>
      <c r="BE367" s="76" t="b">
        <v>1</v>
      </c>
      <c r="BF367" s="76" t="b">
        <v>0</v>
      </c>
      <c r="BG367" s="76" t="b">
        <v>0</v>
      </c>
      <c r="BH367" s="82" t="str">
        <f>HYPERLINK("https://pbs.twimg.com/profile_banners/823885430101856256/1610623203")</f>
        <v>https://pbs.twimg.com/profile_banners/823885430101856256/1610623203</v>
      </c>
      <c r="BI367" s="76"/>
      <c r="BJ367" s="76" t="s">
        <v>14450</v>
      </c>
      <c r="BK367" s="76" t="b">
        <v>0</v>
      </c>
      <c r="BL367" s="76"/>
      <c r="BM367" s="76" t="s">
        <v>66</v>
      </c>
      <c r="BN367" s="76" t="s">
        <v>14452</v>
      </c>
      <c r="BO367" s="82" t="str">
        <f>HYPERLINK("https://twitter.com/anaborgestoc")</f>
        <v>https://twitter.com/anaborgestoc</v>
      </c>
      <c r="BP367" s="2"/>
    </row>
    <row r="368" spans="1:68" x14ac:dyDescent="0.25">
      <c r="A368" s="62" t="s">
        <v>525</v>
      </c>
      <c r="B368" s="63"/>
      <c r="C368" s="63"/>
      <c r="D368" s="64"/>
      <c r="E368" s="66"/>
      <c r="F368" s="103" t="str">
        <f>HYPERLINK("https://pbs.twimg.com/profile_images/1552353115244044290/WusBgb5I_normal.jpg")</f>
        <v>https://pbs.twimg.com/profile_images/1552353115244044290/WusBgb5I_normal.jpg</v>
      </c>
      <c r="G368" s="63"/>
      <c r="H368" s="67"/>
      <c r="I368" s="68"/>
      <c r="J368" s="68"/>
      <c r="K368" s="67" t="s">
        <v>14817</v>
      </c>
      <c r="L368" s="71"/>
      <c r="M368" s="72"/>
      <c r="N368" s="72"/>
      <c r="O368" s="73"/>
      <c r="P368" s="74"/>
      <c r="Q368" s="74"/>
      <c r="R368" s="87"/>
      <c r="S368" s="87"/>
      <c r="T368" s="87"/>
      <c r="U368" s="87"/>
      <c r="V368" s="48"/>
      <c r="W368" s="48"/>
      <c r="X368" s="48"/>
      <c r="Y368" s="48"/>
      <c r="Z368" s="47"/>
      <c r="AA368" s="69">
        <v>368</v>
      </c>
      <c r="AB368" s="69"/>
      <c r="AC368" s="70"/>
      <c r="AD368" s="76" t="s">
        <v>12101</v>
      </c>
      <c r="AE368" s="80" t="s">
        <v>12667</v>
      </c>
      <c r="AF368" s="76">
        <v>63</v>
      </c>
      <c r="AG368" s="76">
        <v>231</v>
      </c>
      <c r="AH368" s="76">
        <v>285</v>
      </c>
      <c r="AI368" s="76">
        <v>0</v>
      </c>
      <c r="AJ368" s="76">
        <v>636</v>
      </c>
      <c r="AK368" s="76">
        <v>42</v>
      </c>
      <c r="AL368" s="76" t="b">
        <v>0</v>
      </c>
      <c r="AM368" s="78">
        <v>40452.133240740739</v>
      </c>
      <c r="AN368" s="76"/>
      <c r="AO368" s="76" t="s">
        <v>13558</v>
      </c>
      <c r="AP368" s="76"/>
      <c r="AQ368" s="76"/>
      <c r="AR368" s="76"/>
      <c r="AS368" s="76"/>
      <c r="AT368" s="76"/>
      <c r="AU368" s="76"/>
      <c r="AV368" s="76">
        <v>1.5516288773442401E+18</v>
      </c>
      <c r="AW368" s="76"/>
      <c r="AX368" s="76" t="b">
        <v>0</v>
      </c>
      <c r="AY368" s="76"/>
      <c r="AZ368" s="76"/>
      <c r="BA368" s="76" t="b">
        <v>0</v>
      </c>
      <c r="BB368" s="76" t="b">
        <v>0</v>
      </c>
      <c r="BC368" s="76" t="b">
        <v>0</v>
      </c>
      <c r="BD368" s="76" t="b">
        <v>0</v>
      </c>
      <c r="BE368" s="76" t="b">
        <v>1</v>
      </c>
      <c r="BF368" s="76" t="b">
        <v>0</v>
      </c>
      <c r="BG368" s="76" t="b">
        <v>0</v>
      </c>
      <c r="BH368" s="82" t="str">
        <f>HYPERLINK("https://pbs.twimg.com/profile_banners/197290362/1465605524")</f>
        <v>https://pbs.twimg.com/profile_banners/197290362/1465605524</v>
      </c>
      <c r="BI368" s="76"/>
      <c r="BJ368" s="76" t="s">
        <v>14450</v>
      </c>
      <c r="BK368" s="76" t="b">
        <v>0</v>
      </c>
      <c r="BL368" s="76"/>
      <c r="BM368" s="76" t="s">
        <v>66</v>
      </c>
      <c r="BN368" s="76" t="s">
        <v>14452</v>
      </c>
      <c r="BO368" s="82" t="str">
        <f>HYPERLINK("https://twitter.com/lajozzs")</f>
        <v>https://twitter.com/lajozzs</v>
      </c>
      <c r="BP368" s="2"/>
    </row>
    <row r="369" spans="1:68" x14ac:dyDescent="0.25">
      <c r="A369" s="62" t="s">
        <v>526</v>
      </c>
      <c r="B369" s="63"/>
      <c r="C369" s="63"/>
      <c r="D369" s="64"/>
      <c r="E369" s="66"/>
      <c r="F369" s="103" t="str">
        <f>HYPERLINK("https://pbs.twimg.com/profile_images/1691491995141783552/QtJa42_2_normal.jpg")</f>
        <v>https://pbs.twimg.com/profile_images/1691491995141783552/QtJa42_2_normal.jpg</v>
      </c>
      <c r="G369" s="63"/>
      <c r="H369" s="67"/>
      <c r="I369" s="68"/>
      <c r="J369" s="68"/>
      <c r="K369" s="67" t="s">
        <v>14818</v>
      </c>
      <c r="L369" s="71"/>
      <c r="M369" s="72"/>
      <c r="N369" s="72"/>
      <c r="O369" s="73"/>
      <c r="P369" s="74"/>
      <c r="Q369" s="74"/>
      <c r="R369" s="87"/>
      <c r="S369" s="87"/>
      <c r="T369" s="87"/>
      <c r="U369" s="87"/>
      <c r="V369" s="48"/>
      <c r="W369" s="48"/>
      <c r="X369" s="48"/>
      <c r="Y369" s="48"/>
      <c r="Z369" s="47"/>
      <c r="AA369" s="69">
        <v>369</v>
      </c>
      <c r="AB369" s="69"/>
      <c r="AC369" s="70"/>
      <c r="AD369" s="76" t="s">
        <v>12102</v>
      </c>
      <c r="AE369" s="80" t="s">
        <v>12668</v>
      </c>
      <c r="AF369" s="76">
        <v>481</v>
      </c>
      <c r="AG369" s="76">
        <v>951</v>
      </c>
      <c r="AH369" s="76">
        <v>52023</v>
      </c>
      <c r="AI369" s="76">
        <v>2</v>
      </c>
      <c r="AJ369" s="76">
        <v>21175</v>
      </c>
      <c r="AK369" s="76">
        <v>1392</v>
      </c>
      <c r="AL369" s="76" t="b">
        <v>0</v>
      </c>
      <c r="AM369" s="78">
        <v>39881.001354166663</v>
      </c>
      <c r="AN369" s="76" t="s">
        <v>7767</v>
      </c>
      <c r="AO369" s="76" t="s">
        <v>13559</v>
      </c>
      <c r="AP369" s="76"/>
      <c r="AQ369" s="76"/>
      <c r="AR369" s="76"/>
      <c r="AS369" s="76"/>
      <c r="AT369" s="76"/>
      <c r="AU369" s="76"/>
      <c r="AV369" s="76"/>
      <c r="AW369" s="76"/>
      <c r="AX369" s="76" t="b">
        <v>0</v>
      </c>
      <c r="AY369" s="76"/>
      <c r="AZ369" s="76"/>
      <c r="BA369" s="76" t="b">
        <v>0</v>
      </c>
      <c r="BB369" s="76" t="b">
        <v>1</v>
      </c>
      <c r="BC369" s="76" t="b">
        <v>0</v>
      </c>
      <c r="BD369" s="76" t="b">
        <v>0</v>
      </c>
      <c r="BE369" s="76" t="b">
        <v>1</v>
      </c>
      <c r="BF369" s="76" t="b">
        <v>0</v>
      </c>
      <c r="BG369" s="76" t="b">
        <v>0</v>
      </c>
      <c r="BH369" s="82" t="str">
        <f>HYPERLINK("https://pbs.twimg.com/profile_banners/23374235/1684524219")</f>
        <v>https://pbs.twimg.com/profile_banners/23374235/1684524219</v>
      </c>
      <c r="BI369" s="76"/>
      <c r="BJ369" s="76" t="s">
        <v>14450</v>
      </c>
      <c r="BK369" s="76" t="b">
        <v>0</v>
      </c>
      <c r="BL369" s="76"/>
      <c r="BM369" s="76" t="s">
        <v>66</v>
      </c>
      <c r="BN369" s="76" t="s">
        <v>14452</v>
      </c>
      <c r="BO369" s="82" t="str">
        <f>HYPERLINK("https://twitter.com/naomiauve")</f>
        <v>https://twitter.com/naomiauve</v>
      </c>
      <c r="BP369" s="2"/>
    </row>
    <row r="370" spans="1:68" x14ac:dyDescent="0.25">
      <c r="A370" s="62" t="s">
        <v>527</v>
      </c>
      <c r="B370" s="63"/>
      <c r="C370" s="63"/>
      <c r="D370" s="64"/>
      <c r="E370" s="66"/>
      <c r="F370" s="103" t="str">
        <f>HYPERLINK("https://pbs.twimg.com/profile_images/1570481566039539715/leEExsEx_normal.jpg")</f>
        <v>https://pbs.twimg.com/profile_images/1570481566039539715/leEExsEx_normal.jpg</v>
      </c>
      <c r="G370" s="63"/>
      <c r="H370" s="67"/>
      <c r="I370" s="68"/>
      <c r="J370" s="68"/>
      <c r="K370" s="67" t="s">
        <v>14819</v>
      </c>
      <c r="L370" s="71"/>
      <c r="M370" s="72"/>
      <c r="N370" s="72"/>
      <c r="O370" s="73"/>
      <c r="P370" s="74"/>
      <c r="Q370" s="74"/>
      <c r="R370" s="87"/>
      <c r="S370" s="87"/>
      <c r="T370" s="87"/>
      <c r="U370" s="87"/>
      <c r="V370" s="48"/>
      <c r="W370" s="48"/>
      <c r="X370" s="48"/>
      <c r="Y370" s="48"/>
      <c r="Z370" s="47"/>
      <c r="AA370" s="69">
        <v>370</v>
      </c>
      <c r="AB370" s="69"/>
      <c r="AC370" s="70"/>
      <c r="AD370" s="76" t="s">
        <v>12103</v>
      </c>
      <c r="AE370" s="80" t="s">
        <v>11336</v>
      </c>
      <c r="AF370" s="76">
        <v>203</v>
      </c>
      <c r="AG370" s="76">
        <v>580</v>
      </c>
      <c r="AH370" s="76">
        <v>12201</v>
      </c>
      <c r="AI370" s="76">
        <v>1</v>
      </c>
      <c r="AJ370" s="76">
        <v>11228</v>
      </c>
      <c r="AK370" s="76">
        <v>966</v>
      </c>
      <c r="AL370" s="76" t="b">
        <v>0</v>
      </c>
      <c r="AM370" s="78">
        <v>44172.557199074072</v>
      </c>
      <c r="AN370" s="76" t="s">
        <v>13054</v>
      </c>
      <c r="AO370" s="76" t="s">
        <v>13560</v>
      </c>
      <c r="AP370" s="82" t="str">
        <f>HYPERLINK("https://t.co/ApOjm08EDx")</f>
        <v>https://t.co/ApOjm08EDx</v>
      </c>
      <c r="AQ370" s="82" t="str">
        <f>HYPERLINK("http://www.vagasdeempregosemsalvador.blogspot.com")</f>
        <v>http://www.vagasdeempregosemsalvador.blogspot.com</v>
      </c>
      <c r="AR370" s="76" t="s">
        <v>14124</v>
      </c>
      <c r="AS370" s="82" t="str">
        <f>HYPERLINK("https://t.co/O27gXsXiXF")</f>
        <v>https://t.co/O27gXsXiXF</v>
      </c>
      <c r="AT370" s="82" t="str">
        <f>HYPERLINK("https://salvadorfolhetim.blogspot.com/?m=0")</f>
        <v>https://salvadorfolhetim.blogspot.com/?m=0</v>
      </c>
      <c r="AU370" s="76" t="s">
        <v>14422</v>
      </c>
      <c r="AV370" s="76">
        <v>1.69119467260387E+18</v>
      </c>
      <c r="AW370" s="82" t="str">
        <f>HYPERLINK("https://t.co/ApOjm08EDx")</f>
        <v>https://t.co/ApOjm08EDx</v>
      </c>
      <c r="AX370" s="76" t="b">
        <v>0</v>
      </c>
      <c r="AY370" s="76"/>
      <c r="AZ370" s="76"/>
      <c r="BA370" s="76" t="b">
        <v>0</v>
      </c>
      <c r="BB370" s="76" t="b">
        <v>1</v>
      </c>
      <c r="BC370" s="76" t="b">
        <v>1</v>
      </c>
      <c r="BD370" s="76" t="b">
        <v>0</v>
      </c>
      <c r="BE370" s="76" t="b">
        <v>0</v>
      </c>
      <c r="BF370" s="76" t="b">
        <v>0</v>
      </c>
      <c r="BG370" s="76" t="b">
        <v>0</v>
      </c>
      <c r="BH370" s="82" t="str">
        <f>HYPERLINK("https://pbs.twimg.com/profile_banners/1335937657474527233/1692294290")</f>
        <v>https://pbs.twimg.com/profile_banners/1335937657474527233/1692294290</v>
      </c>
      <c r="BI370" s="76"/>
      <c r="BJ370" s="76" t="s">
        <v>14450</v>
      </c>
      <c r="BK370" s="76" t="b">
        <v>0</v>
      </c>
      <c r="BL370" s="76"/>
      <c r="BM370" s="76" t="s">
        <v>66</v>
      </c>
      <c r="BN370" s="76" t="s">
        <v>14452</v>
      </c>
      <c r="BO370" s="82" t="str">
        <f>HYPERLINK("https://twitter.com/vagasdesalvador")</f>
        <v>https://twitter.com/vagasdesalvador</v>
      </c>
      <c r="BP370" s="2"/>
    </row>
    <row r="371" spans="1:68" x14ac:dyDescent="0.25">
      <c r="A371" s="62" t="s">
        <v>528</v>
      </c>
      <c r="B371" s="63"/>
      <c r="C371" s="63"/>
      <c r="D371" s="64"/>
      <c r="E371" s="66"/>
      <c r="F371" s="103" t="str">
        <f>HYPERLINK("https://pbs.twimg.com/profile_images/1654473521215438851/XT95uaEB_normal.jpg")</f>
        <v>https://pbs.twimg.com/profile_images/1654473521215438851/XT95uaEB_normal.jpg</v>
      </c>
      <c r="G371" s="63"/>
      <c r="H371" s="67"/>
      <c r="I371" s="68"/>
      <c r="J371" s="68"/>
      <c r="K371" s="67" t="s">
        <v>14820</v>
      </c>
      <c r="L371" s="71"/>
      <c r="M371" s="72"/>
      <c r="N371" s="72"/>
      <c r="O371" s="73"/>
      <c r="P371" s="74"/>
      <c r="Q371" s="74"/>
      <c r="R371" s="87"/>
      <c r="S371" s="87"/>
      <c r="T371" s="87"/>
      <c r="U371" s="87"/>
      <c r="V371" s="48"/>
      <c r="W371" s="48"/>
      <c r="X371" s="48"/>
      <c r="Y371" s="48"/>
      <c r="Z371" s="47"/>
      <c r="AA371" s="69">
        <v>371</v>
      </c>
      <c r="AB371" s="69"/>
      <c r="AC371" s="70"/>
      <c r="AD371" s="76" t="s">
        <v>12104</v>
      </c>
      <c r="AE371" s="80" t="s">
        <v>12669</v>
      </c>
      <c r="AF371" s="76">
        <v>25585</v>
      </c>
      <c r="AG371" s="76">
        <v>20613</v>
      </c>
      <c r="AH371" s="76">
        <v>131257</v>
      </c>
      <c r="AI371" s="76">
        <v>38</v>
      </c>
      <c r="AJ371" s="76">
        <v>132</v>
      </c>
      <c r="AK371" s="76">
        <v>15249</v>
      </c>
      <c r="AL371" s="76" t="b">
        <v>0</v>
      </c>
      <c r="AM371" s="78">
        <v>40137.254884259259</v>
      </c>
      <c r="AN371" s="76" t="s">
        <v>7797</v>
      </c>
      <c r="AO371" s="76" t="s">
        <v>13561</v>
      </c>
      <c r="AP371" s="82" t="str">
        <f>HYPERLINK("https://t.co/4SnH9hEBGK")</f>
        <v>https://t.co/4SnH9hEBGK</v>
      </c>
      <c r="AQ371" s="82" t="str">
        <f>HYPERLINK("http://www.korraleja.co/")</f>
        <v>http://www.korraleja.co/</v>
      </c>
      <c r="AR371" s="76" t="s">
        <v>14125</v>
      </c>
      <c r="AS371" s="82" t="str">
        <f>HYPERLINK("https://t.co/BhhEuJ9qtO")</f>
        <v>https://t.co/BhhEuJ9qtO</v>
      </c>
      <c r="AT371" s="82" t="str">
        <f>HYPERLINK("https://api.whatsapp.com/send/?phone=573206274730&amp;text&amp;type=phone_number&amp;app_absent=0")</f>
        <v>https://api.whatsapp.com/send/?phone=573206274730&amp;text&amp;type=phone_number&amp;app_absent=0</v>
      </c>
      <c r="AU371" s="76" t="s">
        <v>14423</v>
      </c>
      <c r="AV371" s="76">
        <v>1.70487208270047E+18</v>
      </c>
      <c r="AW371" s="82" t="str">
        <f>HYPERLINK("https://t.co/4SnH9hEBGK")</f>
        <v>https://t.co/4SnH9hEBGK</v>
      </c>
      <c r="AX371" s="76" t="b">
        <v>1</v>
      </c>
      <c r="AY371" s="76"/>
      <c r="AZ371" s="76"/>
      <c r="BA371" s="76" t="b">
        <v>1</v>
      </c>
      <c r="BB371" s="76" t="b">
        <v>1</v>
      </c>
      <c r="BC371" s="76" t="b">
        <v>0</v>
      </c>
      <c r="BD371" s="76" t="b">
        <v>0</v>
      </c>
      <c r="BE371" s="76" t="b">
        <v>1</v>
      </c>
      <c r="BF371" s="76" t="b">
        <v>0</v>
      </c>
      <c r="BG371" s="76" t="b">
        <v>0</v>
      </c>
      <c r="BH371" s="82" t="str">
        <f>HYPERLINK("https://pbs.twimg.com/profile_banners/91282224/1680913534")</f>
        <v>https://pbs.twimg.com/profile_banners/91282224/1680913534</v>
      </c>
      <c r="BI371" s="76"/>
      <c r="BJ371" s="76" t="s">
        <v>14450</v>
      </c>
      <c r="BK371" s="76" t="b">
        <v>0</v>
      </c>
      <c r="BL371" s="76"/>
      <c r="BM371" s="76" t="s">
        <v>66</v>
      </c>
      <c r="BN371" s="76" t="s">
        <v>14452</v>
      </c>
      <c r="BO371" s="82" t="str">
        <f>HYPERLINK("https://twitter.com/korraleja")</f>
        <v>https://twitter.com/korraleja</v>
      </c>
      <c r="BP371" s="2"/>
    </row>
    <row r="372" spans="1:68" x14ac:dyDescent="0.25">
      <c r="A372" s="62" t="s">
        <v>529</v>
      </c>
      <c r="B372" s="63"/>
      <c r="C372" s="63"/>
      <c r="D372" s="64"/>
      <c r="E372" s="66"/>
      <c r="F372" s="103" t="str">
        <f>HYPERLINK("https://pbs.twimg.com/profile_images/1695530758247514112/9QLAqPwg_normal.jpg")</f>
        <v>https://pbs.twimg.com/profile_images/1695530758247514112/9QLAqPwg_normal.jpg</v>
      </c>
      <c r="G372" s="63"/>
      <c r="H372" s="67"/>
      <c r="I372" s="68"/>
      <c r="J372" s="68"/>
      <c r="K372" s="67" t="s">
        <v>14821</v>
      </c>
      <c r="L372" s="71"/>
      <c r="M372" s="72"/>
      <c r="N372" s="72"/>
      <c r="O372" s="73"/>
      <c r="P372" s="74"/>
      <c r="Q372" s="74"/>
      <c r="R372" s="87"/>
      <c r="S372" s="87"/>
      <c r="T372" s="87"/>
      <c r="U372" s="87"/>
      <c r="V372" s="48"/>
      <c r="W372" s="48"/>
      <c r="X372" s="48"/>
      <c r="Y372" s="48"/>
      <c r="Z372" s="47"/>
      <c r="AA372" s="69">
        <v>372</v>
      </c>
      <c r="AB372" s="69"/>
      <c r="AC372" s="70"/>
      <c r="AD372" s="76" t="s">
        <v>12105</v>
      </c>
      <c r="AE372" s="80" t="s">
        <v>12670</v>
      </c>
      <c r="AF372" s="76">
        <v>206</v>
      </c>
      <c r="AG372" s="76">
        <v>451</v>
      </c>
      <c r="AH372" s="76">
        <v>6845</v>
      </c>
      <c r="AI372" s="76">
        <v>3</v>
      </c>
      <c r="AJ372" s="76">
        <v>10021</v>
      </c>
      <c r="AK372" s="76">
        <v>135</v>
      </c>
      <c r="AL372" s="76" t="b">
        <v>0</v>
      </c>
      <c r="AM372" s="78">
        <v>41019.686099537037</v>
      </c>
      <c r="AN372" s="76" t="s">
        <v>13055</v>
      </c>
      <c r="AO372" s="76" t="s">
        <v>13562</v>
      </c>
      <c r="AP372" s="76"/>
      <c r="AQ372" s="76"/>
      <c r="AR372" s="76"/>
      <c r="AS372" s="76"/>
      <c r="AT372" s="76"/>
      <c r="AU372" s="76"/>
      <c r="AV372" s="76"/>
      <c r="AW372" s="76"/>
      <c r="AX372" s="76" t="b">
        <v>0</v>
      </c>
      <c r="AY372" s="76"/>
      <c r="AZ372" s="76"/>
      <c r="BA372" s="76" t="b">
        <v>0</v>
      </c>
      <c r="BB372" s="76" t="b">
        <v>1</v>
      </c>
      <c r="BC372" s="76" t="b">
        <v>0</v>
      </c>
      <c r="BD372" s="76" t="b">
        <v>0</v>
      </c>
      <c r="BE372" s="76" t="b">
        <v>1</v>
      </c>
      <c r="BF372" s="76" t="b">
        <v>0</v>
      </c>
      <c r="BG372" s="76" t="b">
        <v>0</v>
      </c>
      <c r="BH372" s="76"/>
      <c r="BI372" s="76"/>
      <c r="BJ372" s="76" t="s">
        <v>14450</v>
      </c>
      <c r="BK372" s="76" t="b">
        <v>0</v>
      </c>
      <c r="BL372" s="76"/>
      <c r="BM372" s="76" t="s">
        <v>66</v>
      </c>
      <c r="BN372" s="76" t="s">
        <v>14452</v>
      </c>
      <c r="BO372" s="82" t="str">
        <f>HYPERLINK("https://twitter.com/ceciliabolina")</f>
        <v>https://twitter.com/ceciliabolina</v>
      </c>
      <c r="BP372" s="2"/>
    </row>
    <row r="373" spans="1:68" x14ac:dyDescent="0.25">
      <c r="A373" s="62" t="s">
        <v>530</v>
      </c>
      <c r="B373" s="63"/>
      <c r="C373" s="63"/>
      <c r="D373" s="64"/>
      <c r="E373" s="66"/>
      <c r="F373" s="103" t="str">
        <f>HYPERLINK("https://pbs.twimg.com/profile_images/1615379648543596545/dwWwXXJs_normal.jpg")</f>
        <v>https://pbs.twimg.com/profile_images/1615379648543596545/dwWwXXJs_normal.jpg</v>
      </c>
      <c r="G373" s="63"/>
      <c r="H373" s="67"/>
      <c r="I373" s="68"/>
      <c r="J373" s="68"/>
      <c r="K373" s="67" t="s">
        <v>14822</v>
      </c>
      <c r="L373" s="71"/>
      <c r="M373" s="72"/>
      <c r="N373" s="72"/>
      <c r="O373" s="73"/>
      <c r="P373" s="74"/>
      <c r="Q373" s="74"/>
      <c r="R373" s="87"/>
      <c r="S373" s="87"/>
      <c r="T373" s="87"/>
      <c r="U373" s="87"/>
      <c r="V373" s="48"/>
      <c r="W373" s="48"/>
      <c r="X373" s="48"/>
      <c r="Y373" s="48"/>
      <c r="Z373" s="47"/>
      <c r="AA373" s="69">
        <v>373</v>
      </c>
      <c r="AB373" s="69"/>
      <c r="AC373" s="70"/>
      <c r="AD373" s="76" t="s">
        <v>12106</v>
      </c>
      <c r="AE373" s="80" t="s">
        <v>11555</v>
      </c>
      <c r="AF373" s="76">
        <v>4</v>
      </c>
      <c r="AG373" s="76">
        <v>109</v>
      </c>
      <c r="AH373" s="76">
        <v>236</v>
      </c>
      <c r="AI373" s="76">
        <v>0</v>
      </c>
      <c r="AJ373" s="76">
        <v>476</v>
      </c>
      <c r="AK373" s="76">
        <v>59</v>
      </c>
      <c r="AL373" s="76" t="b">
        <v>0</v>
      </c>
      <c r="AM373" s="78">
        <v>44943.652337962965</v>
      </c>
      <c r="AN373" s="76" t="s">
        <v>13056</v>
      </c>
      <c r="AO373" s="76" t="s">
        <v>13563</v>
      </c>
      <c r="AP373" s="76"/>
      <c r="AQ373" s="76"/>
      <c r="AR373" s="76"/>
      <c r="AS373" s="76"/>
      <c r="AT373" s="76"/>
      <c r="AU373" s="76"/>
      <c r="AV373" s="76"/>
      <c r="AW373" s="76"/>
      <c r="AX373" s="76" t="b">
        <v>0</v>
      </c>
      <c r="AY373" s="76"/>
      <c r="AZ373" s="76"/>
      <c r="BA373" s="76" t="b">
        <v>0</v>
      </c>
      <c r="BB373" s="76" t="b">
        <v>1</v>
      </c>
      <c r="BC373" s="76" t="b">
        <v>1</v>
      </c>
      <c r="BD373" s="76" t="b">
        <v>0</v>
      </c>
      <c r="BE373" s="76" t="b">
        <v>0</v>
      </c>
      <c r="BF373" s="76" t="b">
        <v>0</v>
      </c>
      <c r="BG373" s="76" t="b">
        <v>0</v>
      </c>
      <c r="BH373" s="76"/>
      <c r="BI373" s="76"/>
      <c r="BJ373" s="76" t="s">
        <v>14450</v>
      </c>
      <c r="BK373" s="76" t="b">
        <v>0</v>
      </c>
      <c r="BL373" s="76"/>
      <c r="BM373" s="76" t="s">
        <v>66</v>
      </c>
      <c r="BN373" s="76" t="s">
        <v>14452</v>
      </c>
      <c r="BO373" s="82" t="str">
        <f>HYPERLINK("https://twitter.com/chuy13jesus04")</f>
        <v>https://twitter.com/chuy13jesus04</v>
      </c>
      <c r="BP373" s="2"/>
    </row>
    <row r="374" spans="1:68" x14ac:dyDescent="0.25">
      <c r="A374" s="62" t="s">
        <v>927</v>
      </c>
      <c r="B374" s="63"/>
      <c r="C374" s="63"/>
      <c r="D374" s="64"/>
      <c r="E374" s="66"/>
      <c r="F374" s="103" t="str">
        <f>HYPERLINK("https://pbs.twimg.com/profile_images/1698842668116434944/GrtV4Qc__normal.jpg")</f>
        <v>https://pbs.twimg.com/profile_images/1698842668116434944/GrtV4Qc__normal.jpg</v>
      </c>
      <c r="G374" s="63"/>
      <c r="H374" s="67"/>
      <c r="I374" s="68"/>
      <c r="J374" s="68"/>
      <c r="K374" s="67" t="s">
        <v>14823</v>
      </c>
      <c r="L374" s="71"/>
      <c r="M374" s="72"/>
      <c r="N374" s="72"/>
      <c r="O374" s="73"/>
      <c r="P374" s="74"/>
      <c r="Q374" s="74"/>
      <c r="R374" s="87"/>
      <c r="S374" s="87"/>
      <c r="T374" s="87"/>
      <c r="U374" s="87"/>
      <c r="V374" s="48"/>
      <c r="W374" s="48"/>
      <c r="X374" s="48"/>
      <c r="Y374" s="48"/>
      <c r="Z374" s="47"/>
      <c r="AA374" s="69">
        <v>374</v>
      </c>
      <c r="AB374" s="69"/>
      <c r="AC374" s="70"/>
      <c r="AD374" s="76" t="s">
        <v>12107</v>
      </c>
      <c r="AE374" s="80" t="s">
        <v>12671</v>
      </c>
      <c r="AF374" s="76">
        <v>79248</v>
      </c>
      <c r="AG374" s="76">
        <v>44</v>
      </c>
      <c r="AH374" s="76">
        <v>33049</v>
      </c>
      <c r="AI374" s="76">
        <v>222</v>
      </c>
      <c r="AJ374" s="76">
        <v>4455</v>
      </c>
      <c r="AK374" s="76">
        <v>4126</v>
      </c>
      <c r="AL374" s="76" t="b">
        <v>0</v>
      </c>
      <c r="AM374" s="78">
        <v>40408.936585648145</v>
      </c>
      <c r="AN374" s="76" t="s">
        <v>7767</v>
      </c>
      <c r="AO374" s="76" t="s">
        <v>13564</v>
      </c>
      <c r="AP374" s="82" t="str">
        <f>HYPERLINK("https://t.co/9efVioNP0r")</f>
        <v>https://t.co/9efVioNP0r</v>
      </c>
      <c r="AQ374" s="82" t="str">
        <f>HYPERLINK("http://www.bimbo.com.mx")</f>
        <v>http://www.bimbo.com.mx</v>
      </c>
      <c r="AR374" s="76" t="s">
        <v>14126</v>
      </c>
      <c r="AS374" s="76"/>
      <c r="AT374" s="76"/>
      <c r="AU374" s="76"/>
      <c r="AV374" s="76"/>
      <c r="AW374" s="82" t="str">
        <f>HYPERLINK("https://t.co/9efVioNP0r")</f>
        <v>https://t.co/9efVioNP0r</v>
      </c>
      <c r="AX374" s="76" t="b">
        <v>0</v>
      </c>
      <c r="AY374" s="76"/>
      <c r="AZ374" s="76"/>
      <c r="BA374" s="76" t="b">
        <v>1</v>
      </c>
      <c r="BB374" s="76" t="b">
        <v>1</v>
      </c>
      <c r="BC374" s="76" t="b">
        <v>1</v>
      </c>
      <c r="BD374" s="76" t="b">
        <v>0</v>
      </c>
      <c r="BE374" s="76" t="b">
        <v>0</v>
      </c>
      <c r="BF374" s="76" t="b">
        <v>0</v>
      </c>
      <c r="BG374" s="76" t="b">
        <v>0</v>
      </c>
      <c r="BH374" s="82" t="str">
        <f>HYPERLINK("https://pbs.twimg.com/profile_banners/180131071/1693869797")</f>
        <v>https://pbs.twimg.com/profile_banners/180131071/1693869797</v>
      </c>
      <c r="BI374" s="76"/>
      <c r="BJ374" s="76" t="s">
        <v>14450</v>
      </c>
      <c r="BK374" s="76" t="b">
        <v>0</v>
      </c>
      <c r="BL374" s="76"/>
      <c r="BM374" s="76" t="s">
        <v>65</v>
      </c>
      <c r="BN374" s="76" t="s">
        <v>14452</v>
      </c>
      <c r="BO374" s="82" t="str">
        <f>HYPERLINK("https://twitter.com/bimbomx")</f>
        <v>https://twitter.com/bimbomx</v>
      </c>
      <c r="BP374" s="2"/>
    </row>
    <row r="375" spans="1:68" x14ac:dyDescent="0.25">
      <c r="A375" s="62" t="s">
        <v>928</v>
      </c>
      <c r="B375" s="63"/>
      <c r="C375" s="63"/>
      <c r="D375" s="64"/>
      <c r="E375" s="66"/>
      <c r="F375" s="103" t="str">
        <f>HYPERLINK("https://pbs.twimg.com/profile_images/1661136640792834049/ARLdE1bl_normal.jpg")</f>
        <v>https://pbs.twimg.com/profile_images/1661136640792834049/ARLdE1bl_normal.jpg</v>
      </c>
      <c r="G375" s="63"/>
      <c r="H375" s="67"/>
      <c r="I375" s="68"/>
      <c r="J375" s="68"/>
      <c r="K375" s="67" t="s">
        <v>14824</v>
      </c>
      <c r="L375" s="71"/>
      <c r="M375" s="72"/>
      <c r="N375" s="72"/>
      <c r="O375" s="73"/>
      <c r="P375" s="74"/>
      <c r="Q375" s="74"/>
      <c r="R375" s="87"/>
      <c r="S375" s="87"/>
      <c r="T375" s="87"/>
      <c r="U375" s="87"/>
      <c r="V375" s="48"/>
      <c r="W375" s="48"/>
      <c r="X375" s="48"/>
      <c r="Y375" s="48"/>
      <c r="Z375" s="47"/>
      <c r="AA375" s="69">
        <v>375</v>
      </c>
      <c r="AB375" s="69"/>
      <c r="AC375" s="70"/>
      <c r="AD375" s="76" t="s">
        <v>12108</v>
      </c>
      <c r="AE375" s="80" t="s">
        <v>11337</v>
      </c>
      <c r="AF375" s="76">
        <v>76720</v>
      </c>
      <c r="AG375" s="76">
        <v>397</v>
      </c>
      <c r="AH375" s="76">
        <v>20923</v>
      </c>
      <c r="AI375" s="76">
        <v>230</v>
      </c>
      <c r="AJ375" s="76">
        <v>1669</v>
      </c>
      <c r="AK375" s="76">
        <v>1994</v>
      </c>
      <c r="AL375" s="76" t="b">
        <v>0</v>
      </c>
      <c r="AM375" s="78">
        <v>40554.769143518519</v>
      </c>
      <c r="AN375" s="76" t="s">
        <v>7767</v>
      </c>
      <c r="AO375" s="76" t="s">
        <v>13565</v>
      </c>
      <c r="AP375" s="82" t="str">
        <f>HYPERLINK("https://t.co/6YQYc7jPFO")</f>
        <v>https://t.co/6YQYc7jPFO</v>
      </c>
      <c r="AQ375" s="82" t="str">
        <f>HYPERLINK("http://www.grupobimbo.com")</f>
        <v>http://www.grupobimbo.com</v>
      </c>
      <c r="AR375" s="76" t="s">
        <v>14127</v>
      </c>
      <c r="AS375" s="76"/>
      <c r="AT375" s="76"/>
      <c r="AU375" s="76"/>
      <c r="AV375" s="76"/>
      <c r="AW375" s="82" t="str">
        <f>HYPERLINK("https://t.co/6YQYc7jPFO")</f>
        <v>https://t.co/6YQYc7jPFO</v>
      </c>
      <c r="AX375" s="76" t="b">
        <v>1</v>
      </c>
      <c r="AY375" s="76"/>
      <c r="AZ375" s="76"/>
      <c r="BA375" s="76" t="b">
        <v>1</v>
      </c>
      <c r="BB375" s="76" t="b">
        <v>0</v>
      </c>
      <c r="BC375" s="76" t="b">
        <v>0</v>
      </c>
      <c r="BD375" s="76" t="b">
        <v>0</v>
      </c>
      <c r="BE375" s="76" t="b">
        <v>1</v>
      </c>
      <c r="BF375" s="76" t="b">
        <v>0</v>
      </c>
      <c r="BG375" s="76" t="b">
        <v>0</v>
      </c>
      <c r="BH375" s="82" t="str">
        <f>HYPERLINK("https://pbs.twimg.com/profile_banners/236941117/1691162429")</f>
        <v>https://pbs.twimg.com/profile_banners/236941117/1691162429</v>
      </c>
      <c r="BI375" s="76"/>
      <c r="BJ375" s="76" t="s">
        <v>14450</v>
      </c>
      <c r="BK375" s="76" t="b">
        <v>0</v>
      </c>
      <c r="BL375" s="76"/>
      <c r="BM375" s="76" t="s">
        <v>65</v>
      </c>
      <c r="BN375" s="76" t="s">
        <v>14452</v>
      </c>
      <c r="BO375" s="82" t="str">
        <f>HYPERLINK("https://twitter.com/grupo_bimbo")</f>
        <v>https://twitter.com/grupo_bimbo</v>
      </c>
      <c r="BP375" s="2"/>
    </row>
    <row r="376" spans="1:68" x14ac:dyDescent="0.25">
      <c r="A376" s="62" t="s">
        <v>531</v>
      </c>
      <c r="B376" s="63"/>
      <c r="C376" s="63"/>
      <c r="D376" s="64"/>
      <c r="E376" s="66"/>
      <c r="F376" s="103" t="str">
        <f>HYPERLINK("https://pbs.twimg.com/profile_images/1654113219420606466/X03KJ4tP_normal.jpg")</f>
        <v>https://pbs.twimg.com/profile_images/1654113219420606466/X03KJ4tP_normal.jpg</v>
      </c>
      <c r="G376" s="63"/>
      <c r="H376" s="67"/>
      <c r="I376" s="68"/>
      <c r="J376" s="68"/>
      <c r="K376" s="67" t="s">
        <v>14825</v>
      </c>
      <c r="L376" s="71"/>
      <c r="M376" s="72"/>
      <c r="N376" s="72"/>
      <c r="O376" s="73"/>
      <c r="P376" s="74"/>
      <c r="Q376" s="74"/>
      <c r="R376" s="87"/>
      <c r="S376" s="87"/>
      <c r="T376" s="87"/>
      <c r="U376" s="87"/>
      <c r="V376" s="48"/>
      <c r="W376" s="48"/>
      <c r="X376" s="48"/>
      <c r="Y376" s="48"/>
      <c r="Z376" s="47"/>
      <c r="AA376" s="69">
        <v>376</v>
      </c>
      <c r="AB376" s="69"/>
      <c r="AC376" s="70"/>
      <c r="AD376" s="76" t="s">
        <v>12109</v>
      </c>
      <c r="AE376" s="80" t="s">
        <v>11556</v>
      </c>
      <c r="AF376" s="76">
        <v>4</v>
      </c>
      <c r="AG376" s="76">
        <v>24</v>
      </c>
      <c r="AH376" s="76">
        <v>23</v>
      </c>
      <c r="AI376" s="76">
        <v>0</v>
      </c>
      <c r="AJ376" s="76">
        <v>28</v>
      </c>
      <c r="AK376" s="76">
        <v>19</v>
      </c>
      <c r="AL376" s="76" t="b">
        <v>0</v>
      </c>
      <c r="AM376" s="78">
        <v>44539.590798611112</v>
      </c>
      <c r="AN376" s="76" t="s">
        <v>13057</v>
      </c>
      <c r="AO376" s="76" t="s">
        <v>13566</v>
      </c>
      <c r="AP376" s="82" t="str">
        <f>HYPERLINK("https://t.co/3tUsVs5daS")</f>
        <v>https://t.co/3tUsVs5daS</v>
      </c>
      <c r="AQ376" s="82" t="str">
        <f>HYPERLINK("https://instagram.com/vimaraautomoveis?utm_medium=copy_link")</f>
        <v>https://instagram.com/vimaraautomoveis?utm_medium=copy_link</v>
      </c>
      <c r="AR376" s="76" t="s">
        <v>14128</v>
      </c>
      <c r="AS376" s="76"/>
      <c r="AT376" s="76"/>
      <c r="AU376" s="76"/>
      <c r="AV376" s="76"/>
      <c r="AW376" s="82" t="str">
        <f>HYPERLINK("https://t.co/3tUsVs5daS")</f>
        <v>https://t.co/3tUsVs5daS</v>
      </c>
      <c r="AX376" s="76" t="b">
        <v>0</v>
      </c>
      <c r="AY376" s="76"/>
      <c r="AZ376" s="76"/>
      <c r="BA376" s="76" t="b">
        <v>0</v>
      </c>
      <c r="BB376" s="76" t="b">
        <v>1</v>
      </c>
      <c r="BC376" s="76" t="b">
        <v>1</v>
      </c>
      <c r="BD376" s="76" t="b">
        <v>0</v>
      </c>
      <c r="BE376" s="76" t="b">
        <v>0</v>
      </c>
      <c r="BF376" s="76" t="b">
        <v>0</v>
      </c>
      <c r="BG376" s="76" t="b">
        <v>0</v>
      </c>
      <c r="BH376" s="82" t="str">
        <f>HYPERLINK("https://pbs.twimg.com/profile_banners/1468945997497835520/1683206395")</f>
        <v>https://pbs.twimg.com/profile_banners/1468945997497835520/1683206395</v>
      </c>
      <c r="BI376" s="76"/>
      <c r="BJ376" s="76" t="s">
        <v>14450</v>
      </c>
      <c r="BK376" s="76" t="b">
        <v>0</v>
      </c>
      <c r="BL376" s="76"/>
      <c r="BM376" s="76" t="s">
        <v>66</v>
      </c>
      <c r="BN376" s="76" t="s">
        <v>14452</v>
      </c>
      <c r="BO376" s="82" t="str">
        <f>HYPERLINK("https://twitter.com/vimaracarros")</f>
        <v>https://twitter.com/vimaracarros</v>
      </c>
      <c r="BP376" s="2"/>
    </row>
    <row r="377" spans="1:68" x14ac:dyDescent="0.25">
      <c r="A377" s="62" t="s">
        <v>532</v>
      </c>
      <c r="B377" s="63"/>
      <c r="C377" s="63"/>
      <c r="D377" s="64"/>
      <c r="E377" s="66"/>
      <c r="F377" s="103" t="str">
        <f>HYPERLINK("https://pbs.twimg.com/profile_images/869664374033666050/DnCWMVLH_normal.jpg")</f>
        <v>https://pbs.twimg.com/profile_images/869664374033666050/DnCWMVLH_normal.jpg</v>
      </c>
      <c r="G377" s="63"/>
      <c r="H377" s="67"/>
      <c r="I377" s="68"/>
      <c r="J377" s="68"/>
      <c r="K377" s="67" t="s">
        <v>14826</v>
      </c>
      <c r="L377" s="71"/>
      <c r="M377" s="72"/>
      <c r="N377" s="72"/>
      <c r="O377" s="73"/>
      <c r="P377" s="74"/>
      <c r="Q377" s="74"/>
      <c r="R377" s="87"/>
      <c r="S377" s="87"/>
      <c r="T377" s="87"/>
      <c r="U377" s="87"/>
      <c r="V377" s="48"/>
      <c r="W377" s="48"/>
      <c r="X377" s="48"/>
      <c r="Y377" s="48"/>
      <c r="Z377" s="47"/>
      <c r="AA377" s="69">
        <v>377</v>
      </c>
      <c r="AB377" s="69"/>
      <c r="AC377" s="70"/>
      <c r="AD377" s="76" t="s">
        <v>12110</v>
      </c>
      <c r="AE377" s="80" t="s">
        <v>12672</v>
      </c>
      <c r="AF377" s="76">
        <v>1253</v>
      </c>
      <c r="AG377" s="76">
        <v>1999</v>
      </c>
      <c r="AH377" s="76">
        <v>12315</v>
      </c>
      <c r="AI377" s="76">
        <v>6</v>
      </c>
      <c r="AJ377" s="76">
        <v>8920</v>
      </c>
      <c r="AK377" s="76">
        <v>768</v>
      </c>
      <c r="AL377" s="76" t="b">
        <v>0</v>
      </c>
      <c r="AM377" s="78">
        <v>40462.756273148145</v>
      </c>
      <c r="AN377" s="76" t="s">
        <v>13058</v>
      </c>
      <c r="AO377" s="76" t="s">
        <v>13567</v>
      </c>
      <c r="AP377" s="82" t="str">
        <f>HYPERLINK("https://t.co/zeY6t05vwL")</f>
        <v>https://t.co/zeY6t05vwL</v>
      </c>
      <c r="AQ377" s="82" t="str">
        <f>HYPERLINK("http://www.juanvicentepinto.com")</f>
        <v>http://www.juanvicentepinto.com</v>
      </c>
      <c r="AR377" s="76" t="s">
        <v>14129</v>
      </c>
      <c r="AS377" s="76"/>
      <c r="AT377" s="76"/>
      <c r="AU377" s="76"/>
      <c r="AV377" s="76"/>
      <c r="AW377" s="82" t="str">
        <f>HYPERLINK("https://t.co/zeY6t05vwL")</f>
        <v>https://t.co/zeY6t05vwL</v>
      </c>
      <c r="AX377" s="76" t="b">
        <v>0</v>
      </c>
      <c r="AY377" s="76"/>
      <c r="AZ377" s="76"/>
      <c r="BA377" s="76" t="b">
        <v>0</v>
      </c>
      <c r="BB377" s="76" t="b">
        <v>1</v>
      </c>
      <c r="BC377" s="76" t="b">
        <v>0</v>
      </c>
      <c r="BD377" s="76" t="b">
        <v>0</v>
      </c>
      <c r="BE377" s="76" t="b">
        <v>1</v>
      </c>
      <c r="BF377" s="76" t="b">
        <v>0</v>
      </c>
      <c r="BG377" s="76" t="b">
        <v>0</v>
      </c>
      <c r="BH377" s="82" t="str">
        <f>HYPERLINK("https://pbs.twimg.com/profile_banners/201370856/1649484114")</f>
        <v>https://pbs.twimg.com/profile_banners/201370856/1649484114</v>
      </c>
      <c r="BI377" s="76"/>
      <c r="BJ377" s="76" t="s">
        <v>14450</v>
      </c>
      <c r="BK377" s="76" t="b">
        <v>0</v>
      </c>
      <c r="BL377" s="76"/>
      <c r="BM377" s="76" t="s">
        <v>66</v>
      </c>
      <c r="BN377" s="76" t="s">
        <v>14452</v>
      </c>
      <c r="BO377" s="82" t="str">
        <f>HYPERLINK("https://twitter.com/juanvpe1980")</f>
        <v>https://twitter.com/juanvpe1980</v>
      </c>
      <c r="BP377" s="2"/>
    </row>
    <row r="378" spans="1:68" x14ac:dyDescent="0.25">
      <c r="A378" s="62" t="s">
        <v>533</v>
      </c>
      <c r="B378" s="63"/>
      <c r="C378" s="63"/>
      <c r="D378" s="64"/>
      <c r="E378" s="66"/>
      <c r="F378" s="103" t="str">
        <f>HYPERLINK("https://pbs.twimg.com/profile_images/1369044652138115081/1MonDOgI_normal.jpg")</f>
        <v>https://pbs.twimg.com/profile_images/1369044652138115081/1MonDOgI_normal.jpg</v>
      </c>
      <c r="G378" s="63"/>
      <c r="H378" s="67"/>
      <c r="I378" s="68"/>
      <c r="J378" s="68"/>
      <c r="K378" s="67" t="s">
        <v>14827</v>
      </c>
      <c r="L378" s="71"/>
      <c r="M378" s="72"/>
      <c r="N378" s="72"/>
      <c r="O378" s="73"/>
      <c r="P378" s="74"/>
      <c r="Q378" s="74"/>
      <c r="R378" s="87"/>
      <c r="S378" s="87"/>
      <c r="T378" s="87"/>
      <c r="U378" s="87"/>
      <c r="V378" s="48"/>
      <c r="W378" s="48"/>
      <c r="X378" s="48"/>
      <c r="Y378" s="48"/>
      <c r="Z378" s="47"/>
      <c r="AA378" s="69">
        <v>378</v>
      </c>
      <c r="AB378" s="69"/>
      <c r="AC378" s="70"/>
      <c r="AD378" s="76" t="s">
        <v>12111</v>
      </c>
      <c r="AE378" s="80" t="s">
        <v>11557</v>
      </c>
      <c r="AF378" s="76">
        <v>79</v>
      </c>
      <c r="AG378" s="76">
        <v>176</v>
      </c>
      <c r="AH378" s="76">
        <v>8917</v>
      </c>
      <c r="AI378" s="76">
        <v>0</v>
      </c>
      <c r="AJ378" s="76">
        <v>358</v>
      </c>
      <c r="AK378" s="76">
        <v>8903</v>
      </c>
      <c r="AL378" s="76" t="b">
        <v>0</v>
      </c>
      <c r="AM378" s="78">
        <v>43361.739293981482</v>
      </c>
      <c r="AN378" s="76" t="s">
        <v>13059</v>
      </c>
      <c r="AO378" s="76" t="s">
        <v>13568</v>
      </c>
      <c r="AP378" s="82" t="str">
        <f>HYPERLINK("https://t.co/1qCcVhnCDD")</f>
        <v>https://t.co/1qCcVhnCDD</v>
      </c>
      <c r="AQ378" s="82" t="str">
        <f>HYPERLINK("http://portaljuristec.com.br")</f>
        <v>http://portaljuristec.com.br</v>
      </c>
      <c r="AR378" s="76" t="s">
        <v>14130</v>
      </c>
      <c r="AS378" s="76"/>
      <c r="AT378" s="76"/>
      <c r="AU378" s="76"/>
      <c r="AV378" s="76"/>
      <c r="AW378" s="82" t="str">
        <f>HYPERLINK("https://t.co/1qCcVhnCDD")</f>
        <v>https://t.co/1qCcVhnCDD</v>
      </c>
      <c r="AX378" s="76" t="b">
        <v>0</v>
      </c>
      <c r="AY378" s="76"/>
      <c r="AZ378" s="76"/>
      <c r="BA378" s="76" t="b">
        <v>0</v>
      </c>
      <c r="BB378" s="76" t="b">
        <v>1</v>
      </c>
      <c r="BC378" s="76" t="b">
        <v>1</v>
      </c>
      <c r="BD378" s="76" t="b">
        <v>0</v>
      </c>
      <c r="BE378" s="76" t="b">
        <v>1</v>
      </c>
      <c r="BF378" s="76" t="b">
        <v>0</v>
      </c>
      <c r="BG378" s="76" t="b">
        <v>0</v>
      </c>
      <c r="BH378" s="82" t="str">
        <f>HYPERLINK("https://pbs.twimg.com/profile_banners/1042107129224724485/1627932404")</f>
        <v>https://pbs.twimg.com/profile_banners/1042107129224724485/1627932404</v>
      </c>
      <c r="BI378" s="76"/>
      <c r="BJ378" s="76" t="s">
        <v>14450</v>
      </c>
      <c r="BK378" s="76" t="b">
        <v>0</v>
      </c>
      <c r="BL378" s="76"/>
      <c r="BM378" s="76" t="s">
        <v>66</v>
      </c>
      <c r="BN378" s="76" t="s">
        <v>14452</v>
      </c>
      <c r="BO378" s="82" t="str">
        <f>HYPERLINK("https://twitter.com/juristecadv")</f>
        <v>https://twitter.com/juristecadv</v>
      </c>
      <c r="BP378" s="2"/>
    </row>
    <row r="379" spans="1:68" x14ac:dyDescent="0.25">
      <c r="A379" s="62" t="s">
        <v>534</v>
      </c>
      <c r="B379" s="63"/>
      <c r="C379" s="63"/>
      <c r="D379" s="64"/>
      <c r="E379" s="66"/>
      <c r="F379" s="103" t="str">
        <f>HYPERLINK("https://pbs.twimg.com/profile_images/1554862205564223489/JRLchKb-_normal.jpg")</f>
        <v>https://pbs.twimg.com/profile_images/1554862205564223489/JRLchKb-_normal.jpg</v>
      </c>
      <c r="G379" s="63"/>
      <c r="H379" s="67"/>
      <c r="I379" s="68"/>
      <c r="J379" s="68"/>
      <c r="K379" s="67" t="s">
        <v>14828</v>
      </c>
      <c r="L379" s="71"/>
      <c r="M379" s="72"/>
      <c r="N379" s="72"/>
      <c r="O379" s="73"/>
      <c r="P379" s="74"/>
      <c r="Q379" s="74"/>
      <c r="R379" s="87"/>
      <c r="S379" s="87"/>
      <c r="T379" s="87"/>
      <c r="U379" s="87"/>
      <c r="V379" s="48"/>
      <c r="W379" s="48"/>
      <c r="X379" s="48"/>
      <c r="Y379" s="48"/>
      <c r="Z379" s="47"/>
      <c r="AA379" s="69">
        <v>379</v>
      </c>
      <c r="AB379" s="69"/>
      <c r="AC379" s="70"/>
      <c r="AD379" s="76" t="s">
        <v>12112</v>
      </c>
      <c r="AE379" s="80" t="s">
        <v>12673</v>
      </c>
      <c r="AF379" s="76">
        <v>9</v>
      </c>
      <c r="AG379" s="76">
        <v>20</v>
      </c>
      <c r="AH379" s="76">
        <v>31</v>
      </c>
      <c r="AI379" s="76">
        <v>0</v>
      </c>
      <c r="AJ379" s="76">
        <v>54</v>
      </c>
      <c r="AK379" s="76">
        <v>12</v>
      </c>
      <c r="AL379" s="76" t="b">
        <v>0</v>
      </c>
      <c r="AM379" s="78">
        <v>40479.610752314817</v>
      </c>
      <c r="AN379" s="76" t="s">
        <v>13060</v>
      </c>
      <c r="AO379" s="76" t="s">
        <v>13569</v>
      </c>
      <c r="AP379" s="82" t="str">
        <f>HYPERLINK("https://t.co/FwuuaA9LG1")</f>
        <v>https://t.co/FwuuaA9LG1</v>
      </c>
      <c r="AQ379" s="82" t="str">
        <f>HYPERLINK("http://www.opensinergia.com")</f>
        <v>http://www.opensinergia.com</v>
      </c>
      <c r="AR379" s="76" t="s">
        <v>14131</v>
      </c>
      <c r="AS379" s="76"/>
      <c r="AT379" s="76"/>
      <c r="AU379" s="76"/>
      <c r="AV379" s="76"/>
      <c r="AW379" s="82" t="str">
        <f>HYPERLINK("https://t.co/FwuuaA9LG1")</f>
        <v>https://t.co/FwuuaA9LG1</v>
      </c>
      <c r="AX379" s="76" t="b">
        <v>0</v>
      </c>
      <c r="AY379" s="76"/>
      <c r="AZ379" s="76"/>
      <c r="BA379" s="76" t="b">
        <v>0</v>
      </c>
      <c r="BB379" s="76" t="b">
        <v>1</v>
      </c>
      <c r="BC379" s="76" t="b">
        <v>0</v>
      </c>
      <c r="BD379" s="76" t="b">
        <v>0</v>
      </c>
      <c r="BE379" s="76" t="b">
        <v>0</v>
      </c>
      <c r="BF379" s="76" t="b">
        <v>0</v>
      </c>
      <c r="BG379" s="76" t="b">
        <v>0</v>
      </c>
      <c r="BH379" s="82" t="str">
        <f>HYPERLINK("https://pbs.twimg.com/profile_banners/209107747/1659543013")</f>
        <v>https://pbs.twimg.com/profile_banners/209107747/1659543013</v>
      </c>
      <c r="BI379" s="76"/>
      <c r="BJ379" s="76" t="s">
        <v>14450</v>
      </c>
      <c r="BK379" s="76" t="b">
        <v>0</v>
      </c>
      <c r="BL379" s="76"/>
      <c r="BM379" s="76" t="s">
        <v>66</v>
      </c>
      <c r="BN379" s="76" t="s">
        <v>14452</v>
      </c>
      <c r="BO379" s="82" t="str">
        <f>HYPERLINK("https://twitter.com/opensinergia")</f>
        <v>https://twitter.com/opensinergia</v>
      </c>
      <c r="BP379" s="2"/>
    </row>
    <row r="380" spans="1:68" x14ac:dyDescent="0.25">
      <c r="A380" s="62" t="s">
        <v>535</v>
      </c>
      <c r="B380" s="63"/>
      <c r="C380" s="63"/>
      <c r="D380" s="64"/>
      <c r="E380" s="66"/>
      <c r="F380" s="103" t="str">
        <f>HYPERLINK("https://pbs.twimg.com/profile_images/1547228217630756871/OtQ2H7wy_normal.jpg")</f>
        <v>https://pbs.twimg.com/profile_images/1547228217630756871/OtQ2H7wy_normal.jpg</v>
      </c>
      <c r="G380" s="63"/>
      <c r="H380" s="67"/>
      <c r="I380" s="68"/>
      <c r="J380" s="68"/>
      <c r="K380" s="67" t="s">
        <v>14829</v>
      </c>
      <c r="L380" s="71"/>
      <c r="M380" s="72"/>
      <c r="N380" s="72"/>
      <c r="O380" s="73"/>
      <c r="P380" s="74"/>
      <c r="Q380" s="74"/>
      <c r="R380" s="87"/>
      <c r="S380" s="87"/>
      <c r="T380" s="87"/>
      <c r="U380" s="87"/>
      <c r="V380" s="48"/>
      <c r="W380" s="48"/>
      <c r="X380" s="48"/>
      <c r="Y380" s="48"/>
      <c r="Z380" s="47"/>
      <c r="AA380" s="69">
        <v>380</v>
      </c>
      <c r="AB380" s="69"/>
      <c r="AC380" s="70"/>
      <c r="AD380" s="76" t="s">
        <v>12113</v>
      </c>
      <c r="AE380" s="80" t="s">
        <v>12674</v>
      </c>
      <c r="AF380" s="76">
        <v>17</v>
      </c>
      <c r="AG380" s="76">
        <v>113</v>
      </c>
      <c r="AH380" s="76">
        <v>272</v>
      </c>
      <c r="AI380" s="76">
        <v>0</v>
      </c>
      <c r="AJ380" s="76">
        <v>17</v>
      </c>
      <c r="AK380" s="76">
        <v>97</v>
      </c>
      <c r="AL380" s="76" t="b">
        <v>0</v>
      </c>
      <c r="AM380" s="78">
        <v>42380.931203703702</v>
      </c>
      <c r="AN380" s="76" t="s">
        <v>13061</v>
      </c>
      <c r="AO380" s="76" t="s">
        <v>13570</v>
      </c>
      <c r="AP380" s="82" t="str">
        <f>HYPERLINK("https://t.co/rnTK4IdMIE")</f>
        <v>https://t.co/rnTK4IdMIE</v>
      </c>
      <c r="AQ380" s="82" t="str">
        <f>HYPERLINK("http://goianiacal.com.br")</f>
        <v>http://goianiacal.com.br</v>
      </c>
      <c r="AR380" s="76" t="s">
        <v>14132</v>
      </c>
      <c r="AS380" s="76"/>
      <c r="AT380" s="76"/>
      <c r="AU380" s="76"/>
      <c r="AV380" s="76"/>
      <c r="AW380" s="82" t="str">
        <f>HYPERLINK("https://t.co/rnTK4IdMIE")</f>
        <v>https://t.co/rnTK4IdMIE</v>
      </c>
      <c r="AX380" s="76" t="b">
        <v>0</v>
      </c>
      <c r="AY380" s="76"/>
      <c r="AZ380" s="76"/>
      <c r="BA380" s="76" t="b">
        <v>0</v>
      </c>
      <c r="BB380" s="76" t="b">
        <v>1</v>
      </c>
      <c r="BC380" s="76" t="b">
        <v>1</v>
      </c>
      <c r="BD380" s="76" t="b">
        <v>0</v>
      </c>
      <c r="BE380" s="76" t="b">
        <v>0</v>
      </c>
      <c r="BF380" s="76" t="b">
        <v>0</v>
      </c>
      <c r="BG380" s="76" t="b">
        <v>0</v>
      </c>
      <c r="BH380" s="82" t="str">
        <f>HYPERLINK("https://pbs.twimg.com/profile_banners/4778265077/1676410586")</f>
        <v>https://pbs.twimg.com/profile_banners/4778265077/1676410586</v>
      </c>
      <c r="BI380" s="76"/>
      <c r="BJ380" s="76" t="s">
        <v>14450</v>
      </c>
      <c r="BK380" s="76" t="b">
        <v>0</v>
      </c>
      <c r="BL380" s="76"/>
      <c r="BM380" s="76" t="s">
        <v>66</v>
      </c>
      <c r="BN380" s="76" t="s">
        <v>14452</v>
      </c>
      <c r="BO380" s="82" t="str">
        <f>HYPERLINK("https://twitter.com/goianiacal")</f>
        <v>https://twitter.com/goianiacal</v>
      </c>
      <c r="BP380" s="2"/>
    </row>
    <row r="381" spans="1:68" x14ac:dyDescent="0.25">
      <c r="A381" s="62" t="s">
        <v>536</v>
      </c>
      <c r="B381" s="63"/>
      <c r="C381" s="63"/>
      <c r="D381" s="64"/>
      <c r="E381" s="66"/>
      <c r="F381" s="103" t="str">
        <f>HYPERLINK("https://pbs.twimg.com/profile_images/1669499567199363074/3KAYZlK5_normal.png")</f>
        <v>https://pbs.twimg.com/profile_images/1669499567199363074/3KAYZlK5_normal.png</v>
      </c>
      <c r="G381" s="63"/>
      <c r="H381" s="67"/>
      <c r="I381" s="68"/>
      <c r="J381" s="68"/>
      <c r="K381" s="67" t="s">
        <v>14830</v>
      </c>
      <c r="L381" s="71"/>
      <c r="M381" s="72"/>
      <c r="N381" s="72"/>
      <c r="O381" s="73"/>
      <c r="P381" s="74"/>
      <c r="Q381" s="74"/>
      <c r="R381" s="87"/>
      <c r="S381" s="87"/>
      <c r="T381" s="87"/>
      <c r="U381" s="87"/>
      <c r="V381" s="48"/>
      <c r="W381" s="48"/>
      <c r="X381" s="48"/>
      <c r="Y381" s="48"/>
      <c r="Z381" s="47"/>
      <c r="AA381" s="69">
        <v>381</v>
      </c>
      <c r="AB381" s="69"/>
      <c r="AC381" s="70"/>
      <c r="AD381" s="76" t="s">
        <v>12114</v>
      </c>
      <c r="AE381" s="80" t="s">
        <v>11558</v>
      </c>
      <c r="AF381" s="76">
        <v>0</v>
      </c>
      <c r="AG381" s="76">
        <v>57</v>
      </c>
      <c r="AH381" s="76">
        <v>7</v>
      </c>
      <c r="AI381" s="76">
        <v>0</v>
      </c>
      <c r="AJ381" s="76">
        <v>0</v>
      </c>
      <c r="AK381" s="76">
        <v>7</v>
      </c>
      <c r="AL381" s="76" t="b">
        <v>0</v>
      </c>
      <c r="AM381" s="78">
        <v>45093.012592592589</v>
      </c>
      <c r="AN381" s="76"/>
      <c r="AO381" s="76"/>
      <c r="AP381" s="76"/>
      <c r="AQ381" s="76"/>
      <c r="AR381" s="76"/>
      <c r="AS381" s="76"/>
      <c r="AT381" s="76"/>
      <c r="AU381" s="76"/>
      <c r="AV381" s="76"/>
      <c r="AW381" s="76"/>
      <c r="AX381" s="76" t="b">
        <v>0</v>
      </c>
      <c r="AY381" s="76"/>
      <c r="AZ381" s="76"/>
      <c r="BA381" s="76" t="b">
        <v>0</v>
      </c>
      <c r="BB381" s="76" t="b">
        <v>1</v>
      </c>
      <c r="BC381" s="76" t="b">
        <v>1</v>
      </c>
      <c r="BD381" s="76" t="b">
        <v>0</v>
      </c>
      <c r="BE381" s="76" t="b">
        <v>0</v>
      </c>
      <c r="BF381" s="76" t="b">
        <v>0</v>
      </c>
      <c r="BG381" s="76" t="b">
        <v>0</v>
      </c>
      <c r="BH381" s="76"/>
      <c r="BI381" s="76"/>
      <c r="BJ381" s="76" t="s">
        <v>14450</v>
      </c>
      <c r="BK381" s="76" t="b">
        <v>0</v>
      </c>
      <c r="BL381" s="76"/>
      <c r="BM381" s="76" t="s">
        <v>66</v>
      </c>
      <c r="BN381" s="76" t="s">
        <v>14452</v>
      </c>
      <c r="BO381" s="82" t="str">
        <f>HYPERLINK("https://twitter.com/saraperez0205")</f>
        <v>https://twitter.com/saraperez0205</v>
      </c>
      <c r="BP381" s="2"/>
    </row>
    <row r="382" spans="1:68" x14ac:dyDescent="0.25">
      <c r="A382" s="62" t="s">
        <v>537</v>
      </c>
      <c r="B382" s="63"/>
      <c r="C382" s="63"/>
      <c r="D382" s="64"/>
      <c r="E382" s="66"/>
      <c r="F382" s="103" t="str">
        <f>HYPERLINK("https://pbs.twimg.com/profile_images/837087328204107776/X1DWyn2q_normal.jpg")</f>
        <v>https://pbs.twimg.com/profile_images/837087328204107776/X1DWyn2q_normal.jpg</v>
      </c>
      <c r="G382" s="63"/>
      <c r="H382" s="67"/>
      <c r="I382" s="68"/>
      <c r="J382" s="68"/>
      <c r="K382" s="67" t="s">
        <v>14831</v>
      </c>
      <c r="L382" s="71"/>
      <c r="M382" s="72"/>
      <c r="N382" s="72"/>
      <c r="O382" s="73"/>
      <c r="P382" s="74"/>
      <c r="Q382" s="74"/>
      <c r="R382" s="87"/>
      <c r="S382" s="87"/>
      <c r="T382" s="87"/>
      <c r="U382" s="87"/>
      <c r="V382" s="48"/>
      <c r="W382" s="48"/>
      <c r="X382" s="48"/>
      <c r="Y382" s="48"/>
      <c r="Z382" s="47"/>
      <c r="AA382" s="69">
        <v>382</v>
      </c>
      <c r="AB382" s="69"/>
      <c r="AC382" s="70"/>
      <c r="AD382" s="76" t="s">
        <v>12115</v>
      </c>
      <c r="AE382" s="80" t="s">
        <v>12675</v>
      </c>
      <c r="AF382" s="76">
        <v>4724</v>
      </c>
      <c r="AG382" s="76">
        <v>1197</v>
      </c>
      <c r="AH382" s="76">
        <v>36430</v>
      </c>
      <c r="AI382" s="76">
        <v>118</v>
      </c>
      <c r="AJ382" s="76">
        <v>201</v>
      </c>
      <c r="AK382" s="76">
        <v>1328</v>
      </c>
      <c r="AL382" s="76" t="b">
        <v>0</v>
      </c>
      <c r="AM382" s="78">
        <v>40547.537037037036</v>
      </c>
      <c r="AN382" s="76" t="s">
        <v>13062</v>
      </c>
      <c r="AO382" s="76" t="s">
        <v>13571</v>
      </c>
      <c r="AP382" s="82" t="str">
        <f>HYPERLINK("https://t.co/XXwc3lPAoP")</f>
        <v>https://t.co/XXwc3lPAoP</v>
      </c>
      <c r="AQ382" s="82" t="str">
        <f>HYPERLINK("https://www.hispanatolia.com")</f>
        <v>https://www.hispanatolia.com</v>
      </c>
      <c r="AR382" s="76" t="s">
        <v>14133</v>
      </c>
      <c r="AS382" s="76" t="s">
        <v>14376</v>
      </c>
      <c r="AT382" s="76" t="s">
        <v>14388</v>
      </c>
      <c r="AU382" s="76" t="s">
        <v>14424</v>
      </c>
      <c r="AV382" s="76"/>
      <c r="AW382" s="82" t="str">
        <f>HYPERLINK("https://t.co/XXwc3lPAoP")</f>
        <v>https://t.co/XXwc3lPAoP</v>
      </c>
      <c r="AX382" s="76" t="b">
        <v>0</v>
      </c>
      <c r="AY382" s="76"/>
      <c r="AZ382" s="76"/>
      <c r="BA382" s="76" t="b">
        <v>0</v>
      </c>
      <c r="BB382" s="76" t="b">
        <v>1</v>
      </c>
      <c r="BC382" s="76" t="b">
        <v>0</v>
      </c>
      <c r="BD382" s="76" t="b">
        <v>0</v>
      </c>
      <c r="BE382" s="76" t="b">
        <v>1</v>
      </c>
      <c r="BF382" s="76" t="b">
        <v>0</v>
      </c>
      <c r="BG382" s="76" t="b">
        <v>0</v>
      </c>
      <c r="BH382" s="82" t="str">
        <f>HYPERLINK("https://pbs.twimg.com/profile_banners/233927179/1488412135")</f>
        <v>https://pbs.twimg.com/profile_banners/233927179/1488412135</v>
      </c>
      <c r="BI382" s="76"/>
      <c r="BJ382" s="76" t="s">
        <v>14450</v>
      </c>
      <c r="BK382" s="76" t="b">
        <v>0</v>
      </c>
      <c r="BL382" s="76"/>
      <c r="BM382" s="76" t="s">
        <v>66</v>
      </c>
      <c r="BN382" s="76" t="s">
        <v>14452</v>
      </c>
      <c r="BO382" s="82" t="str">
        <f>HYPERLINK("https://twitter.com/hispanatolia")</f>
        <v>https://twitter.com/hispanatolia</v>
      </c>
      <c r="BP382" s="2"/>
    </row>
    <row r="383" spans="1:68" x14ac:dyDescent="0.25">
      <c r="A383" s="62" t="s">
        <v>538</v>
      </c>
      <c r="B383" s="63"/>
      <c r="C383" s="63"/>
      <c r="D383" s="64"/>
      <c r="E383" s="66"/>
      <c r="F383" s="103" t="str">
        <f>HYPERLINK("https://pbs.twimg.com/profile_images/1704953648466255872/V0ZEMt3s_normal.jpg")</f>
        <v>https://pbs.twimg.com/profile_images/1704953648466255872/V0ZEMt3s_normal.jpg</v>
      </c>
      <c r="G383" s="63"/>
      <c r="H383" s="67"/>
      <c r="I383" s="68"/>
      <c r="J383" s="68"/>
      <c r="K383" s="67" t="s">
        <v>14832</v>
      </c>
      <c r="L383" s="71"/>
      <c r="M383" s="72"/>
      <c r="N383" s="72"/>
      <c r="O383" s="73"/>
      <c r="P383" s="74"/>
      <c r="Q383" s="74"/>
      <c r="R383" s="87"/>
      <c r="S383" s="87"/>
      <c r="T383" s="87"/>
      <c r="U383" s="87"/>
      <c r="V383" s="48"/>
      <c r="W383" s="48"/>
      <c r="X383" s="48"/>
      <c r="Y383" s="48"/>
      <c r="Z383" s="47"/>
      <c r="AA383" s="69">
        <v>383</v>
      </c>
      <c r="AB383" s="69"/>
      <c r="AC383" s="70"/>
      <c r="AD383" s="76" t="s">
        <v>12116</v>
      </c>
      <c r="AE383" s="80" t="s">
        <v>12676</v>
      </c>
      <c r="AF383" s="76">
        <v>3205</v>
      </c>
      <c r="AG383" s="76">
        <v>2366</v>
      </c>
      <c r="AH383" s="76">
        <v>36242</v>
      </c>
      <c r="AI383" s="76">
        <v>0</v>
      </c>
      <c r="AJ383" s="76">
        <v>21190</v>
      </c>
      <c r="AK383" s="76">
        <v>15884</v>
      </c>
      <c r="AL383" s="76" t="b">
        <v>0</v>
      </c>
      <c r="AM383" s="78">
        <v>40339.585601851853</v>
      </c>
      <c r="AN383" s="76" t="s">
        <v>12888</v>
      </c>
      <c r="AO383" s="76" t="s">
        <v>13572</v>
      </c>
      <c r="AP383" s="82" t="str">
        <f>HYPERLINK("https://t.co/czGNra8vwP")</f>
        <v>https://t.co/czGNra8vwP</v>
      </c>
      <c r="AQ383" s="82" t="str">
        <f>HYPERLINK("http://diazfranklin.wordpress.com")</f>
        <v>http://diazfranklin.wordpress.com</v>
      </c>
      <c r="AR383" s="76" t="s">
        <v>14134</v>
      </c>
      <c r="AS383" s="76"/>
      <c r="AT383" s="76"/>
      <c r="AU383" s="76"/>
      <c r="AV383" s="76">
        <v>1.70533541102605E+18</v>
      </c>
      <c r="AW383" s="82" t="str">
        <f>HYPERLINK("https://t.co/czGNra8vwP")</f>
        <v>https://t.co/czGNra8vwP</v>
      </c>
      <c r="AX383" s="76" t="b">
        <v>0</v>
      </c>
      <c r="AY383" s="76"/>
      <c r="AZ383" s="76"/>
      <c r="BA383" s="76" t="b">
        <v>1</v>
      </c>
      <c r="BB383" s="76" t="b">
        <v>1</v>
      </c>
      <c r="BC383" s="76" t="b">
        <v>0</v>
      </c>
      <c r="BD383" s="76" t="b">
        <v>0</v>
      </c>
      <c r="BE383" s="76" t="b">
        <v>1</v>
      </c>
      <c r="BF383" s="76" t="b">
        <v>0</v>
      </c>
      <c r="BG383" s="76" t="b">
        <v>0</v>
      </c>
      <c r="BH383" s="82" t="str">
        <f>HYPERLINK("https://pbs.twimg.com/profile_banners/154145814/1695545325")</f>
        <v>https://pbs.twimg.com/profile_banners/154145814/1695545325</v>
      </c>
      <c r="BI383" s="76"/>
      <c r="BJ383" s="76" t="s">
        <v>14450</v>
      </c>
      <c r="BK383" s="76" t="b">
        <v>0</v>
      </c>
      <c r="BL383" s="76"/>
      <c r="BM383" s="76" t="s">
        <v>66</v>
      </c>
      <c r="BN383" s="76" t="s">
        <v>14452</v>
      </c>
      <c r="BO383" s="82" t="str">
        <f>HYPERLINK("https://twitter.com/franklindiazl")</f>
        <v>https://twitter.com/franklindiazl</v>
      </c>
      <c r="BP383" s="2"/>
    </row>
    <row r="384" spans="1:68" x14ac:dyDescent="0.25">
      <c r="A384" s="62" t="s">
        <v>539</v>
      </c>
      <c r="B384" s="63"/>
      <c r="C384" s="63"/>
      <c r="D384" s="64"/>
      <c r="E384" s="66"/>
      <c r="F384" s="103" t="str">
        <f>HYPERLINK("https://pbs.twimg.com/profile_images/1440321948655882265/MKG8C6z__normal.jpg")</f>
        <v>https://pbs.twimg.com/profile_images/1440321948655882265/MKG8C6z__normal.jpg</v>
      </c>
      <c r="G384" s="63"/>
      <c r="H384" s="67"/>
      <c r="I384" s="68"/>
      <c r="J384" s="68"/>
      <c r="K384" s="67" t="s">
        <v>14833</v>
      </c>
      <c r="L384" s="71"/>
      <c r="M384" s="72"/>
      <c r="N384" s="72"/>
      <c r="O384" s="73"/>
      <c r="P384" s="74"/>
      <c r="Q384" s="74"/>
      <c r="R384" s="87"/>
      <c r="S384" s="87"/>
      <c r="T384" s="87"/>
      <c r="U384" s="87"/>
      <c r="V384" s="48"/>
      <c r="W384" s="48"/>
      <c r="X384" s="48"/>
      <c r="Y384" s="48"/>
      <c r="Z384" s="47"/>
      <c r="AA384" s="69">
        <v>384</v>
      </c>
      <c r="AB384" s="69"/>
      <c r="AC384" s="70"/>
      <c r="AD384" s="76" t="s">
        <v>12117</v>
      </c>
      <c r="AE384" s="80" t="s">
        <v>11559</v>
      </c>
      <c r="AF384" s="76">
        <v>12</v>
      </c>
      <c r="AG384" s="76">
        <v>63</v>
      </c>
      <c r="AH384" s="76">
        <v>122</v>
      </c>
      <c r="AI384" s="76">
        <v>0</v>
      </c>
      <c r="AJ384" s="76">
        <v>40</v>
      </c>
      <c r="AK384" s="76">
        <v>109</v>
      </c>
      <c r="AL384" s="76" t="b">
        <v>0</v>
      </c>
      <c r="AM384" s="78">
        <v>44460.573229166665</v>
      </c>
      <c r="AN384" s="76" t="s">
        <v>13063</v>
      </c>
      <c r="AO384" s="76" t="s">
        <v>13573</v>
      </c>
      <c r="AP384" s="82" t="str">
        <f>HYPERLINK("https://t.co/jmG8KKt3Yk")</f>
        <v>https://t.co/jmG8KKt3Yk</v>
      </c>
      <c r="AQ384" s="82" t="str">
        <f>HYPERLINK("https://www.adrianahernandezgroup.com/revista-ah/")</f>
        <v>https://www.adrianahernandezgroup.com/revista-ah/</v>
      </c>
      <c r="AR384" s="76" t="s">
        <v>14135</v>
      </c>
      <c r="AS384" s="76"/>
      <c r="AT384" s="76"/>
      <c r="AU384" s="76"/>
      <c r="AV384" s="76"/>
      <c r="AW384" s="82" t="str">
        <f>HYPERLINK("https://t.co/jmG8KKt3Yk")</f>
        <v>https://t.co/jmG8KKt3Yk</v>
      </c>
      <c r="AX384" s="76" t="b">
        <v>0</v>
      </c>
      <c r="AY384" s="76"/>
      <c r="AZ384" s="76"/>
      <c r="BA384" s="76" t="b">
        <v>0</v>
      </c>
      <c r="BB384" s="76" t="b">
        <v>1</v>
      </c>
      <c r="BC384" s="76" t="b">
        <v>1</v>
      </c>
      <c r="BD384" s="76" t="b">
        <v>0</v>
      </c>
      <c r="BE384" s="76" t="b">
        <v>0</v>
      </c>
      <c r="BF384" s="76" t="b">
        <v>0</v>
      </c>
      <c r="BG384" s="76" t="b">
        <v>0</v>
      </c>
      <c r="BH384" s="82" t="str">
        <f>HYPERLINK("https://pbs.twimg.com/profile_banners/1440310943225835521/1632241802")</f>
        <v>https://pbs.twimg.com/profile_banners/1440310943225835521/1632241802</v>
      </c>
      <c r="BI384" s="76"/>
      <c r="BJ384" s="76" t="s">
        <v>14450</v>
      </c>
      <c r="BK384" s="76" t="b">
        <v>0</v>
      </c>
      <c r="BL384" s="76"/>
      <c r="BM384" s="76" t="s">
        <v>66</v>
      </c>
      <c r="BN384" s="76" t="s">
        <v>14452</v>
      </c>
      <c r="BO384" s="82" t="str">
        <f>HYPERLINK("https://twitter.com/ahnegocios")</f>
        <v>https://twitter.com/ahnegocios</v>
      </c>
      <c r="BP384" s="2"/>
    </row>
    <row r="385" spans="1:68" x14ac:dyDescent="0.25">
      <c r="A385" s="62" t="s">
        <v>540</v>
      </c>
      <c r="B385" s="63"/>
      <c r="C385" s="63"/>
      <c r="D385" s="64"/>
      <c r="E385" s="66"/>
      <c r="F385" s="103" t="str">
        <f>HYPERLINK("https://pbs.twimg.com/profile_images/1638274872177578008/V9TYfzIE_normal.jpg")</f>
        <v>https://pbs.twimg.com/profile_images/1638274872177578008/V9TYfzIE_normal.jpg</v>
      </c>
      <c r="G385" s="63"/>
      <c r="H385" s="67"/>
      <c r="I385" s="68"/>
      <c r="J385" s="68"/>
      <c r="K385" s="67" t="s">
        <v>14834</v>
      </c>
      <c r="L385" s="71"/>
      <c r="M385" s="72"/>
      <c r="N385" s="72"/>
      <c r="O385" s="73"/>
      <c r="P385" s="74"/>
      <c r="Q385" s="74"/>
      <c r="R385" s="87"/>
      <c r="S385" s="87"/>
      <c r="T385" s="87"/>
      <c r="U385" s="87"/>
      <c r="V385" s="48"/>
      <c r="W385" s="48"/>
      <c r="X385" s="48"/>
      <c r="Y385" s="48"/>
      <c r="Z385" s="47"/>
      <c r="AA385" s="69">
        <v>385</v>
      </c>
      <c r="AB385" s="69"/>
      <c r="AC385" s="70"/>
      <c r="AD385" s="76" t="s">
        <v>12118</v>
      </c>
      <c r="AE385" s="80" t="s">
        <v>11560</v>
      </c>
      <c r="AF385" s="76">
        <v>15</v>
      </c>
      <c r="AG385" s="76">
        <v>60</v>
      </c>
      <c r="AH385" s="76">
        <v>132</v>
      </c>
      <c r="AI385" s="76">
        <v>0</v>
      </c>
      <c r="AJ385" s="76">
        <v>17</v>
      </c>
      <c r="AK385" s="76">
        <v>10</v>
      </c>
      <c r="AL385" s="76" t="b">
        <v>0</v>
      </c>
      <c r="AM385" s="78">
        <v>45000.975219907406</v>
      </c>
      <c r="AN385" s="76" t="s">
        <v>7769</v>
      </c>
      <c r="AO385" s="76" t="s">
        <v>13574</v>
      </c>
      <c r="AP385" s="82" t="str">
        <f>HYPERLINK("https://t.co/cMfQWlALye")</f>
        <v>https://t.co/cMfQWlALye</v>
      </c>
      <c r="AQ385" s="82" t="str">
        <f>HYPERLINK("https://instagram.com/vaconmarketing?igshid=YmMyMTA2M2Y=")</f>
        <v>https://instagram.com/vaconmarketing?igshid=YmMyMTA2M2Y=</v>
      </c>
      <c r="AR385" s="76" t="s">
        <v>14136</v>
      </c>
      <c r="AS385" s="76"/>
      <c r="AT385" s="76"/>
      <c r="AU385" s="76"/>
      <c r="AV385" s="76"/>
      <c r="AW385" s="82" t="str">
        <f>HYPERLINK("https://t.co/cMfQWlALye")</f>
        <v>https://t.co/cMfQWlALye</v>
      </c>
      <c r="AX385" s="76" t="b">
        <v>0</v>
      </c>
      <c r="AY385" s="76"/>
      <c r="AZ385" s="76"/>
      <c r="BA385" s="76" t="b">
        <v>0</v>
      </c>
      <c r="BB385" s="76" t="b">
        <v>1</v>
      </c>
      <c r="BC385" s="76" t="b">
        <v>1</v>
      </c>
      <c r="BD385" s="76" t="b">
        <v>0</v>
      </c>
      <c r="BE385" s="76" t="b">
        <v>0</v>
      </c>
      <c r="BF385" s="76" t="b">
        <v>0</v>
      </c>
      <c r="BG385" s="76" t="b">
        <v>0</v>
      </c>
      <c r="BH385" s="82" t="str">
        <f>HYPERLINK("https://pbs.twimg.com/profile_banners/1636146014611554313/1679431176")</f>
        <v>https://pbs.twimg.com/profile_banners/1636146014611554313/1679431176</v>
      </c>
      <c r="BI385" s="76"/>
      <c r="BJ385" s="76" t="s">
        <v>14450</v>
      </c>
      <c r="BK385" s="76" t="b">
        <v>0</v>
      </c>
      <c r="BL385" s="76"/>
      <c r="BM385" s="76" t="s">
        <v>66</v>
      </c>
      <c r="BN385" s="76" t="s">
        <v>14452</v>
      </c>
      <c r="BO385" s="82" t="str">
        <f>HYPERLINK("https://twitter.com/vaconmarke65311")</f>
        <v>https://twitter.com/vaconmarke65311</v>
      </c>
      <c r="BP385" s="2"/>
    </row>
    <row r="386" spans="1:68" x14ac:dyDescent="0.25">
      <c r="A386" s="62" t="s">
        <v>541</v>
      </c>
      <c r="B386" s="63"/>
      <c r="C386" s="63"/>
      <c r="D386" s="64"/>
      <c r="E386" s="66"/>
      <c r="F386" s="103" t="str">
        <f>HYPERLINK("https://pbs.twimg.com/profile_images/1697727016966012928/VY9K5jq8_normal.jpg")</f>
        <v>https://pbs.twimg.com/profile_images/1697727016966012928/VY9K5jq8_normal.jpg</v>
      </c>
      <c r="G386" s="63"/>
      <c r="H386" s="67"/>
      <c r="I386" s="68"/>
      <c r="J386" s="68"/>
      <c r="K386" s="67" t="s">
        <v>14835</v>
      </c>
      <c r="L386" s="71"/>
      <c r="M386" s="72"/>
      <c r="N386" s="72"/>
      <c r="O386" s="73"/>
      <c r="P386" s="74"/>
      <c r="Q386" s="74"/>
      <c r="R386" s="87"/>
      <c r="S386" s="87"/>
      <c r="T386" s="87"/>
      <c r="U386" s="87"/>
      <c r="V386" s="48"/>
      <c r="W386" s="48"/>
      <c r="X386" s="48"/>
      <c r="Y386" s="48"/>
      <c r="Z386" s="47"/>
      <c r="AA386" s="69">
        <v>386</v>
      </c>
      <c r="AB386" s="69"/>
      <c r="AC386" s="70"/>
      <c r="AD386" s="76" t="s">
        <v>12119</v>
      </c>
      <c r="AE386" s="80" t="s">
        <v>11338</v>
      </c>
      <c r="AF386" s="76">
        <v>1116</v>
      </c>
      <c r="AG386" s="76">
        <v>432</v>
      </c>
      <c r="AH386" s="76">
        <v>17332</v>
      </c>
      <c r="AI386" s="76">
        <v>2</v>
      </c>
      <c r="AJ386" s="76">
        <v>14373</v>
      </c>
      <c r="AK386" s="76">
        <v>209</v>
      </c>
      <c r="AL386" s="76" t="b">
        <v>0</v>
      </c>
      <c r="AM386" s="78">
        <v>41427.137025462966</v>
      </c>
      <c r="AN386" s="76"/>
      <c r="AO386" s="76" t="s">
        <v>13575</v>
      </c>
      <c r="AP386" s="82" t="str">
        <f>HYPERLINK("https://t.co/y4UFFKwwuW")</f>
        <v>https://t.co/y4UFFKwwuW</v>
      </c>
      <c r="AQ386" s="82" t="str">
        <f>HYPERLINK("https://instagram.com/oleonardodantas")</f>
        <v>https://instagram.com/oleonardodantas</v>
      </c>
      <c r="AR386" s="76" t="s">
        <v>14137</v>
      </c>
      <c r="AS386" s="76"/>
      <c r="AT386" s="76"/>
      <c r="AU386" s="76"/>
      <c r="AV386" s="76"/>
      <c r="AW386" s="82" t="str">
        <f>HYPERLINK("https://t.co/y4UFFKwwuW")</f>
        <v>https://t.co/y4UFFKwwuW</v>
      </c>
      <c r="AX386" s="76" t="b">
        <v>1</v>
      </c>
      <c r="AY386" s="76"/>
      <c r="AZ386" s="76"/>
      <c r="BA386" s="76" t="b">
        <v>0</v>
      </c>
      <c r="BB386" s="76" t="b">
        <v>0</v>
      </c>
      <c r="BC386" s="76" t="b">
        <v>0</v>
      </c>
      <c r="BD386" s="76" t="b">
        <v>0</v>
      </c>
      <c r="BE386" s="76" t="b">
        <v>1</v>
      </c>
      <c r="BF386" s="76" t="b">
        <v>0</v>
      </c>
      <c r="BG386" s="76" t="b">
        <v>0</v>
      </c>
      <c r="BH386" s="82" t="str">
        <f>HYPERLINK("https://pbs.twimg.com/profile_banners/1476275959/1693604151")</f>
        <v>https://pbs.twimg.com/profile_banners/1476275959/1693604151</v>
      </c>
      <c r="BI386" s="76"/>
      <c r="BJ386" s="76" t="s">
        <v>14451</v>
      </c>
      <c r="BK386" s="76" t="b">
        <v>0</v>
      </c>
      <c r="BL386" s="76"/>
      <c r="BM386" s="76" t="s">
        <v>66</v>
      </c>
      <c r="BN386" s="76" t="s">
        <v>14452</v>
      </c>
      <c r="BO386" s="82" t="str">
        <f>HYPERLINK("https://twitter.com/oleonardodantas")</f>
        <v>https://twitter.com/oleonardodantas</v>
      </c>
      <c r="BP386" s="2"/>
    </row>
    <row r="387" spans="1:68" x14ac:dyDescent="0.25">
      <c r="A387" s="62" t="s">
        <v>542</v>
      </c>
      <c r="B387" s="63"/>
      <c r="C387" s="63"/>
      <c r="D387" s="64"/>
      <c r="E387" s="66"/>
      <c r="F387" s="103" t="str">
        <f>HYPERLINK("https://pbs.twimg.com/profile_images/1626032096098623489/ZwEBAL8g_normal.jpg")</f>
        <v>https://pbs.twimg.com/profile_images/1626032096098623489/ZwEBAL8g_normal.jpg</v>
      </c>
      <c r="G387" s="63"/>
      <c r="H387" s="67"/>
      <c r="I387" s="68"/>
      <c r="J387" s="68"/>
      <c r="K387" s="67" t="s">
        <v>14836</v>
      </c>
      <c r="L387" s="71"/>
      <c r="M387" s="72"/>
      <c r="N387" s="72"/>
      <c r="O387" s="73"/>
      <c r="P387" s="74"/>
      <c r="Q387" s="74"/>
      <c r="R387" s="87"/>
      <c r="S387" s="87"/>
      <c r="T387" s="87"/>
      <c r="U387" s="87"/>
      <c r="V387" s="48"/>
      <c r="W387" s="48"/>
      <c r="X387" s="48"/>
      <c r="Y387" s="48"/>
      <c r="Z387" s="47"/>
      <c r="AA387" s="69">
        <v>387</v>
      </c>
      <c r="AB387" s="69"/>
      <c r="AC387" s="70"/>
      <c r="AD387" s="76" t="s">
        <v>12120</v>
      </c>
      <c r="AE387" s="80" t="s">
        <v>11561</v>
      </c>
      <c r="AF387" s="76">
        <v>3</v>
      </c>
      <c r="AG387" s="76">
        <v>5</v>
      </c>
      <c r="AH387" s="76">
        <v>574</v>
      </c>
      <c r="AI387" s="76">
        <v>1</v>
      </c>
      <c r="AJ387" s="76">
        <v>552</v>
      </c>
      <c r="AK387" s="76">
        <v>563</v>
      </c>
      <c r="AL387" s="76" t="b">
        <v>0</v>
      </c>
      <c r="AM387" s="78">
        <v>44973.06523148148</v>
      </c>
      <c r="AN387" s="76" t="s">
        <v>7791</v>
      </c>
      <c r="AO387" s="76" t="s">
        <v>13576</v>
      </c>
      <c r="AP387" s="82" t="str">
        <f>HYPERLINK("https://t.co/xG8Wq2w7MY")</f>
        <v>https://t.co/xG8Wq2w7MY</v>
      </c>
      <c r="AQ387" s="82" t="str">
        <f>HYPERLINK("http://www.negis.com.br")</f>
        <v>http://www.negis.com.br</v>
      </c>
      <c r="AR387" s="76" t="s">
        <v>14138</v>
      </c>
      <c r="AS387" s="76"/>
      <c r="AT387" s="76"/>
      <c r="AU387" s="76"/>
      <c r="AV387" s="76"/>
      <c r="AW387" s="82" t="str">
        <f>HYPERLINK("https://t.co/xG8Wq2w7MY")</f>
        <v>https://t.co/xG8Wq2w7MY</v>
      </c>
      <c r="AX387" s="76" t="b">
        <v>0</v>
      </c>
      <c r="AY387" s="76"/>
      <c r="AZ387" s="76"/>
      <c r="BA387" s="76" t="b">
        <v>1</v>
      </c>
      <c r="BB387" s="76" t="b">
        <v>1</v>
      </c>
      <c r="BC387" s="76" t="b">
        <v>1</v>
      </c>
      <c r="BD387" s="76" t="b">
        <v>0</v>
      </c>
      <c r="BE387" s="76" t="b">
        <v>0</v>
      </c>
      <c r="BF387" s="76" t="b">
        <v>0</v>
      </c>
      <c r="BG387" s="76" t="b">
        <v>0</v>
      </c>
      <c r="BH387" s="76"/>
      <c r="BI387" s="76"/>
      <c r="BJ387" s="76" t="s">
        <v>14450</v>
      </c>
      <c r="BK387" s="76" t="b">
        <v>0</v>
      </c>
      <c r="BL387" s="76"/>
      <c r="BM387" s="76" t="s">
        <v>66</v>
      </c>
      <c r="BN387" s="76" t="s">
        <v>14452</v>
      </c>
      <c r="BO387" s="82" t="str">
        <f>HYPERLINK("https://twitter.com/doutornegis")</f>
        <v>https://twitter.com/doutornegis</v>
      </c>
      <c r="BP387" s="2"/>
    </row>
    <row r="388" spans="1:68" x14ac:dyDescent="0.25">
      <c r="A388" s="62" t="s">
        <v>543</v>
      </c>
      <c r="B388" s="63"/>
      <c r="C388" s="63"/>
      <c r="D388" s="64"/>
      <c r="E388" s="66"/>
      <c r="F388" s="103" t="str">
        <f>HYPERLINK("https://pbs.twimg.com/profile_images/1622575662434328578/VJmc7h97_normal.jpg")</f>
        <v>https://pbs.twimg.com/profile_images/1622575662434328578/VJmc7h97_normal.jpg</v>
      </c>
      <c r="G388" s="63"/>
      <c r="H388" s="67"/>
      <c r="I388" s="68"/>
      <c r="J388" s="68"/>
      <c r="K388" s="67" t="s">
        <v>14837</v>
      </c>
      <c r="L388" s="71"/>
      <c r="M388" s="72"/>
      <c r="N388" s="72"/>
      <c r="O388" s="73"/>
      <c r="P388" s="74"/>
      <c r="Q388" s="74"/>
      <c r="R388" s="87"/>
      <c r="S388" s="87"/>
      <c r="T388" s="87"/>
      <c r="U388" s="87"/>
      <c r="V388" s="48"/>
      <c r="W388" s="48"/>
      <c r="X388" s="48"/>
      <c r="Y388" s="48"/>
      <c r="Z388" s="47"/>
      <c r="AA388" s="69">
        <v>388</v>
      </c>
      <c r="AB388" s="69"/>
      <c r="AC388" s="70"/>
      <c r="AD388" s="76" t="s">
        <v>12121</v>
      </c>
      <c r="AE388" s="80" t="s">
        <v>11562</v>
      </c>
      <c r="AF388" s="76">
        <v>7</v>
      </c>
      <c r="AG388" s="76">
        <v>8</v>
      </c>
      <c r="AH388" s="76">
        <v>25</v>
      </c>
      <c r="AI388" s="76">
        <v>0</v>
      </c>
      <c r="AJ388" s="76">
        <v>1</v>
      </c>
      <c r="AK388" s="76">
        <v>24</v>
      </c>
      <c r="AL388" s="76" t="b">
        <v>0</v>
      </c>
      <c r="AM388" s="78">
        <v>44963.524918981479</v>
      </c>
      <c r="AN388" s="76" t="s">
        <v>13064</v>
      </c>
      <c r="AO388" s="76" t="s">
        <v>13577</v>
      </c>
      <c r="AP388" s="76"/>
      <c r="AQ388" s="76"/>
      <c r="AR388" s="76"/>
      <c r="AS388" s="76"/>
      <c r="AT388" s="76"/>
      <c r="AU388" s="76"/>
      <c r="AV388" s="76"/>
      <c r="AW388" s="76"/>
      <c r="AX388" s="76" t="b">
        <v>0</v>
      </c>
      <c r="AY388" s="76"/>
      <c r="AZ388" s="76"/>
      <c r="BA388" s="76" t="b">
        <v>0</v>
      </c>
      <c r="BB388" s="76" t="b">
        <v>1</v>
      </c>
      <c r="BC388" s="76" t="b">
        <v>1</v>
      </c>
      <c r="BD388" s="76" t="b">
        <v>0</v>
      </c>
      <c r="BE388" s="76" t="b">
        <v>0</v>
      </c>
      <c r="BF388" s="76" t="b">
        <v>0</v>
      </c>
      <c r="BG388" s="76" t="b">
        <v>0</v>
      </c>
      <c r="BH388" s="82" t="str">
        <f>HYPERLINK("https://pbs.twimg.com/profile_banners/1622574754765983745/1678579489")</f>
        <v>https://pbs.twimg.com/profile_banners/1622574754765983745/1678579489</v>
      </c>
      <c r="BI388" s="76"/>
      <c r="BJ388" s="76" t="s">
        <v>14450</v>
      </c>
      <c r="BK388" s="76" t="b">
        <v>0</v>
      </c>
      <c r="BL388" s="76"/>
      <c r="BM388" s="76" t="s">
        <v>66</v>
      </c>
      <c r="BN388" s="76" t="s">
        <v>14452</v>
      </c>
      <c r="BO388" s="82" t="str">
        <f>HYPERLINK("https://twitter.com/alaboralec")</f>
        <v>https://twitter.com/alaboralec</v>
      </c>
      <c r="BP388" s="2"/>
    </row>
    <row r="389" spans="1:68" x14ac:dyDescent="0.25">
      <c r="A389" s="62" t="s">
        <v>544</v>
      </c>
      <c r="B389" s="63"/>
      <c r="C389" s="63"/>
      <c r="D389" s="64"/>
      <c r="E389" s="66"/>
      <c r="F389" s="103" t="str">
        <f>HYPERLINK("https://pbs.twimg.com/profile_images/1524037655767535623/N6CNr5gq_normal.jpg")</f>
        <v>https://pbs.twimg.com/profile_images/1524037655767535623/N6CNr5gq_normal.jpg</v>
      </c>
      <c r="G389" s="63"/>
      <c r="H389" s="67"/>
      <c r="I389" s="68"/>
      <c r="J389" s="68"/>
      <c r="K389" s="67" t="s">
        <v>14838</v>
      </c>
      <c r="L389" s="71"/>
      <c r="M389" s="72"/>
      <c r="N389" s="72"/>
      <c r="O389" s="73"/>
      <c r="P389" s="74"/>
      <c r="Q389" s="74"/>
      <c r="R389" s="87"/>
      <c r="S389" s="87"/>
      <c r="T389" s="87"/>
      <c r="U389" s="87"/>
      <c r="V389" s="48"/>
      <c r="W389" s="48"/>
      <c r="X389" s="48"/>
      <c r="Y389" s="48"/>
      <c r="Z389" s="47"/>
      <c r="AA389" s="69">
        <v>389</v>
      </c>
      <c r="AB389" s="69"/>
      <c r="AC389" s="70"/>
      <c r="AD389" s="76" t="s">
        <v>12122</v>
      </c>
      <c r="AE389" s="80" t="s">
        <v>12677</v>
      </c>
      <c r="AF389" s="76">
        <v>409</v>
      </c>
      <c r="AG389" s="76">
        <v>626</v>
      </c>
      <c r="AH389" s="76">
        <v>560</v>
      </c>
      <c r="AI389" s="76">
        <v>0</v>
      </c>
      <c r="AJ389" s="76">
        <v>130</v>
      </c>
      <c r="AK389" s="76">
        <v>310</v>
      </c>
      <c r="AL389" s="76" t="b">
        <v>0</v>
      </c>
      <c r="AM389" s="78">
        <v>40673.714456018519</v>
      </c>
      <c r="AN389" s="76" t="s">
        <v>7763</v>
      </c>
      <c r="AO389" s="76" t="s">
        <v>13578</v>
      </c>
      <c r="AP389" s="82" t="str">
        <f>HYPERLINK("https://t.co/f3d1Vjqwb3")</f>
        <v>https://t.co/f3d1Vjqwb3</v>
      </c>
      <c r="AQ389" s="82" t="str">
        <f>HYPERLINK("http://www.plasticoslaminados.com.br")</f>
        <v>http://www.plasticoslaminados.com.br</v>
      </c>
      <c r="AR389" s="76" t="s">
        <v>14139</v>
      </c>
      <c r="AS389" s="76"/>
      <c r="AT389" s="76"/>
      <c r="AU389" s="76"/>
      <c r="AV389" s="76">
        <v>1.69756984218479E+18</v>
      </c>
      <c r="AW389" s="82" t="str">
        <f>HYPERLINK("https://t.co/f3d1Vjqwb3")</f>
        <v>https://t.co/f3d1Vjqwb3</v>
      </c>
      <c r="AX389" s="76" t="b">
        <v>1</v>
      </c>
      <c r="AY389" s="76"/>
      <c r="AZ389" s="76"/>
      <c r="BA389" s="76" t="b">
        <v>0</v>
      </c>
      <c r="BB389" s="76" t="b">
        <v>1</v>
      </c>
      <c r="BC389" s="76" t="b">
        <v>0</v>
      </c>
      <c r="BD389" s="76" t="b">
        <v>0</v>
      </c>
      <c r="BE389" s="76" t="b">
        <v>0</v>
      </c>
      <c r="BF389" s="76" t="b">
        <v>0</v>
      </c>
      <c r="BG389" s="76" t="b">
        <v>0</v>
      </c>
      <c r="BH389" s="82" t="str">
        <f>HYPERLINK("https://pbs.twimg.com/profile_banners/296374541/1638802446")</f>
        <v>https://pbs.twimg.com/profile_banners/296374541/1638802446</v>
      </c>
      <c r="BI389" s="76"/>
      <c r="BJ389" s="76" t="s">
        <v>14450</v>
      </c>
      <c r="BK389" s="76" t="b">
        <v>0</v>
      </c>
      <c r="BL389" s="76"/>
      <c r="BM389" s="76" t="s">
        <v>66</v>
      </c>
      <c r="BN389" s="76" t="s">
        <v>14452</v>
      </c>
      <c r="BO389" s="82" t="str">
        <f>HYPERLINK("https://twitter.com/plastlaminados")</f>
        <v>https://twitter.com/plastlaminados</v>
      </c>
      <c r="BP389" s="2"/>
    </row>
    <row r="390" spans="1:68" x14ac:dyDescent="0.25">
      <c r="A390" s="62" t="s">
        <v>545</v>
      </c>
      <c r="B390" s="63"/>
      <c r="C390" s="63"/>
      <c r="D390" s="64"/>
      <c r="E390" s="66"/>
      <c r="F390" s="103" t="str">
        <f>HYPERLINK("https://pbs.twimg.com/profile_images/1626279381277589505/pM1YxkWl_normal.jpg")</f>
        <v>https://pbs.twimg.com/profile_images/1626279381277589505/pM1YxkWl_normal.jpg</v>
      </c>
      <c r="G390" s="63"/>
      <c r="H390" s="67"/>
      <c r="I390" s="68"/>
      <c r="J390" s="68"/>
      <c r="K390" s="67" t="s">
        <v>14839</v>
      </c>
      <c r="L390" s="71"/>
      <c r="M390" s="72"/>
      <c r="N390" s="72"/>
      <c r="O390" s="73"/>
      <c r="P390" s="74"/>
      <c r="Q390" s="74"/>
      <c r="R390" s="87"/>
      <c r="S390" s="87"/>
      <c r="T390" s="87"/>
      <c r="U390" s="87"/>
      <c r="V390" s="48"/>
      <c r="W390" s="48"/>
      <c r="X390" s="48"/>
      <c r="Y390" s="48"/>
      <c r="Z390" s="47"/>
      <c r="AA390" s="69">
        <v>390</v>
      </c>
      <c r="AB390" s="69"/>
      <c r="AC390" s="70"/>
      <c r="AD390" s="76" t="s">
        <v>12123</v>
      </c>
      <c r="AE390" s="80" t="s">
        <v>11563</v>
      </c>
      <c r="AF390" s="76">
        <v>14</v>
      </c>
      <c r="AG390" s="76">
        <v>93</v>
      </c>
      <c r="AH390" s="76">
        <v>21</v>
      </c>
      <c r="AI390" s="76">
        <v>0</v>
      </c>
      <c r="AJ390" s="76">
        <v>4</v>
      </c>
      <c r="AK390" s="76">
        <v>1</v>
      </c>
      <c r="AL390" s="76" t="b">
        <v>0</v>
      </c>
      <c r="AM390" s="78">
        <v>44725.758333333331</v>
      </c>
      <c r="AN390" s="76" t="s">
        <v>13065</v>
      </c>
      <c r="AO390" s="76" t="s">
        <v>13579</v>
      </c>
      <c r="AP390" s="76"/>
      <c r="AQ390" s="76"/>
      <c r="AR390" s="76"/>
      <c r="AS390" s="76"/>
      <c r="AT390" s="76"/>
      <c r="AU390" s="76"/>
      <c r="AV390" s="76">
        <v>1.6262790858559601E+18</v>
      </c>
      <c r="AW390" s="76"/>
      <c r="AX390" s="76" t="b">
        <v>0</v>
      </c>
      <c r="AY390" s="76"/>
      <c r="AZ390" s="76"/>
      <c r="BA390" s="76" t="b">
        <v>0</v>
      </c>
      <c r="BB390" s="76" t="b">
        <v>1</v>
      </c>
      <c r="BC390" s="76" t="b">
        <v>1</v>
      </c>
      <c r="BD390" s="76" t="b">
        <v>0</v>
      </c>
      <c r="BE390" s="76" t="b">
        <v>0</v>
      </c>
      <c r="BF390" s="76" t="b">
        <v>0</v>
      </c>
      <c r="BG390" s="76" t="b">
        <v>0</v>
      </c>
      <c r="BH390" s="82" t="str">
        <f>HYPERLINK("https://pbs.twimg.com/profile_banners/1536410974999220226/1679134586")</f>
        <v>https://pbs.twimg.com/profile_banners/1536410974999220226/1679134586</v>
      </c>
      <c r="BI390" s="76"/>
      <c r="BJ390" s="76" t="s">
        <v>14450</v>
      </c>
      <c r="BK390" s="76" t="b">
        <v>0</v>
      </c>
      <c r="BL390" s="76"/>
      <c r="BM390" s="76" t="s">
        <v>66</v>
      </c>
      <c r="BN390" s="76" t="s">
        <v>14452</v>
      </c>
      <c r="BO390" s="82" t="str">
        <f>HYPERLINK("https://twitter.com/jorge_ebe85")</f>
        <v>https://twitter.com/jorge_ebe85</v>
      </c>
      <c r="BP390" s="2"/>
    </row>
    <row r="391" spans="1:68" x14ac:dyDescent="0.25">
      <c r="A391" s="62" t="s">
        <v>546</v>
      </c>
      <c r="B391" s="63"/>
      <c r="C391" s="63"/>
      <c r="D391" s="64"/>
      <c r="E391" s="66"/>
      <c r="F391" s="103" t="str">
        <f>HYPERLINK("https://pbs.twimg.com/profile_images/1613110555882954753/BqN5V-gf_normal.jpg")</f>
        <v>https://pbs.twimg.com/profile_images/1613110555882954753/BqN5V-gf_normal.jpg</v>
      </c>
      <c r="G391" s="63"/>
      <c r="H391" s="67"/>
      <c r="I391" s="68"/>
      <c r="J391" s="68"/>
      <c r="K391" s="67" t="s">
        <v>14840</v>
      </c>
      <c r="L391" s="71"/>
      <c r="M391" s="72"/>
      <c r="N391" s="72"/>
      <c r="O391" s="73"/>
      <c r="P391" s="74"/>
      <c r="Q391" s="74"/>
      <c r="R391" s="87"/>
      <c r="S391" s="87"/>
      <c r="T391" s="87"/>
      <c r="U391" s="87"/>
      <c r="V391" s="48"/>
      <c r="W391" s="48"/>
      <c r="X391" s="48"/>
      <c r="Y391" s="48"/>
      <c r="Z391" s="47"/>
      <c r="AA391" s="69">
        <v>391</v>
      </c>
      <c r="AB391" s="69"/>
      <c r="AC391" s="70"/>
      <c r="AD391" s="76" t="s">
        <v>12124</v>
      </c>
      <c r="AE391" s="80" t="s">
        <v>12678</v>
      </c>
      <c r="AF391" s="76">
        <v>11620</v>
      </c>
      <c r="AG391" s="76">
        <v>9790</v>
      </c>
      <c r="AH391" s="76">
        <v>164401</v>
      </c>
      <c r="AI391" s="76">
        <v>147</v>
      </c>
      <c r="AJ391" s="76">
        <v>52</v>
      </c>
      <c r="AK391" s="76">
        <v>2495</v>
      </c>
      <c r="AL391" s="76" t="b">
        <v>0</v>
      </c>
      <c r="AM391" s="78">
        <v>41346.392557870371</v>
      </c>
      <c r="AN391" s="76" t="s">
        <v>13066</v>
      </c>
      <c r="AO391" s="76" t="s">
        <v>13580</v>
      </c>
      <c r="AP391" s="82" t="str">
        <f>HYPERLINK("https://t.co/7csPGC7JJo")</f>
        <v>https://t.co/7csPGC7JJo</v>
      </c>
      <c r="AQ391" s="82" t="str">
        <f>HYPERLINK("http://www.noticieroelcirco.com")</f>
        <v>http://www.noticieroelcirco.com</v>
      </c>
      <c r="AR391" s="76" t="s">
        <v>14140</v>
      </c>
      <c r="AS391" s="76"/>
      <c r="AT391" s="76"/>
      <c r="AU391" s="76"/>
      <c r="AV391" s="76"/>
      <c r="AW391" s="82" t="str">
        <f>HYPERLINK("https://t.co/7csPGC7JJo")</f>
        <v>https://t.co/7csPGC7JJo</v>
      </c>
      <c r="AX391" s="76" t="b">
        <v>0</v>
      </c>
      <c r="AY391" s="76"/>
      <c r="AZ391" s="76"/>
      <c r="BA391" s="76" t="b">
        <v>0</v>
      </c>
      <c r="BB391" s="76" t="b">
        <v>0</v>
      </c>
      <c r="BC391" s="76" t="b">
        <v>0</v>
      </c>
      <c r="BD391" s="76" t="b">
        <v>0</v>
      </c>
      <c r="BE391" s="76" t="b">
        <v>1</v>
      </c>
      <c r="BF391" s="76" t="b">
        <v>0</v>
      </c>
      <c r="BG391" s="76" t="b">
        <v>0</v>
      </c>
      <c r="BH391" s="82" t="str">
        <f>HYPERLINK("https://pbs.twimg.com/profile_banners/1264016365/1673430504")</f>
        <v>https://pbs.twimg.com/profile_banners/1264016365/1673430504</v>
      </c>
      <c r="BI391" s="76"/>
      <c r="BJ391" s="76" t="s">
        <v>14450</v>
      </c>
      <c r="BK391" s="76" t="b">
        <v>0</v>
      </c>
      <c r="BL391" s="76"/>
      <c r="BM391" s="76" t="s">
        <v>66</v>
      </c>
      <c r="BN391" s="76" t="s">
        <v>14452</v>
      </c>
      <c r="BO391" s="82" t="str">
        <f>HYPERLINK("https://twitter.com/elcircotv")</f>
        <v>https://twitter.com/elcircotv</v>
      </c>
      <c r="BP391" s="2"/>
    </row>
    <row r="392" spans="1:68" x14ac:dyDescent="0.25">
      <c r="A392" s="62" t="s">
        <v>547</v>
      </c>
      <c r="B392" s="63"/>
      <c r="C392" s="63"/>
      <c r="D392" s="64"/>
      <c r="E392" s="66"/>
      <c r="F392" s="103" t="str">
        <f>HYPERLINK("https://pbs.twimg.com/profile_images/1652804755628883969/rw_8CogI_normal.jpg")</f>
        <v>https://pbs.twimg.com/profile_images/1652804755628883969/rw_8CogI_normal.jpg</v>
      </c>
      <c r="G392" s="63"/>
      <c r="H392" s="67"/>
      <c r="I392" s="68"/>
      <c r="J392" s="68"/>
      <c r="K392" s="67" t="s">
        <v>14841</v>
      </c>
      <c r="L392" s="71"/>
      <c r="M392" s="72"/>
      <c r="N392" s="72"/>
      <c r="O392" s="73"/>
      <c r="P392" s="74"/>
      <c r="Q392" s="74"/>
      <c r="R392" s="87"/>
      <c r="S392" s="87"/>
      <c r="T392" s="87"/>
      <c r="U392" s="87"/>
      <c r="V392" s="48"/>
      <c r="W392" s="48"/>
      <c r="X392" s="48"/>
      <c r="Y392" s="48"/>
      <c r="Z392" s="47"/>
      <c r="AA392" s="69">
        <v>392</v>
      </c>
      <c r="AB392" s="69"/>
      <c r="AC392" s="70"/>
      <c r="AD392" s="76" t="s">
        <v>12125</v>
      </c>
      <c r="AE392" s="80" t="s">
        <v>12679</v>
      </c>
      <c r="AF392" s="76">
        <v>819</v>
      </c>
      <c r="AG392" s="76">
        <v>181</v>
      </c>
      <c r="AH392" s="76">
        <v>1698</v>
      </c>
      <c r="AI392" s="76">
        <v>26</v>
      </c>
      <c r="AJ392" s="76">
        <v>1034</v>
      </c>
      <c r="AK392" s="76">
        <v>181</v>
      </c>
      <c r="AL392" s="76" t="b">
        <v>0</v>
      </c>
      <c r="AM392" s="78">
        <v>42334.696273148147</v>
      </c>
      <c r="AN392" s="76" t="s">
        <v>12940</v>
      </c>
      <c r="AO392" s="76" t="s">
        <v>13581</v>
      </c>
      <c r="AP392" s="82" t="str">
        <f>HYPERLINK("https://t.co/Rrthz077Iq")</f>
        <v>https://t.co/Rrthz077Iq</v>
      </c>
      <c r="AQ392" s="82" t="str">
        <f>HYPERLINK("http://ventasexito.com")</f>
        <v>http://ventasexito.com</v>
      </c>
      <c r="AR392" s="76" t="s">
        <v>14141</v>
      </c>
      <c r="AS392" s="82" t="str">
        <f>HYPERLINK("https://t.co/Rrthz077Iq")</f>
        <v>https://t.co/Rrthz077Iq</v>
      </c>
      <c r="AT392" s="82" t="str">
        <f>HYPERLINK("http://ventasexito.com")</f>
        <v>http://ventasexito.com</v>
      </c>
      <c r="AU392" s="76" t="s">
        <v>14141</v>
      </c>
      <c r="AV392" s="76"/>
      <c r="AW392" s="82" t="str">
        <f>HYPERLINK("https://t.co/Rrthz077Iq")</f>
        <v>https://t.co/Rrthz077Iq</v>
      </c>
      <c r="AX392" s="76" t="b">
        <v>0</v>
      </c>
      <c r="AY392" s="76"/>
      <c r="AZ392" s="76"/>
      <c r="BA392" s="76" t="b">
        <v>0</v>
      </c>
      <c r="BB392" s="76" t="b">
        <v>1</v>
      </c>
      <c r="BC392" s="76" t="b">
        <v>0</v>
      </c>
      <c r="BD392" s="76" t="b">
        <v>0</v>
      </c>
      <c r="BE392" s="76" t="b">
        <v>0</v>
      </c>
      <c r="BF392" s="76" t="b">
        <v>0</v>
      </c>
      <c r="BG392" s="76" t="b">
        <v>0</v>
      </c>
      <c r="BH392" s="82" t="str">
        <f>HYPERLINK("https://pbs.twimg.com/profile_banners/4287177953/1558025764")</f>
        <v>https://pbs.twimg.com/profile_banners/4287177953/1558025764</v>
      </c>
      <c r="BI392" s="76"/>
      <c r="BJ392" s="76" t="s">
        <v>14450</v>
      </c>
      <c r="BK392" s="76" t="b">
        <v>0</v>
      </c>
      <c r="BL392" s="76"/>
      <c r="BM392" s="76" t="s">
        <v>66</v>
      </c>
      <c r="BN392" s="76" t="s">
        <v>14452</v>
      </c>
      <c r="BO392" s="82" t="str">
        <f>HYPERLINK("https://twitter.com/ventas_exito")</f>
        <v>https://twitter.com/ventas_exito</v>
      </c>
      <c r="BP392" s="2"/>
    </row>
    <row r="393" spans="1:68" x14ac:dyDescent="0.25">
      <c r="A393" s="62" t="s">
        <v>548</v>
      </c>
      <c r="B393" s="63"/>
      <c r="C393" s="63"/>
      <c r="D393" s="64"/>
      <c r="E393" s="66"/>
      <c r="F393" s="103" t="str">
        <f>HYPERLINK("https://pbs.twimg.com/profile_images/1082263232818176000/hK_E4ygz_normal.jpg")</f>
        <v>https://pbs.twimg.com/profile_images/1082263232818176000/hK_E4ygz_normal.jpg</v>
      </c>
      <c r="G393" s="63"/>
      <c r="H393" s="67"/>
      <c r="I393" s="68"/>
      <c r="J393" s="68"/>
      <c r="K393" s="67" t="s">
        <v>14842</v>
      </c>
      <c r="L393" s="71"/>
      <c r="M393" s="72"/>
      <c r="N393" s="72"/>
      <c r="O393" s="73"/>
      <c r="P393" s="74"/>
      <c r="Q393" s="74"/>
      <c r="R393" s="87"/>
      <c r="S393" s="87"/>
      <c r="T393" s="87"/>
      <c r="U393" s="87"/>
      <c r="V393" s="48"/>
      <c r="W393" s="48"/>
      <c r="X393" s="48"/>
      <c r="Y393" s="48"/>
      <c r="Z393" s="47"/>
      <c r="AA393" s="69">
        <v>393</v>
      </c>
      <c r="AB393" s="69"/>
      <c r="AC393" s="70"/>
      <c r="AD393" s="76" t="s">
        <v>12126</v>
      </c>
      <c r="AE393" s="80" t="s">
        <v>12680</v>
      </c>
      <c r="AF393" s="76">
        <v>31806</v>
      </c>
      <c r="AG393" s="76">
        <v>0</v>
      </c>
      <c r="AH393" s="76">
        <v>27270</v>
      </c>
      <c r="AI393" s="76">
        <v>32</v>
      </c>
      <c r="AJ393" s="76">
        <v>4</v>
      </c>
      <c r="AK393" s="76">
        <v>3423</v>
      </c>
      <c r="AL393" s="76" t="b">
        <v>0</v>
      </c>
      <c r="AM393" s="78">
        <v>40042.589155092595</v>
      </c>
      <c r="AN393" s="76" t="s">
        <v>7763</v>
      </c>
      <c r="AO393" s="76" t="s">
        <v>13582</v>
      </c>
      <c r="AP393" s="82" t="str">
        <f>HYPERLINK("https://t.co/APtyP6nJKs")</f>
        <v>https://t.co/APtyP6nJKs</v>
      </c>
      <c r="AQ393" s="82" t="str">
        <f>HYPERLINK("http://www.globalempregos.com.br")</f>
        <v>http://www.globalempregos.com.br</v>
      </c>
      <c r="AR393" s="76" t="s">
        <v>14142</v>
      </c>
      <c r="AS393" s="82" t="str">
        <f>HYPERLINK("https://t.co/1P1iF6NRf1")</f>
        <v>https://t.co/1P1iF6NRf1</v>
      </c>
      <c r="AT393" s="82" t="str">
        <f>HYPERLINK("http://globalempregos.com.br")</f>
        <v>http://globalempregos.com.br</v>
      </c>
      <c r="AU393" s="76" t="s">
        <v>14142</v>
      </c>
      <c r="AV393" s="76"/>
      <c r="AW393" s="82" t="str">
        <f>HYPERLINK("https://t.co/APtyP6nJKs")</f>
        <v>https://t.co/APtyP6nJKs</v>
      </c>
      <c r="AX393" s="76" t="b">
        <v>0</v>
      </c>
      <c r="AY393" s="76"/>
      <c r="AZ393" s="76"/>
      <c r="BA393" s="76" t="b">
        <v>0</v>
      </c>
      <c r="BB393" s="76" t="b">
        <v>1</v>
      </c>
      <c r="BC393" s="76" t="b">
        <v>0</v>
      </c>
      <c r="BD393" s="76" t="b">
        <v>0</v>
      </c>
      <c r="BE393" s="76" t="b">
        <v>0</v>
      </c>
      <c r="BF393" s="76" t="b">
        <v>0</v>
      </c>
      <c r="BG393" s="76" t="b">
        <v>0</v>
      </c>
      <c r="BH393" s="82" t="str">
        <f>HYPERLINK("https://pbs.twimg.com/profile_banners/66361482/1648839218")</f>
        <v>https://pbs.twimg.com/profile_banners/66361482/1648839218</v>
      </c>
      <c r="BI393" s="76"/>
      <c r="BJ393" s="76" t="s">
        <v>14450</v>
      </c>
      <c r="BK393" s="76" t="b">
        <v>0</v>
      </c>
      <c r="BL393" s="76"/>
      <c r="BM393" s="76" t="s">
        <v>66</v>
      </c>
      <c r="BN393" s="76" t="s">
        <v>14452</v>
      </c>
      <c r="BO393" s="82" t="str">
        <f>HYPERLINK("https://twitter.com/globalempregos")</f>
        <v>https://twitter.com/globalempregos</v>
      </c>
      <c r="BP393" s="2"/>
    </row>
    <row r="394" spans="1:68" x14ac:dyDescent="0.25">
      <c r="A394" s="62" t="s">
        <v>549</v>
      </c>
      <c r="B394" s="63"/>
      <c r="C394" s="63"/>
      <c r="D394" s="64"/>
      <c r="E394" s="66"/>
      <c r="F394" s="103" t="str">
        <f>HYPERLINK("https://pbs.twimg.com/profile_images/1420181201336377350/bbohmsYK_normal.jpg")</f>
        <v>https://pbs.twimg.com/profile_images/1420181201336377350/bbohmsYK_normal.jpg</v>
      </c>
      <c r="G394" s="63"/>
      <c r="H394" s="67"/>
      <c r="I394" s="68"/>
      <c r="J394" s="68"/>
      <c r="K394" s="67" t="s">
        <v>14843</v>
      </c>
      <c r="L394" s="71"/>
      <c r="M394" s="72"/>
      <c r="N394" s="72"/>
      <c r="O394" s="73"/>
      <c r="P394" s="74"/>
      <c r="Q394" s="74"/>
      <c r="R394" s="87"/>
      <c r="S394" s="87"/>
      <c r="T394" s="87"/>
      <c r="U394" s="87"/>
      <c r="V394" s="48"/>
      <c r="W394" s="48"/>
      <c r="X394" s="48"/>
      <c r="Y394" s="48"/>
      <c r="Z394" s="47"/>
      <c r="AA394" s="69">
        <v>394</v>
      </c>
      <c r="AB394" s="69"/>
      <c r="AC394" s="70"/>
      <c r="AD394" s="76" t="s">
        <v>12066</v>
      </c>
      <c r="AE394" s="80" t="s">
        <v>11564</v>
      </c>
      <c r="AF394" s="76">
        <v>214</v>
      </c>
      <c r="AG394" s="76">
        <v>864</v>
      </c>
      <c r="AH394" s="76">
        <v>53067</v>
      </c>
      <c r="AI394" s="76">
        <v>0</v>
      </c>
      <c r="AJ394" s="76">
        <v>107026</v>
      </c>
      <c r="AK394" s="76">
        <v>8</v>
      </c>
      <c r="AL394" s="76" t="b">
        <v>0</v>
      </c>
      <c r="AM394" s="78">
        <v>43476.894803240742</v>
      </c>
      <c r="AN394" s="76" t="s">
        <v>13067</v>
      </c>
      <c r="AO394" s="76" t="s">
        <v>13583</v>
      </c>
      <c r="AP394" s="82" t="str">
        <f>HYPERLINK("https://t.co/MzICiDgTwF")</f>
        <v>https://t.co/MzICiDgTwF</v>
      </c>
      <c r="AQ394" s="82" t="str">
        <f>HYPERLINK("https://www.instagram.com/juanpedropor21/?hl=es")</f>
        <v>https://www.instagram.com/juanpedropor21/?hl=es</v>
      </c>
      <c r="AR394" s="76" t="s">
        <v>14143</v>
      </c>
      <c r="AS394" s="76"/>
      <c r="AT394" s="76"/>
      <c r="AU394" s="76"/>
      <c r="AV394" s="76"/>
      <c r="AW394" s="82" t="str">
        <f>HYPERLINK("https://t.co/MzICiDgTwF")</f>
        <v>https://t.co/MzICiDgTwF</v>
      </c>
      <c r="AX394" s="76" t="b">
        <v>0</v>
      </c>
      <c r="AY394" s="76"/>
      <c r="AZ394" s="76"/>
      <c r="BA394" s="76" t="b">
        <v>0</v>
      </c>
      <c r="BB394" s="76" t="b">
        <v>0</v>
      </c>
      <c r="BC394" s="76" t="b">
        <v>1</v>
      </c>
      <c r="BD394" s="76" t="b">
        <v>0</v>
      </c>
      <c r="BE394" s="76" t="b">
        <v>1</v>
      </c>
      <c r="BF394" s="76" t="b">
        <v>0</v>
      </c>
      <c r="BG394" s="76" t="b">
        <v>0</v>
      </c>
      <c r="BH394" s="82" t="str">
        <f>HYPERLINK("https://pbs.twimg.com/profile_banners/1083838087199932416/1689460692")</f>
        <v>https://pbs.twimg.com/profile_banners/1083838087199932416/1689460692</v>
      </c>
      <c r="BI394" s="76"/>
      <c r="BJ394" s="76" t="s">
        <v>14450</v>
      </c>
      <c r="BK394" s="76" t="b">
        <v>0</v>
      </c>
      <c r="BL394" s="76"/>
      <c r="BM394" s="76" t="s">
        <v>66</v>
      </c>
      <c r="BN394" s="76" t="s">
        <v>14452</v>
      </c>
      <c r="BO394" s="82" t="str">
        <f>HYPERLINK("https://twitter.com/juanpedroporra1")</f>
        <v>https://twitter.com/juanpedroporra1</v>
      </c>
      <c r="BP394" s="2"/>
    </row>
    <row r="395" spans="1:68" x14ac:dyDescent="0.25">
      <c r="A395" s="62" t="s">
        <v>550</v>
      </c>
      <c r="B395" s="63"/>
      <c r="C395" s="63"/>
      <c r="D395" s="64"/>
      <c r="E395" s="66"/>
      <c r="F395" s="103" t="str">
        <f>HYPERLINK("https://pbs.twimg.com/profile_images/1615821736754257925/vUJdOknK_normal.jpg")</f>
        <v>https://pbs.twimg.com/profile_images/1615821736754257925/vUJdOknK_normal.jpg</v>
      </c>
      <c r="G395" s="63"/>
      <c r="H395" s="67"/>
      <c r="I395" s="68"/>
      <c r="J395" s="68"/>
      <c r="K395" s="67" t="s">
        <v>14844</v>
      </c>
      <c r="L395" s="71"/>
      <c r="M395" s="72"/>
      <c r="N395" s="72"/>
      <c r="O395" s="73"/>
      <c r="P395" s="74"/>
      <c r="Q395" s="74"/>
      <c r="R395" s="87"/>
      <c r="S395" s="87"/>
      <c r="T395" s="87"/>
      <c r="U395" s="87"/>
      <c r="V395" s="48"/>
      <c r="W395" s="48"/>
      <c r="X395" s="48"/>
      <c r="Y395" s="48"/>
      <c r="Z395" s="47"/>
      <c r="AA395" s="69">
        <v>395</v>
      </c>
      <c r="AB395" s="69"/>
      <c r="AC395" s="70"/>
      <c r="AD395" s="76" t="s">
        <v>12127</v>
      </c>
      <c r="AE395" s="80" t="s">
        <v>11565</v>
      </c>
      <c r="AF395" s="76">
        <v>2727</v>
      </c>
      <c r="AG395" s="76">
        <v>117</v>
      </c>
      <c r="AH395" s="76">
        <v>9896</v>
      </c>
      <c r="AI395" s="76">
        <v>7</v>
      </c>
      <c r="AJ395" s="76">
        <v>1978</v>
      </c>
      <c r="AK395" s="76">
        <v>9402</v>
      </c>
      <c r="AL395" s="76" t="b">
        <v>0</v>
      </c>
      <c r="AM395" s="78">
        <v>44267.84034722222</v>
      </c>
      <c r="AN395" s="76" t="s">
        <v>13068</v>
      </c>
      <c r="AO395" s="76" t="s">
        <v>13584</v>
      </c>
      <c r="AP395" s="82" t="str">
        <f>HYPERLINK("https://t.co/06urisCipx")</f>
        <v>https://t.co/06urisCipx</v>
      </c>
      <c r="AQ395" s="82" t="str">
        <f>HYPERLINK("https://youtube.com/channel/UCjldvosvHf5qbvJfsoj1fbw")</f>
        <v>https://youtube.com/channel/UCjldvosvHf5qbvJfsoj1fbw</v>
      </c>
      <c r="AR395" s="76" t="s">
        <v>14144</v>
      </c>
      <c r="AS395" s="76"/>
      <c r="AT395" s="76"/>
      <c r="AU395" s="76"/>
      <c r="AV395" s="76"/>
      <c r="AW395" s="82" t="str">
        <f>HYPERLINK("https://t.co/06urisCipx")</f>
        <v>https://t.co/06urisCipx</v>
      </c>
      <c r="AX395" s="76" t="b">
        <v>0</v>
      </c>
      <c r="AY395" s="76"/>
      <c r="AZ395" s="76"/>
      <c r="BA395" s="76" t="b">
        <v>1</v>
      </c>
      <c r="BB395" s="76" t="b">
        <v>0</v>
      </c>
      <c r="BC395" s="76" t="b">
        <v>1</v>
      </c>
      <c r="BD395" s="76" t="b">
        <v>0</v>
      </c>
      <c r="BE395" s="76" t="b">
        <v>1</v>
      </c>
      <c r="BF395" s="76" t="b">
        <v>0</v>
      </c>
      <c r="BG395" s="76" t="b">
        <v>1</v>
      </c>
      <c r="BH395" s="82" t="str">
        <f>HYPERLINK("https://pbs.twimg.com/profile_banners/1370467105943003138/1646662023")</f>
        <v>https://pbs.twimg.com/profile_banners/1370467105943003138/1646662023</v>
      </c>
      <c r="BI395" s="76"/>
      <c r="BJ395" s="76" t="s">
        <v>14450</v>
      </c>
      <c r="BK395" s="76" t="b">
        <v>0</v>
      </c>
      <c r="BL395" s="76"/>
      <c r="BM395" s="76" t="s">
        <v>66</v>
      </c>
      <c r="BN395" s="76" t="s">
        <v>14452</v>
      </c>
      <c r="BO395" s="82" t="str">
        <f>HYPERLINK("https://twitter.com/telepremier")</f>
        <v>https://twitter.com/telepremier</v>
      </c>
      <c r="BP395" s="2"/>
    </row>
    <row r="396" spans="1:68" x14ac:dyDescent="0.25">
      <c r="A396" s="62" t="s">
        <v>551</v>
      </c>
      <c r="B396" s="63"/>
      <c r="C396" s="63"/>
      <c r="D396" s="64"/>
      <c r="E396" s="66"/>
      <c r="F396" s="103" t="str">
        <f>HYPERLINK("https://pbs.twimg.com/profile_images/1348574671692816384/g-T6kUxu_normal.png")</f>
        <v>https://pbs.twimg.com/profile_images/1348574671692816384/g-T6kUxu_normal.png</v>
      </c>
      <c r="G396" s="63"/>
      <c r="H396" s="67"/>
      <c r="I396" s="68"/>
      <c r="J396" s="68"/>
      <c r="K396" s="67" t="s">
        <v>14845</v>
      </c>
      <c r="L396" s="71"/>
      <c r="M396" s="72"/>
      <c r="N396" s="72"/>
      <c r="O396" s="73"/>
      <c r="P396" s="74"/>
      <c r="Q396" s="74"/>
      <c r="R396" s="87"/>
      <c r="S396" s="87"/>
      <c r="T396" s="87"/>
      <c r="U396" s="87"/>
      <c r="V396" s="48"/>
      <c r="W396" s="48"/>
      <c r="X396" s="48"/>
      <c r="Y396" s="48"/>
      <c r="Z396" s="47"/>
      <c r="AA396" s="69">
        <v>396</v>
      </c>
      <c r="AB396" s="69"/>
      <c r="AC396" s="70"/>
      <c r="AD396" s="76" t="s">
        <v>12128</v>
      </c>
      <c r="AE396" s="80" t="s">
        <v>11566</v>
      </c>
      <c r="AF396" s="76">
        <v>24013</v>
      </c>
      <c r="AG396" s="76">
        <v>344</v>
      </c>
      <c r="AH396" s="76">
        <v>40149</v>
      </c>
      <c r="AI396" s="76">
        <v>281</v>
      </c>
      <c r="AJ396" s="76">
        <v>1923</v>
      </c>
      <c r="AK396" s="76">
        <v>36704</v>
      </c>
      <c r="AL396" s="76" t="b">
        <v>0</v>
      </c>
      <c r="AM396" s="78">
        <v>44112.727777777778</v>
      </c>
      <c r="AN396" s="76" t="s">
        <v>7873</v>
      </c>
      <c r="AO396" s="76" t="s">
        <v>13585</v>
      </c>
      <c r="AP396" s="82" t="str">
        <f>HYPERLINK("https://t.co/NGIIbUytOB")</f>
        <v>https://t.co/NGIIbUytOB</v>
      </c>
      <c r="AQ396" s="82" t="str">
        <f>HYPERLINK("https://www.negocios.com/directo/")</f>
        <v>https://www.negocios.com/directo/</v>
      </c>
      <c r="AR396" s="76" t="s">
        <v>14145</v>
      </c>
      <c r="AS396" s="76"/>
      <c r="AT396" s="76"/>
      <c r="AU396" s="76"/>
      <c r="AV396" s="76">
        <v>1.6844890008101601E+18</v>
      </c>
      <c r="AW396" s="82" t="str">
        <f>HYPERLINK("https://t.co/NGIIbUytOB")</f>
        <v>https://t.co/NGIIbUytOB</v>
      </c>
      <c r="AX396" s="76" t="b">
        <v>1</v>
      </c>
      <c r="AY396" s="76"/>
      <c r="AZ396" s="76"/>
      <c r="BA396" s="76" t="b">
        <v>0</v>
      </c>
      <c r="BB396" s="76" t="b">
        <v>1</v>
      </c>
      <c r="BC396" s="76" t="b">
        <v>1</v>
      </c>
      <c r="BD396" s="76" t="b">
        <v>0</v>
      </c>
      <c r="BE396" s="76" t="b">
        <v>1</v>
      </c>
      <c r="BF396" s="76" t="b">
        <v>0</v>
      </c>
      <c r="BG396" s="76" t="b">
        <v>0</v>
      </c>
      <c r="BH396" s="82" t="str">
        <f>HYPERLINK("https://pbs.twimg.com/profile_banners/1314256209688526848/1608629176")</f>
        <v>https://pbs.twimg.com/profile_banners/1314256209688526848/1608629176</v>
      </c>
      <c r="BI396" s="76"/>
      <c r="BJ396" s="76" t="s">
        <v>14450</v>
      </c>
      <c r="BK396" s="76" t="b">
        <v>0</v>
      </c>
      <c r="BL396" s="76"/>
      <c r="BM396" s="76" t="s">
        <v>66</v>
      </c>
      <c r="BN396" s="76" t="s">
        <v>14452</v>
      </c>
      <c r="BO396" s="82" t="str">
        <f>HYPERLINK("https://twitter.com/negocios_tv")</f>
        <v>https://twitter.com/negocios_tv</v>
      </c>
      <c r="BP396" s="2"/>
    </row>
    <row r="397" spans="1:68" x14ac:dyDescent="0.25">
      <c r="A397" s="62" t="s">
        <v>552</v>
      </c>
      <c r="B397" s="63"/>
      <c r="C397" s="63"/>
      <c r="D397" s="64"/>
      <c r="E397" s="66"/>
      <c r="F397" s="103" t="str">
        <f>HYPERLINK("https://pbs.twimg.com/profile_images/1644391195542720514/r0P7pyz1_normal.jpg")</f>
        <v>https://pbs.twimg.com/profile_images/1644391195542720514/r0P7pyz1_normal.jpg</v>
      </c>
      <c r="G397" s="63"/>
      <c r="H397" s="67"/>
      <c r="I397" s="68"/>
      <c r="J397" s="68"/>
      <c r="K397" s="67" t="s">
        <v>14846</v>
      </c>
      <c r="L397" s="71"/>
      <c r="M397" s="72"/>
      <c r="N397" s="72"/>
      <c r="O397" s="73"/>
      <c r="P397" s="74"/>
      <c r="Q397" s="74"/>
      <c r="R397" s="87"/>
      <c r="S397" s="87"/>
      <c r="T397" s="87"/>
      <c r="U397" s="87"/>
      <c r="V397" s="48"/>
      <c r="W397" s="48"/>
      <c r="X397" s="48"/>
      <c r="Y397" s="48"/>
      <c r="Z397" s="47"/>
      <c r="AA397" s="69">
        <v>397</v>
      </c>
      <c r="AB397" s="69"/>
      <c r="AC397" s="70"/>
      <c r="AD397" s="76" t="s">
        <v>12129</v>
      </c>
      <c r="AE397" s="80" t="s">
        <v>12681</v>
      </c>
      <c r="AF397" s="76">
        <v>792</v>
      </c>
      <c r="AG397" s="76">
        <v>269</v>
      </c>
      <c r="AH397" s="76">
        <v>21909</v>
      </c>
      <c r="AI397" s="76">
        <v>19</v>
      </c>
      <c r="AJ397" s="76">
        <v>2536</v>
      </c>
      <c r="AK397" s="76">
        <v>1431</v>
      </c>
      <c r="AL397" s="76" t="b">
        <v>0</v>
      </c>
      <c r="AM397" s="78">
        <v>40052.015960648147</v>
      </c>
      <c r="AN397" s="76" t="s">
        <v>7767</v>
      </c>
      <c r="AO397" s="76" t="s">
        <v>13586</v>
      </c>
      <c r="AP397" s="82" t="str">
        <f>HYPERLINK("https://t.co/zLfH6CbT3v")</f>
        <v>https://t.co/zLfH6CbT3v</v>
      </c>
      <c r="AQ397" s="82" t="str">
        <f>HYPERLINK("http://www.crea.com.mx")</f>
        <v>http://www.crea.com.mx</v>
      </c>
      <c r="AR397" s="76" t="s">
        <v>14146</v>
      </c>
      <c r="AS397" s="76"/>
      <c r="AT397" s="76"/>
      <c r="AU397" s="76"/>
      <c r="AV397" s="76"/>
      <c r="AW397" s="82" t="str">
        <f>HYPERLINK("https://t.co/zLfH6CbT3v")</f>
        <v>https://t.co/zLfH6CbT3v</v>
      </c>
      <c r="AX397" s="76" t="b">
        <v>0</v>
      </c>
      <c r="AY397" s="76"/>
      <c r="AZ397" s="76"/>
      <c r="BA397" s="76" t="b">
        <v>0</v>
      </c>
      <c r="BB397" s="76" t="b">
        <v>1</v>
      </c>
      <c r="BC397" s="76" t="b">
        <v>0</v>
      </c>
      <c r="BD397" s="76" t="b">
        <v>0</v>
      </c>
      <c r="BE397" s="76" t="b">
        <v>1</v>
      </c>
      <c r="BF397" s="76" t="b">
        <v>0</v>
      </c>
      <c r="BG397" s="76" t="b">
        <v>1</v>
      </c>
      <c r="BH397" s="82" t="str">
        <f>HYPERLINK("https://pbs.twimg.com/profile_banners/69145133/1695413799")</f>
        <v>https://pbs.twimg.com/profile_banners/69145133/1695413799</v>
      </c>
      <c r="BI397" s="76"/>
      <c r="BJ397" s="76" t="s">
        <v>14450</v>
      </c>
      <c r="BK397" s="76" t="b">
        <v>0</v>
      </c>
      <c r="BL397" s="76"/>
      <c r="BM397" s="76" t="s">
        <v>66</v>
      </c>
      <c r="BN397" s="76" t="s">
        <v>14452</v>
      </c>
      <c r="BO397" s="82" t="str">
        <f>HYPERLINK("https://twitter.com/oscarmarcosg")</f>
        <v>https://twitter.com/oscarmarcosg</v>
      </c>
      <c r="BP397" s="2"/>
    </row>
    <row r="398" spans="1:68" x14ac:dyDescent="0.25">
      <c r="A398" s="62" t="s">
        <v>553</v>
      </c>
      <c r="B398" s="63"/>
      <c r="C398" s="63"/>
      <c r="D398" s="64"/>
      <c r="E398" s="66"/>
      <c r="F398" s="103" t="str">
        <f>HYPERLINK("https://pbs.twimg.com/profile_images/1636698935405232128/LLn5LNuR_normal.jpg")</f>
        <v>https://pbs.twimg.com/profile_images/1636698935405232128/LLn5LNuR_normal.jpg</v>
      </c>
      <c r="G398" s="63"/>
      <c r="H398" s="67"/>
      <c r="I398" s="68"/>
      <c r="J398" s="68"/>
      <c r="K398" s="67" t="s">
        <v>14847</v>
      </c>
      <c r="L398" s="71"/>
      <c r="M398" s="72"/>
      <c r="N398" s="72"/>
      <c r="O398" s="73"/>
      <c r="P398" s="74"/>
      <c r="Q398" s="74"/>
      <c r="R398" s="87"/>
      <c r="S398" s="87"/>
      <c r="T398" s="87"/>
      <c r="U398" s="87"/>
      <c r="V398" s="48"/>
      <c r="W398" s="48"/>
      <c r="X398" s="48"/>
      <c r="Y398" s="48"/>
      <c r="Z398" s="47"/>
      <c r="AA398" s="69">
        <v>398</v>
      </c>
      <c r="AB398" s="69"/>
      <c r="AC398" s="70"/>
      <c r="AD398" s="76" t="s">
        <v>12130</v>
      </c>
      <c r="AE398" s="80" t="s">
        <v>12682</v>
      </c>
      <c r="AF398" s="76">
        <v>5069</v>
      </c>
      <c r="AG398" s="76">
        <v>375</v>
      </c>
      <c r="AH398" s="76">
        <v>6401</v>
      </c>
      <c r="AI398" s="76">
        <v>3</v>
      </c>
      <c r="AJ398" s="76">
        <v>6332</v>
      </c>
      <c r="AK398" s="76">
        <v>4882</v>
      </c>
      <c r="AL398" s="76" t="b">
        <v>0</v>
      </c>
      <c r="AM398" s="78">
        <v>41886.57917824074</v>
      </c>
      <c r="AN398" s="76" t="s">
        <v>13069</v>
      </c>
      <c r="AO398" s="76" t="s">
        <v>13587</v>
      </c>
      <c r="AP398" s="82" t="str">
        <f>HYPERLINK("https://t.co/QjylkkEdYv")</f>
        <v>https://t.co/QjylkkEdYv</v>
      </c>
      <c r="AQ398" s="82" t="str">
        <f>HYPERLINK("http://www.sonder.com.ar/")</f>
        <v>http://www.sonder.com.ar/</v>
      </c>
      <c r="AR398" s="76" t="s">
        <v>14147</v>
      </c>
      <c r="AS398" s="76"/>
      <c r="AT398" s="76"/>
      <c r="AU398" s="76"/>
      <c r="AV398" s="76"/>
      <c r="AW398" s="82" t="str">
        <f>HYPERLINK("https://t.co/QjylkkEdYv")</f>
        <v>https://t.co/QjylkkEdYv</v>
      </c>
      <c r="AX398" s="76" t="b">
        <v>0</v>
      </c>
      <c r="AY398" s="76"/>
      <c r="AZ398" s="76"/>
      <c r="BA398" s="76" t="b">
        <v>1</v>
      </c>
      <c r="BB398" s="76" t="b">
        <v>1</v>
      </c>
      <c r="BC398" s="76" t="b">
        <v>0</v>
      </c>
      <c r="BD398" s="76" t="b">
        <v>0</v>
      </c>
      <c r="BE398" s="76" t="b">
        <v>1</v>
      </c>
      <c r="BF398" s="76" t="b">
        <v>0</v>
      </c>
      <c r="BG398" s="76" t="b">
        <v>0</v>
      </c>
      <c r="BH398" s="82" t="str">
        <f>HYPERLINK("https://pbs.twimg.com/profile_banners/2789874721/1678967271")</f>
        <v>https://pbs.twimg.com/profile_banners/2789874721/1678967271</v>
      </c>
      <c r="BI398" s="76"/>
      <c r="BJ398" s="76" t="s">
        <v>14451</v>
      </c>
      <c r="BK398" s="76" t="b">
        <v>0</v>
      </c>
      <c r="BL398" s="76"/>
      <c r="BM398" s="76" t="s">
        <v>66</v>
      </c>
      <c r="BN398" s="76" t="s">
        <v>14452</v>
      </c>
      <c r="BO398" s="82" t="str">
        <f>HYPERLINK("https://twitter.com/sonderargentina")</f>
        <v>https://twitter.com/sonderargentina</v>
      </c>
      <c r="BP398" s="2"/>
    </row>
    <row r="399" spans="1:68" x14ac:dyDescent="0.25">
      <c r="A399" s="62" t="s">
        <v>554</v>
      </c>
      <c r="B399" s="63"/>
      <c r="C399" s="63"/>
      <c r="D399" s="64"/>
      <c r="E399" s="66"/>
      <c r="F399" s="103" t="str">
        <f>HYPERLINK("https://pbs.twimg.com/profile_images/1655662288060162048/k50i8tes_normal.jpg")</f>
        <v>https://pbs.twimg.com/profile_images/1655662288060162048/k50i8tes_normal.jpg</v>
      </c>
      <c r="G399" s="63"/>
      <c r="H399" s="67"/>
      <c r="I399" s="68"/>
      <c r="J399" s="68"/>
      <c r="K399" s="67" t="s">
        <v>14848</v>
      </c>
      <c r="L399" s="71"/>
      <c r="M399" s="72"/>
      <c r="N399" s="72"/>
      <c r="O399" s="73"/>
      <c r="P399" s="74"/>
      <c r="Q399" s="74"/>
      <c r="R399" s="87"/>
      <c r="S399" s="87"/>
      <c r="T399" s="87"/>
      <c r="U399" s="87"/>
      <c r="V399" s="48"/>
      <c r="W399" s="48"/>
      <c r="X399" s="48"/>
      <c r="Y399" s="48"/>
      <c r="Z399" s="47"/>
      <c r="AA399" s="69">
        <v>399</v>
      </c>
      <c r="AB399" s="69"/>
      <c r="AC399" s="70"/>
      <c r="AD399" s="76" t="s">
        <v>12131</v>
      </c>
      <c r="AE399" s="80" t="s">
        <v>11567</v>
      </c>
      <c r="AF399" s="76">
        <v>1</v>
      </c>
      <c r="AG399" s="76">
        <v>25</v>
      </c>
      <c r="AH399" s="76">
        <v>56</v>
      </c>
      <c r="AI399" s="76">
        <v>0</v>
      </c>
      <c r="AJ399" s="76">
        <v>53</v>
      </c>
      <c r="AK399" s="76">
        <v>0</v>
      </c>
      <c r="AL399" s="76" t="b">
        <v>0</v>
      </c>
      <c r="AM399" s="78">
        <v>45054.820856481485</v>
      </c>
      <c r="AN399" s="76"/>
      <c r="AO399" s="76"/>
      <c r="AP399" s="76"/>
      <c r="AQ399" s="76"/>
      <c r="AR399" s="76"/>
      <c r="AS399" s="76"/>
      <c r="AT399" s="76"/>
      <c r="AU399" s="76"/>
      <c r="AV399" s="76"/>
      <c r="AW399" s="76"/>
      <c r="AX399" s="76" t="b">
        <v>0</v>
      </c>
      <c r="AY399" s="76"/>
      <c r="AZ399" s="76"/>
      <c r="BA399" s="76" t="b">
        <v>0</v>
      </c>
      <c r="BB399" s="76" t="b">
        <v>1</v>
      </c>
      <c r="BC399" s="76" t="b">
        <v>1</v>
      </c>
      <c r="BD399" s="76" t="b">
        <v>0</v>
      </c>
      <c r="BE399" s="76" t="b">
        <v>0</v>
      </c>
      <c r="BF399" s="76" t="b">
        <v>0</v>
      </c>
      <c r="BG399" s="76" t="b">
        <v>0</v>
      </c>
      <c r="BH399" s="76"/>
      <c r="BI399" s="76"/>
      <c r="BJ399" s="76" t="s">
        <v>14450</v>
      </c>
      <c r="BK399" s="76" t="b">
        <v>0</v>
      </c>
      <c r="BL399" s="76"/>
      <c r="BM399" s="76" t="s">
        <v>66</v>
      </c>
      <c r="BN399" s="76" t="s">
        <v>14452</v>
      </c>
      <c r="BO399" s="82" t="str">
        <f>HYPERLINK("https://twitter.com/elvendedor81")</f>
        <v>https://twitter.com/elvendedor81</v>
      </c>
      <c r="BP399" s="2"/>
    </row>
    <row r="400" spans="1:68" x14ac:dyDescent="0.25">
      <c r="A400" s="62" t="s">
        <v>555</v>
      </c>
      <c r="B400" s="63"/>
      <c r="C400" s="63"/>
      <c r="D400" s="64"/>
      <c r="E400" s="66"/>
      <c r="F400" s="103" t="str">
        <f>HYPERLINK("https://pbs.twimg.com/profile_images/1514640986810437634/O74S9-F2_normal.jpg")</f>
        <v>https://pbs.twimg.com/profile_images/1514640986810437634/O74S9-F2_normal.jpg</v>
      </c>
      <c r="G400" s="63"/>
      <c r="H400" s="67"/>
      <c r="I400" s="68"/>
      <c r="J400" s="68"/>
      <c r="K400" s="67" t="s">
        <v>14849</v>
      </c>
      <c r="L400" s="71"/>
      <c r="M400" s="72"/>
      <c r="N400" s="72"/>
      <c r="O400" s="73"/>
      <c r="P400" s="74"/>
      <c r="Q400" s="74"/>
      <c r="R400" s="87"/>
      <c r="S400" s="87"/>
      <c r="T400" s="87"/>
      <c r="U400" s="87"/>
      <c r="V400" s="48"/>
      <c r="W400" s="48"/>
      <c r="X400" s="48"/>
      <c r="Y400" s="48"/>
      <c r="Z400" s="47"/>
      <c r="AA400" s="69">
        <v>400</v>
      </c>
      <c r="AB400" s="69"/>
      <c r="AC400" s="70"/>
      <c r="AD400" s="76" t="s">
        <v>12132</v>
      </c>
      <c r="AE400" s="80" t="s">
        <v>11568</v>
      </c>
      <c r="AF400" s="76">
        <v>29517</v>
      </c>
      <c r="AG400" s="76">
        <v>185</v>
      </c>
      <c r="AH400" s="76">
        <v>1008</v>
      </c>
      <c r="AI400" s="76">
        <v>12</v>
      </c>
      <c r="AJ400" s="76">
        <v>110</v>
      </c>
      <c r="AK400" s="76">
        <v>284</v>
      </c>
      <c r="AL400" s="76" t="b">
        <v>0</v>
      </c>
      <c r="AM400" s="78">
        <v>43970.776435185187</v>
      </c>
      <c r="AN400" s="76" t="s">
        <v>13070</v>
      </c>
      <c r="AO400" s="76" t="s">
        <v>13588</v>
      </c>
      <c r="AP400" s="82" t="str">
        <f>HYPERLINK("https://t.co/ARXgBBPuWM")</f>
        <v>https://t.co/ARXgBBPuWM</v>
      </c>
      <c r="AQ400" s="82" t="str">
        <f>HYPERLINK("https://estadoluz.com/")</f>
        <v>https://estadoluz.com/</v>
      </c>
      <c r="AR400" s="76" t="s">
        <v>4299</v>
      </c>
      <c r="AS400" s="76"/>
      <c r="AT400" s="76"/>
      <c r="AU400" s="76"/>
      <c r="AV400" s="76"/>
      <c r="AW400" s="82" t="str">
        <f>HYPERLINK("https://t.co/ARXgBBPuWM")</f>
        <v>https://t.co/ARXgBBPuWM</v>
      </c>
      <c r="AX400" s="76" t="b">
        <v>1</v>
      </c>
      <c r="AY400" s="76"/>
      <c r="AZ400" s="76"/>
      <c r="BA400" s="76" t="b">
        <v>1</v>
      </c>
      <c r="BB400" s="76" t="b">
        <v>1</v>
      </c>
      <c r="BC400" s="76" t="b">
        <v>1</v>
      </c>
      <c r="BD400" s="76" t="b">
        <v>0</v>
      </c>
      <c r="BE400" s="76" t="b">
        <v>1</v>
      </c>
      <c r="BF400" s="76" t="b">
        <v>0</v>
      </c>
      <c r="BG400" s="76" t="b">
        <v>0</v>
      </c>
      <c r="BH400" s="82" t="str">
        <f>HYPERLINK("https://pbs.twimg.com/profile_banners/1262814753778470913/1669995428")</f>
        <v>https://pbs.twimg.com/profile_banners/1262814753778470913/1669995428</v>
      </c>
      <c r="BI400" s="76"/>
      <c r="BJ400" s="76" t="s">
        <v>14450</v>
      </c>
      <c r="BK400" s="76" t="b">
        <v>0</v>
      </c>
      <c r="BL400" s="76"/>
      <c r="BM400" s="76" t="s">
        <v>66</v>
      </c>
      <c r="BN400" s="76" t="s">
        <v>14452</v>
      </c>
      <c r="BO400" s="82" t="str">
        <f>HYPERLINK("https://twitter.com/estadoluz_")</f>
        <v>https://twitter.com/estadoluz_</v>
      </c>
      <c r="BP400" s="2"/>
    </row>
    <row r="401" spans="1:68" x14ac:dyDescent="0.25">
      <c r="A401" s="62" t="s">
        <v>556</v>
      </c>
      <c r="B401" s="63"/>
      <c r="C401" s="63"/>
      <c r="D401" s="64"/>
      <c r="E401" s="66"/>
      <c r="F401" s="103" t="str">
        <f>HYPERLINK("https://pbs.twimg.com/profile_images/932315574763433985/KrcQLVeO_normal.jpg")</f>
        <v>https://pbs.twimg.com/profile_images/932315574763433985/KrcQLVeO_normal.jpg</v>
      </c>
      <c r="G401" s="63"/>
      <c r="H401" s="67"/>
      <c r="I401" s="68"/>
      <c r="J401" s="68"/>
      <c r="K401" s="67" t="s">
        <v>14850</v>
      </c>
      <c r="L401" s="71"/>
      <c r="M401" s="72"/>
      <c r="N401" s="72"/>
      <c r="O401" s="73"/>
      <c r="P401" s="74"/>
      <c r="Q401" s="74"/>
      <c r="R401" s="87"/>
      <c r="S401" s="87"/>
      <c r="T401" s="87"/>
      <c r="U401" s="87"/>
      <c r="V401" s="48"/>
      <c r="W401" s="48"/>
      <c r="X401" s="48"/>
      <c r="Y401" s="48"/>
      <c r="Z401" s="47"/>
      <c r="AA401" s="69">
        <v>401</v>
      </c>
      <c r="AB401" s="69"/>
      <c r="AC401" s="70"/>
      <c r="AD401" s="76" t="s">
        <v>12133</v>
      </c>
      <c r="AE401" s="80" t="s">
        <v>11569</v>
      </c>
      <c r="AF401" s="76">
        <v>21431</v>
      </c>
      <c r="AG401" s="76">
        <v>425</v>
      </c>
      <c r="AH401" s="76">
        <v>5638</v>
      </c>
      <c r="AI401" s="76">
        <v>36</v>
      </c>
      <c r="AJ401" s="76">
        <v>611</v>
      </c>
      <c r="AK401" s="76">
        <v>3699</v>
      </c>
      <c r="AL401" s="76" t="b">
        <v>0</v>
      </c>
      <c r="AM401" s="78">
        <v>43057.839479166665</v>
      </c>
      <c r="AN401" s="76" t="s">
        <v>13071</v>
      </c>
      <c r="AO401" s="76" t="s">
        <v>13589</v>
      </c>
      <c r="AP401" s="82" t="str">
        <f>HYPERLINK("https://t.co/SUCw2s0hkv")</f>
        <v>https://t.co/SUCw2s0hkv</v>
      </c>
      <c r="AQ401" s="82" t="str">
        <f>HYPERLINK("http://www.billeteramovil.gob.ve")</f>
        <v>http://www.billeteramovil.gob.ve</v>
      </c>
      <c r="AR401" s="76" t="s">
        <v>14148</v>
      </c>
      <c r="AS401" s="76"/>
      <c r="AT401" s="76"/>
      <c r="AU401" s="76"/>
      <c r="AV401" s="76"/>
      <c r="AW401" s="82" t="str">
        <f>HYPERLINK("https://t.co/SUCw2s0hkv")</f>
        <v>https://t.co/SUCw2s0hkv</v>
      </c>
      <c r="AX401" s="76" t="b">
        <v>0</v>
      </c>
      <c r="AY401" s="76"/>
      <c r="AZ401" s="76"/>
      <c r="BA401" s="76" t="b">
        <v>1</v>
      </c>
      <c r="BB401" s="76" t="b">
        <v>1</v>
      </c>
      <c r="BC401" s="76" t="b">
        <v>1</v>
      </c>
      <c r="BD401" s="76" t="b">
        <v>0</v>
      </c>
      <c r="BE401" s="76" t="b">
        <v>1</v>
      </c>
      <c r="BF401" s="76" t="b">
        <v>0</v>
      </c>
      <c r="BG401" s="76" t="b">
        <v>0</v>
      </c>
      <c r="BH401" s="82" t="str">
        <f>HYPERLINK("https://pbs.twimg.com/profile_banners/931977521263988738/1590362585")</f>
        <v>https://pbs.twimg.com/profile_banners/931977521263988738/1590362585</v>
      </c>
      <c r="BI401" s="76"/>
      <c r="BJ401" s="76" t="s">
        <v>14450</v>
      </c>
      <c r="BK401" s="76" t="b">
        <v>0</v>
      </c>
      <c r="BL401" s="76"/>
      <c r="BM401" s="76" t="s">
        <v>66</v>
      </c>
      <c r="BN401" s="76" t="s">
        <v>14452</v>
      </c>
      <c r="BO401" s="82" t="str">
        <f>HYPERLINK("https://twitter.com/billeteramovil_")</f>
        <v>https://twitter.com/billeteramovil_</v>
      </c>
      <c r="BP401" s="2"/>
    </row>
    <row r="402" spans="1:68" x14ac:dyDescent="0.25">
      <c r="A402" s="62" t="s">
        <v>557</v>
      </c>
      <c r="B402" s="63"/>
      <c r="C402" s="63"/>
      <c r="D402" s="64"/>
      <c r="E402" s="66"/>
      <c r="F402" s="103" t="str">
        <f>HYPERLINK("https://pbs.twimg.com/profile_images/1618443764011356160/DGCqc-dK_normal.jpg")</f>
        <v>https://pbs.twimg.com/profile_images/1618443764011356160/DGCqc-dK_normal.jpg</v>
      </c>
      <c r="G402" s="63"/>
      <c r="H402" s="67"/>
      <c r="I402" s="68"/>
      <c r="J402" s="68"/>
      <c r="K402" s="67" t="s">
        <v>14851</v>
      </c>
      <c r="L402" s="71"/>
      <c r="M402" s="72"/>
      <c r="N402" s="72"/>
      <c r="O402" s="73"/>
      <c r="P402" s="74"/>
      <c r="Q402" s="74"/>
      <c r="R402" s="87"/>
      <c r="S402" s="87"/>
      <c r="T402" s="87"/>
      <c r="U402" s="87"/>
      <c r="V402" s="48"/>
      <c r="W402" s="48"/>
      <c r="X402" s="48"/>
      <c r="Y402" s="48"/>
      <c r="Z402" s="47"/>
      <c r="AA402" s="69">
        <v>402</v>
      </c>
      <c r="AB402" s="69"/>
      <c r="AC402" s="70"/>
      <c r="AD402" s="76" t="s">
        <v>12134</v>
      </c>
      <c r="AE402" s="80" t="s">
        <v>12683</v>
      </c>
      <c r="AF402" s="76">
        <v>13282</v>
      </c>
      <c r="AG402" s="76">
        <v>428</v>
      </c>
      <c r="AH402" s="76">
        <v>8023</v>
      </c>
      <c r="AI402" s="76">
        <v>119</v>
      </c>
      <c r="AJ402" s="76">
        <v>27</v>
      </c>
      <c r="AK402" s="76">
        <v>2083</v>
      </c>
      <c r="AL402" s="76" t="b">
        <v>0</v>
      </c>
      <c r="AM402" s="78">
        <v>40252.864421296297</v>
      </c>
      <c r="AN402" s="76" t="s">
        <v>7765</v>
      </c>
      <c r="AO402" s="76" t="s">
        <v>13590</v>
      </c>
      <c r="AP402" s="82" t="str">
        <f>HYPERLINK("https://t.co/IHD8UXx9Vk")</f>
        <v>https://t.co/IHD8UXx9Vk</v>
      </c>
      <c r="AQ402" s="82" t="str">
        <f>HYPERLINK("http://www.eldial.com")</f>
        <v>http://www.eldial.com</v>
      </c>
      <c r="AR402" s="76" t="s">
        <v>12134</v>
      </c>
      <c r="AS402" s="76"/>
      <c r="AT402" s="76"/>
      <c r="AU402" s="76"/>
      <c r="AV402" s="76"/>
      <c r="AW402" s="82" t="str">
        <f>HYPERLINK("https://t.co/IHD8UXx9Vk")</f>
        <v>https://t.co/IHD8UXx9Vk</v>
      </c>
      <c r="AX402" s="76" t="b">
        <v>0</v>
      </c>
      <c r="AY402" s="76"/>
      <c r="AZ402" s="76"/>
      <c r="BA402" s="76" t="b">
        <v>0</v>
      </c>
      <c r="BB402" s="76" t="b">
        <v>1</v>
      </c>
      <c r="BC402" s="76" t="b">
        <v>0</v>
      </c>
      <c r="BD402" s="76" t="b">
        <v>0</v>
      </c>
      <c r="BE402" s="76" t="b">
        <v>0</v>
      </c>
      <c r="BF402" s="76" t="b">
        <v>0</v>
      </c>
      <c r="BG402" s="76" t="b">
        <v>0</v>
      </c>
      <c r="BH402" s="82" t="str">
        <f>HYPERLINK("https://pbs.twimg.com/profile_banners/123353550/1679418456")</f>
        <v>https://pbs.twimg.com/profile_banners/123353550/1679418456</v>
      </c>
      <c r="BI402" s="76"/>
      <c r="BJ402" s="76" t="s">
        <v>14450</v>
      </c>
      <c r="BK402" s="76" t="b">
        <v>0</v>
      </c>
      <c r="BL402" s="76"/>
      <c r="BM402" s="76" t="s">
        <v>66</v>
      </c>
      <c r="BN402" s="76" t="s">
        <v>14452</v>
      </c>
      <c r="BO402" s="82" t="str">
        <f>HYPERLINK("https://twitter.com/eldial_com")</f>
        <v>https://twitter.com/eldial_com</v>
      </c>
      <c r="BP402" s="2"/>
    </row>
    <row r="403" spans="1:68" x14ac:dyDescent="0.25">
      <c r="A403" s="62" t="s">
        <v>558</v>
      </c>
      <c r="B403" s="63"/>
      <c r="C403" s="63"/>
      <c r="D403" s="64"/>
      <c r="E403" s="66"/>
      <c r="F403" s="103" t="str">
        <f>HYPERLINK("https://pbs.twimg.com/profile_images/992249427401191424/QEqeA3P-_normal.jpg")</f>
        <v>https://pbs.twimg.com/profile_images/992249427401191424/QEqeA3P-_normal.jpg</v>
      </c>
      <c r="G403" s="63"/>
      <c r="H403" s="67"/>
      <c r="I403" s="68"/>
      <c r="J403" s="68"/>
      <c r="K403" s="67" t="s">
        <v>14852</v>
      </c>
      <c r="L403" s="71"/>
      <c r="M403" s="72"/>
      <c r="N403" s="72"/>
      <c r="O403" s="73"/>
      <c r="P403" s="74"/>
      <c r="Q403" s="74"/>
      <c r="R403" s="87"/>
      <c r="S403" s="87"/>
      <c r="T403" s="87"/>
      <c r="U403" s="87"/>
      <c r="V403" s="48"/>
      <c r="W403" s="48"/>
      <c r="X403" s="48"/>
      <c r="Y403" s="48"/>
      <c r="Z403" s="47"/>
      <c r="AA403" s="69">
        <v>403</v>
      </c>
      <c r="AB403" s="69"/>
      <c r="AC403" s="70"/>
      <c r="AD403" s="76" t="s">
        <v>12135</v>
      </c>
      <c r="AE403" s="80" t="s">
        <v>12684</v>
      </c>
      <c r="AF403" s="76">
        <v>56</v>
      </c>
      <c r="AG403" s="76">
        <v>92</v>
      </c>
      <c r="AH403" s="76">
        <v>23056</v>
      </c>
      <c r="AI403" s="76">
        <v>2</v>
      </c>
      <c r="AJ403" s="76">
        <v>539</v>
      </c>
      <c r="AK403" s="76">
        <v>54</v>
      </c>
      <c r="AL403" s="76" t="b">
        <v>0</v>
      </c>
      <c r="AM403" s="78">
        <v>42417.531944444447</v>
      </c>
      <c r="AN403" s="76" t="s">
        <v>12920</v>
      </c>
      <c r="AO403" s="76" t="s">
        <v>13591</v>
      </c>
      <c r="AP403" s="82" t="str">
        <f>HYPERLINK("https://t.co/Avi56W3ITB")</f>
        <v>https://t.co/Avi56W3ITB</v>
      </c>
      <c r="AQ403" s="82" t="str">
        <f>HYPERLINK("http://www.rprsabogados.com.ar")</f>
        <v>http://www.rprsabogados.com.ar</v>
      </c>
      <c r="AR403" s="76" t="s">
        <v>14149</v>
      </c>
      <c r="AS403" s="76"/>
      <c r="AT403" s="76"/>
      <c r="AU403" s="76"/>
      <c r="AV403" s="76"/>
      <c r="AW403" s="82" t="str">
        <f>HYPERLINK("https://t.co/Avi56W3ITB")</f>
        <v>https://t.co/Avi56W3ITB</v>
      </c>
      <c r="AX403" s="76" t="b">
        <v>0</v>
      </c>
      <c r="AY403" s="76"/>
      <c r="AZ403" s="76"/>
      <c r="BA403" s="76" t="b">
        <v>1</v>
      </c>
      <c r="BB403" s="76" t="b">
        <v>1</v>
      </c>
      <c r="BC403" s="76" t="b">
        <v>0</v>
      </c>
      <c r="BD403" s="76" t="b">
        <v>0</v>
      </c>
      <c r="BE403" s="76" t="b">
        <v>1</v>
      </c>
      <c r="BF403" s="76" t="b">
        <v>0</v>
      </c>
      <c r="BG403" s="76" t="b">
        <v>0</v>
      </c>
      <c r="BH403" s="82" t="str">
        <f>HYPERLINK("https://pbs.twimg.com/profile_banners/4923654153/1525405447")</f>
        <v>https://pbs.twimg.com/profile_banners/4923654153/1525405447</v>
      </c>
      <c r="BI403" s="76"/>
      <c r="BJ403" s="76" t="s">
        <v>14450</v>
      </c>
      <c r="BK403" s="76" t="b">
        <v>0</v>
      </c>
      <c r="BL403" s="76"/>
      <c r="BM403" s="76" t="s">
        <v>66</v>
      </c>
      <c r="BN403" s="76" t="s">
        <v>14452</v>
      </c>
      <c r="BO403" s="82" t="str">
        <f>HYPERLINK("https://twitter.com/rprsabogados1")</f>
        <v>https://twitter.com/rprsabogados1</v>
      </c>
      <c r="BP403" s="2"/>
    </row>
    <row r="404" spans="1:68" x14ac:dyDescent="0.25">
      <c r="A404" s="62" t="s">
        <v>559</v>
      </c>
      <c r="B404" s="63"/>
      <c r="C404" s="63"/>
      <c r="D404" s="64"/>
      <c r="E404" s="66"/>
      <c r="F404" s="103" t="str">
        <f>HYPERLINK("https://pbs.twimg.com/profile_images/1648000379135619076/u6hBRc2Q_normal.jpg")</f>
        <v>https://pbs.twimg.com/profile_images/1648000379135619076/u6hBRc2Q_normal.jpg</v>
      </c>
      <c r="G404" s="63"/>
      <c r="H404" s="67"/>
      <c r="I404" s="68"/>
      <c r="J404" s="68"/>
      <c r="K404" s="67" t="s">
        <v>14853</v>
      </c>
      <c r="L404" s="71"/>
      <c r="M404" s="72"/>
      <c r="N404" s="72"/>
      <c r="O404" s="73"/>
      <c r="P404" s="74"/>
      <c r="Q404" s="74"/>
      <c r="R404" s="87"/>
      <c r="S404" s="87"/>
      <c r="T404" s="87"/>
      <c r="U404" s="87"/>
      <c r="V404" s="48"/>
      <c r="W404" s="48"/>
      <c r="X404" s="48"/>
      <c r="Y404" s="48"/>
      <c r="Z404" s="47"/>
      <c r="AA404" s="69">
        <v>404</v>
      </c>
      <c r="AB404" s="69"/>
      <c r="AC404" s="70"/>
      <c r="AD404" s="76" t="s">
        <v>12136</v>
      </c>
      <c r="AE404" s="80" t="s">
        <v>11570</v>
      </c>
      <c r="AF404" s="76">
        <v>194</v>
      </c>
      <c r="AG404" s="76">
        <v>422</v>
      </c>
      <c r="AH404" s="76">
        <v>1103</v>
      </c>
      <c r="AI404" s="76">
        <v>0</v>
      </c>
      <c r="AJ404" s="76">
        <v>2416</v>
      </c>
      <c r="AK404" s="76">
        <v>953</v>
      </c>
      <c r="AL404" s="76" t="b">
        <v>0</v>
      </c>
      <c r="AM404" s="78">
        <v>44064.561666666668</v>
      </c>
      <c r="AN404" s="76" t="s">
        <v>13072</v>
      </c>
      <c r="AO404" s="76" t="s">
        <v>13592</v>
      </c>
      <c r="AP404" s="82" t="str">
        <f>HYPERLINK("https://t.co/HT4GdkeOu1")</f>
        <v>https://t.co/HT4GdkeOu1</v>
      </c>
      <c r="AQ404" s="82" t="str">
        <f>HYPERLINK("http://www.casasmaracana.com.br")</f>
        <v>http://www.casasmaracana.com.br</v>
      </c>
      <c r="AR404" s="76" t="s">
        <v>14150</v>
      </c>
      <c r="AS404" s="76"/>
      <c r="AT404" s="76"/>
      <c r="AU404" s="76"/>
      <c r="AV404" s="76"/>
      <c r="AW404" s="82" t="str">
        <f>HYPERLINK("https://t.co/HT4GdkeOu1")</f>
        <v>https://t.co/HT4GdkeOu1</v>
      </c>
      <c r="AX404" s="76" t="b">
        <v>0</v>
      </c>
      <c r="AY404" s="76"/>
      <c r="AZ404" s="76"/>
      <c r="BA404" s="76" t="b">
        <v>0</v>
      </c>
      <c r="BB404" s="76" t="b">
        <v>1</v>
      </c>
      <c r="BC404" s="76" t="b">
        <v>1</v>
      </c>
      <c r="BD404" s="76" t="b">
        <v>0</v>
      </c>
      <c r="BE404" s="76" t="b">
        <v>0</v>
      </c>
      <c r="BF404" s="76" t="b">
        <v>0</v>
      </c>
      <c r="BG404" s="76" t="b">
        <v>0</v>
      </c>
      <c r="BH404" s="82" t="str">
        <f>HYPERLINK("https://pbs.twimg.com/profile_banners/1296801293571428354/1681405192")</f>
        <v>https://pbs.twimg.com/profile_banners/1296801293571428354/1681405192</v>
      </c>
      <c r="BI404" s="76"/>
      <c r="BJ404" s="76" t="s">
        <v>14450</v>
      </c>
      <c r="BK404" s="76" t="b">
        <v>0</v>
      </c>
      <c r="BL404" s="76"/>
      <c r="BM404" s="76" t="s">
        <v>66</v>
      </c>
      <c r="BN404" s="76" t="s">
        <v>14452</v>
      </c>
      <c r="BO404" s="82" t="str">
        <f>HYPERLINK("https://twitter.com/casasmaracana")</f>
        <v>https://twitter.com/casasmaracana</v>
      </c>
      <c r="BP404" s="2"/>
    </row>
    <row r="405" spans="1:68" x14ac:dyDescent="0.25">
      <c r="A405" s="62" t="s">
        <v>560</v>
      </c>
      <c r="B405" s="63"/>
      <c r="C405" s="63"/>
      <c r="D405" s="64"/>
      <c r="E405" s="66"/>
      <c r="F405" s="103" t="str">
        <f>HYPERLINK("https://pbs.twimg.com/profile_images/1632475532091703297/NgIkjCp0_normal.jpg")</f>
        <v>https://pbs.twimg.com/profile_images/1632475532091703297/NgIkjCp0_normal.jpg</v>
      </c>
      <c r="G405" s="63"/>
      <c r="H405" s="67"/>
      <c r="I405" s="68"/>
      <c r="J405" s="68"/>
      <c r="K405" s="67" t="s">
        <v>14854</v>
      </c>
      <c r="L405" s="71"/>
      <c r="M405" s="72"/>
      <c r="N405" s="72"/>
      <c r="O405" s="73"/>
      <c r="P405" s="74"/>
      <c r="Q405" s="74"/>
      <c r="R405" s="87"/>
      <c r="S405" s="87"/>
      <c r="T405" s="87"/>
      <c r="U405" s="87"/>
      <c r="V405" s="48"/>
      <c r="W405" s="48"/>
      <c r="X405" s="48"/>
      <c r="Y405" s="48"/>
      <c r="Z405" s="47"/>
      <c r="AA405" s="69">
        <v>405</v>
      </c>
      <c r="AB405" s="69"/>
      <c r="AC405" s="70"/>
      <c r="AD405" s="76" t="s">
        <v>12137</v>
      </c>
      <c r="AE405" s="80" t="s">
        <v>11571</v>
      </c>
      <c r="AF405" s="76">
        <v>67</v>
      </c>
      <c r="AG405" s="76">
        <v>219</v>
      </c>
      <c r="AH405" s="76">
        <v>294</v>
      </c>
      <c r="AI405" s="76">
        <v>0</v>
      </c>
      <c r="AJ405" s="76">
        <v>0</v>
      </c>
      <c r="AK405" s="76">
        <v>286</v>
      </c>
      <c r="AL405" s="76" t="b">
        <v>0</v>
      </c>
      <c r="AM405" s="78">
        <v>44881.717986111114</v>
      </c>
      <c r="AN405" s="76"/>
      <c r="AO405" s="76" t="s">
        <v>13593</v>
      </c>
      <c r="AP405" s="76"/>
      <c r="AQ405" s="76"/>
      <c r="AR405" s="76"/>
      <c r="AS405" s="76"/>
      <c r="AT405" s="76"/>
      <c r="AU405" s="76"/>
      <c r="AV405" s="76"/>
      <c r="AW405" s="76"/>
      <c r="AX405" s="76" t="b">
        <v>0</v>
      </c>
      <c r="AY405" s="76"/>
      <c r="AZ405" s="76"/>
      <c r="BA405" s="76" t="b">
        <v>0</v>
      </c>
      <c r="BB405" s="76" t="b">
        <v>1</v>
      </c>
      <c r="BC405" s="76" t="b">
        <v>1</v>
      </c>
      <c r="BD405" s="76" t="b">
        <v>0</v>
      </c>
      <c r="BE405" s="76" t="b">
        <v>0</v>
      </c>
      <c r="BF405" s="76" t="b">
        <v>0</v>
      </c>
      <c r="BG405" s="76" t="b">
        <v>0</v>
      </c>
      <c r="BH405" s="82" t="str">
        <f>HYPERLINK("https://pbs.twimg.com/profile_banners/1592928881509601282/1674143387")</f>
        <v>https://pbs.twimg.com/profile_banners/1592928881509601282/1674143387</v>
      </c>
      <c r="BI405" s="76"/>
      <c r="BJ405" s="76" t="s">
        <v>14450</v>
      </c>
      <c r="BK405" s="76" t="b">
        <v>0</v>
      </c>
      <c r="BL405" s="76"/>
      <c r="BM405" s="76" t="s">
        <v>66</v>
      </c>
      <c r="BN405" s="76" t="s">
        <v>14452</v>
      </c>
      <c r="BO405" s="82" t="str">
        <f>HYPERLINK("https://twitter.com/juanitomalafoya")</f>
        <v>https://twitter.com/juanitomalafoya</v>
      </c>
      <c r="BP405" s="2"/>
    </row>
    <row r="406" spans="1:68" x14ac:dyDescent="0.25">
      <c r="A406" s="62" t="s">
        <v>561</v>
      </c>
      <c r="B406" s="63"/>
      <c r="C406" s="63"/>
      <c r="D406" s="64"/>
      <c r="E406" s="66"/>
      <c r="F406" s="103" t="str">
        <f>HYPERLINK("https://pbs.twimg.com/profile_images/1065648417110728704/qMCNIj3c_normal.jpg")</f>
        <v>https://pbs.twimg.com/profile_images/1065648417110728704/qMCNIj3c_normal.jpg</v>
      </c>
      <c r="G406" s="63"/>
      <c r="H406" s="67"/>
      <c r="I406" s="68"/>
      <c r="J406" s="68"/>
      <c r="K406" s="67" t="s">
        <v>14855</v>
      </c>
      <c r="L406" s="71"/>
      <c r="M406" s="72"/>
      <c r="N406" s="72"/>
      <c r="O406" s="73"/>
      <c r="P406" s="74"/>
      <c r="Q406" s="74"/>
      <c r="R406" s="87"/>
      <c r="S406" s="87"/>
      <c r="T406" s="87"/>
      <c r="U406" s="87"/>
      <c r="V406" s="48"/>
      <c r="W406" s="48"/>
      <c r="X406" s="48"/>
      <c r="Y406" s="48"/>
      <c r="Z406" s="47"/>
      <c r="AA406" s="69">
        <v>406</v>
      </c>
      <c r="AB406" s="69"/>
      <c r="AC406" s="70"/>
      <c r="AD406" s="76" t="s">
        <v>12138</v>
      </c>
      <c r="AE406" s="80" t="s">
        <v>11572</v>
      </c>
      <c r="AF406" s="76">
        <v>332</v>
      </c>
      <c r="AG406" s="76">
        <v>373</v>
      </c>
      <c r="AH406" s="76">
        <v>570</v>
      </c>
      <c r="AI406" s="76">
        <v>0</v>
      </c>
      <c r="AJ406" s="76">
        <v>154</v>
      </c>
      <c r="AK406" s="76">
        <v>243</v>
      </c>
      <c r="AL406" s="76" t="b">
        <v>0</v>
      </c>
      <c r="AM406" s="78">
        <v>42513.660011574073</v>
      </c>
      <c r="AN406" s="76" t="s">
        <v>7769</v>
      </c>
      <c r="AO406" s="76" t="s">
        <v>13594</v>
      </c>
      <c r="AP406" s="82" t="str">
        <f>HYPERLINK("https://t.co/nORmyo29TV")</f>
        <v>https://t.co/nORmyo29TV</v>
      </c>
      <c r="AQ406" s="82" t="str">
        <f>HYPERLINK("http://www.gestionmashumana.com")</f>
        <v>http://www.gestionmashumana.com</v>
      </c>
      <c r="AR406" s="76" t="s">
        <v>14151</v>
      </c>
      <c r="AS406" s="76"/>
      <c r="AT406" s="76"/>
      <c r="AU406" s="76"/>
      <c r="AV406" s="76">
        <v>1.6657342476115999E+18</v>
      </c>
      <c r="AW406" s="82" t="str">
        <f>HYPERLINK("https://t.co/nORmyo29TV")</f>
        <v>https://t.co/nORmyo29TV</v>
      </c>
      <c r="AX406" s="76" t="b">
        <v>0</v>
      </c>
      <c r="AY406" s="76"/>
      <c r="AZ406" s="76"/>
      <c r="BA406" s="76" t="b">
        <v>0</v>
      </c>
      <c r="BB406" s="76" t="b">
        <v>1</v>
      </c>
      <c r="BC406" s="76" t="b">
        <v>0</v>
      </c>
      <c r="BD406" s="76" t="b">
        <v>0</v>
      </c>
      <c r="BE406" s="76" t="b">
        <v>0</v>
      </c>
      <c r="BF406" s="76" t="b">
        <v>0</v>
      </c>
      <c r="BG406" s="76" t="b">
        <v>0</v>
      </c>
      <c r="BH406" s="82" t="str">
        <f>HYPERLINK("https://pbs.twimg.com/profile_banners/734773487462649857/1570557924")</f>
        <v>https://pbs.twimg.com/profile_banners/734773487462649857/1570557924</v>
      </c>
      <c r="BI406" s="76"/>
      <c r="BJ406" s="76" t="s">
        <v>14450</v>
      </c>
      <c r="BK406" s="76" t="b">
        <v>0</v>
      </c>
      <c r="BL406" s="76"/>
      <c r="BM406" s="76" t="s">
        <v>66</v>
      </c>
      <c r="BN406" s="76" t="s">
        <v>14452</v>
      </c>
      <c r="BO406" s="82" t="str">
        <f>HYPERLINK("https://twitter.com/gestionmhumana")</f>
        <v>https://twitter.com/gestionmhumana</v>
      </c>
      <c r="BP406" s="2"/>
    </row>
    <row r="407" spans="1:68" x14ac:dyDescent="0.25">
      <c r="A407" s="62" t="s">
        <v>562</v>
      </c>
      <c r="B407" s="63"/>
      <c r="C407" s="63"/>
      <c r="D407" s="64"/>
      <c r="E407" s="66"/>
      <c r="F407" s="103" t="str">
        <f>HYPERLINK("https://pbs.twimg.com/profile_images/1558854885973446656/UiIg7AsA_normal.jpg")</f>
        <v>https://pbs.twimg.com/profile_images/1558854885973446656/UiIg7AsA_normal.jpg</v>
      </c>
      <c r="G407" s="63"/>
      <c r="H407" s="67"/>
      <c r="I407" s="68"/>
      <c r="J407" s="68"/>
      <c r="K407" s="67" t="s">
        <v>14856</v>
      </c>
      <c r="L407" s="71"/>
      <c r="M407" s="72"/>
      <c r="N407" s="72"/>
      <c r="O407" s="73"/>
      <c r="P407" s="74"/>
      <c r="Q407" s="74"/>
      <c r="R407" s="87"/>
      <c r="S407" s="87"/>
      <c r="T407" s="87"/>
      <c r="U407" s="87"/>
      <c r="V407" s="48"/>
      <c r="W407" s="48"/>
      <c r="X407" s="48"/>
      <c r="Y407" s="48"/>
      <c r="Z407" s="47"/>
      <c r="AA407" s="69">
        <v>407</v>
      </c>
      <c r="AB407" s="69"/>
      <c r="AC407" s="70"/>
      <c r="AD407" s="76" t="s">
        <v>12139</v>
      </c>
      <c r="AE407" s="80" t="s">
        <v>11573</v>
      </c>
      <c r="AF407" s="76">
        <v>450</v>
      </c>
      <c r="AG407" s="76">
        <v>72</v>
      </c>
      <c r="AH407" s="76">
        <v>188</v>
      </c>
      <c r="AI407" s="76">
        <v>2</v>
      </c>
      <c r="AJ407" s="76">
        <v>123</v>
      </c>
      <c r="AK407" s="76">
        <v>135</v>
      </c>
      <c r="AL407" s="76" t="b">
        <v>0</v>
      </c>
      <c r="AM407" s="78">
        <v>44734.107002314813</v>
      </c>
      <c r="AN407" s="76"/>
      <c r="AO407" s="76" t="s">
        <v>13595</v>
      </c>
      <c r="AP407" s="82" t="str">
        <f>HYPERLINK("https://t.co/JtO5DO1pGG")</f>
        <v>https://t.co/JtO5DO1pGG</v>
      </c>
      <c r="AQ407" s="82" t="str">
        <f>HYPERLINK("https://youtube.com/c/KevinTanori1198")</f>
        <v>https://youtube.com/c/KevinTanori1198</v>
      </c>
      <c r="AR407" s="76" t="s">
        <v>14152</v>
      </c>
      <c r="AS407" s="76"/>
      <c r="AT407" s="76"/>
      <c r="AU407" s="76"/>
      <c r="AV407" s="76"/>
      <c r="AW407" s="82" t="str">
        <f>HYPERLINK("https://t.co/JtO5DO1pGG")</f>
        <v>https://t.co/JtO5DO1pGG</v>
      </c>
      <c r="AX407" s="76" t="b">
        <v>0</v>
      </c>
      <c r="AY407" s="76"/>
      <c r="AZ407" s="76"/>
      <c r="BA407" s="76" t="b">
        <v>0</v>
      </c>
      <c r="BB407" s="76" t="b">
        <v>1</v>
      </c>
      <c r="BC407" s="76" t="b">
        <v>1</v>
      </c>
      <c r="BD407" s="76" t="b">
        <v>0</v>
      </c>
      <c r="BE407" s="76" t="b">
        <v>0</v>
      </c>
      <c r="BF407" s="76" t="b">
        <v>0</v>
      </c>
      <c r="BG407" s="76" t="b">
        <v>0</v>
      </c>
      <c r="BH407" s="82" t="str">
        <f>HYPERLINK("https://pbs.twimg.com/profile_banners/1539436484184268800/1660790738")</f>
        <v>https://pbs.twimg.com/profile_banners/1539436484184268800/1660790738</v>
      </c>
      <c r="BI407" s="76"/>
      <c r="BJ407" s="76" t="s">
        <v>14450</v>
      </c>
      <c r="BK407" s="76" t="b">
        <v>0</v>
      </c>
      <c r="BL407" s="76"/>
      <c r="BM407" s="76" t="s">
        <v>66</v>
      </c>
      <c r="BN407" s="76" t="s">
        <v>14452</v>
      </c>
      <c r="BO407" s="82" t="str">
        <f>HYPERLINK("https://twitter.com/kevintanori11")</f>
        <v>https://twitter.com/kevintanori11</v>
      </c>
      <c r="BP407" s="2"/>
    </row>
    <row r="408" spans="1:68" x14ac:dyDescent="0.25">
      <c r="A408" s="62" t="s">
        <v>563</v>
      </c>
      <c r="B408" s="63"/>
      <c r="C408" s="63"/>
      <c r="D408" s="64"/>
      <c r="E408" s="66"/>
      <c r="F408" s="103" t="str">
        <f>HYPERLINK("https://pbs.twimg.com/profile_images/1547625032506961921/09sIS7Qa_normal.jpg")</f>
        <v>https://pbs.twimg.com/profile_images/1547625032506961921/09sIS7Qa_normal.jpg</v>
      </c>
      <c r="G408" s="63"/>
      <c r="H408" s="67"/>
      <c r="I408" s="68"/>
      <c r="J408" s="68"/>
      <c r="K408" s="67" t="s">
        <v>14857</v>
      </c>
      <c r="L408" s="71"/>
      <c r="M408" s="72"/>
      <c r="N408" s="72"/>
      <c r="O408" s="73"/>
      <c r="P408" s="74"/>
      <c r="Q408" s="74"/>
      <c r="R408" s="87"/>
      <c r="S408" s="87"/>
      <c r="T408" s="87"/>
      <c r="U408" s="87"/>
      <c r="V408" s="48"/>
      <c r="W408" s="48"/>
      <c r="X408" s="48"/>
      <c r="Y408" s="48"/>
      <c r="Z408" s="47"/>
      <c r="AA408" s="69">
        <v>408</v>
      </c>
      <c r="AB408" s="69"/>
      <c r="AC408" s="70"/>
      <c r="AD408" s="76" t="s">
        <v>12140</v>
      </c>
      <c r="AE408" s="80" t="s">
        <v>11339</v>
      </c>
      <c r="AF408" s="76">
        <v>52</v>
      </c>
      <c r="AG408" s="76">
        <v>76</v>
      </c>
      <c r="AH408" s="76">
        <v>1413</v>
      </c>
      <c r="AI408" s="76">
        <v>0</v>
      </c>
      <c r="AJ408" s="76">
        <v>106</v>
      </c>
      <c r="AK408" s="76">
        <v>546</v>
      </c>
      <c r="AL408" s="76" t="b">
        <v>0</v>
      </c>
      <c r="AM408" s="78">
        <v>43403.858287037037</v>
      </c>
      <c r="AN408" s="76"/>
      <c r="AO408" s="76" t="s">
        <v>13596</v>
      </c>
      <c r="AP408" s="82" t="str">
        <f>HYPERLINK("https://t.co/4GGrmK7GlE")</f>
        <v>https://t.co/4GGrmK7GlE</v>
      </c>
      <c r="AQ408" s="82" t="str">
        <f>HYPERLINK("http://pgs-consulting.com")</f>
        <v>http://pgs-consulting.com</v>
      </c>
      <c r="AR408" s="76" t="s">
        <v>14153</v>
      </c>
      <c r="AS408" s="76"/>
      <c r="AT408" s="76"/>
      <c r="AU408" s="76"/>
      <c r="AV408" s="76">
        <v>1.6950695700656499E+18</v>
      </c>
      <c r="AW408" s="82" t="str">
        <f>HYPERLINK("https://t.co/4GGrmK7GlE")</f>
        <v>https://t.co/4GGrmK7GlE</v>
      </c>
      <c r="AX408" s="76" t="b">
        <v>0</v>
      </c>
      <c r="AY408" s="76"/>
      <c r="AZ408" s="76"/>
      <c r="BA408" s="76" t="b">
        <v>0</v>
      </c>
      <c r="BB408" s="76" t="b">
        <v>1</v>
      </c>
      <c r="BC408" s="76" t="b">
        <v>0</v>
      </c>
      <c r="BD408" s="76" t="b">
        <v>0</v>
      </c>
      <c r="BE408" s="76" t="b">
        <v>0</v>
      </c>
      <c r="BF408" s="76" t="b">
        <v>0</v>
      </c>
      <c r="BG408" s="76" t="b">
        <v>0</v>
      </c>
      <c r="BH408" s="82" t="str">
        <f>HYPERLINK("https://pbs.twimg.com/profile_banners/1057370540061679616/1662566308")</f>
        <v>https://pbs.twimg.com/profile_banners/1057370540061679616/1662566308</v>
      </c>
      <c r="BI408" s="76"/>
      <c r="BJ408" s="76" t="s">
        <v>14450</v>
      </c>
      <c r="BK408" s="76" t="b">
        <v>0</v>
      </c>
      <c r="BL408" s="76"/>
      <c r="BM408" s="76" t="s">
        <v>66</v>
      </c>
      <c r="BN408" s="76" t="s">
        <v>14452</v>
      </c>
      <c r="BO408" s="82" t="str">
        <f>HYPERLINK("https://twitter.com/pgsconsultingg")</f>
        <v>https://twitter.com/pgsconsultingg</v>
      </c>
      <c r="BP408" s="2"/>
    </row>
    <row r="409" spans="1:68" x14ac:dyDescent="0.25">
      <c r="A409" s="62" t="s">
        <v>564</v>
      </c>
      <c r="B409" s="63"/>
      <c r="C409" s="63"/>
      <c r="D409" s="64"/>
      <c r="E409" s="66"/>
      <c r="F409" s="103" t="str">
        <f>HYPERLINK("https://pbs.twimg.com/profile_images/1412849351848759304/dZNGvno2_normal.jpg")</f>
        <v>https://pbs.twimg.com/profile_images/1412849351848759304/dZNGvno2_normal.jpg</v>
      </c>
      <c r="G409" s="63"/>
      <c r="H409" s="67"/>
      <c r="I409" s="68"/>
      <c r="J409" s="68"/>
      <c r="K409" s="67" t="s">
        <v>14858</v>
      </c>
      <c r="L409" s="71"/>
      <c r="M409" s="72"/>
      <c r="N409" s="72"/>
      <c r="O409" s="73"/>
      <c r="P409" s="74"/>
      <c r="Q409" s="74"/>
      <c r="R409" s="87"/>
      <c r="S409" s="87"/>
      <c r="T409" s="87"/>
      <c r="U409" s="87"/>
      <c r="V409" s="48"/>
      <c r="W409" s="48"/>
      <c r="X409" s="48"/>
      <c r="Y409" s="48"/>
      <c r="Z409" s="47"/>
      <c r="AA409" s="69">
        <v>409</v>
      </c>
      <c r="AB409" s="69"/>
      <c r="AC409" s="70"/>
      <c r="AD409" s="76" t="s">
        <v>564</v>
      </c>
      <c r="AE409" s="80" t="s">
        <v>11574</v>
      </c>
      <c r="AF409" s="76">
        <v>1</v>
      </c>
      <c r="AG409" s="76">
        <v>1</v>
      </c>
      <c r="AH409" s="76">
        <v>116</v>
      </c>
      <c r="AI409" s="76">
        <v>0</v>
      </c>
      <c r="AJ409" s="76">
        <v>2</v>
      </c>
      <c r="AK409" s="76">
        <v>116</v>
      </c>
      <c r="AL409" s="76" t="b">
        <v>0</v>
      </c>
      <c r="AM409" s="78">
        <v>44384.78224537037</v>
      </c>
      <c r="AN409" s="76" t="s">
        <v>7763</v>
      </c>
      <c r="AO409" s="76" t="s">
        <v>13597</v>
      </c>
      <c r="AP409" s="82" t="str">
        <f>HYPERLINK("https://t.co/WFhc4SLmZL")</f>
        <v>https://t.co/WFhc4SLmZL</v>
      </c>
      <c r="AQ409" s="82" t="str">
        <f>HYPERLINK("https://www.academyeducacao.com.br")</f>
        <v>https://www.academyeducacao.com.br</v>
      </c>
      <c r="AR409" s="76" t="s">
        <v>14154</v>
      </c>
      <c r="AS409" s="76"/>
      <c r="AT409" s="76"/>
      <c r="AU409" s="76"/>
      <c r="AV409" s="76"/>
      <c r="AW409" s="82" t="str">
        <f>HYPERLINK("https://t.co/WFhc4SLmZL")</f>
        <v>https://t.co/WFhc4SLmZL</v>
      </c>
      <c r="AX409" s="76" t="b">
        <v>0</v>
      </c>
      <c r="AY409" s="76"/>
      <c r="AZ409" s="76"/>
      <c r="BA409" s="76" t="b">
        <v>0</v>
      </c>
      <c r="BB409" s="76" t="b">
        <v>1</v>
      </c>
      <c r="BC409" s="76" t="b">
        <v>1</v>
      </c>
      <c r="BD409" s="76" t="b">
        <v>0</v>
      </c>
      <c r="BE409" s="76" t="b">
        <v>0</v>
      </c>
      <c r="BF409" s="76" t="b">
        <v>0</v>
      </c>
      <c r="BG409" s="76" t="b">
        <v>0</v>
      </c>
      <c r="BH409" s="82" t="str">
        <f>HYPERLINK("https://pbs.twimg.com/profile_banners/1412845425271394305/1669410545")</f>
        <v>https://pbs.twimg.com/profile_banners/1412845425271394305/1669410545</v>
      </c>
      <c r="BI409" s="76"/>
      <c r="BJ409" s="76" t="s">
        <v>14450</v>
      </c>
      <c r="BK409" s="76" t="b">
        <v>0</v>
      </c>
      <c r="BL409" s="76"/>
      <c r="BM409" s="76" t="s">
        <v>66</v>
      </c>
      <c r="BN409" s="76" t="s">
        <v>14452</v>
      </c>
      <c r="BO409" s="82" t="str">
        <f>HYPERLINK("https://twitter.com/academyeducacao")</f>
        <v>https://twitter.com/academyeducacao</v>
      </c>
      <c r="BP409" s="2"/>
    </row>
    <row r="410" spans="1:68" x14ac:dyDescent="0.25">
      <c r="A410" s="62" t="s">
        <v>565</v>
      </c>
      <c r="B410" s="63"/>
      <c r="C410" s="63"/>
      <c r="D410" s="64"/>
      <c r="E410" s="66"/>
      <c r="F410" s="103" t="str">
        <f>HYPERLINK("https://pbs.twimg.com/profile_images/1582475696852508672/R9pIVS0k_normal.jpg")</f>
        <v>https://pbs.twimg.com/profile_images/1582475696852508672/R9pIVS0k_normal.jpg</v>
      </c>
      <c r="G410" s="63"/>
      <c r="H410" s="67"/>
      <c r="I410" s="68"/>
      <c r="J410" s="68"/>
      <c r="K410" s="67" t="s">
        <v>14859</v>
      </c>
      <c r="L410" s="71"/>
      <c r="M410" s="72"/>
      <c r="N410" s="72"/>
      <c r="O410" s="73"/>
      <c r="P410" s="74"/>
      <c r="Q410" s="74"/>
      <c r="R410" s="87"/>
      <c r="S410" s="87"/>
      <c r="T410" s="87"/>
      <c r="U410" s="87"/>
      <c r="V410" s="48"/>
      <c r="W410" s="48"/>
      <c r="X410" s="48"/>
      <c r="Y410" s="48"/>
      <c r="Z410" s="47"/>
      <c r="AA410" s="69">
        <v>410</v>
      </c>
      <c r="AB410" s="69"/>
      <c r="AC410" s="70"/>
      <c r="AD410" s="76" t="s">
        <v>12141</v>
      </c>
      <c r="AE410" s="80" t="s">
        <v>11575</v>
      </c>
      <c r="AF410" s="76">
        <v>2</v>
      </c>
      <c r="AG410" s="76">
        <v>57</v>
      </c>
      <c r="AH410" s="76">
        <v>12</v>
      </c>
      <c r="AI410" s="76">
        <v>0</v>
      </c>
      <c r="AJ410" s="76">
        <v>16</v>
      </c>
      <c r="AK410" s="76">
        <v>0</v>
      </c>
      <c r="AL410" s="76" t="b">
        <v>0</v>
      </c>
      <c r="AM410" s="78">
        <v>44852.872465277775</v>
      </c>
      <c r="AN410" s="76"/>
      <c r="AO410" s="76"/>
      <c r="AP410" s="76"/>
      <c r="AQ410" s="76"/>
      <c r="AR410" s="76"/>
      <c r="AS410" s="76"/>
      <c r="AT410" s="76"/>
      <c r="AU410" s="76"/>
      <c r="AV410" s="76"/>
      <c r="AW410" s="76"/>
      <c r="AX410" s="76" t="b">
        <v>0</v>
      </c>
      <c r="AY410" s="76"/>
      <c r="AZ410" s="76"/>
      <c r="BA410" s="76" t="b">
        <v>0</v>
      </c>
      <c r="BB410" s="76" t="b">
        <v>1</v>
      </c>
      <c r="BC410" s="76" t="b">
        <v>1</v>
      </c>
      <c r="BD410" s="76" t="b">
        <v>0</v>
      </c>
      <c r="BE410" s="76" t="b">
        <v>0</v>
      </c>
      <c r="BF410" s="76" t="b">
        <v>0</v>
      </c>
      <c r="BG410" s="76" t="b">
        <v>0</v>
      </c>
      <c r="BH410" s="76"/>
      <c r="BI410" s="76"/>
      <c r="BJ410" s="76" t="s">
        <v>14450</v>
      </c>
      <c r="BK410" s="76" t="b">
        <v>0</v>
      </c>
      <c r="BL410" s="76"/>
      <c r="BM410" s="76" t="s">
        <v>66</v>
      </c>
      <c r="BN410" s="76" t="s">
        <v>14452</v>
      </c>
      <c r="BO410" s="82" t="str">
        <f>HYPERLINK("https://twitter.com/eliotello23")</f>
        <v>https://twitter.com/eliotello23</v>
      </c>
      <c r="BP410" s="2"/>
    </row>
    <row r="411" spans="1:68" x14ac:dyDescent="0.25">
      <c r="A411" s="62" t="s">
        <v>567</v>
      </c>
      <c r="B411" s="63"/>
      <c r="C411" s="63"/>
      <c r="D411" s="64"/>
      <c r="E411" s="66"/>
      <c r="F411" s="103" t="str">
        <f>HYPERLINK("https://pbs.twimg.com/profile_images/1630017465852874753/BEPklwxA_normal.jpg")</f>
        <v>https://pbs.twimg.com/profile_images/1630017465852874753/BEPklwxA_normal.jpg</v>
      </c>
      <c r="G411" s="63"/>
      <c r="H411" s="67"/>
      <c r="I411" s="68"/>
      <c r="J411" s="68"/>
      <c r="K411" s="67" t="s">
        <v>14860</v>
      </c>
      <c r="L411" s="71"/>
      <c r="M411" s="72"/>
      <c r="N411" s="72"/>
      <c r="O411" s="73"/>
      <c r="P411" s="74"/>
      <c r="Q411" s="74"/>
      <c r="R411" s="87"/>
      <c r="S411" s="87"/>
      <c r="T411" s="87"/>
      <c r="U411" s="87"/>
      <c r="V411" s="48"/>
      <c r="W411" s="48"/>
      <c r="X411" s="48"/>
      <c r="Y411" s="48"/>
      <c r="Z411" s="47"/>
      <c r="AA411" s="69">
        <v>411</v>
      </c>
      <c r="AB411" s="69"/>
      <c r="AC411" s="70"/>
      <c r="AD411" s="76" t="s">
        <v>12142</v>
      </c>
      <c r="AE411" s="80" t="s">
        <v>12685</v>
      </c>
      <c r="AF411" s="76">
        <v>14428</v>
      </c>
      <c r="AG411" s="76">
        <v>6001</v>
      </c>
      <c r="AH411" s="76">
        <v>10432</v>
      </c>
      <c r="AI411" s="76">
        <v>17</v>
      </c>
      <c r="AJ411" s="76">
        <v>4694</v>
      </c>
      <c r="AK411" s="76">
        <v>2612</v>
      </c>
      <c r="AL411" s="76" t="b">
        <v>0</v>
      </c>
      <c r="AM411" s="78">
        <v>41027.825104166666</v>
      </c>
      <c r="AN411" s="76" t="s">
        <v>13073</v>
      </c>
      <c r="AO411" s="76" t="s">
        <v>13598</v>
      </c>
      <c r="AP411" s="82" t="str">
        <f>HYPERLINK("https://t.co/vS0GPeBOYq")</f>
        <v>https://t.co/vS0GPeBOYq</v>
      </c>
      <c r="AQ411" s="82" t="str">
        <f>HYPERLINK("http://turmadochaves-echapolin.blogspot.com.br/")</f>
        <v>http://turmadochaves-echapolin.blogspot.com.br/</v>
      </c>
      <c r="AR411" s="76" t="s">
        <v>14155</v>
      </c>
      <c r="AS411" s="76"/>
      <c r="AT411" s="76"/>
      <c r="AU411" s="76"/>
      <c r="AV411" s="76"/>
      <c r="AW411" s="82" t="str">
        <f>HYPERLINK("https://t.co/vS0GPeBOYq")</f>
        <v>https://t.co/vS0GPeBOYq</v>
      </c>
      <c r="AX411" s="76" t="b">
        <v>0</v>
      </c>
      <c r="AY411" s="76"/>
      <c r="AZ411" s="76"/>
      <c r="BA411" s="76" t="b">
        <v>0</v>
      </c>
      <c r="BB411" s="76" t="b">
        <v>1</v>
      </c>
      <c r="BC411" s="76" t="b">
        <v>0</v>
      </c>
      <c r="BD411" s="76" t="b">
        <v>0</v>
      </c>
      <c r="BE411" s="76" t="b">
        <v>0</v>
      </c>
      <c r="BF411" s="76" t="b">
        <v>0</v>
      </c>
      <c r="BG411" s="76" t="b">
        <v>0</v>
      </c>
      <c r="BH411" s="82" t="str">
        <f>HYPERLINK("https://pbs.twimg.com/profile_banners/565777137/1677460890")</f>
        <v>https://pbs.twimg.com/profile_banners/565777137/1677460890</v>
      </c>
      <c r="BI411" s="76"/>
      <c r="BJ411" s="76" t="s">
        <v>14450</v>
      </c>
      <c r="BK411" s="76" t="b">
        <v>0</v>
      </c>
      <c r="BL411" s="76"/>
      <c r="BM411" s="76" t="s">
        <v>66</v>
      </c>
      <c r="BN411" s="76" t="s">
        <v>14452</v>
      </c>
      <c r="BO411" s="82" t="str">
        <f>HYPERLINK("https://twitter.com/chavesechapolin")</f>
        <v>https://twitter.com/chavesechapolin</v>
      </c>
      <c r="BP411" s="2"/>
    </row>
    <row r="412" spans="1:68" x14ac:dyDescent="0.25">
      <c r="A412" s="62" t="s">
        <v>568</v>
      </c>
      <c r="B412" s="63"/>
      <c r="C412" s="63"/>
      <c r="D412" s="64"/>
      <c r="E412" s="66"/>
      <c r="F412" s="103" t="str">
        <f>HYPERLINK("https://pbs.twimg.com/profile_images/1679476867685027840/HYjx8T3x_normal.jpg")</f>
        <v>https://pbs.twimg.com/profile_images/1679476867685027840/HYjx8T3x_normal.jpg</v>
      </c>
      <c r="G412" s="63"/>
      <c r="H412" s="67"/>
      <c r="I412" s="68"/>
      <c r="J412" s="68"/>
      <c r="K412" s="67" t="s">
        <v>14861</v>
      </c>
      <c r="L412" s="71"/>
      <c r="M412" s="72"/>
      <c r="N412" s="72"/>
      <c r="O412" s="73"/>
      <c r="P412" s="74"/>
      <c r="Q412" s="74"/>
      <c r="R412" s="87"/>
      <c r="S412" s="87"/>
      <c r="T412" s="87"/>
      <c r="U412" s="87"/>
      <c r="V412" s="48"/>
      <c r="W412" s="48"/>
      <c r="X412" s="48"/>
      <c r="Y412" s="48"/>
      <c r="Z412" s="47"/>
      <c r="AA412" s="69">
        <v>412</v>
      </c>
      <c r="AB412" s="69"/>
      <c r="AC412" s="70"/>
      <c r="AD412" s="76" t="s">
        <v>12143</v>
      </c>
      <c r="AE412" s="80" t="s">
        <v>12686</v>
      </c>
      <c r="AF412" s="76">
        <v>3059</v>
      </c>
      <c r="AG412" s="76">
        <v>4869</v>
      </c>
      <c r="AH412" s="76">
        <v>27807</v>
      </c>
      <c r="AI412" s="76">
        <v>3</v>
      </c>
      <c r="AJ412" s="76">
        <v>75</v>
      </c>
      <c r="AK412" s="76">
        <v>10603</v>
      </c>
      <c r="AL412" s="76" t="b">
        <v>0</v>
      </c>
      <c r="AM412" s="78">
        <v>41365.011284722219</v>
      </c>
      <c r="AN412" s="76"/>
      <c r="AO412" s="76" t="s">
        <v>13599</v>
      </c>
      <c r="AP412" s="82" t="str">
        <f>HYPERLINK("https://t.co/URMNRsGZIT")</f>
        <v>https://t.co/URMNRsGZIT</v>
      </c>
      <c r="AQ412" s="82" t="str">
        <f>HYPERLINK("https://get.peoople.co/7Y6GpJ8zxgb")</f>
        <v>https://get.peoople.co/7Y6GpJ8zxgb</v>
      </c>
      <c r="AR412" s="76" t="s">
        <v>14156</v>
      </c>
      <c r="AS412" s="76"/>
      <c r="AT412" s="76"/>
      <c r="AU412" s="76"/>
      <c r="AV412" s="76"/>
      <c r="AW412" s="82" t="str">
        <f>HYPERLINK("https://t.co/URMNRsGZIT")</f>
        <v>https://t.co/URMNRsGZIT</v>
      </c>
      <c r="AX412" s="76" t="b">
        <v>0</v>
      </c>
      <c r="AY412" s="76"/>
      <c r="AZ412" s="76"/>
      <c r="BA412" s="76" t="b">
        <v>0</v>
      </c>
      <c r="BB412" s="76" t="b">
        <v>1</v>
      </c>
      <c r="BC412" s="76" t="b">
        <v>0</v>
      </c>
      <c r="BD412" s="76" t="b">
        <v>0</v>
      </c>
      <c r="BE412" s="76" t="b">
        <v>0</v>
      </c>
      <c r="BF412" s="76" t="b">
        <v>0</v>
      </c>
      <c r="BG412" s="76" t="b">
        <v>0</v>
      </c>
      <c r="BH412" s="82" t="str">
        <f>HYPERLINK("https://pbs.twimg.com/profile_banners/1319347568/1419393860")</f>
        <v>https://pbs.twimg.com/profile_banners/1319347568/1419393860</v>
      </c>
      <c r="BI412" s="76"/>
      <c r="BJ412" s="76" t="s">
        <v>14450</v>
      </c>
      <c r="BK412" s="76" t="b">
        <v>0</v>
      </c>
      <c r="BL412" s="76"/>
      <c r="BM412" s="76" t="s">
        <v>66</v>
      </c>
      <c r="BN412" s="76" t="s">
        <v>14452</v>
      </c>
      <c r="BO412" s="82" t="str">
        <f>HYPERLINK("https://twitter.com/teslatemis007")</f>
        <v>https://twitter.com/teslatemis007</v>
      </c>
      <c r="BP412" s="2"/>
    </row>
    <row r="413" spans="1:68" x14ac:dyDescent="0.25">
      <c r="A413" s="62" t="s">
        <v>569</v>
      </c>
      <c r="B413" s="63"/>
      <c r="C413" s="63"/>
      <c r="D413" s="64"/>
      <c r="E413" s="66"/>
      <c r="F413" s="103" t="str">
        <f>HYPERLINK("https://pbs.twimg.com/profile_images/1543094696154505217/7dFd3w9l_normal.jpg")</f>
        <v>https://pbs.twimg.com/profile_images/1543094696154505217/7dFd3w9l_normal.jpg</v>
      </c>
      <c r="G413" s="63"/>
      <c r="H413" s="67"/>
      <c r="I413" s="68"/>
      <c r="J413" s="68"/>
      <c r="K413" s="67" t="s">
        <v>14862</v>
      </c>
      <c r="L413" s="71"/>
      <c r="M413" s="72"/>
      <c r="N413" s="72"/>
      <c r="O413" s="73"/>
      <c r="P413" s="74"/>
      <c r="Q413" s="74"/>
      <c r="R413" s="87"/>
      <c r="S413" s="87"/>
      <c r="T413" s="87"/>
      <c r="U413" s="87"/>
      <c r="V413" s="48"/>
      <c r="W413" s="48"/>
      <c r="X413" s="48"/>
      <c r="Y413" s="48"/>
      <c r="Z413" s="47"/>
      <c r="AA413" s="69">
        <v>413</v>
      </c>
      <c r="AB413" s="69"/>
      <c r="AC413" s="70"/>
      <c r="AD413" s="76" t="s">
        <v>12144</v>
      </c>
      <c r="AE413" s="80" t="s">
        <v>11576</v>
      </c>
      <c r="AF413" s="76">
        <v>2342</v>
      </c>
      <c r="AG413" s="76">
        <v>2157</v>
      </c>
      <c r="AH413" s="76">
        <v>5059</v>
      </c>
      <c r="AI413" s="76">
        <v>12</v>
      </c>
      <c r="AJ413" s="76">
        <v>3197</v>
      </c>
      <c r="AK413" s="76">
        <v>4179</v>
      </c>
      <c r="AL413" s="76" t="b">
        <v>0</v>
      </c>
      <c r="AM413" s="78">
        <v>42874.127696759257</v>
      </c>
      <c r="AN413" s="76" t="s">
        <v>7799</v>
      </c>
      <c r="AO413" s="76" t="s">
        <v>13600</v>
      </c>
      <c r="AP413" s="82" t="str">
        <f>HYPERLINK("https://t.co/GJqkSL5EIG")</f>
        <v>https://t.co/GJqkSL5EIG</v>
      </c>
      <c r="AQ413" s="82" t="str">
        <f>HYPERLINK("https://linktr.ee/snesanluis")</f>
        <v>https://linktr.ee/snesanluis</v>
      </c>
      <c r="AR413" s="76" t="s">
        <v>14157</v>
      </c>
      <c r="AS413" s="82" t="str">
        <f>HYPERLINK("https://t.co/RGkMGQhd1K")</f>
        <v>https://t.co/RGkMGQhd1K</v>
      </c>
      <c r="AT413" s="82" t="str">
        <f>HYPERLINK("http://wa.me/+524445416729")</f>
        <v>http://wa.me/+524445416729</v>
      </c>
      <c r="AU413" s="76" t="s">
        <v>14425</v>
      </c>
      <c r="AV413" s="76"/>
      <c r="AW413" s="82" t="str">
        <f>HYPERLINK("https://t.co/GJqkSL5EIG")</f>
        <v>https://t.co/GJqkSL5EIG</v>
      </c>
      <c r="AX413" s="76" t="b">
        <v>0</v>
      </c>
      <c r="AY413" s="76"/>
      <c r="AZ413" s="76"/>
      <c r="BA413" s="76" t="b">
        <v>1</v>
      </c>
      <c r="BB413" s="76" t="b">
        <v>1</v>
      </c>
      <c r="BC413" s="76" t="b">
        <v>0</v>
      </c>
      <c r="BD413" s="76" t="b">
        <v>0</v>
      </c>
      <c r="BE413" s="76" t="b">
        <v>1</v>
      </c>
      <c r="BF413" s="76" t="b">
        <v>0</v>
      </c>
      <c r="BG413" s="76" t="b">
        <v>0</v>
      </c>
      <c r="BH413" s="82" t="str">
        <f>HYPERLINK("https://pbs.twimg.com/profile_banners/865402601625362432/1693512721")</f>
        <v>https://pbs.twimg.com/profile_banners/865402601625362432/1693512721</v>
      </c>
      <c r="BI413" s="76"/>
      <c r="BJ413" s="76" t="s">
        <v>14450</v>
      </c>
      <c r="BK413" s="76" t="b">
        <v>0</v>
      </c>
      <c r="BL413" s="76"/>
      <c r="BM413" s="76" t="s">
        <v>66</v>
      </c>
      <c r="BN413" s="76" t="s">
        <v>14452</v>
      </c>
      <c r="BO413" s="82" t="str">
        <f>HYPERLINK("https://twitter.com/snesanluis")</f>
        <v>https://twitter.com/snesanluis</v>
      </c>
      <c r="BP413" s="2"/>
    </row>
    <row r="414" spans="1:68" x14ac:dyDescent="0.25">
      <c r="A414" s="62" t="s">
        <v>929</v>
      </c>
      <c r="B414" s="63"/>
      <c r="C414" s="63"/>
      <c r="D414" s="64"/>
      <c r="E414" s="66"/>
      <c r="F414" s="103" t="str">
        <f>HYPERLINK("https://pbs.twimg.com/profile_images/1703868171034177536/d1xcbGHV_normal.jpg")</f>
        <v>https://pbs.twimg.com/profile_images/1703868171034177536/d1xcbGHV_normal.jpg</v>
      </c>
      <c r="G414" s="63"/>
      <c r="H414" s="67"/>
      <c r="I414" s="68"/>
      <c r="J414" s="68"/>
      <c r="K414" s="67" t="s">
        <v>14863</v>
      </c>
      <c r="L414" s="71"/>
      <c r="M414" s="72"/>
      <c r="N414" s="72"/>
      <c r="O414" s="73"/>
      <c r="P414" s="74"/>
      <c r="Q414" s="74"/>
      <c r="R414" s="87"/>
      <c r="S414" s="87"/>
      <c r="T414" s="87"/>
      <c r="U414" s="87"/>
      <c r="V414" s="48"/>
      <c r="W414" s="48"/>
      <c r="X414" s="48"/>
      <c r="Y414" s="48"/>
      <c r="Z414" s="47"/>
      <c r="AA414" s="69">
        <v>414</v>
      </c>
      <c r="AB414" s="69"/>
      <c r="AC414" s="70"/>
      <c r="AD414" s="76" t="s">
        <v>12145</v>
      </c>
      <c r="AE414" s="80" t="s">
        <v>12687</v>
      </c>
      <c r="AF414" s="76">
        <v>4122</v>
      </c>
      <c r="AG414" s="76">
        <v>302</v>
      </c>
      <c r="AH414" s="76">
        <v>4532</v>
      </c>
      <c r="AI414" s="76">
        <v>24</v>
      </c>
      <c r="AJ414" s="76">
        <v>1521</v>
      </c>
      <c r="AK414" s="76">
        <v>1841</v>
      </c>
      <c r="AL414" s="76" t="b">
        <v>0</v>
      </c>
      <c r="AM414" s="78">
        <v>41178.594293981485</v>
      </c>
      <c r="AN414" s="76" t="s">
        <v>13074</v>
      </c>
      <c r="AO414" s="76"/>
      <c r="AP414" s="82" t="str">
        <f>HYPERLINK("https://t.co/i5qVLptBEf")</f>
        <v>https://t.co/i5qVLptBEf</v>
      </c>
      <c r="AQ414" s="82" t="str">
        <f>HYPERLINK("http://www.stpsslp.gob.mx")</f>
        <v>http://www.stpsslp.gob.mx</v>
      </c>
      <c r="AR414" s="76" t="s">
        <v>14158</v>
      </c>
      <c r="AS414" s="76"/>
      <c r="AT414" s="76"/>
      <c r="AU414" s="76"/>
      <c r="AV414" s="76">
        <v>1.6860616929108101E+18</v>
      </c>
      <c r="AW414" s="82" t="str">
        <f>HYPERLINK("https://t.co/i5qVLptBEf")</f>
        <v>https://t.co/i5qVLptBEf</v>
      </c>
      <c r="AX414" s="76" t="b">
        <v>0</v>
      </c>
      <c r="AY414" s="76"/>
      <c r="AZ414" s="76"/>
      <c r="BA414" s="76" t="b">
        <v>0</v>
      </c>
      <c r="BB414" s="76" t="b">
        <v>0</v>
      </c>
      <c r="BC414" s="76" t="b">
        <v>0</v>
      </c>
      <c r="BD414" s="76" t="b">
        <v>0</v>
      </c>
      <c r="BE414" s="76" t="b">
        <v>1</v>
      </c>
      <c r="BF414" s="76" t="b">
        <v>0</v>
      </c>
      <c r="BG414" s="76" t="b">
        <v>0</v>
      </c>
      <c r="BH414" s="82" t="str">
        <f>HYPERLINK("https://pbs.twimg.com/profile_banners/847485008/1695068804")</f>
        <v>https://pbs.twimg.com/profile_banners/847485008/1695068804</v>
      </c>
      <c r="BI414" s="76"/>
      <c r="BJ414" s="76" t="s">
        <v>14450</v>
      </c>
      <c r="BK414" s="76" t="b">
        <v>0</v>
      </c>
      <c r="BL414" s="76"/>
      <c r="BM414" s="76" t="s">
        <v>65</v>
      </c>
      <c r="BN414" s="76" t="s">
        <v>14452</v>
      </c>
      <c r="BO414" s="82" t="str">
        <f>HYPERLINK("https://twitter.com/stpsslp")</f>
        <v>https://twitter.com/stpsslp</v>
      </c>
      <c r="BP414" s="2"/>
    </row>
    <row r="415" spans="1:68" x14ac:dyDescent="0.25">
      <c r="A415" s="62" t="s">
        <v>570</v>
      </c>
      <c r="B415" s="63"/>
      <c r="C415" s="63"/>
      <c r="D415" s="64"/>
      <c r="E415" s="66"/>
      <c r="F415" s="103" t="str">
        <f>HYPERLINK("https://pbs.twimg.com/profile_images/1479551650465558537/2xAFH-M7_normal.jpg")</f>
        <v>https://pbs.twimg.com/profile_images/1479551650465558537/2xAFH-M7_normal.jpg</v>
      </c>
      <c r="G415" s="63"/>
      <c r="H415" s="67"/>
      <c r="I415" s="68"/>
      <c r="J415" s="68"/>
      <c r="K415" s="67" t="s">
        <v>14864</v>
      </c>
      <c r="L415" s="71"/>
      <c r="M415" s="72"/>
      <c r="N415" s="72"/>
      <c r="O415" s="73"/>
      <c r="P415" s="74"/>
      <c r="Q415" s="74"/>
      <c r="R415" s="87"/>
      <c r="S415" s="87"/>
      <c r="T415" s="87"/>
      <c r="U415" s="87"/>
      <c r="V415" s="48"/>
      <c r="W415" s="48"/>
      <c r="X415" s="48"/>
      <c r="Y415" s="48"/>
      <c r="Z415" s="47"/>
      <c r="AA415" s="69">
        <v>415</v>
      </c>
      <c r="AB415" s="69"/>
      <c r="AC415" s="70"/>
      <c r="AD415" s="76" t="s">
        <v>12146</v>
      </c>
      <c r="AE415" s="80" t="s">
        <v>11577</v>
      </c>
      <c r="AF415" s="76">
        <v>29106</v>
      </c>
      <c r="AG415" s="76">
        <v>224</v>
      </c>
      <c r="AH415" s="76">
        <v>12063</v>
      </c>
      <c r="AI415" s="76">
        <v>35</v>
      </c>
      <c r="AJ415" s="76">
        <v>2842</v>
      </c>
      <c r="AK415" s="76">
        <v>5148</v>
      </c>
      <c r="AL415" s="76" t="b">
        <v>0</v>
      </c>
      <c r="AM415" s="78">
        <v>42811.919340277775</v>
      </c>
      <c r="AN415" s="76"/>
      <c r="AO415" s="76" t="s">
        <v>13601</v>
      </c>
      <c r="AP415" s="82" t="str">
        <f>HYPERLINK("https://t.co/dfMpIiqgu5")</f>
        <v>https://t.co/dfMpIiqgu5</v>
      </c>
      <c r="AQ415" s="82" t="str">
        <f>HYPERLINK("https://linkr.bio/14dm")</f>
        <v>https://linkr.bio/14dm</v>
      </c>
      <c r="AR415" s="76" t="s">
        <v>14159</v>
      </c>
      <c r="AS415" s="82" t="str">
        <f>HYPERLINK("https://t.co/agCTJtCtk2")</f>
        <v>https://t.co/agCTJtCtk2</v>
      </c>
      <c r="AT415" s="82" t="str">
        <f>HYPERLINK("http://spoti.fi/3lauH6E")</f>
        <v>http://spoti.fi/3lauH6E</v>
      </c>
      <c r="AU415" s="76" t="s">
        <v>14426</v>
      </c>
      <c r="AV415" s="76">
        <v>1.70678904335757E+18</v>
      </c>
      <c r="AW415" s="82" t="str">
        <f>HYPERLINK("https://t.co/dfMpIiqgu5")</f>
        <v>https://t.co/dfMpIiqgu5</v>
      </c>
      <c r="AX415" s="76" t="b">
        <v>1</v>
      </c>
      <c r="AY415" s="76"/>
      <c r="AZ415" s="76"/>
      <c r="BA415" s="76" t="b">
        <v>1</v>
      </c>
      <c r="BB415" s="76" t="b">
        <v>1</v>
      </c>
      <c r="BC415" s="76" t="b">
        <v>0</v>
      </c>
      <c r="BD415" s="76" t="b">
        <v>0</v>
      </c>
      <c r="BE415" s="76" t="b">
        <v>0</v>
      </c>
      <c r="BF415" s="76" t="b">
        <v>0</v>
      </c>
      <c r="BG415" s="76" t="b">
        <v>0</v>
      </c>
      <c r="BH415" s="82" t="str">
        <f>HYPERLINK("https://pbs.twimg.com/profile_banners/842859048835850240/1676930796")</f>
        <v>https://pbs.twimg.com/profile_banners/842859048835850240/1676930796</v>
      </c>
      <c r="BI415" s="76"/>
      <c r="BJ415" s="76" t="s">
        <v>14450</v>
      </c>
      <c r="BK415" s="76" t="b">
        <v>0</v>
      </c>
      <c r="BL415" s="76"/>
      <c r="BM415" s="76" t="s">
        <v>66</v>
      </c>
      <c r="BN415" s="76" t="s">
        <v>14452</v>
      </c>
      <c r="BO415" s="82" t="str">
        <f>HYPERLINK("https://twitter.com/cuartodemillamx")</f>
        <v>https://twitter.com/cuartodemillamx</v>
      </c>
      <c r="BP415" s="2"/>
    </row>
    <row r="416" spans="1:68" x14ac:dyDescent="0.25">
      <c r="A416" s="62" t="s">
        <v>571</v>
      </c>
      <c r="B416" s="63"/>
      <c r="C416" s="63"/>
      <c r="D416" s="64"/>
      <c r="E416" s="66"/>
      <c r="F416" s="103" t="str">
        <f>HYPERLINK("https://pbs.twimg.com/profile_images/1698021216613736448/d0f0fZE4_normal.jpg")</f>
        <v>https://pbs.twimg.com/profile_images/1698021216613736448/d0f0fZE4_normal.jpg</v>
      </c>
      <c r="G416" s="63"/>
      <c r="H416" s="67"/>
      <c r="I416" s="68"/>
      <c r="J416" s="68"/>
      <c r="K416" s="67" t="s">
        <v>14865</v>
      </c>
      <c r="L416" s="71"/>
      <c r="M416" s="72"/>
      <c r="N416" s="72"/>
      <c r="O416" s="73"/>
      <c r="P416" s="74"/>
      <c r="Q416" s="74"/>
      <c r="R416" s="87"/>
      <c r="S416" s="87"/>
      <c r="T416" s="87"/>
      <c r="U416" s="87"/>
      <c r="V416" s="48"/>
      <c r="W416" s="48"/>
      <c r="X416" s="48"/>
      <c r="Y416" s="48"/>
      <c r="Z416" s="47"/>
      <c r="AA416" s="69">
        <v>416</v>
      </c>
      <c r="AB416" s="69"/>
      <c r="AC416" s="70"/>
      <c r="AD416" s="76" t="s">
        <v>12147</v>
      </c>
      <c r="AE416" s="80" t="s">
        <v>11578</v>
      </c>
      <c r="AF416" s="76">
        <v>220</v>
      </c>
      <c r="AG416" s="76">
        <v>3322</v>
      </c>
      <c r="AH416" s="76">
        <v>14080</v>
      </c>
      <c r="AI416" s="76">
        <v>1</v>
      </c>
      <c r="AJ416" s="76">
        <v>10923</v>
      </c>
      <c r="AK416" s="76">
        <v>273</v>
      </c>
      <c r="AL416" s="76" t="b">
        <v>0</v>
      </c>
      <c r="AM416" s="78">
        <v>42437.614571759259</v>
      </c>
      <c r="AN416" s="76" t="s">
        <v>13075</v>
      </c>
      <c r="AO416" s="76" t="s">
        <v>13602</v>
      </c>
      <c r="AP416" s="76"/>
      <c r="AQ416" s="76"/>
      <c r="AR416" s="76"/>
      <c r="AS416" s="76"/>
      <c r="AT416" s="76"/>
      <c r="AU416" s="76"/>
      <c r="AV416" s="76">
        <v>1.6946019355490801E+18</v>
      </c>
      <c r="AW416" s="76"/>
      <c r="AX416" s="76" t="b">
        <v>0</v>
      </c>
      <c r="AY416" s="76"/>
      <c r="AZ416" s="76"/>
      <c r="BA416" s="76" t="b">
        <v>1</v>
      </c>
      <c r="BB416" s="76" t="b">
        <v>0</v>
      </c>
      <c r="BC416" s="76" t="b">
        <v>1</v>
      </c>
      <c r="BD416" s="76" t="b">
        <v>0</v>
      </c>
      <c r="BE416" s="76" t="b">
        <v>1</v>
      </c>
      <c r="BF416" s="76" t="b">
        <v>0</v>
      </c>
      <c r="BG416" s="76" t="b">
        <v>0</v>
      </c>
      <c r="BH416" s="82" t="str">
        <f>HYPERLINK("https://pbs.twimg.com/profile_banners/707215541057015809/1673022077")</f>
        <v>https://pbs.twimg.com/profile_banners/707215541057015809/1673022077</v>
      </c>
      <c r="BI416" s="76"/>
      <c r="BJ416" s="76" t="s">
        <v>14450</v>
      </c>
      <c r="BK416" s="76" t="b">
        <v>0</v>
      </c>
      <c r="BL416" s="76"/>
      <c r="BM416" s="76" t="s">
        <v>66</v>
      </c>
      <c r="BN416" s="76" t="s">
        <v>14452</v>
      </c>
      <c r="BO416" s="82" t="str">
        <f>HYPERLINK("https://twitter.com/ingodwetrustja7")</f>
        <v>https://twitter.com/ingodwetrustja7</v>
      </c>
      <c r="BP416" s="2"/>
    </row>
    <row r="417" spans="1:68" x14ac:dyDescent="0.25">
      <c r="A417" s="62" t="s">
        <v>572</v>
      </c>
      <c r="B417" s="63"/>
      <c r="C417" s="63"/>
      <c r="D417" s="64"/>
      <c r="E417" s="66"/>
      <c r="F417" s="103" t="str">
        <f>HYPERLINK("https://pbs.twimg.com/profile_images/1702775695364042752/rCynf1bB_normal.png")</f>
        <v>https://pbs.twimg.com/profile_images/1702775695364042752/rCynf1bB_normal.png</v>
      </c>
      <c r="G417" s="63"/>
      <c r="H417" s="67"/>
      <c r="I417" s="68"/>
      <c r="J417" s="68"/>
      <c r="K417" s="67" t="s">
        <v>14866</v>
      </c>
      <c r="L417" s="71"/>
      <c r="M417" s="72"/>
      <c r="N417" s="72"/>
      <c r="O417" s="73"/>
      <c r="P417" s="74"/>
      <c r="Q417" s="74"/>
      <c r="R417" s="87"/>
      <c r="S417" s="87"/>
      <c r="T417" s="87"/>
      <c r="U417" s="87"/>
      <c r="V417" s="48"/>
      <c r="W417" s="48"/>
      <c r="X417" s="48"/>
      <c r="Y417" s="48"/>
      <c r="Z417" s="47"/>
      <c r="AA417" s="69">
        <v>417</v>
      </c>
      <c r="AB417" s="69"/>
      <c r="AC417" s="70"/>
      <c r="AD417" s="76" t="s">
        <v>12148</v>
      </c>
      <c r="AE417" s="80" t="s">
        <v>12688</v>
      </c>
      <c r="AF417" s="76">
        <v>6433</v>
      </c>
      <c r="AG417" s="76">
        <v>266</v>
      </c>
      <c r="AH417" s="76">
        <v>43868</v>
      </c>
      <c r="AI417" s="76">
        <v>89</v>
      </c>
      <c r="AJ417" s="76">
        <v>1055</v>
      </c>
      <c r="AK417" s="76">
        <v>31944</v>
      </c>
      <c r="AL417" s="76" t="b">
        <v>0</v>
      </c>
      <c r="AM417" s="78">
        <v>40599.982893518521</v>
      </c>
      <c r="AN417" s="76" t="s">
        <v>13076</v>
      </c>
      <c r="AO417" s="76" t="s">
        <v>13603</v>
      </c>
      <c r="AP417" s="82" t="str">
        <f>HYPERLINK("https://t.co/TktGuJIxAK")</f>
        <v>https://t.co/TktGuJIxAK</v>
      </c>
      <c r="AQ417" s="82" t="str">
        <f>HYPERLINK("https://www.aztecachihuahua.com/")</f>
        <v>https://www.aztecachihuahua.com/</v>
      </c>
      <c r="AR417" s="76" t="s">
        <v>14160</v>
      </c>
      <c r="AS417" s="76"/>
      <c r="AT417" s="76"/>
      <c r="AU417" s="76"/>
      <c r="AV417" s="76"/>
      <c r="AW417" s="82" t="str">
        <f>HYPERLINK("https://t.co/TktGuJIxAK")</f>
        <v>https://t.co/TktGuJIxAK</v>
      </c>
      <c r="AX417" s="76" t="b">
        <v>0</v>
      </c>
      <c r="AY417" s="76"/>
      <c r="AZ417" s="76"/>
      <c r="BA417" s="76" t="b">
        <v>0</v>
      </c>
      <c r="BB417" s="76" t="b">
        <v>1</v>
      </c>
      <c r="BC417" s="76" t="b">
        <v>0</v>
      </c>
      <c r="BD417" s="76" t="b">
        <v>0</v>
      </c>
      <c r="BE417" s="76" t="b">
        <v>0</v>
      </c>
      <c r="BF417" s="76" t="b">
        <v>0</v>
      </c>
      <c r="BG417" s="76" t="b">
        <v>0</v>
      </c>
      <c r="BH417" s="82" t="str">
        <f>HYPERLINK("https://pbs.twimg.com/profile_banners/257684066/1693593498")</f>
        <v>https://pbs.twimg.com/profile_banners/257684066/1693593498</v>
      </c>
      <c r="BI417" s="76"/>
      <c r="BJ417" s="76" t="s">
        <v>14450</v>
      </c>
      <c r="BK417" s="76" t="b">
        <v>0</v>
      </c>
      <c r="BL417" s="76"/>
      <c r="BM417" s="76" t="s">
        <v>66</v>
      </c>
      <c r="BN417" s="76" t="s">
        <v>14452</v>
      </c>
      <c r="BO417" s="82" t="str">
        <f>HYPERLINK("https://twitter.com/aztecachihuahua")</f>
        <v>https://twitter.com/aztecachihuahua</v>
      </c>
      <c r="BP417" s="2"/>
    </row>
    <row r="418" spans="1:68" x14ac:dyDescent="0.25">
      <c r="A418" s="62" t="s">
        <v>930</v>
      </c>
      <c r="B418" s="63"/>
      <c r="C418" s="63"/>
      <c r="D418" s="64"/>
      <c r="E418" s="66"/>
      <c r="F418" s="103" t="str">
        <f>HYPERLINK("https://pbs.twimg.com/profile_images/1485748245439696907/ViUCjQWA_normal.jpg")</f>
        <v>https://pbs.twimg.com/profile_images/1485748245439696907/ViUCjQWA_normal.jpg</v>
      </c>
      <c r="G418" s="63"/>
      <c r="H418" s="67"/>
      <c r="I418" s="68"/>
      <c r="J418" s="68"/>
      <c r="K418" s="67" t="s">
        <v>14867</v>
      </c>
      <c r="L418" s="71"/>
      <c r="M418" s="72"/>
      <c r="N418" s="72"/>
      <c r="O418" s="73"/>
      <c r="P418" s="74"/>
      <c r="Q418" s="74"/>
      <c r="R418" s="87"/>
      <c r="S418" s="87"/>
      <c r="T418" s="87"/>
      <c r="U418" s="87"/>
      <c r="V418" s="48"/>
      <c r="W418" s="48"/>
      <c r="X418" s="48"/>
      <c r="Y418" s="48"/>
      <c r="Z418" s="47"/>
      <c r="AA418" s="69">
        <v>418</v>
      </c>
      <c r="AB418" s="69"/>
      <c r="AC418" s="70"/>
      <c r="AD418" s="76" t="s">
        <v>12149</v>
      </c>
      <c r="AE418" s="80" t="s">
        <v>12689</v>
      </c>
      <c r="AF418" s="76">
        <v>189</v>
      </c>
      <c r="AG418" s="76">
        <v>30</v>
      </c>
      <c r="AH418" s="76">
        <v>19</v>
      </c>
      <c r="AI418" s="76">
        <v>0</v>
      </c>
      <c r="AJ418" s="76">
        <v>8</v>
      </c>
      <c r="AK418" s="76">
        <v>1</v>
      </c>
      <c r="AL418" s="76" t="b">
        <v>0</v>
      </c>
      <c r="AM418" s="78">
        <v>44585.954768518517</v>
      </c>
      <c r="AN418" s="76"/>
      <c r="AO418" s="76" t="s">
        <v>13604</v>
      </c>
      <c r="AP418" s="76"/>
      <c r="AQ418" s="76"/>
      <c r="AR418" s="76"/>
      <c r="AS418" s="76"/>
      <c r="AT418" s="76"/>
      <c r="AU418" s="76"/>
      <c r="AV418" s="76"/>
      <c r="AW418" s="76"/>
      <c r="AX418" s="76" t="b">
        <v>0</v>
      </c>
      <c r="AY418" s="76"/>
      <c r="AZ418" s="76"/>
      <c r="BA418" s="76" t="b">
        <v>0</v>
      </c>
      <c r="BB418" s="76" t="b">
        <v>1</v>
      </c>
      <c r="BC418" s="76" t="b">
        <v>1</v>
      </c>
      <c r="BD418" s="76" t="b">
        <v>0</v>
      </c>
      <c r="BE418" s="76" t="b">
        <v>0</v>
      </c>
      <c r="BF418" s="76" t="b">
        <v>0</v>
      </c>
      <c r="BG418" s="76" t="b">
        <v>0</v>
      </c>
      <c r="BH418" s="82" t="str">
        <f>HYPERLINK("https://pbs.twimg.com/profile_banners/1485747904908300288/1643066232")</f>
        <v>https://pbs.twimg.com/profile_banners/1485747904908300288/1643066232</v>
      </c>
      <c r="BI418" s="76"/>
      <c r="BJ418" s="76" t="s">
        <v>14450</v>
      </c>
      <c r="BK418" s="76" t="b">
        <v>0</v>
      </c>
      <c r="BL418" s="76"/>
      <c r="BM418" s="76" t="s">
        <v>65</v>
      </c>
      <c r="BN418" s="76" t="s">
        <v>14452</v>
      </c>
      <c r="BO418" s="82" t="str">
        <f>HYPERLINK("https://twitter.com/solarkenia")</f>
        <v>https://twitter.com/solarkenia</v>
      </c>
      <c r="BP418" s="2"/>
    </row>
    <row r="419" spans="1:68" x14ac:dyDescent="0.25">
      <c r="A419" s="62" t="s">
        <v>573</v>
      </c>
      <c r="B419" s="63"/>
      <c r="C419" s="63"/>
      <c r="D419" s="64"/>
      <c r="E419" s="66"/>
      <c r="F419" s="103" t="str">
        <f>HYPERLINK("https://pbs.twimg.com/profile_images/1680864665692241920/md4TGAxn_normal.jpg")</f>
        <v>https://pbs.twimg.com/profile_images/1680864665692241920/md4TGAxn_normal.jpg</v>
      </c>
      <c r="G419" s="63"/>
      <c r="H419" s="67"/>
      <c r="I419" s="68"/>
      <c r="J419" s="68"/>
      <c r="K419" s="67" t="s">
        <v>14868</v>
      </c>
      <c r="L419" s="71"/>
      <c r="M419" s="72"/>
      <c r="N419" s="72"/>
      <c r="O419" s="73"/>
      <c r="P419" s="74"/>
      <c r="Q419" s="74"/>
      <c r="R419" s="87"/>
      <c r="S419" s="87"/>
      <c r="T419" s="87"/>
      <c r="U419" s="87"/>
      <c r="V419" s="48"/>
      <c r="W419" s="48"/>
      <c r="X419" s="48"/>
      <c r="Y419" s="48"/>
      <c r="Z419" s="47"/>
      <c r="AA419" s="69">
        <v>419</v>
      </c>
      <c r="AB419" s="69"/>
      <c r="AC419" s="70"/>
      <c r="AD419" s="76" t="s">
        <v>12150</v>
      </c>
      <c r="AE419" s="80" t="s">
        <v>11579</v>
      </c>
      <c r="AF419" s="76">
        <v>1</v>
      </c>
      <c r="AG419" s="76">
        <v>19</v>
      </c>
      <c r="AH419" s="76">
        <v>6</v>
      </c>
      <c r="AI419" s="76">
        <v>0</v>
      </c>
      <c r="AJ419" s="76">
        <v>1</v>
      </c>
      <c r="AK419" s="76">
        <v>2</v>
      </c>
      <c r="AL419" s="76" t="b">
        <v>0</v>
      </c>
      <c r="AM419" s="78">
        <v>44978.892395833333</v>
      </c>
      <c r="AN419" s="76" t="s">
        <v>13077</v>
      </c>
      <c r="AO419" s="76" t="s">
        <v>13605</v>
      </c>
      <c r="AP419" s="82" t="str">
        <f>HYPERLINK("https://t.co/kuHh6ggmzw")</f>
        <v>https://t.co/kuHh6ggmzw</v>
      </c>
      <c r="AQ419" s="82" t="str">
        <f>HYPERLINK("https://webmor.com.br")</f>
        <v>https://webmor.com.br</v>
      </c>
      <c r="AR419" s="76" t="s">
        <v>14161</v>
      </c>
      <c r="AS419" s="82" t="str">
        <f>HYPERLINK("https://t.co/wWb2h0WPMY")</f>
        <v>https://t.co/wWb2h0WPMY</v>
      </c>
      <c r="AT419" s="82" t="str">
        <f>HYPERLINK("http://webmor.com.br")</f>
        <v>http://webmor.com.br</v>
      </c>
      <c r="AU419" s="76" t="s">
        <v>14161</v>
      </c>
      <c r="AV419" s="76"/>
      <c r="AW419" s="82" t="str">
        <f>HYPERLINK("https://t.co/kuHh6ggmzw")</f>
        <v>https://t.co/kuHh6ggmzw</v>
      </c>
      <c r="AX419" s="76" t="b">
        <v>0</v>
      </c>
      <c r="AY419" s="76"/>
      <c r="AZ419" s="76"/>
      <c r="BA419" s="76" t="b">
        <v>0</v>
      </c>
      <c r="BB419" s="76" t="b">
        <v>1</v>
      </c>
      <c r="BC419" s="76" t="b">
        <v>1</v>
      </c>
      <c r="BD419" s="76" t="b">
        <v>0</v>
      </c>
      <c r="BE419" s="76" t="b">
        <v>0</v>
      </c>
      <c r="BF419" s="76" t="b">
        <v>0</v>
      </c>
      <c r="BG419" s="76" t="b">
        <v>0</v>
      </c>
      <c r="BH419" s="82" t="str">
        <f>HYPERLINK("https://pbs.twimg.com/profile_banners/1628143743852244992/1689584341")</f>
        <v>https://pbs.twimg.com/profile_banners/1628143743852244992/1689584341</v>
      </c>
      <c r="BI419" s="76"/>
      <c r="BJ419" s="76" t="s">
        <v>14450</v>
      </c>
      <c r="BK419" s="76" t="b">
        <v>0</v>
      </c>
      <c r="BL419" s="76"/>
      <c r="BM419" s="76" t="s">
        <v>66</v>
      </c>
      <c r="BN419" s="76" t="s">
        <v>14452</v>
      </c>
      <c r="BO419" s="82" t="str">
        <f>HYPERLINK("https://twitter.com/awebmor")</f>
        <v>https://twitter.com/awebmor</v>
      </c>
      <c r="BP419" s="2"/>
    </row>
    <row r="420" spans="1:68" x14ac:dyDescent="0.25">
      <c r="A420" s="62" t="s">
        <v>574</v>
      </c>
      <c r="B420" s="63"/>
      <c r="C420" s="63"/>
      <c r="D420" s="64"/>
      <c r="E420" s="66"/>
      <c r="F420" s="103" t="str">
        <f>HYPERLINK("https://pbs.twimg.com/profile_images/1207579136652447744/lM0Cr2iO_normal.jpg")</f>
        <v>https://pbs.twimg.com/profile_images/1207579136652447744/lM0Cr2iO_normal.jpg</v>
      </c>
      <c r="G420" s="63"/>
      <c r="H420" s="67"/>
      <c r="I420" s="68"/>
      <c r="J420" s="68"/>
      <c r="K420" s="67" t="s">
        <v>14869</v>
      </c>
      <c r="L420" s="71"/>
      <c r="M420" s="72"/>
      <c r="N420" s="72"/>
      <c r="O420" s="73"/>
      <c r="P420" s="74"/>
      <c r="Q420" s="74"/>
      <c r="R420" s="87"/>
      <c r="S420" s="87"/>
      <c r="T420" s="87"/>
      <c r="U420" s="87"/>
      <c r="V420" s="48"/>
      <c r="W420" s="48"/>
      <c r="X420" s="48"/>
      <c r="Y420" s="48"/>
      <c r="Z420" s="47"/>
      <c r="AA420" s="69">
        <v>420</v>
      </c>
      <c r="AB420" s="69"/>
      <c r="AC420" s="70"/>
      <c r="AD420" s="76" t="s">
        <v>12151</v>
      </c>
      <c r="AE420" s="80" t="s">
        <v>11580</v>
      </c>
      <c r="AF420" s="76">
        <v>15</v>
      </c>
      <c r="AG420" s="76">
        <v>263</v>
      </c>
      <c r="AH420" s="76">
        <v>1300</v>
      </c>
      <c r="AI420" s="76">
        <v>0</v>
      </c>
      <c r="AJ420" s="76">
        <v>25</v>
      </c>
      <c r="AK420" s="76">
        <v>63</v>
      </c>
      <c r="AL420" s="76" t="b">
        <v>0</v>
      </c>
      <c r="AM420" s="78">
        <v>43795.987835648149</v>
      </c>
      <c r="AN420" s="76" t="s">
        <v>13027</v>
      </c>
      <c r="AO420" s="76" t="s">
        <v>13606</v>
      </c>
      <c r="AP420" s="82" t="str">
        <f>HYPERLINK("https://t.co/n1Hg3pKTew")</f>
        <v>https://t.co/n1Hg3pKTew</v>
      </c>
      <c r="AQ420" s="82" t="str">
        <f>HYPERLINK("http://www.mysteryproject.es")</f>
        <v>http://www.mysteryproject.es</v>
      </c>
      <c r="AR420" s="76" t="s">
        <v>14162</v>
      </c>
      <c r="AS420" s="76"/>
      <c r="AT420" s="76"/>
      <c r="AU420" s="76"/>
      <c r="AV420" s="76"/>
      <c r="AW420" s="82" t="str">
        <f>HYPERLINK("https://t.co/n1Hg3pKTew")</f>
        <v>https://t.co/n1Hg3pKTew</v>
      </c>
      <c r="AX420" s="76" t="b">
        <v>0</v>
      </c>
      <c r="AY420" s="76"/>
      <c r="AZ420" s="76"/>
      <c r="BA420" s="76" t="b">
        <v>0</v>
      </c>
      <c r="BB420" s="76" t="b">
        <v>1</v>
      </c>
      <c r="BC420" s="76" t="b">
        <v>1</v>
      </c>
      <c r="BD420" s="76" t="b">
        <v>0</v>
      </c>
      <c r="BE420" s="76" t="b">
        <v>1</v>
      </c>
      <c r="BF420" s="76" t="b">
        <v>0</v>
      </c>
      <c r="BG420" s="76" t="b">
        <v>0</v>
      </c>
      <c r="BH420" s="82" t="str">
        <f>HYPERLINK("https://pbs.twimg.com/profile_banners/1199473480124817415/1574811962")</f>
        <v>https://pbs.twimg.com/profile_banners/1199473480124817415/1574811962</v>
      </c>
      <c r="BI420" s="76"/>
      <c r="BJ420" s="76" t="s">
        <v>14450</v>
      </c>
      <c r="BK420" s="76" t="b">
        <v>0</v>
      </c>
      <c r="BL420" s="76"/>
      <c r="BM420" s="76" t="s">
        <v>66</v>
      </c>
      <c r="BN420" s="76" t="s">
        <v>14452</v>
      </c>
      <c r="BO420" s="82" t="str">
        <f>HYPERLINK("https://twitter.com/mysteryproject2")</f>
        <v>https://twitter.com/mysteryproject2</v>
      </c>
      <c r="BP420" s="2"/>
    </row>
    <row r="421" spans="1:68" x14ac:dyDescent="0.25">
      <c r="A421" s="62" t="s">
        <v>575</v>
      </c>
      <c r="B421" s="63"/>
      <c r="C421" s="63"/>
      <c r="D421" s="64"/>
      <c r="E421" s="66"/>
      <c r="F421" s="103" t="str">
        <f>HYPERLINK("https://pbs.twimg.com/profile_images/883205082514411520/BrudGHPQ_normal.jpg")</f>
        <v>https://pbs.twimg.com/profile_images/883205082514411520/BrudGHPQ_normal.jpg</v>
      </c>
      <c r="G421" s="63"/>
      <c r="H421" s="67"/>
      <c r="I421" s="68"/>
      <c r="J421" s="68"/>
      <c r="K421" s="67" t="s">
        <v>14870</v>
      </c>
      <c r="L421" s="71"/>
      <c r="M421" s="72"/>
      <c r="N421" s="72"/>
      <c r="O421" s="73"/>
      <c r="P421" s="74"/>
      <c r="Q421" s="74"/>
      <c r="R421" s="87"/>
      <c r="S421" s="87"/>
      <c r="T421" s="87"/>
      <c r="U421" s="87"/>
      <c r="V421" s="48"/>
      <c r="W421" s="48"/>
      <c r="X421" s="48"/>
      <c r="Y421" s="48"/>
      <c r="Z421" s="47"/>
      <c r="AA421" s="69">
        <v>421</v>
      </c>
      <c r="AB421" s="69"/>
      <c r="AC421" s="70"/>
      <c r="AD421" s="76" t="s">
        <v>12152</v>
      </c>
      <c r="AE421" s="80" t="s">
        <v>11581</v>
      </c>
      <c r="AF421" s="76">
        <v>4045</v>
      </c>
      <c r="AG421" s="76">
        <v>4543</v>
      </c>
      <c r="AH421" s="76">
        <v>130388</v>
      </c>
      <c r="AI421" s="76">
        <v>12</v>
      </c>
      <c r="AJ421" s="76">
        <v>2558</v>
      </c>
      <c r="AK421" s="76">
        <v>121119</v>
      </c>
      <c r="AL421" s="76" t="b">
        <v>0</v>
      </c>
      <c r="AM421" s="78">
        <v>42715.688125000001</v>
      </c>
      <c r="AN421" s="76"/>
      <c r="AO421" s="76" t="s">
        <v>13607</v>
      </c>
      <c r="AP421" s="76"/>
      <c r="AQ421" s="76"/>
      <c r="AR421" s="76"/>
      <c r="AS421" s="76"/>
      <c r="AT421" s="76"/>
      <c r="AU421" s="76"/>
      <c r="AV421" s="76"/>
      <c r="AW421" s="76"/>
      <c r="AX421" s="76" t="b">
        <v>0</v>
      </c>
      <c r="AY421" s="76"/>
      <c r="AZ421" s="76"/>
      <c r="BA421" s="76" t="b">
        <v>0</v>
      </c>
      <c r="BB421" s="76" t="b">
        <v>1</v>
      </c>
      <c r="BC421" s="76" t="b">
        <v>1</v>
      </c>
      <c r="BD421" s="76" t="b">
        <v>0</v>
      </c>
      <c r="BE421" s="76" t="b">
        <v>0</v>
      </c>
      <c r="BF421" s="76" t="b">
        <v>0</v>
      </c>
      <c r="BG421" s="76" t="b">
        <v>0</v>
      </c>
      <c r="BH421" s="82" t="str">
        <f>HYPERLINK("https://pbs.twimg.com/profile_banners/807986023624015872/1603621654")</f>
        <v>https://pbs.twimg.com/profile_banners/807986023624015872/1603621654</v>
      </c>
      <c r="BI421" s="76"/>
      <c r="BJ421" s="76" t="s">
        <v>14450</v>
      </c>
      <c r="BK421" s="76" t="b">
        <v>0</v>
      </c>
      <c r="BL421" s="76"/>
      <c r="BM421" s="76" t="s">
        <v>66</v>
      </c>
      <c r="BN421" s="76" t="s">
        <v>14452</v>
      </c>
      <c r="BO421" s="82" t="str">
        <f>HYPERLINK("https://twitter.com/ofertapremium")</f>
        <v>https://twitter.com/ofertapremium</v>
      </c>
      <c r="BP421" s="2"/>
    </row>
    <row r="422" spans="1:68" x14ac:dyDescent="0.25">
      <c r="A422" s="62" t="s">
        <v>576</v>
      </c>
      <c r="B422" s="63"/>
      <c r="C422" s="63"/>
      <c r="D422" s="64"/>
      <c r="E422" s="66"/>
      <c r="F422" s="103" t="str">
        <f>HYPERLINK("https://pbs.twimg.com/profile_images/1591484415313690624/d__T3r46_normal.jpg")</f>
        <v>https://pbs.twimg.com/profile_images/1591484415313690624/d__T3r46_normal.jpg</v>
      </c>
      <c r="G422" s="63"/>
      <c r="H422" s="67"/>
      <c r="I422" s="68"/>
      <c r="J422" s="68"/>
      <c r="K422" s="67" t="s">
        <v>14871</v>
      </c>
      <c r="L422" s="71"/>
      <c r="M422" s="72"/>
      <c r="N422" s="72"/>
      <c r="O422" s="73"/>
      <c r="P422" s="74"/>
      <c r="Q422" s="74"/>
      <c r="R422" s="87"/>
      <c r="S422" s="87"/>
      <c r="T422" s="87"/>
      <c r="U422" s="87"/>
      <c r="V422" s="48"/>
      <c r="W422" s="48"/>
      <c r="X422" s="48"/>
      <c r="Y422" s="48"/>
      <c r="Z422" s="47"/>
      <c r="AA422" s="69">
        <v>422</v>
      </c>
      <c r="AB422" s="69"/>
      <c r="AC422" s="70"/>
      <c r="AD422" s="76" t="s">
        <v>12153</v>
      </c>
      <c r="AE422" s="80" t="s">
        <v>12690</v>
      </c>
      <c r="AF422" s="76">
        <v>679456</v>
      </c>
      <c r="AG422" s="76">
        <v>54</v>
      </c>
      <c r="AH422" s="76">
        <v>138296</v>
      </c>
      <c r="AI422" s="76">
        <v>721</v>
      </c>
      <c r="AJ422" s="76">
        <v>1352</v>
      </c>
      <c r="AK422" s="76">
        <v>10540</v>
      </c>
      <c r="AL422" s="76" t="b">
        <v>0</v>
      </c>
      <c r="AM422" s="78">
        <v>40738.971053240741</v>
      </c>
      <c r="AN422" s="76" t="s">
        <v>12902</v>
      </c>
      <c r="AO422" s="76" t="s">
        <v>13608</v>
      </c>
      <c r="AP422" s="82" t="str">
        <f>HYPERLINK("https://t.co/3s4Hxru4fV")</f>
        <v>https://t.co/3s4Hxru4fV</v>
      </c>
      <c r="AQ422" s="82" t="str">
        <f>HYPERLINK("http://www.chapintv.com")</f>
        <v>http://www.chapintv.com</v>
      </c>
      <c r="AR422" s="76" t="s">
        <v>14163</v>
      </c>
      <c r="AS422" s="76"/>
      <c r="AT422" s="76"/>
      <c r="AU422" s="76"/>
      <c r="AV422" s="76"/>
      <c r="AW422" s="82" t="str">
        <f>HYPERLINK("https://t.co/3s4Hxru4fV")</f>
        <v>https://t.co/3s4Hxru4fV</v>
      </c>
      <c r="AX422" s="76" t="b">
        <v>0</v>
      </c>
      <c r="AY422" s="76"/>
      <c r="AZ422" s="76"/>
      <c r="BA422" s="76" t="b">
        <v>0</v>
      </c>
      <c r="BB422" s="76" t="b">
        <v>1</v>
      </c>
      <c r="BC422" s="76" t="b">
        <v>0</v>
      </c>
      <c r="BD422" s="76" t="b">
        <v>0</v>
      </c>
      <c r="BE422" s="76" t="b">
        <v>1</v>
      </c>
      <c r="BF422" s="76" t="b">
        <v>0</v>
      </c>
      <c r="BG422" s="76" t="b">
        <v>0</v>
      </c>
      <c r="BH422" s="82" t="str">
        <f>HYPERLINK("https://pbs.twimg.com/profile_banners/335604919/1489696743")</f>
        <v>https://pbs.twimg.com/profile_banners/335604919/1489696743</v>
      </c>
      <c r="BI422" s="76"/>
      <c r="BJ422" s="76" t="s">
        <v>14451</v>
      </c>
      <c r="BK422" s="76" t="b">
        <v>0</v>
      </c>
      <c r="BL422" s="76"/>
      <c r="BM422" s="76" t="s">
        <v>66</v>
      </c>
      <c r="BN422" s="76" t="s">
        <v>14452</v>
      </c>
      <c r="BO422" s="82" t="str">
        <f>HYPERLINK("https://twitter.com/canales3y7")</f>
        <v>https://twitter.com/canales3y7</v>
      </c>
      <c r="BP422" s="2"/>
    </row>
    <row r="423" spans="1:68" x14ac:dyDescent="0.25">
      <c r="A423" s="62" t="s">
        <v>577</v>
      </c>
      <c r="B423" s="63"/>
      <c r="C423" s="63"/>
      <c r="D423" s="64"/>
      <c r="E423" s="66"/>
      <c r="F423" s="103" t="str">
        <f>HYPERLINK("https://pbs.twimg.com/profile_images/1615703641360404487/TaM-8hqG_normal.jpg")</f>
        <v>https://pbs.twimg.com/profile_images/1615703641360404487/TaM-8hqG_normal.jpg</v>
      </c>
      <c r="G423" s="63"/>
      <c r="H423" s="67"/>
      <c r="I423" s="68"/>
      <c r="J423" s="68"/>
      <c r="K423" s="67" t="s">
        <v>14872</v>
      </c>
      <c r="L423" s="71"/>
      <c r="M423" s="72"/>
      <c r="N423" s="72"/>
      <c r="O423" s="73"/>
      <c r="P423" s="74"/>
      <c r="Q423" s="74"/>
      <c r="R423" s="87"/>
      <c r="S423" s="87"/>
      <c r="T423" s="87"/>
      <c r="U423" s="87"/>
      <c r="V423" s="48"/>
      <c r="W423" s="48"/>
      <c r="X423" s="48"/>
      <c r="Y423" s="48"/>
      <c r="Z423" s="47"/>
      <c r="AA423" s="69">
        <v>423</v>
      </c>
      <c r="AB423" s="69"/>
      <c r="AC423" s="70"/>
      <c r="AD423" s="76" t="s">
        <v>12154</v>
      </c>
      <c r="AE423" s="80" t="s">
        <v>11582</v>
      </c>
      <c r="AF423" s="76">
        <v>1</v>
      </c>
      <c r="AG423" s="76">
        <v>45</v>
      </c>
      <c r="AH423" s="76">
        <v>3</v>
      </c>
      <c r="AI423" s="76">
        <v>0</v>
      </c>
      <c r="AJ423" s="76">
        <v>0</v>
      </c>
      <c r="AK423" s="76">
        <v>0</v>
      </c>
      <c r="AL423" s="76" t="b">
        <v>0</v>
      </c>
      <c r="AM423" s="78">
        <v>44944.563506944447</v>
      </c>
      <c r="AN423" s="76"/>
      <c r="AO423" s="76" t="s">
        <v>13609</v>
      </c>
      <c r="AP423" s="82" t="str">
        <f>HYPERLINK("https://t.co/YVGyJNvrVl")</f>
        <v>https://t.co/YVGyJNvrVl</v>
      </c>
      <c r="AQ423" s="82" t="str">
        <f>HYPERLINK("https://palestranteandresilva.com.br/bio/")</f>
        <v>https://palestranteandresilva.com.br/bio/</v>
      </c>
      <c r="AR423" s="76" t="s">
        <v>14164</v>
      </c>
      <c r="AS423" s="76"/>
      <c r="AT423" s="76"/>
      <c r="AU423" s="76"/>
      <c r="AV423" s="76"/>
      <c r="AW423" s="82" t="str">
        <f>HYPERLINK("https://t.co/YVGyJNvrVl")</f>
        <v>https://t.co/YVGyJNvrVl</v>
      </c>
      <c r="AX423" s="76" t="b">
        <v>0</v>
      </c>
      <c r="AY423" s="76"/>
      <c r="AZ423" s="76"/>
      <c r="BA423" s="76" t="b">
        <v>0</v>
      </c>
      <c r="BB423" s="76" t="b">
        <v>1</v>
      </c>
      <c r="BC423" s="76" t="b">
        <v>1</v>
      </c>
      <c r="BD423" s="76" t="b">
        <v>0</v>
      </c>
      <c r="BE423" s="76" t="b">
        <v>0</v>
      </c>
      <c r="BF423" s="76" t="b">
        <v>0</v>
      </c>
      <c r="BG423" s="76" t="b">
        <v>0</v>
      </c>
      <c r="BH423" s="82" t="str">
        <f>HYPERLINK("https://pbs.twimg.com/profile_banners/1615703323381743625/1674049274")</f>
        <v>https://pbs.twimg.com/profile_banners/1615703323381743625/1674049274</v>
      </c>
      <c r="BI423" s="76"/>
      <c r="BJ423" s="76" t="s">
        <v>14450</v>
      </c>
      <c r="BK423" s="76" t="b">
        <v>0</v>
      </c>
      <c r="BL423" s="76"/>
      <c r="BM423" s="76" t="s">
        <v>66</v>
      </c>
      <c r="BN423" s="76" t="s">
        <v>14452</v>
      </c>
      <c r="BO423" s="82" t="str">
        <f>HYPERLINK("https://twitter.com/andresilva1206")</f>
        <v>https://twitter.com/andresilva1206</v>
      </c>
      <c r="BP423" s="2"/>
    </row>
    <row r="424" spans="1:68" x14ac:dyDescent="0.25">
      <c r="A424" s="62" t="s">
        <v>578</v>
      </c>
      <c r="B424" s="63"/>
      <c r="C424" s="63"/>
      <c r="D424" s="64"/>
      <c r="E424" s="66"/>
      <c r="F424" s="103" t="str">
        <f>HYPERLINK("https://pbs.twimg.com/profile_images/1268857367485186048/GXD5vpjw_normal.jpg")</f>
        <v>https://pbs.twimg.com/profile_images/1268857367485186048/GXD5vpjw_normal.jpg</v>
      </c>
      <c r="G424" s="63"/>
      <c r="H424" s="67"/>
      <c r="I424" s="68"/>
      <c r="J424" s="68"/>
      <c r="K424" s="67" t="s">
        <v>14873</v>
      </c>
      <c r="L424" s="71"/>
      <c r="M424" s="72"/>
      <c r="N424" s="72"/>
      <c r="O424" s="73"/>
      <c r="P424" s="74"/>
      <c r="Q424" s="74"/>
      <c r="R424" s="87"/>
      <c r="S424" s="87"/>
      <c r="T424" s="87"/>
      <c r="U424" s="87"/>
      <c r="V424" s="48"/>
      <c r="W424" s="48"/>
      <c r="X424" s="48"/>
      <c r="Y424" s="48"/>
      <c r="Z424" s="47"/>
      <c r="AA424" s="69">
        <v>424</v>
      </c>
      <c r="AB424" s="69"/>
      <c r="AC424" s="70"/>
      <c r="AD424" s="76" t="s">
        <v>12155</v>
      </c>
      <c r="AE424" s="80" t="s">
        <v>12691</v>
      </c>
      <c r="AF424" s="76">
        <v>4905</v>
      </c>
      <c r="AG424" s="76">
        <v>481</v>
      </c>
      <c r="AH424" s="76">
        <v>10809</v>
      </c>
      <c r="AI424" s="76">
        <v>124</v>
      </c>
      <c r="AJ424" s="76">
        <v>4547</v>
      </c>
      <c r="AK424" s="76">
        <v>2775</v>
      </c>
      <c r="AL424" s="76" t="b">
        <v>0</v>
      </c>
      <c r="AM424" s="78">
        <v>40952.594004629631</v>
      </c>
      <c r="AN424" s="76" t="s">
        <v>13078</v>
      </c>
      <c r="AO424" s="76" t="s">
        <v>13610</v>
      </c>
      <c r="AP424" s="82" t="str">
        <f>HYPERLINK("http://t.co/SfhjaPj86P")</f>
        <v>http://t.co/SfhjaPj86P</v>
      </c>
      <c r="AQ424" s="82" t="str">
        <f>HYPERLINK("http://www.empleo.navarra.es")</f>
        <v>http://www.empleo.navarra.es</v>
      </c>
      <c r="AR424" s="76" t="s">
        <v>14165</v>
      </c>
      <c r="AS424" s="82" t="str">
        <f>HYPERLINK("https://t.co/HCWqEdmmlB")</f>
        <v>https://t.co/HCWqEdmmlB</v>
      </c>
      <c r="AT424" s="82" t="str">
        <f>HYPERLINK("http://bit.ly/DirecNA")</f>
        <v>http://bit.ly/DirecNA</v>
      </c>
      <c r="AU424" s="76" t="s">
        <v>14427</v>
      </c>
      <c r="AV424" s="76"/>
      <c r="AW424" s="82" t="str">
        <f>HYPERLINK("http://t.co/SfhjaPj86P")</f>
        <v>http://t.co/SfhjaPj86P</v>
      </c>
      <c r="AX424" s="76" t="b">
        <v>0</v>
      </c>
      <c r="AY424" s="76"/>
      <c r="AZ424" s="76"/>
      <c r="BA424" s="76" t="b">
        <v>1</v>
      </c>
      <c r="BB424" s="76" t="b">
        <v>0</v>
      </c>
      <c r="BC424" s="76" t="b">
        <v>1</v>
      </c>
      <c r="BD424" s="76" t="b">
        <v>0</v>
      </c>
      <c r="BE424" s="76" t="b">
        <v>0</v>
      </c>
      <c r="BF424" s="76" t="b">
        <v>0</v>
      </c>
      <c r="BG424" s="76" t="b">
        <v>0</v>
      </c>
      <c r="BH424" s="82" t="str">
        <f>HYPERLINK("https://pbs.twimg.com/profile_banners/491321457/1591354146")</f>
        <v>https://pbs.twimg.com/profile_banners/491321457/1591354146</v>
      </c>
      <c r="BI424" s="76"/>
      <c r="BJ424" s="76" t="s">
        <v>14450</v>
      </c>
      <c r="BK424" s="76" t="b">
        <v>0</v>
      </c>
      <c r="BL424" s="76"/>
      <c r="BM424" s="76" t="s">
        <v>66</v>
      </c>
      <c r="BN424" s="76" t="s">
        <v>14452</v>
      </c>
      <c r="BO424" s="82" t="str">
        <f>HYPERLINK("https://twitter.com/empleo_na")</f>
        <v>https://twitter.com/empleo_na</v>
      </c>
      <c r="BP424" s="2"/>
    </row>
    <row r="425" spans="1:68" x14ac:dyDescent="0.25">
      <c r="A425" s="62" t="s">
        <v>579</v>
      </c>
      <c r="B425" s="63"/>
      <c r="C425" s="63"/>
      <c r="D425" s="64"/>
      <c r="E425" s="66"/>
      <c r="F425" s="103" t="str">
        <f>HYPERLINK("https://pbs.twimg.com/profile_images/1588181968277102593/4a4HeBr0_normal.jpg")</f>
        <v>https://pbs.twimg.com/profile_images/1588181968277102593/4a4HeBr0_normal.jpg</v>
      </c>
      <c r="G425" s="63"/>
      <c r="H425" s="67"/>
      <c r="I425" s="68"/>
      <c r="J425" s="68"/>
      <c r="K425" s="67" t="s">
        <v>14874</v>
      </c>
      <c r="L425" s="71"/>
      <c r="M425" s="72"/>
      <c r="N425" s="72"/>
      <c r="O425" s="73"/>
      <c r="P425" s="74"/>
      <c r="Q425" s="74"/>
      <c r="R425" s="87"/>
      <c r="S425" s="87"/>
      <c r="T425" s="87"/>
      <c r="U425" s="87"/>
      <c r="V425" s="48"/>
      <c r="W425" s="48"/>
      <c r="X425" s="48"/>
      <c r="Y425" s="48"/>
      <c r="Z425" s="47"/>
      <c r="AA425" s="69">
        <v>425</v>
      </c>
      <c r="AB425" s="69"/>
      <c r="AC425" s="70"/>
      <c r="AD425" s="76" t="s">
        <v>12156</v>
      </c>
      <c r="AE425" s="80" t="s">
        <v>12692</v>
      </c>
      <c r="AF425" s="76">
        <v>400</v>
      </c>
      <c r="AG425" s="76">
        <v>997</v>
      </c>
      <c r="AH425" s="76">
        <v>3166</v>
      </c>
      <c r="AI425" s="76">
        <v>0</v>
      </c>
      <c r="AJ425" s="76">
        <v>101</v>
      </c>
      <c r="AK425" s="76">
        <v>647</v>
      </c>
      <c r="AL425" s="76" t="b">
        <v>0</v>
      </c>
      <c r="AM425" s="78">
        <v>41715.695069444446</v>
      </c>
      <c r="AN425" s="76"/>
      <c r="AO425" s="76" t="s">
        <v>13611</v>
      </c>
      <c r="AP425" s="82" t="str">
        <f>HYPERLINK("https://t.co/69hR0Da49u")</f>
        <v>https://t.co/69hR0Da49u</v>
      </c>
      <c r="AQ425" s="82" t="str">
        <f>HYPERLINK("https://www.erlan.mx/")</f>
        <v>https://www.erlan.mx/</v>
      </c>
      <c r="AR425" s="76" t="s">
        <v>14166</v>
      </c>
      <c r="AS425" s="76"/>
      <c r="AT425" s="76"/>
      <c r="AU425" s="76"/>
      <c r="AV425" s="76">
        <v>1.69989065101667E+18</v>
      </c>
      <c r="AW425" s="82" t="str">
        <f>HYPERLINK("https://t.co/69hR0Da49u")</f>
        <v>https://t.co/69hR0Da49u</v>
      </c>
      <c r="AX425" s="76" t="b">
        <v>0</v>
      </c>
      <c r="AY425" s="76"/>
      <c r="AZ425" s="76"/>
      <c r="BA425" s="76" t="b">
        <v>0</v>
      </c>
      <c r="BB425" s="76" t="b">
        <v>1</v>
      </c>
      <c r="BC425" s="76" t="b">
        <v>0</v>
      </c>
      <c r="BD425" s="76" t="b">
        <v>0</v>
      </c>
      <c r="BE425" s="76" t="b">
        <v>1</v>
      </c>
      <c r="BF425" s="76" t="b">
        <v>0</v>
      </c>
      <c r="BG425" s="76" t="b">
        <v>0</v>
      </c>
      <c r="BH425" s="82" t="str">
        <f>HYPERLINK("https://pbs.twimg.com/profile_banners/2394731286/1667487063")</f>
        <v>https://pbs.twimg.com/profile_banners/2394731286/1667487063</v>
      </c>
      <c r="BI425" s="76"/>
      <c r="BJ425" s="76" t="s">
        <v>14450</v>
      </c>
      <c r="BK425" s="76" t="b">
        <v>0</v>
      </c>
      <c r="BL425" s="76"/>
      <c r="BM425" s="76" t="s">
        <v>66</v>
      </c>
      <c r="BN425" s="76" t="s">
        <v>14452</v>
      </c>
      <c r="BO425" s="82" t="str">
        <f>HYPERLINK("https://twitter.com/erlan_dgm")</f>
        <v>https://twitter.com/erlan_dgm</v>
      </c>
      <c r="BP425" s="2"/>
    </row>
    <row r="426" spans="1:68" x14ac:dyDescent="0.25">
      <c r="A426" s="62" t="s">
        <v>580</v>
      </c>
      <c r="B426" s="63"/>
      <c r="C426" s="63"/>
      <c r="D426" s="64"/>
      <c r="E426" s="66"/>
      <c r="F426" s="103" t="str">
        <f>HYPERLINK("https://pbs.twimg.com/profile_images/1625499837218312193/SyJZPc9w_normal.jpg")</f>
        <v>https://pbs.twimg.com/profile_images/1625499837218312193/SyJZPc9w_normal.jpg</v>
      </c>
      <c r="G426" s="63"/>
      <c r="H426" s="67"/>
      <c r="I426" s="68"/>
      <c r="J426" s="68"/>
      <c r="K426" s="67" t="s">
        <v>14875</v>
      </c>
      <c r="L426" s="71"/>
      <c r="M426" s="72"/>
      <c r="N426" s="72"/>
      <c r="O426" s="73"/>
      <c r="P426" s="74"/>
      <c r="Q426" s="74"/>
      <c r="R426" s="87"/>
      <c r="S426" s="87"/>
      <c r="T426" s="87"/>
      <c r="U426" s="87"/>
      <c r="V426" s="48"/>
      <c r="W426" s="48"/>
      <c r="X426" s="48"/>
      <c r="Y426" s="48"/>
      <c r="Z426" s="47"/>
      <c r="AA426" s="69">
        <v>426</v>
      </c>
      <c r="AB426" s="69"/>
      <c r="AC426" s="70"/>
      <c r="AD426" s="76" t="s">
        <v>12157</v>
      </c>
      <c r="AE426" s="80" t="s">
        <v>11583</v>
      </c>
      <c r="AF426" s="76">
        <v>8</v>
      </c>
      <c r="AG426" s="76">
        <v>59</v>
      </c>
      <c r="AH426" s="76">
        <v>202</v>
      </c>
      <c r="AI426" s="76">
        <v>0</v>
      </c>
      <c r="AJ426" s="76">
        <v>2</v>
      </c>
      <c r="AK426" s="76">
        <v>201</v>
      </c>
      <c r="AL426" s="76" t="b">
        <v>0</v>
      </c>
      <c r="AM426" s="78">
        <v>44777.570138888892</v>
      </c>
      <c r="AN426" s="76"/>
      <c r="AO426" s="76" t="s">
        <v>13612</v>
      </c>
      <c r="AP426" s="82" t="str">
        <f>HYPERLINK("https://t.co/Tj3LUaRa6Q")</f>
        <v>https://t.co/Tj3LUaRa6Q</v>
      </c>
      <c r="AQ426" s="82" t="str">
        <f>HYPERLINK("https://linktr.ee/meu_crediario")</f>
        <v>https://linktr.ee/meu_crediario</v>
      </c>
      <c r="AR426" s="76" t="s">
        <v>14167</v>
      </c>
      <c r="AS426" s="76"/>
      <c r="AT426" s="76"/>
      <c r="AU426" s="76"/>
      <c r="AV426" s="76">
        <v>1.636084933256E+18</v>
      </c>
      <c r="AW426" s="82" t="str">
        <f>HYPERLINK("https://t.co/Tj3LUaRa6Q")</f>
        <v>https://t.co/Tj3LUaRa6Q</v>
      </c>
      <c r="AX426" s="76" t="b">
        <v>0</v>
      </c>
      <c r="AY426" s="76"/>
      <c r="AZ426" s="76"/>
      <c r="BA426" s="76" t="b">
        <v>0</v>
      </c>
      <c r="BB426" s="76" t="b">
        <v>1</v>
      </c>
      <c r="BC426" s="76" t="b">
        <v>1</v>
      </c>
      <c r="BD426" s="76" t="b">
        <v>0</v>
      </c>
      <c r="BE426" s="76" t="b">
        <v>0</v>
      </c>
      <c r="BF426" s="76" t="b">
        <v>0</v>
      </c>
      <c r="BG426" s="76" t="b">
        <v>0</v>
      </c>
      <c r="BH426" s="82" t="str">
        <f>HYPERLINK("https://pbs.twimg.com/profile_banners/1555186984057970689/1679398638")</f>
        <v>https://pbs.twimg.com/profile_banners/1555186984057970689/1679398638</v>
      </c>
      <c r="BI426" s="76"/>
      <c r="BJ426" s="76" t="s">
        <v>14450</v>
      </c>
      <c r="BK426" s="76" t="b">
        <v>0</v>
      </c>
      <c r="BL426" s="76"/>
      <c r="BM426" s="76" t="s">
        <v>66</v>
      </c>
      <c r="BN426" s="76" t="s">
        <v>14452</v>
      </c>
      <c r="BO426" s="82" t="str">
        <f>HYPERLINK("https://twitter.com/meucrediario")</f>
        <v>https://twitter.com/meucrediario</v>
      </c>
      <c r="BP426" s="2"/>
    </row>
    <row r="427" spans="1:68" x14ac:dyDescent="0.25">
      <c r="A427" s="62" t="s">
        <v>581</v>
      </c>
      <c r="B427" s="63"/>
      <c r="C427" s="63"/>
      <c r="D427" s="64"/>
      <c r="E427" s="66"/>
      <c r="F427" s="103" t="str">
        <f>HYPERLINK("https://pbs.twimg.com/profile_images/1543952802455719937/fevrhC1c_normal.jpg")</f>
        <v>https://pbs.twimg.com/profile_images/1543952802455719937/fevrhC1c_normal.jpg</v>
      </c>
      <c r="G427" s="63"/>
      <c r="H427" s="67"/>
      <c r="I427" s="68"/>
      <c r="J427" s="68"/>
      <c r="K427" s="67" t="s">
        <v>14876</v>
      </c>
      <c r="L427" s="71"/>
      <c r="M427" s="72"/>
      <c r="N427" s="72"/>
      <c r="O427" s="73"/>
      <c r="P427" s="74"/>
      <c r="Q427" s="74"/>
      <c r="R427" s="87"/>
      <c r="S427" s="87"/>
      <c r="T427" s="87"/>
      <c r="U427" s="87"/>
      <c r="V427" s="48"/>
      <c r="W427" s="48"/>
      <c r="X427" s="48"/>
      <c r="Y427" s="48"/>
      <c r="Z427" s="47"/>
      <c r="AA427" s="69">
        <v>427</v>
      </c>
      <c r="AB427" s="69"/>
      <c r="AC427" s="70"/>
      <c r="AD427" s="76" t="s">
        <v>12158</v>
      </c>
      <c r="AE427" s="80" t="s">
        <v>11340</v>
      </c>
      <c r="AF427" s="76">
        <v>22</v>
      </c>
      <c r="AG427" s="76">
        <v>7</v>
      </c>
      <c r="AH427" s="76">
        <v>596</v>
      </c>
      <c r="AI427" s="76">
        <v>0</v>
      </c>
      <c r="AJ427" s="76">
        <v>9</v>
      </c>
      <c r="AK427" s="76">
        <v>385</v>
      </c>
      <c r="AL427" s="76" t="b">
        <v>0</v>
      </c>
      <c r="AM427" s="78">
        <v>42255.65347222222</v>
      </c>
      <c r="AN427" s="76" t="s">
        <v>7791</v>
      </c>
      <c r="AO427" s="76" t="s">
        <v>13613</v>
      </c>
      <c r="AP427" s="82" t="str">
        <f>HYPERLINK("https://t.co/PD1d2F9jIO")</f>
        <v>https://t.co/PD1d2F9jIO</v>
      </c>
      <c r="AQ427" s="82" t="str">
        <f>HYPERLINK("https://ipforce.com.br")</f>
        <v>https://ipforce.com.br</v>
      </c>
      <c r="AR427" s="76" t="s">
        <v>14168</v>
      </c>
      <c r="AS427" s="76"/>
      <c r="AT427" s="76"/>
      <c r="AU427" s="76"/>
      <c r="AV427" s="76">
        <v>1.67997113807471E+18</v>
      </c>
      <c r="AW427" s="82" t="str">
        <f>HYPERLINK("https://t.co/PD1d2F9jIO")</f>
        <v>https://t.co/PD1d2F9jIO</v>
      </c>
      <c r="AX427" s="76" t="b">
        <v>0</v>
      </c>
      <c r="AY427" s="76"/>
      <c r="AZ427" s="76"/>
      <c r="BA427" s="76" t="b">
        <v>0</v>
      </c>
      <c r="BB427" s="76" t="b">
        <v>1</v>
      </c>
      <c r="BC427" s="76" t="b">
        <v>1</v>
      </c>
      <c r="BD427" s="76" t="b">
        <v>0</v>
      </c>
      <c r="BE427" s="76" t="b">
        <v>0</v>
      </c>
      <c r="BF427" s="76" t="b">
        <v>0</v>
      </c>
      <c r="BG427" s="76" t="b">
        <v>0</v>
      </c>
      <c r="BH427" s="82" t="str">
        <f>HYPERLINK("https://pbs.twimg.com/profile_banners/3588952461/1656945114")</f>
        <v>https://pbs.twimg.com/profile_banners/3588952461/1656945114</v>
      </c>
      <c r="BI427" s="76"/>
      <c r="BJ427" s="76" t="s">
        <v>14450</v>
      </c>
      <c r="BK427" s="76" t="b">
        <v>0</v>
      </c>
      <c r="BL427" s="76"/>
      <c r="BM427" s="76" t="s">
        <v>66</v>
      </c>
      <c r="BN427" s="76" t="s">
        <v>14452</v>
      </c>
      <c r="BO427" s="82" t="str">
        <f>HYPERLINK("https://twitter.com/ipforce_telecom")</f>
        <v>https://twitter.com/ipforce_telecom</v>
      </c>
      <c r="BP427" s="2"/>
    </row>
    <row r="428" spans="1:68" x14ac:dyDescent="0.25">
      <c r="A428" s="62" t="s">
        <v>582</v>
      </c>
      <c r="B428" s="63"/>
      <c r="C428" s="63"/>
      <c r="D428" s="64"/>
      <c r="E428" s="66"/>
      <c r="F428" s="103" t="str">
        <f>HYPERLINK("https://pbs.twimg.com/profile_images/1349494197506727942/FOcIJhSB_normal.jpg")</f>
        <v>https://pbs.twimg.com/profile_images/1349494197506727942/FOcIJhSB_normal.jpg</v>
      </c>
      <c r="G428" s="63"/>
      <c r="H428" s="67"/>
      <c r="I428" s="68"/>
      <c r="J428" s="68"/>
      <c r="K428" s="67" t="s">
        <v>14877</v>
      </c>
      <c r="L428" s="71"/>
      <c r="M428" s="72"/>
      <c r="N428" s="72"/>
      <c r="O428" s="73"/>
      <c r="P428" s="74"/>
      <c r="Q428" s="74"/>
      <c r="R428" s="87"/>
      <c r="S428" s="87"/>
      <c r="T428" s="87"/>
      <c r="U428" s="87"/>
      <c r="V428" s="48"/>
      <c r="W428" s="48"/>
      <c r="X428" s="48"/>
      <c r="Y428" s="48"/>
      <c r="Z428" s="47"/>
      <c r="AA428" s="69">
        <v>428</v>
      </c>
      <c r="AB428" s="69"/>
      <c r="AC428" s="70"/>
      <c r="AD428" s="76" t="s">
        <v>12159</v>
      </c>
      <c r="AE428" s="80" t="s">
        <v>12693</v>
      </c>
      <c r="AF428" s="76">
        <v>26473</v>
      </c>
      <c r="AG428" s="76">
        <v>2066</v>
      </c>
      <c r="AH428" s="76">
        <v>195704</v>
      </c>
      <c r="AI428" s="76">
        <v>114</v>
      </c>
      <c r="AJ428" s="76">
        <v>654</v>
      </c>
      <c r="AK428" s="76">
        <v>43818</v>
      </c>
      <c r="AL428" s="76" t="b">
        <v>0</v>
      </c>
      <c r="AM428" s="78">
        <v>41678.571562500001</v>
      </c>
      <c r="AN428" s="76" t="s">
        <v>13079</v>
      </c>
      <c r="AO428" s="76" t="s">
        <v>13614</v>
      </c>
      <c r="AP428" s="82" t="str">
        <f>HYPERLINK("https://t.co/jbux7OEOO3")</f>
        <v>https://t.co/jbux7OEOO3</v>
      </c>
      <c r="AQ428" s="82" t="str">
        <f>HYPERLINK("http://www.radio3cadenapatagonia.com.ar")</f>
        <v>http://www.radio3cadenapatagonia.com.ar</v>
      </c>
      <c r="AR428" s="76" t="s">
        <v>14169</v>
      </c>
      <c r="AS428" s="76"/>
      <c r="AT428" s="76"/>
      <c r="AU428" s="76"/>
      <c r="AV428" s="76"/>
      <c r="AW428" s="82" t="str">
        <f>HYPERLINK("https://t.co/jbux7OEOO3")</f>
        <v>https://t.co/jbux7OEOO3</v>
      </c>
      <c r="AX428" s="76" t="b">
        <v>0</v>
      </c>
      <c r="AY428" s="76"/>
      <c r="AZ428" s="76"/>
      <c r="BA428" s="76" t="b">
        <v>0</v>
      </c>
      <c r="BB428" s="76" t="b">
        <v>1</v>
      </c>
      <c r="BC428" s="76" t="b">
        <v>0</v>
      </c>
      <c r="BD428" s="76" t="b">
        <v>0</v>
      </c>
      <c r="BE428" s="76" t="b">
        <v>1</v>
      </c>
      <c r="BF428" s="76" t="b">
        <v>0</v>
      </c>
      <c r="BG428" s="76" t="b">
        <v>0</v>
      </c>
      <c r="BH428" s="82" t="str">
        <f>HYPERLINK("https://pbs.twimg.com/profile_banners/2333499318/1613077637")</f>
        <v>https://pbs.twimg.com/profile_banners/2333499318/1613077637</v>
      </c>
      <c r="BI428" s="76"/>
      <c r="BJ428" s="76" t="s">
        <v>14450</v>
      </c>
      <c r="BK428" s="76" t="b">
        <v>0</v>
      </c>
      <c r="BL428" s="76"/>
      <c r="BM428" s="76" t="s">
        <v>66</v>
      </c>
      <c r="BN428" s="76" t="s">
        <v>14452</v>
      </c>
      <c r="BO428" s="82" t="str">
        <f>HYPERLINK("https://twitter.com/radio3trelew")</f>
        <v>https://twitter.com/radio3trelew</v>
      </c>
      <c r="BP428" s="2"/>
    </row>
    <row r="429" spans="1:68" x14ac:dyDescent="0.25">
      <c r="A429" s="62" t="s">
        <v>583</v>
      </c>
      <c r="B429" s="63"/>
      <c r="C429" s="63"/>
      <c r="D429" s="64"/>
      <c r="E429" s="66"/>
      <c r="F429" s="103" t="str">
        <f>HYPERLINK("https://pbs.twimg.com/profile_images/1602012490145071106/NsHcG5Sf_normal.jpg")</f>
        <v>https://pbs.twimg.com/profile_images/1602012490145071106/NsHcG5Sf_normal.jpg</v>
      </c>
      <c r="G429" s="63"/>
      <c r="H429" s="67"/>
      <c r="I429" s="68"/>
      <c r="J429" s="68"/>
      <c r="K429" s="67" t="s">
        <v>14878</v>
      </c>
      <c r="L429" s="71"/>
      <c r="M429" s="72"/>
      <c r="N429" s="72"/>
      <c r="O429" s="73"/>
      <c r="P429" s="74"/>
      <c r="Q429" s="74"/>
      <c r="R429" s="87"/>
      <c r="S429" s="87"/>
      <c r="T429" s="87"/>
      <c r="U429" s="87"/>
      <c r="V429" s="48"/>
      <c r="W429" s="48"/>
      <c r="X429" s="48"/>
      <c r="Y429" s="48"/>
      <c r="Z429" s="47"/>
      <c r="AA429" s="69">
        <v>429</v>
      </c>
      <c r="AB429" s="69"/>
      <c r="AC429" s="70"/>
      <c r="AD429" s="76" t="s">
        <v>12160</v>
      </c>
      <c r="AE429" s="80" t="s">
        <v>12694</v>
      </c>
      <c r="AF429" s="76">
        <v>236</v>
      </c>
      <c r="AG429" s="76">
        <v>435</v>
      </c>
      <c r="AH429" s="76">
        <v>8016</v>
      </c>
      <c r="AI429" s="76">
        <v>0</v>
      </c>
      <c r="AJ429" s="76">
        <v>2595</v>
      </c>
      <c r="AK429" s="76">
        <v>2033</v>
      </c>
      <c r="AL429" s="76" t="b">
        <v>0</v>
      </c>
      <c r="AM429" s="78">
        <v>41511.095949074072</v>
      </c>
      <c r="AN429" s="76" t="s">
        <v>13080</v>
      </c>
      <c r="AO429" s="76" t="s">
        <v>13615</v>
      </c>
      <c r="AP429" s="82" t="str">
        <f>HYPERLINK("https://t.co/ikPD1x6gSB")</f>
        <v>https://t.co/ikPD1x6gSB</v>
      </c>
      <c r="AQ429" s="82" t="str">
        <f>HYPERLINK("http://jacklupio.com")</f>
        <v>http://jacklupio.com</v>
      </c>
      <c r="AR429" s="76" t="s">
        <v>14170</v>
      </c>
      <c r="AS429" s="76"/>
      <c r="AT429" s="76"/>
      <c r="AU429" s="76"/>
      <c r="AV429" s="76">
        <v>1.6096128155594501E+18</v>
      </c>
      <c r="AW429" s="82" t="str">
        <f>HYPERLINK("https://t.co/ikPD1x6gSB")</f>
        <v>https://t.co/ikPD1x6gSB</v>
      </c>
      <c r="AX429" s="76" t="b">
        <v>0</v>
      </c>
      <c r="AY429" s="76"/>
      <c r="AZ429" s="76"/>
      <c r="BA429" s="76" t="b">
        <v>0</v>
      </c>
      <c r="BB429" s="76" t="b">
        <v>1</v>
      </c>
      <c r="BC429" s="76" t="b">
        <v>0</v>
      </c>
      <c r="BD429" s="76" t="b">
        <v>0</v>
      </c>
      <c r="BE429" s="76" t="b">
        <v>1</v>
      </c>
      <c r="BF429" s="76" t="b">
        <v>0</v>
      </c>
      <c r="BG429" s="76" t="b">
        <v>0</v>
      </c>
      <c r="BH429" s="82" t="str">
        <f>HYPERLINK("https://pbs.twimg.com/profile_banners/1697948995/1689305402")</f>
        <v>https://pbs.twimg.com/profile_banners/1697948995/1689305402</v>
      </c>
      <c r="BI429" s="76"/>
      <c r="BJ429" s="76" t="s">
        <v>14450</v>
      </c>
      <c r="BK429" s="76" t="b">
        <v>0</v>
      </c>
      <c r="BL429" s="76"/>
      <c r="BM429" s="76" t="s">
        <v>66</v>
      </c>
      <c r="BN429" s="76" t="s">
        <v>14452</v>
      </c>
      <c r="BO429" s="82" t="str">
        <f>HYPERLINK("https://twitter.com/jacklupio")</f>
        <v>https://twitter.com/jacklupio</v>
      </c>
      <c r="BP429" s="2"/>
    </row>
    <row r="430" spans="1:68" x14ac:dyDescent="0.25">
      <c r="A430" s="62" t="s">
        <v>584</v>
      </c>
      <c r="B430" s="63"/>
      <c r="C430" s="63"/>
      <c r="D430" s="64"/>
      <c r="E430" s="66"/>
      <c r="F430" s="103" t="str">
        <f>HYPERLINK("https://pbs.twimg.com/profile_images/1321064359557255171/Bc0yCrGw_normal.jpg")</f>
        <v>https://pbs.twimg.com/profile_images/1321064359557255171/Bc0yCrGw_normal.jpg</v>
      </c>
      <c r="G430" s="63"/>
      <c r="H430" s="67"/>
      <c r="I430" s="68"/>
      <c r="J430" s="68"/>
      <c r="K430" s="67" t="s">
        <v>14879</v>
      </c>
      <c r="L430" s="71"/>
      <c r="M430" s="72"/>
      <c r="N430" s="72"/>
      <c r="O430" s="73"/>
      <c r="P430" s="74"/>
      <c r="Q430" s="74"/>
      <c r="R430" s="87"/>
      <c r="S430" s="87"/>
      <c r="T430" s="87"/>
      <c r="U430" s="87"/>
      <c r="V430" s="48"/>
      <c r="W430" s="48"/>
      <c r="X430" s="48"/>
      <c r="Y430" s="48"/>
      <c r="Z430" s="47"/>
      <c r="AA430" s="69">
        <v>430</v>
      </c>
      <c r="AB430" s="69"/>
      <c r="AC430" s="70"/>
      <c r="AD430" s="76" t="s">
        <v>12161</v>
      </c>
      <c r="AE430" s="80" t="s">
        <v>12695</v>
      </c>
      <c r="AF430" s="76">
        <v>134</v>
      </c>
      <c r="AG430" s="76">
        <v>256</v>
      </c>
      <c r="AH430" s="76">
        <v>2280</v>
      </c>
      <c r="AI430" s="76">
        <v>0</v>
      </c>
      <c r="AJ430" s="76">
        <v>17560</v>
      </c>
      <c r="AK430" s="76">
        <v>108</v>
      </c>
      <c r="AL430" s="76" t="b">
        <v>0</v>
      </c>
      <c r="AM430" s="78">
        <v>40421.564479166664</v>
      </c>
      <c r="AN430" s="76" t="s">
        <v>13081</v>
      </c>
      <c r="AO430" s="76" t="s">
        <v>13616</v>
      </c>
      <c r="AP430" s="76"/>
      <c r="AQ430" s="76"/>
      <c r="AR430" s="76"/>
      <c r="AS430" s="76"/>
      <c r="AT430" s="76"/>
      <c r="AU430" s="76"/>
      <c r="AV430" s="76">
        <v>1.64694203588513E+18</v>
      </c>
      <c r="AW430" s="76"/>
      <c r="AX430" s="76" t="b">
        <v>0</v>
      </c>
      <c r="AY430" s="76"/>
      <c r="AZ430" s="76"/>
      <c r="BA430" s="76" t="b">
        <v>0</v>
      </c>
      <c r="BB430" s="76" t="b">
        <v>1</v>
      </c>
      <c r="BC430" s="76" t="b">
        <v>1</v>
      </c>
      <c r="BD430" s="76" t="b">
        <v>0</v>
      </c>
      <c r="BE430" s="76" t="b">
        <v>1</v>
      </c>
      <c r="BF430" s="76" t="b">
        <v>0</v>
      </c>
      <c r="BG430" s="76" t="b">
        <v>0</v>
      </c>
      <c r="BH430" s="82" t="str">
        <f>HYPERLINK("https://pbs.twimg.com/profile_banners/185211456/1561650181")</f>
        <v>https://pbs.twimg.com/profile_banners/185211456/1561650181</v>
      </c>
      <c r="BI430" s="76"/>
      <c r="BJ430" s="76" t="s">
        <v>14450</v>
      </c>
      <c r="BK430" s="76" t="b">
        <v>0</v>
      </c>
      <c r="BL430" s="76"/>
      <c r="BM430" s="76" t="s">
        <v>66</v>
      </c>
      <c r="BN430" s="76" t="s">
        <v>14452</v>
      </c>
      <c r="BO430" s="82" t="str">
        <f>HYPERLINK("https://twitter.com/arthuroliveirad")</f>
        <v>https://twitter.com/arthuroliveirad</v>
      </c>
      <c r="BP430" s="2"/>
    </row>
    <row r="431" spans="1:68" x14ac:dyDescent="0.25">
      <c r="A431" s="62" t="s">
        <v>585</v>
      </c>
      <c r="B431" s="63"/>
      <c r="C431" s="63"/>
      <c r="D431" s="64"/>
      <c r="E431" s="66"/>
      <c r="F431" s="103" t="str">
        <f>HYPERLINK("https://pbs.twimg.com/profile_images/1015455807499128832/UTiPPaQP_normal.jpg")</f>
        <v>https://pbs.twimg.com/profile_images/1015455807499128832/UTiPPaQP_normal.jpg</v>
      </c>
      <c r="G431" s="63"/>
      <c r="H431" s="67"/>
      <c r="I431" s="68"/>
      <c r="J431" s="68"/>
      <c r="K431" s="67" t="s">
        <v>14880</v>
      </c>
      <c r="L431" s="71"/>
      <c r="M431" s="72"/>
      <c r="N431" s="72"/>
      <c r="O431" s="73"/>
      <c r="P431" s="74"/>
      <c r="Q431" s="74"/>
      <c r="R431" s="87"/>
      <c r="S431" s="87"/>
      <c r="T431" s="87"/>
      <c r="U431" s="87"/>
      <c r="V431" s="48"/>
      <c r="W431" s="48"/>
      <c r="X431" s="48"/>
      <c r="Y431" s="48"/>
      <c r="Z431" s="47"/>
      <c r="AA431" s="69">
        <v>431</v>
      </c>
      <c r="AB431" s="69"/>
      <c r="AC431" s="70"/>
      <c r="AD431" s="76" t="s">
        <v>12162</v>
      </c>
      <c r="AE431" s="80" t="s">
        <v>12696</v>
      </c>
      <c r="AF431" s="76">
        <v>258</v>
      </c>
      <c r="AG431" s="76">
        <v>515</v>
      </c>
      <c r="AH431" s="76">
        <v>4114</v>
      </c>
      <c r="AI431" s="76">
        <v>2</v>
      </c>
      <c r="AJ431" s="76">
        <v>85</v>
      </c>
      <c r="AK431" s="76">
        <v>177</v>
      </c>
      <c r="AL431" s="76" t="b">
        <v>0</v>
      </c>
      <c r="AM431" s="78">
        <v>40496.070752314816</v>
      </c>
      <c r="AN431" s="76" t="s">
        <v>13082</v>
      </c>
      <c r="AO431" s="76" t="s">
        <v>13617</v>
      </c>
      <c r="AP431" s="82" t="str">
        <f>HYPERLINK("https://t.co/DlSdOBFdPP")</f>
        <v>https://t.co/DlSdOBFdPP</v>
      </c>
      <c r="AQ431" s="82" t="str">
        <f>HYPERLINK("https://www.facebook.com/dOLEone")</f>
        <v>https://www.facebook.com/dOLEone</v>
      </c>
      <c r="AR431" s="76" t="s">
        <v>14171</v>
      </c>
      <c r="AS431" s="76"/>
      <c r="AT431" s="76"/>
      <c r="AU431" s="76"/>
      <c r="AV431" s="76"/>
      <c r="AW431" s="82" t="str">
        <f>HYPERLINK("https://t.co/DlSdOBFdPP")</f>
        <v>https://t.co/DlSdOBFdPP</v>
      </c>
      <c r="AX431" s="76" t="b">
        <v>0</v>
      </c>
      <c r="AY431" s="76"/>
      <c r="AZ431" s="76"/>
      <c r="BA431" s="76" t="b">
        <v>1</v>
      </c>
      <c r="BB431" s="76" t="b">
        <v>0</v>
      </c>
      <c r="BC431" s="76" t="b">
        <v>0</v>
      </c>
      <c r="BD431" s="76" t="b">
        <v>0</v>
      </c>
      <c r="BE431" s="76" t="b">
        <v>1</v>
      </c>
      <c r="BF431" s="76" t="b">
        <v>0</v>
      </c>
      <c r="BG431" s="76" t="b">
        <v>0</v>
      </c>
      <c r="BH431" s="82" t="str">
        <f>HYPERLINK("https://pbs.twimg.com/profile_banners/215475724/1474772978")</f>
        <v>https://pbs.twimg.com/profile_banners/215475724/1474772978</v>
      </c>
      <c r="BI431" s="76"/>
      <c r="BJ431" s="76" t="s">
        <v>14450</v>
      </c>
      <c r="BK431" s="76" t="b">
        <v>0</v>
      </c>
      <c r="BL431" s="76"/>
      <c r="BM431" s="76" t="s">
        <v>66</v>
      </c>
      <c r="BN431" s="76" t="s">
        <v>14452</v>
      </c>
      <c r="BO431" s="82" t="str">
        <f>HYPERLINK("https://twitter.com/dole_one")</f>
        <v>https://twitter.com/dole_one</v>
      </c>
      <c r="BP431" s="2"/>
    </row>
    <row r="432" spans="1:68" x14ac:dyDescent="0.25">
      <c r="A432" s="62" t="s">
        <v>586</v>
      </c>
      <c r="B432" s="63"/>
      <c r="C432" s="63"/>
      <c r="D432" s="64"/>
      <c r="E432" s="66"/>
      <c r="F432" s="103" t="str">
        <f>HYPERLINK("https://pbs.twimg.com/profile_images/1496206579485626371/2r9ZHN3B_normal.jpg")</f>
        <v>https://pbs.twimg.com/profile_images/1496206579485626371/2r9ZHN3B_normal.jpg</v>
      </c>
      <c r="G432" s="63"/>
      <c r="H432" s="67"/>
      <c r="I432" s="68"/>
      <c r="J432" s="68"/>
      <c r="K432" s="67" t="s">
        <v>14881</v>
      </c>
      <c r="L432" s="71"/>
      <c r="M432" s="72"/>
      <c r="N432" s="72"/>
      <c r="O432" s="73"/>
      <c r="P432" s="74"/>
      <c r="Q432" s="74"/>
      <c r="R432" s="87"/>
      <c r="S432" s="87"/>
      <c r="T432" s="87"/>
      <c r="U432" s="87"/>
      <c r="V432" s="48"/>
      <c r="W432" s="48"/>
      <c r="X432" s="48"/>
      <c r="Y432" s="48"/>
      <c r="Z432" s="47"/>
      <c r="AA432" s="69">
        <v>432</v>
      </c>
      <c r="AB432" s="69"/>
      <c r="AC432" s="70"/>
      <c r="AD432" s="76" t="s">
        <v>12163</v>
      </c>
      <c r="AE432" s="80" t="s">
        <v>11584</v>
      </c>
      <c r="AF432" s="76">
        <v>4</v>
      </c>
      <c r="AG432" s="76">
        <v>0</v>
      </c>
      <c r="AH432" s="76">
        <v>483</v>
      </c>
      <c r="AI432" s="76">
        <v>0</v>
      </c>
      <c r="AJ432" s="76">
        <v>0</v>
      </c>
      <c r="AK432" s="76">
        <v>26</v>
      </c>
      <c r="AL432" s="76" t="b">
        <v>0</v>
      </c>
      <c r="AM432" s="78">
        <v>44596.546238425923</v>
      </c>
      <c r="AN432" s="76" t="s">
        <v>7873</v>
      </c>
      <c r="AO432" s="76" t="s">
        <v>13618</v>
      </c>
      <c r="AP432" s="82" t="str">
        <f>HYPERLINK("https://t.co/joL1mwEaBc")</f>
        <v>https://t.co/joL1mwEaBc</v>
      </c>
      <c r="AQ432" s="82" t="str">
        <f>HYPERLINK("https://academia-formacion.com/")</f>
        <v>https://academia-formacion.com/</v>
      </c>
      <c r="AR432" s="76" t="s">
        <v>14172</v>
      </c>
      <c r="AS432" s="76"/>
      <c r="AT432" s="76"/>
      <c r="AU432" s="76"/>
      <c r="AV432" s="76"/>
      <c r="AW432" s="82" t="str">
        <f>HYPERLINK("https://t.co/joL1mwEaBc")</f>
        <v>https://t.co/joL1mwEaBc</v>
      </c>
      <c r="AX432" s="76" t="b">
        <v>0</v>
      </c>
      <c r="AY432" s="76"/>
      <c r="AZ432" s="76"/>
      <c r="BA432" s="76" t="b">
        <v>0</v>
      </c>
      <c r="BB432" s="76" t="b">
        <v>1</v>
      </c>
      <c r="BC432" s="76" t="b">
        <v>1</v>
      </c>
      <c r="BD432" s="76" t="b">
        <v>0</v>
      </c>
      <c r="BE432" s="76" t="b">
        <v>0</v>
      </c>
      <c r="BF432" s="76" t="b">
        <v>0</v>
      </c>
      <c r="BG432" s="76" t="b">
        <v>0</v>
      </c>
      <c r="BH432" s="82" t="str">
        <f>HYPERLINK("https://pbs.twimg.com/profile_banners/1489586114293809153/1645558735")</f>
        <v>https://pbs.twimg.com/profile_banners/1489586114293809153/1645558735</v>
      </c>
      <c r="BI432" s="76"/>
      <c r="BJ432" s="76" t="s">
        <v>14450</v>
      </c>
      <c r="BK432" s="76" t="b">
        <v>0</v>
      </c>
      <c r="BL432" s="76"/>
      <c r="BM432" s="76" t="s">
        <v>66</v>
      </c>
      <c r="BN432" s="76" t="s">
        <v>14452</v>
      </c>
      <c r="BO432" s="82" t="str">
        <f>HYPERLINK("https://twitter.com/formate_oficial")</f>
        <v>https://twitter.com/formate_oficial</v>
      </c>
      <c r="BP432" s="2"/>
    </row>
    <row r="433" spans="1:68" x14ac:dyDescent="0.25">
      <c r="A433" s="62" t="s">
        <v>587</v>
      </c>
      <c r="B433" s="63"/>
      <c r="C433" s="63"/>
      <c r="D433" s="64"/>
      <c r="E433" s="66"/>
      <c r="F433" s="103" t="str">
        <f>HYPERLINK("https://pbs.twimg.com/profile_images/1261760099317579778/JaSebqaP_normal.jpg")</f>
        <v>https://pbs.twimg.com/profile_images/1261760099317579778/JaSebqaP_normal.jpg</v>
      </c>
      <c r="G433" s="63"/>
      <c r="H433" s="67"/>
      <c r="I433" s="68"/>
      <c r="J433" s="68"/>
      <c r="K433" s="67" t="s">
        <v>14882</v>
      </c>
      <c r="L433" s="71"/>
      <c r="M433" s="72"/>
      <c r="N433" s="72"/>
      <c r="O433" s="73"/>
      <c r="P433" s="74"/>
      <c r="Q433" s="74"/>
      <c r="R433" s="87"/>
      <c r="S433" s="87"/>
      <c r="T433" s="87"/>
      <c r="U433" s="87"/>
      <c r="V433" s="48"/>
      <c r="W433" s="48"/>
      <c r="X433" s="48"/>
      <c r="Y433" s="48"/>
      <c r="Z433" s="47"/>
      <c r="AA433" s="69">
        <v>433</v>
      </c>
      <c r="AB433" s="69"/>
      <c r="AC433" s="70"/>
      <c r="AD433" s="76" t="s">
        <v>12164</v>
      </c>
      <c r="AE433" s="80" t="s">
        <v>12697</v>
      </c>
      <c r="AF433" s="76">
        <v>66</v>
      </c>
      <c r="AG433" s="76">
        <v>16</v>
      </c>
      <c r="AH433" s="76">
        <v>2158</v>
      </c>
      <c r="AI433" s="76">
        <v>23</v>
      </c>
      <c r="AJ433" s="76">
        <v>5</v>
      </c>
      <c r="AK433" s="76">
        <v>767</v>
      </c>
      <c r="AL433" s="76" t="b">
        <v>0</v>
      </c>
      <c r="AM433" s="78">
        <v>40628.837743055556</v>
      </c>
      <c r="AN433" s="76" t="s">
        <v>13083</v>
      </c>
      <c r="AO433" s="76" t="s">
        <v>13619</v>
      </c>
      <c r="AP433" s="82" t="str">
        <f>HYPERLINK("https://t.co/kcCOkeKgDB")</f>
        <v>https://t.co/kcCOkeKgDB</v>
      </c>
      <c r="AQ433" s="82" t="str">
        <f>HYPERLINK("https://www.jeimage.com/")</f>
        <v>https://www.jeimage.com/</v>
      </c>
      <c r="AR433" s="76" t="s">
        <v>4303</v>
      </c>
      <c r="AS433" s="76"/>
      <c r="AT433" s="76"/>
      <c r="AU433" s="76"/>
      <c r="AV433" s="76"/>
      <c r="AW433" s="82" t="str">
        <f>HYPERLINK("https://t.co/kcCOkeKgDB")</f>
        <v>https://t.co/kcCOkeKgDB</v>
      </c>
      <c r="AX433" s="76" t="b">
        <v>0</v>
      </c>
      <c r="AY433" s="76"/>
      <c r="AZ433" s="76"/>
      <c r="BA433" s="76" t="b">
        <v>0</v>
      </c>
      <c r="BB433" s="76" t="b">
        <v>1</v>
      </c>
      <c r="BC433" s="76" t="b">
        <v>0</v>
      </c>
      <c r="BD433" s="76" t="b">
        <v>0</v>
      </c>
      <c r="BE433" s="76" t="b">
        <v>0</v>
      </c>
      <c r="BF433" s="76" t="b">
        <v>0</v>
      </c>
      <c r="BG433" s="76" t="b">
        <v>0</v>
      </c>
      <c r="BH433" s="82" t="str">
        <f>HYPERLINK("https://pbs.twimg.com/profile_banners/272584806/1589662771")</f>
        <v>https://pbs.twimg.com/profile_banners/272584806/1589662771</v>
      </c>
      <c r="BI433" s="76"/>
      <c r="BJ433" s="76" t="s">
        <v>14450</v>
      </c>
      <c r="BK433" s="76" t="b">
        <v>0</v>
      </c>
      <c r="BL433" s="76"/>
      <c r="BM433" s="76" t="s">
        <v>66</v>
      </c>
      <c r="BN433" s="76" t="s">
        <v>14452</v>
      </c>
      <c r="BO433" s="82" t="str">
        <f>HYPERLINK("https://twitter.com/jeimage")</f>
        <v>https://twitter.com/jeimage</v>
      </c>
      <c r="BP433" s="2"/>
    </row>
    <row r="434" spans="1:68" x14ac:dyDescent="0.25">
      <c r="A434" s="62" t="s">
        <v>588</v>
      </c>
      <c r="B434" s="63"/>
      <c r="C434" s="63"/>
      <c r="D434" s="64"/>
      <c r="E434" s="66"/>
      <c r="F434" s="103" t="str">
        <f>HYPERLINK("https://pbs.twimg.com/profile_images/1648042407806529563/_hYvv6Ih_normal.jpg")</f>
        <v>https://pbs.twimg.com/profile_images/1648042407806529563/_hYvv6Ih_normal.jpg</v>
      </c>
      <c r="G434" s="63"/>
      <c r="H434" s="67"/>
      <c r="I434" s="68"/>
      <c r="J434" s="68"/>
      <c r="K434" s="67" t="s">
        <v>14883</v>
      </c>
      <c r="L434" s="71"/>
      <c r="M434" s="72"/>
      <c r="N434" s="72"/>
      <c r="O434" s="73"/>
      <c r="P434" s="74"/>
      <c r="Q434" s="74"/>
      <c r="R434" s="87"/>
      <c r="S434" s="87"/>
      <c r="T434" s="87"/>
      <c r="U434" s="87"/>
      <c r="V434" s="48"/>
      <c r="W434" s="48"/>
      <c r="X434" s="48"/>
      <c r="Y434" s="48"/>
      <c r="Z434" s="47"/>
      <c r="AA434" s="69">
        <v>434</v>
      </c>
      <c r="AB434" s="69"/>
      <c r="AC434" s="70"/>
      <c r="AD434" s="76" t="s">
        <v>12165</v>
      </c>
      <c r="AE434" s="80" t="s">
        <v>12698</v>
      </c>
      <c r="AF434" s="76">
        <v>9477</v>
      </c>
      <c r="AG434" s="76">
        <v>1954</v>
      </c>
      <c r="AH434" s="76">
        <v>192750</v>
      </c>
      <c r="AI434" s="76">
        <v>96</v>
      </c>
      <c r="AJ434" s="76">
        <v>9107</v>
      </c>
      <c r="AK434" s="76">
        <v>92171</v>
      </c>
      <c r="AL434" s="76" t="b">
        <v>0</v>
      </c>
      <c r="AM434" s="78">
        <v>41493.812418981484</v>
      </c>
      <c r="AN434" s="76" t="s">
        <v>13084</v>
      </c>
      <c r="AO434" s="76"/>
      <c r="AP434" s="82" t="str">
        <f>HYPERLINK("https://t.co/Sb4eyTRUxk")</f>
        <v>https://t.co/Sb4eyTRUxk</v>
      </c>
      <c r="AQ434" s="82" t="str">
        <f>HYPERLINK("http://marcrixnoticias.com.mx")</f>
        <v>http://marcrixnoticias.com.mx</v>
      </c>
      <c r="AR434" s="76" t="s">
        <v>14173</v>
      </c>
      <c r="AS434" s="76"/>
      <c r="AT434" s="76"/>
      <c r="AU434" s="76"/>
      <c r="AV434" s="76"/>
      <c r="AW434" s="82" t="str">
        <f>HYPERLINK("https://t.co/Sb4eyTRUxk")</f>
        <v>https://t.co/Sb4eyTRUxk</v>
      </c>
      <c r="AX434" s="76" t="b">
        <v>0</v>
      </c>
      <c r="AY434" s="76"/>
      <c r="AZ434" s="76"/>
      <c r="BA434" s="76" t="b">
        <v>1</v>
      </c>
      <c r="BB434" s="76" t="b">
        <v>1</v>
      </c>
      <c r="BC434" s="76" t="b">
        <v>0</v>
      </c>
      <c r="BD434" s="76" t="b">
        <v>0</v>
      </c>
      <c r="BE434" s="76" t="b">
        <v>1</v>
      </c>
      <c r="BF434" s="76" t="b">
        <v>0</v>
      </c>
      <c r="BG434" s="76" t="b">
        <v>1</v>
      </c>
      <c r="BH434" s="82" t="str">
        <f>HYPERLINK("https://pbs.twimg.com/profile_banners/1653727837/1663005585")</f>
        <v>https://pbs.twimg.com/profile_banners/1653727837/1663005585</v>
      </c>
      <c r="BI434" s="76" t="s">
        <v>14449</v>
      </c>
      <c r="BJ434" s="76" t="s">
        <v>14450</v>
      </c>
      <c r="BK434" s="76" t="b">
        <v>0</v>
      </c>
      <c r="BL434" s="76"/>
      <c r="BM434" s="76" t="s">
        <v>66</v>
      </c>
      <c r="BN434" s="76" t="s">
        <v>14452</v>
      </c>
      <c r="BO434" s="82" t="str">
        <f>HYPERLINK("https://twitter.com/marcrixnoticias")</f>
        <v>https://twitter.com/marcrixnoticias</v>
      </c>
      <c r="BP434" s="2"/>
    </row>
    <row r="435" spans="1:68" x14ac:dyDescent="0.25">
      <c r="A435" s="62" t="s">
        <v>589</v>
      </c>
      <c r="B435" s="63"/>
      <c r="C435" s="63"/>
      <c r="D435" s="64"/>
      <c r="E435" s="66"/>
      <c r="F435" s="103" t="str">
        <f>HYPERLINK("https://pbs.twimg.com/profile_images/1572261849193668608/9nH-xmtG_normal.jpg")</f>
        <v>https://pbs.twimg.com/profile_images/1572261849193668608/9nH-xmtG_normal.jpg</v>
      </c>
      <c r="G435" s="63"/>
      <c r="H435" s="67"/>
      <c r="I435" s="68"/>
      <c r="J435" s="68"/>
      <c r="K435" s="67" t="s">
        <v>14884</v>
      </c>
      <c r="L435" s="71"/>
      <c r="M435" s="72"/>
      <c r="N435" s="72"/>
      <c r="O435" s="73"/>
      <c r="P435" s="74"/>
      <c r="Q435" s="74"/>
      <c r="R435" s="87"/>
      <c r="S435" s="87"/>
      <c r="T435" s="87"/>
      <c r="U435" s="87"/>
      <c r="V435" s="48"/>
      <c r="W435" s="48"/>
      <c r="X435" s="48"/>
      <c r="Y435" s="48"/>
      <c r="Z435" s="47"/>
      <c r="AA435" s="69">
        <v>435</v>
      </c>
      <c r="AB435" s="69"/>
      <c r="AC435" s="70"/>
      <c r="AD435" s="76" t="s">
        <v>12166</v>
      </c>
      <c r="AE435" s="80" t="s">
        <v>11585</v>
      </c>
      <c r="AF435" s="76">
        <v>4</v>
      </c>
      <c r="AG435" s="76">
        <v>1</v>
      </c>
      <c r="AH435" s="76">
        <v>58</v>
      </c>
      <c r="AI435" s="76">
        <v>0</v>
      </c>
      <c r="AJ435" s="76">
        <v>0</v>
      </c>
      <c r="AK435" s="76">
        <v>27</v>
      </c>
      <c r="AL435" s="76" t="b">
        <v>0</v>
      </c>
      <c r="AM435" s="78">
        <v>44824.68440972222</v>
      </c>
      <c r="AN435" s="76" t="s">
        <v>7765</v>
      </c>
      <c r="AO435" s="76" t="s">
        <v>13620</v>
      </c>
      <c r="AP435" s="82" t="str">
        <f>HYPERLINK("https://t.co/bCopLZ0PIF")</f>
        <v>https://t.co/bCopLZ0PIF</v>
      </c>
      <c r="AQ435" s="82" t="str">
        <f>HYPERLINK("https://linktr.ee/yakuconsultora")</f>
        <v>https://linktr.ee/yakuconsultora</v>
      </c>
      <c r="AR435" s="76" t="s">
        <v>14174</v>
      </c>
      <c r="AS435" s="76"/>
      <c r="AT435" s="76"/>
      <c r="AU435" s="76"/>
      <c r="AV435" s="76"/>
      <c r="AW435" s="82" t="str">
        <f>HYPERLINK("https://t.co/bCopLZ0PIF")</f>
        <v>https://t.co/bCopLZ0PIF</v>
      </c>
      <c r="AX435" s="76" t="b">
        <v>0</v>
      </c>
      <c r="AY435" s="76"/>
      <c r="AZ435" s="76"/>
      <c r="BA435" s="76" t="b">
        <v>0</v>
      </c>
      <c r="BB435" s="76" t="b">
        <v>1</v>
      </c>
      <c r="BC435" s="76" t="b">
        <v>1</v>
      </c>
      <c r="BD435" s="76" t="b">
        <v>0</v>
      </c>
      <c r="BE435" s="76" t="b">
        <v>0</v>
      </c>
      <c r="BF435" s="76" t="b">
        <v>0</v>
      </c>
      <c r="BG435" s="76" t="b">
        <v>0</v>
      </c>
      <c r="BH435" s="82" t="str">
        <f>HYPERLINK("https://pbs.twimg.com/profile_banners/1572260610947129346/1663691412")</f>
        <v>https://pbs.twimg.com/profile_banners/1572260610947129346/1663691412</v>
      </c>
      <c r="BI435" s="76"/>
      <c r="BJ435" s="76" t="s">
        <v>14450</v>
      </c>
      <c r="BK435" s="76" t="b">
        <v>0</v>
      </c>
      <c r="BL435" s="76"/>
      <c r="BM435" s="76" t="s">
        <v>66</v>
      </c>
      <c r="BN435" s="76" t="s">
        <v>14452</v>
      </c>
      <c r="BO435" s="82" t="str">
        <f>HYPERLINK("https://twitter.com/yakuconsultora")</f>
        <v>https://twitter.com/yakuconsultora</v>
      </c>
      <c r="BP435" s="2"/>
    </row>
    <row r="436" spans="1:68" x14ac:dyDescent="0.25">
      <c r="A436" s="62" t="s">
        <v>590</v>
      </c>
      <c r="B436" s="63"/>
      <c r="C436" s="63"/>
      <c r="D436" s="64"/>
      <c r="E436" s="66"/>
      <c r="F436" s="103" t="str">
        <f>HYPERLINK("https://pbs.twimg.com/profile_images/1594423299735429128/-O-rjCVS_normal.jpg")</f>
        <v>https://pbs.twimg.com/profile_images/1594423299735429128/-O-rjCVS_normal.jpg</v>
      </c>
      <c r="G436" s="63"/>
      <c r="H436" s="67"/>
      <c r="I436" s="68"/>
      <c r="J436" s="68"/>
      <c r="K436" s="67" t="s">
        <v>14885</v>
      </c>
      <c r="L436" s="71"/>
      <c r="M436" s="72"/>
      <c r="N436" s="72"/>
      <c r="O436" s="73"/>
      <c r="P436" s="74"/>
      <c r="Q436" s="74"/>
      <c r="R436" s="87"/>
      <c r="S436" s="87"/>
      <c r="T436" s="87"/>
      <c r="U436" s="87"/>
      <c r="V436" s="48"/>
      <c r="W436" s="48"/>
      <c r="X436" s="48"/>
      <c r="Y436" s="48"/>
      <c r="Z436" s="47"/>
      <c r="AA436" s="69">
        <v>436</v>
      </c>
      <c r="AB436" s="69"/>
      <c r="AC436" s="70"/>
      <c r="AD436" s="76" t="s">
        <v>12167</v>
      </c>
      <c r="AE436" s="80" t="s">
        <v>11586</v>
      </c>
      <c r="AF436" s="76">
        <v>229</v>
      </c>
      <c r="AG436" s="76">
        <v>509</v>
      </c>
      <c r="AH436" s="76">
        <v>384</v>
      </c>
      <c r="AI436" s="76">
        <v>0</v>
      </c>
      <c r="AJ436" s="76">
        <v>72</v>
      </c>
      <c r="AK436" s="76">
        <v>123</v>
      </c>
      <c r="AL436" s="76" t="b">
        <v>0</v>
      </c>
      <c r="AM436" s="78">
        <v>44654.638923611114</v>
      </c>
      <c r="AN436" s="76" t="s">
        <v>13085</v>
      </c>
      <c r="AO436" s="76" t="s">
        <v>13621</v>
      </c>
      <c r="AP436" s="82" t="str">
        <f>HYPERLINK("https://t.co/fva7h6qF9D")</f>
        <v>https://t.co/fva7h6qF9D</v>
      </c>
      <c r="AQ436" s="82" t="str">
        <f>HYPERLINK("https://adapta.tech/soluciones-medicina-pymes/")</f>
        <v>https://adapta.tech/soluciones-medicina-pymes/</v>
      </c>
      <c r="AR436" s="76" t="s">
        <v>14175</v>
      </c>
      <c r="AS436" s="76"/>
      <c r="AT436" s="76"/>
      <c r="AU436" s="76"/>
      <c r="AV436" s="76"/>
      <c r="AW436" s="82" t="str">
        <f>HYPERLINK("https://t.co/fva7h6qF9D")</f>
        <v>https://t.co/fva7h6qF9D</v>
      </c>
      <c r="AX436" s="76" t="b">
        <v>0</v>
      </c>
      <c r="AY436" s="76"/>
      <c r="AZ436" s="76"/>
      <c r="BA436" s="76" t="b">
        <v>0</v>
      </c>
      <c r="BB436" s="76" t="b">
        <v>1</v>
      </c>
      <c r="BC436" s="76" t="b">
        <v>1</v>
      </c>
      <c r="BD436" s="76" t="b">
        <v>0</v>
      </c>
      <c r="BE436" s="76" t="b">
        <v>0</v>
      </c>
      <c r="BF436" s="76" t="b">
        <v>0</v>
      </c>
      <c r="BG436" s="76" t="b">
        <v>0</v>
      </c>
      <c r="BH436" s="82" t="str">
        <f>HYPERLINK("https://pbs.twimg.com/profile_banners/1510638187416326146/1680690727")</f>
        <v>https://pbs.twimg.com/profile_banners/1510638187416326146/1680690727</v>
      </c>
      <c r="BI436" s="76"/>
      <c r="BJ436" s="76" t="s">
        <v>14450</v>
      </c>
      <c r="BK436" s="76" t="b">
        <v>0</v>
      </c>
      <c r="BL436" s="76"/>
      <c r="BM436" s="76" t="s">
        <v>66</v>
      </c>
      <c r="BN436" s="76" t="s">
        <v>14452</v>
      </c>
      <c r="BO436" s="82" t="str">
        <f>HYPERLINK("https://twitter.com/adapta_tech")</f>
        <v>https://twitter.com/adapta_tech</v>
      </c>
      <c r="BP436" s="2"/>
    </row>
    <row r="437" spans="1:68" x14ac:dyDescent="0.25">
      <c r="A437" s="62" t="s">
        <v>591</v>
      </c>
      <c r="B437" s="63"/>
      <c r="C437" s="63"/>
      <c r="D437" s="64"/>
      <c r="E437" s="66"/>
      <c r="F437" s="103" t="str">
        <f>HYPERLINK("https://pbs.twimg.com/profile_images/1495792056735834120/Z9A3KSJQ_normal.png")</f>
        <v>https://pbs.twimg.com/profile_images/1495792056735834120/Z9A3KSJQ_normal.png</v>
      </c>
      <c r="G437" s="63"/>
      <c r="H437" s="67"/>
      <c r="I437" s="68"/>
      <c r="J437" s="68"/>
      <c r="K437" s="67" t="s">
        <v>14886</v>
      </c>
      <c r="L437" s="71"/>
      <c r="M437" s="72"/>
      <c r="N437" s="72"/>
      <c r="O437" s="73"/>
      <c r="P437" s="74"/>
      <c r="Q437" s="74"/>
      <c r="R437" s="87"/>
      <c r="S437" s="87"/>
      <c r="T437" s="87"/>
      <c r="U437" s="87"/>
      <c r="V437" s="48"/>
      <c r="W437" s="48"/>
      <c r="X437" s="48"/>
      <c r="Y437" s="48"/>
      <c r="Z437" s="47"/>
      <c r="AA437" s="69">
        <v>437</v>
      </c>
      <c r="AB437" s="69"/>
      <c r="AC437" s="70"/>
      <c r="AD437" s="76" t="s">
        <v>12168</v>
      </c>
      <c r="AE437" s="80" t="s">
        <v>11587</v>
      </c>
      <c r="AF437" s="76">
        <v>1</v>
      </c>
      <c r="AG437" s="76">
        <v>3</v>
      </c>
      <c r="AH437" s="76">
        <v>33</v>
      </c>
      <c r="AI437" s="76">
        <v>0</v>
      </c>
      <c r="AJ437" s="76">
        <v>0</v>
      </c>
      <c r="AK437" s="76">
        <v>30</v>
      </c>
      <c r="AL437" s="76" t="b">
        <v>0</v>
      </c>
      <c r="AM437" s="78">
        <v>44613.665983796294</v>
      </c>
      <c r="AN437" s="76" t="s">
        <v>7763</v>
      </c>
      <c r="AO437" s="76" t="s">
        <v>13622</v>
      </c>
      <c r="AP437" s="82" t="str">
        <f>HYPERLINK("https://t.co/hjWAkEyQn9")</f>
        <v>https://t.co/hjWAkEyQn9</v>
      </c>
      <c r="AQ437" s="82" t="str">
        <f>HYPERLINK("https://reportconsult.com/")</f>
        <v>https://reportconsult.com/</v>
      </c>
      <c r="AR437" s="76" t="s">
        <v>14176</v>
      </c>
      <c r="AS437" s="76"/>
      <c r="AT437" s="76"/>
      <c r="AU437" s="76"/>
      <c r="AV437" s="76"/>
      <c r="AW437" s="82" t="str">
        <f>HYPERLINK("https://t.co/hjWAkEyQn9")</f>
        <v>https://t.co/hjWAkEyQn9</v>
      </c>
      <c r="AX437" s="76" t="b">
        <v>0</v>
      </c>
      <c r="AY437" s="76"/>
      <c r="AZ437" s="76"/>
      <c r="BA437" s="76" t="b">
        <v>0</v>
      </c>
      <c r="BB437" s="76" t="b">
        <v>1</v>
      </c>
      <c r="BC437" s="76" t="b">
        <v>1</v>
      </c>
      <c r="BD437" s="76" t="b">
        <v>0</v>
      </c>
      <c r="BE437" s="76" t="b">
        <v>0</v>
      </c>
      <c r="BF437" s="76" t="b">
        <v>0</v>
      </c>
      <c r="BG437" s="76" t="b">
        <v>0</v>
      </c>
      <c r="BH437" s="82" t="str">
        <f>HYPERLINK("https://pbs.twimg.com/profile_banners/1495790050638020615/1645459592")</f>
        <v>https://pbs.twimg.com/profile_banners/1495790050638020615/1645459592</v>
      </c>
      <c r="BI437" s="76"/>
      <c r="BJ437" s="76" t="s">
        <v>14450</v>
      </c>
      <c r="BK437" s="76" t="b">
        <v>0</v>
      </c>
      <c r="BL437" s="76"/>
      <c r="BM437" s="76" t="s">
        <v>66</v>
      </c>
      <c r="BN437" s="76" t="s">
        <v>14452</v>
      </c>
      <c r="BO437" s="82" t="str">
        <f>HYPERLINK("https://twitter.com/consult_report")</f>
        <v>https://twitter.com/consult_report</v>
      </c>
      <c r="BP437" s="2"/>
    </row>
    <row r="438" spans="1:68" x14ac:dyDescent="0.25">
      <c r="A438" s="62" t="s">
        <v>592</v>
      </c>
      <c r="B438" s="63"/>
      <c r="C438" s="63"/>
      <c r="D438" s="64"/>
      <c r="E438" s="66"/>
      <c r="F438" s="103" t="str">
        <f>HYPERLINK("https://pbs.twimg.com/profile_images/1248075452280975367/RTfK3qKP_normal.jpg")</f>
        <v>https://pbs.twimg.com/profile_images/1248075452280975367/RTfK3qKP_normal.jpg</v>
      </c>
      <c r="G438" s="63"/>
      <c r="H438" s="67"/>
      <c r="I438" s="68"/>
      <c r="J438" s="68"/>
      <c r="K438" s="67" t="s">
        <v>14887</v>
      </c>
      <c r="L438" s="71"/>
      <c r="M438" s="72"/>
      <c r="N438" s="72"/>
      <c r="O438" s="73"/>
      <c r="P438" s="74"/>
      <c r="Q438" s="74"/>
      <c r="R438" s="87"/>
      <c r="S438" s="87"/>
      <c r="T438" s="87"/>
      <c r="U438" s="87"/>
      <c r="V438" s="48"/>
      <c r="W438" s="48"/>
      <c r="X438" s="48"/>
      <c r="Y438" s="48"/>
      <c r="Z438" s="47"/>
      <c r="AA438" s="69">
        <v>438</v>
      </c>
      <c r="AB438" s="69"/>
      <c r="AC438" s="70"/>
      <c r="AD438" s="76" t="s">
        <v>12169</v>
      </c>
      <c r="AE438" s="80" t="s">
        <v>12699</v>
      </c>
      <c r="AF438" s="76">
        <v>48</v>
      </c>
      <c r="AG438" s="76">
        <v>8</v>
      </c>
      <c r="AH438" s="76">
        <v>102</v>
      </c>
      <c r="AI438" s="76">
        <v>1</v>
      </c>
      <c r="AJ438" s="76">
        <v>230</v>
      </c>
      <c r="AK438" s="76">
        <v>32</v>
      </c>
      <c r="AL438" s="76" t="b">
        <v>0</v>
      </c>
      <c r="AM438" s="78">
        <v>40129.055011574077</v>
      </c>
      <c r="AN438" s="76" t="s">
        <v>13086</v>
      </c>
      <c r="AO438" s="76" t="s">
        <v>13623</v>
      </c>
      <c r="AP438" s="82" t="str">
        <f>HYPERLINK("https://t.co/Hkd2aloBG7")</f>
        <v>https://t.co/Hkd2aloBG7</v>
      </c>
      <c r="AQ438" s="82" t="str">
        <f>HYPERLINK("http://raphaelcordova.com/")</f>
        <v>http://raphaelcordova.com/</v>
      </c>
      <c r="AR438" s="76" t="s">
        <v>14177</v>
      </c>
      <c r="AS438" s="76"/>
      <c r="AT438" s="76"/>
      <c r="AU438" s="76"/>
      <c r="AV438" s="76"/>
      <c r="AW438" s="82" t="str">
        <f>HYPERLINK("https://t.co/Hkd2aloBG7")</f>
        <v>https://t.co/Hkd2aloBG7</v>
      </c>
      <c r="AX438" s="76" t="b">
        <v>0</v>
      </c>
      <c r="AY438" s="76"/>
      <c r="AZ438" s="76"/>
      <c r="BA438" s="76" t="b">
        <v>0</v>
      </c>
      <c r="BB438" s="76" t="b">
        <v>0</v>
      </c>
      <c r="BC438" s="76" t="b">
        <v>0</v>
      </c>
      <c r="BD438" s="76" t="b">
        <v>0</v>
      </c>
      <c r="BE438" s="76" t="b">
        <v>0</v>
      </c>
      <c r="BF438" s="76" t="b">
        <v>0</v>
      </c>
      <c r="BG438" s="76" t="b">
        <v>0</v>
      </c>
      <c r="BH438" s="76"/>
      <c r="BI438" s="76"/>
      <c r="BJ438" s="76" t="s">
        <v>14450</v>
      </c>
      <c r="BK438" s="76" t="b">
        <v>0</v>
      </c>
      <c r="BL438" s="76"/>
      <c r="BM438" s="76" t="s">
        <v>66</v>
      </c>
      <c r="BN438" s="76" t="s">
        <v>14452</v>
      </c>
      <c r="BO438" s="82" t="str">
        <f>HYPERLINK("https://twitter.com/raphael_cordova")</f>
        <v>https://twitter.com/raphael_cordova</v>
      </c>
      <c r="BP438" s="2"/>
    </row>
    <row r="439" spans="1:68" x14ac:dyDescent="0.25">
      <c r="A439" s="62" t="s">
        <v>594</v>
      </c>
      <c r="B439" s="63"/>
      <c r="C439" s="63"/>
      <c r="D439" s="64"/>
      <c r="E439" s="66"/>
      <c r="F439" s="103" t="str">
        <f>HYPERLINK("https://pbs.twimg.com/profile_images/1569367480090431494/J-El1jFN_normal.jpg")</f>
        <v>https://pbs.twimg.com/profile_images/1569367480090431494/J-El1jFN_normal.jpg</v>
      </c>
      <c r="G439" s="63"/>
      <c r="H439" s="67"/>
      <c r="I439" s="68"/>
      <c r="J439" s="68"/>
      <c r="K439" s="67" t="s">
        <v>14888</v>
      </c>
      <c r="L439" s="71"/>
      <c r="M439" s="72"/>
      <c r="N439" s="72"/>
      <c r="O439" s="73"/>
      <c r="P439" s="74"/>
      <c r="Q439" s="74"/>
      <c r="R439" s="87"/>
      <c r="S439" s="87"/>
      <c r="T439" s="87"/>
      <c r="U439" s="87"/>
      <c r="V439" s="48"/>
      <c r="W439" s="48"/>
      <c r="X439" s="48"/>
      <c r="Y439" s="48"/>
      <c r="Z439" s="47"/>
      <c r="AA439" s="69">
        <v>439</v>
      </c>
      <c r="AB439" s="69"/>
      <c r="AC439" s="70"/>
      <c r="AD439" s="76" t="s">
        <v>12170</v>
      </c>
      <c r="AE439" s="80" t="s">
        <v>12700</v>
      </c>
      <c r="AF439" s="76">
        <v>2260</v>
      </c>
      <c r="AG439" s="76">
        <v>2178</v>
      </c>
      <c r="AH439" s="76">
        <v>15590</v>
      </c>
      <c r="AI439" s="76">
        <v>63</v>
      </c>
      <c r="AJ439" s="76">
        <v>10552</v>
      </c>
      <c r="AK439" s="76">
        <v>361</v>
      </c>
      <c r="AL439" s="76" t="b">
        <v>0</v>
      </c>
      <c r="AM439" s="78">
        <v>40789.309074074074</v>
      </c>
      <c r="AN439" s="76" t="s">
        <v>13087</v>
      </c>
      <c r="AO439" s="76" t="s">
        <v>13624</v>
      </c>
      <c r="AP439" s="76"/>
      <c r="AQ439" s="76"/>
      <c r="AR439" s="76"/>
      <c r="AS439" s="76"/>
      <c r="AT439" s="76"/>
      <c r="AU439" s="76"/>
      <c r="AV439" s="76">
        <v>1.5714482251391401E+18</v>
      </c>
      <c r="AW439" s="76"/>
      <c r="AX439" s="76" t="b">
        <v>0</v>
      </c>
      <c r="AY439" s="76"/>
      <c r="AZ439" s="76"/>
      <c r="BA439" s="76" t="b">
        <v>0</v>
      </c>
      <c r="BB439" s="76" t="b">
        <v>1</v>
      </c>
      <c r="BC439" s="76" t="b">
        <v>0</v>
      </c>
      <c r="BD439" s="76" t="b">
        <v>0</v>
      </c>
      <c r="BE439" s="76" t="b">
        <v>0</v>
      </c>
      <c r="BF439" s="76" t="b">
        <v>0</v>
      </c>
      <c r="BG439" s="76" t="b">
        <v>0</v>
      </c>
      <c r="BH439" s="82" t="str">
        <f>HYPERLINK("https://pbs.twimg.com/profile_banners/367024615/1663001340")</f>
        <v>https://pbs.twimg.com/profile_banners/367024615/1663001340</v>
      </c>
      <c r="BI439" s="76"/>
      <c r="BJ439" s="76" t="s">
        <v>14450</v>
      </c>
      <c r="BK439" s="76" t="b">
        <v>0</v>
      </c>
      <c r="BL439" s="76"/>
      <c r="BM439" s="76" t="s">
        <v>66</v>
      </c>
      <c r="BN439" s="76" t="s">
        <v>14452</v>
      </c>
      <c r="BO439" s="82" t="str">
        <f>HYPERLINK("https://twitter.com/zaloalo")</f>
        <v>https://twitter.com/zaloalo</v>
      </c>
      <c r="BP439" s="2"/>
    </row>
    <row r="440" spans="1:68" x14ac:dyDescent="0.25">
      <c r="A440" s="62" t="s">
        <v>595</v>
      </c>
      <c r="B440" s="63"/>
      <c r="C440" s="63"/>
      <c r="D440" s="64"/>
      <c r="E440" s="66"/>
      <c r="F440" s="103" t="str">
        <f>HYPERLINK("https://pbs.twimg.com/profile_images/1514390518884675596/zo56Lnnd_normal.jpg")</f>
        <v>https://pbs.twimg.com/profile_images/1514390518884675596/zo56Lnnd_normal.jpg</v>
      </c>
      <c r="G440" s="63"/>
      <c r="H440" s="67"/>
      <c r="I440" s="68"/>
      <c r="J440" s="68"/>
      <c r="K440" s="67" t="s">
        <v>14889</v>
      </c>
      <c r="L440" s="71"/>
      <c r="M440" s="72"/>
      <c r="N440" s="72"/>
      <c r="O440" s="73"/>
      <c r="P440" s="74"/>
      <c r="Q440" s="74"/>
      <c r="R440" s="87"/>
      <c r="S440" s="87"/>
      <c r="T440" s="87"/>
      <c r="U440" s="87"/>
      <c r="V440" s="48"/>
      <c r="W440" s="48"/>
      <c r="X440" s="48"/>
      <c r="Y440" s="48"/>
      <c r="Z440" s="47"/>
      <c r="AA440" s="69">
        <v>440</v>
      </c>
      <c r="AB440" s="69"/>
      <c r="AC440" s="70"/>
      <c r="AD440" s="76" t="s">
        <v>12171</v>
      </c>
      <c r="AE440" s="80" t="s">
        <v>11588</v>
      </c>
      <c r="AF440" s="76">
        <v>14</v>
      </c>
      <c r="AG440" s="76">
        <v>10</v>
      </c>
      <c r="AH440" s="76">
        <v>709</v>
      </c>
      <c r="AI440" s="76">
        <v>0</v>
      </c>
      <c r="AJ440" s="76">
        <v>70</v>
      </c>
      <c r="AK440" s="76">
        <v>694</v>
      </c>
      <c r="AL440" s="76" t="b">
        <v>0</v>
      </c>
      <c r="AM440" s="78">
        <v>44664.63480324074</v>
      </c>
      <c r="AN440" s="76" t="s">
        <v>13088</v>
      </c>
      <c r="AO440" s="76" t="s">
        <v>13625</v>
      </c>
      <c r="AP440" s="76"/>
      <c r="AQ440" s="76"/>
      <c r="AR440" s="76"/>
      <c r="AS440" s="76"/>
      <c r="AT440" s="76"/>
      <c r="AU440" s="76"/>
      <c r="AV440" s="76"/>
      <c r="AW440" s="76"/>
      <c r="AX440" s="76" t="b">
        <v>0</v>
      </c>
      <c r="AY440" s="76"/>
      <c r="AZ440" s="76"/>
      <c r="BA440" s="76" t="b">
        <v>0</v>
      </c>
      <c r="BB440" s="76" t="b">
        <v>0</v>
      </c>
      <c r="BC440" s="76" t="b">
        <v>1</v>
      </c>
      <c r="BD440" s="76" t="b">
        <v>0</v>
      </c>
      <c r="BE440" s="76" t="b">
        <v>0</v>
      </c>
      <c r="BF440" s="76" t="b">
        <v>0</v>
      </c>
      <c r="BG440" s="76" t="b">
        <v>0</v>
      </c>
      <c r="BH440" s="76"/>
      <c r="BI440" s="76"/>
      <c r="BJ440" s="76" t="s">
        <v>14450</v>
      </c>
      <c r="BK440" s="76" t="b">
        <v>0</v>
      </c>
      <c r="BL440" s="76"/>
      <c r="BM440" s="76" t="s">
        <v>66</v>
      </c>
      <c r="BN440" s="76" t="s">
        <v>14452</v>
      </c>
      <c r="BO440" s="82" t="str">
        <f>HYPERLINK("https://twitter.com/guardianaliento")</f>
        <v>https://twitter.com/guardianaliento</v>
      </c>
      <c r="BP440" s="2"/>
    </row>
    <row r="441" spans="1:68" x14ac:dyDescent="0.25">
      <c r="A441" s="62" t="s">
        <v>596</v>
      </c>
      <c r="B441" s="63"/>
      <c r="C441" s="63"/>
      <c r="D441" s="64"/>
      <c r="E441" s="66"/>
      <c r="F441" s="103" t="str">
        <f>HYPERLINK("https://pbs.twimg.com/profile_images/1403442647252013061/Owz8y14S_normal.jpg")</f>
        <v>https://pbs.twimg.com/profile_images/1403442647252013061/Owz8y14S_normal.jpg</v>
      </c>
      <c r="G441" s="63"/>
      <c r="H441" s="67"/>
      <c r="I441" s="68"/>
      <c r="J441" s="68"/>
      <c r="K441" s="67" t="s">
        <v>14890</v>
      </c>
      <c r="L441" s="71"/>
      <c r="M441" s="72"/>
      <c r="N441" s="72"/>
      <c r="O441" s="73"/>
      <c r="P441" s="74"/>
      <c r="Q441" s="74"/>
      <c r="R441" s="87"/>
      <c r="S441" s="87"/>
      <c r="T441" s="87"/>
      <c r="U441" s="87"/>
      <c r="V441" s="48"/>
      <c r="W441" s="48"/>
      <c r="X441" s="48"/>
      <c r="Y441" s="48"/>
      <c r="Z441" s="47"/>
      <c r="AA441" s="69">
        <v>441</v>
      </c>
      <c r="AB441" s="69"/>
      <c r="AC441" s="70"/>
      <c r="AD441" s="76" t="s">
        <v>12172</v>
      </c>
      <c r="AE441" s="80" t="s">
        <v>11589</v>
      </c>
      <c r="AF441" s="76">
        <v>104</v>
      </c>
      <c r="AG441" s="76">
        <v>765</v>
      </c>
      <c r="AH441" s="76">
        <v>504</v>
      </c>
      <c r="AI441" s="76">
        <v>0</v>
      </c>
      <c r="AJ441" s="76">
        <v>407</v>
      </c>
      <c r="AK441" s="76">
        <v>0</v>
      </c>
      <c r="AL441" s="76" t="b">
        <v>0</v>
      </c>
      <c r="AM441" s="78">
        <v>44358.834363425929</v>
      </c>
      <c r="AN441" s="76"/>
      <c r="AO441" s="76" t="s">
        <v>13626</v>
      </c>
      <c r="AP441" s="76"/>
      <c r="AQ441" s="76"/>
      <c r="AR441" s="76"/>
      <c r="AS441" s="82" t="str">
        <f>HYPERLINK("https://t.co/QVStRNjWCe")</f>
        <v>https://t.co/QVStRNjWCe</v>
      </c>
      <c r="AT441" s="82" t="str">
        <f>HYPERLINK("https://linktr.ee/radiostudio")</f>
        <v>https://linktr.ee/radiostudio</v>
      </c>
      <c r="AU441" s="76" t="s">
        <v>14428</v>
      </c>
      <c r="AV441" s="76"/>
      <c r="AW441" s="76"/>
      <c r="AX441" s="76" t="b">
        <v>0</v>
      </c>
      <c r="AY441" s="76"/>
      <c r="AZ441" s="76"/>
      <c r="BA441" s="76" t="b">
        <v>0</v>
      </c>
      <c r="BB441" s="76" t="b">
        <v>1</v>
      </c>
      <c r="BC441" s="76" t="b">
        <v>1</v>
      </c>
      <c r="BD441" s="76" t="b">
        <v>0</v>
      </c>
      <c r="BE441" s="76" t="b">
        <v>0</v>
      </c>
      <c r="BF441" s="76" t="b">
        <v>0</v>
      </c>
      <c r="BG441" s="76" t="b">
        <v>0</v>
      </c>
      <c r="BH441" s="76"/>
      <c r="BI441" s="76"/>
      <c r="BJ441" s="76" t="s">
        <v>14450</v>
      </c>
      <c r="BK441" s="76" t="b">
        <v>0</v>
      </c>
      <c r="BL441" s="76"/>
      <c r="BM441" s="76" t="s">
        <v>66</v>
      </c>
      <c r="BN441" s="76" t="s">
        <v>14452</v>
      </c>
      <c r="BO441" s="82" t="str">
        <f>HYPERLINK("https://twitter.com/rdiostudiobr1")</f>
        <v>https://twitter.com/rdiostudiobr1</v>
      </c>
      <c r="BP441" s="2"/>
    </row>
    <row r="442" spans="1:68" x14ac:dyDescent="0.25">
      <c r="A442" s="62" t="s">
        <v>597</v>
      </c>
      <c r="B442" s="63"/>
      <c r="C442" s="63"/>
      <c r="D442" s="64"/>
      <c r="E442" s="66"/>
      <c r="F442" s="103" t="str">
        <f>HYPERLINK("https://pbs.twimg.com/profile_images/1706117347445006336/PZ_ITRpo_normal.jpg")</f>
        <v>https://pbs.twimg.com/profile_images/1706117347445006336/PZ_ITRpo_normal.jpg</v>
      </c>
      <c r="G442" s="63"/>
      <c r="H442" s="67"/>
      <c r="I442" s="68"/>
      <c r="J442" s="68"/>
      <c r="K442" s="67" t="s">
        <v>14891</v>
      </c>
      <c r="L442" s="71"/>
      <c r="M442" s="72"/>
      <c r="N442" s="72"/>
      <c r="O442" s="73"/>
      <c r="P442" s="74"/>
      <c r="Q442" s="74"/>
      <c r="R442" s="87"/>
      <c r="S442" s="87"/>
      <c r="T442" s="87"/>
      <c r="U442" s="87"/>
      <c r="V442" s="48"/>
      <c r="W442" s="48"/>
      <c r="X442" s="48"/>
      <c r="Y442" s="48"/>
      <c r="Z442" s="47"/>
      <c r="AA442" s="69">
        <v>442</v>
      </c>
      <c r="AB442" s="69"/>
      <c r="AC442" s="70"/>
      <c r="AD442" s="76" t="s">
        <v>12173</v>
      </c>
      <c r="AE442" s="80" t="s">
        <v>11590</v>
      </c>
      <c r="AF442" s="76">
        <v>836</v>
      </c>
      <c r="AG442" s="76">
        <v>1032</v>
      </c>
      <c r="AH442" s="76">
        <v>95364</v>
      </c>
      <c r="AI442" s="76">
        <v>1</v>
      </c>
      <c r="AJ442" s="76">
        <v>69558</v>
      </c>
      <c r="AK442" s="76">
        <v>10761</v>
      </c>
      <c r="AL442" s="76" t="b">
        <v>0</v>
      </c>
      <c r="AM442" s="78">
        <v>43858.138958333337</v>
      </c>
      <c r="AN442" s="76" t="s">
        <v>12884</v>
      </c>
      <c r="AO442" s="76" t="s">
        <v>13627</v>
      </c>
      <c r="AP442" s="76"/>
      <c r="AQ442" s="76"/>
      <c r="AR442" s="76"/>
      <c r="AS442" s="76"/>
      <c r="AT442" s="76"/>
      <c r="AU442" s="76"/>
      <c r="AV442" s="76">
        <v>1.70581558625136E+18</v>
      </c>
      <c r="AW442" s="76"/>
      <c r="AX442" s="76" t="b">
        <v>0</v>
      </c>
      <c r="AY442" s="76"/>
      <c r="AZ442" s="76"/>
      <c r="BA442" s="76" t="b">
        <v>0</v>
      </c>
      <c r="BB442" s="76" t="b">
        <v>0</v>
      </c>
      <c r="BC442" s="76" t="b">
        <v>1</v>
      </c>
      <c r="BD442" s="76" t="b">
        <v>0</v>
      </c>
      <c r="BE442" s="76" t="b">
        <v>0</v>
      </c>
      <c r="BF442" s="76" t="b">
        <v>0</v>
      </c>
      <c r="BG442" s="76" t="b">
        <v>0</v>
      </c>
      <c r="BH442" s="82" t="str">
        <f>HYPERLINK("https://pbs.twimg.com/profile_banners/1221996074354794496/1695605118")</f>
        <v>https://pbs.twimg.com/profile_banners/1221996074354794496/1695605118</v>
      </c>
      <c r="BI442" s="76"/>
      <c r="BJ442" s="76" t="s">
        <v>14450</v>
      </c>
      <c r="BK442" s="76" t="b">
        <v>0</v>
      </c>
      <c r="BL442" s="76"/>
      <c r="BM442" s="76" t="s">
        <v>66</v>
      </c>
      <c r="BN442" s="76" t="s">
        <v>14452</v>
      </c>
      <c r="BO442" s="82" t="str">
        <f>HYPERLINK("https://twitter.com/katherin8782818")</f>
        <v>https://twitter.com/katherin8782818</v>
      </c>
      <c r="BP442" s="2"/>
    </row>
    <row r="443" spans="1:68" x14ac:dyDescent="0.25">
      <c r="A443" s="62" t="s">
        <v>598</v>
      </c>
      <c r="B443" s="63"/>
      <c r="C443" s="63"/>
      <c r="D443" s="64"/>
      <c r="E443" s="66"/>
      <c r="F443" s="103" t="str">
        <f>HYPERLINK("https://pbs.twimg.com/profile_images/1648784647277498369/pds0kfYO_normal.jpg")</f>
        <v>https://pbs.twimg.com/profile_images/1648784647277498369/pds0kfYO_normal.jpg</v>
      </c>
      <c r="G443" s="63"/>
      <c r="H443" s="67"/>
      <c r="I443" s="68"/>
      <c r="J443" s="68"/>
      <c r="K443" s="67" t="s">
        <v>14892</v>
      </c>
      <c r="L443" s="71"/>
      <c r="M443" s="72"/>
      <c r="N443" s="72"/>
      <c r="O443" s="73"/>
      <c r="P443" s="74"/>
      <c r="Q443" s="74"/>
      <c r="R443" s="87"/>
      <c r="S443" s="87"/>
      <c r="T443" s="87"/>
      <c r="U443" s="87"/>
      <c r="V443" s="48"/>
      <c r="W443" s="48"/>
      <c r="X443" s="48"/>
      <c r="Y443" s="48"/>
      <c r="Z443" s="47"/>
      <c r="AA443" s="69">
        <v>443</v>
      </c>
      <c r="AB443" s="69"/>
      <c r="AC443" s="70"/>
      <c r="AD443" s="76" t="s">
        <v>12174</v>
      </c>
      <c r="AE443" s="80" t="s">
        <v>11591</v>
      </c>
      <c r="AF443" s="76">
        <v>39</v>
      </c>
      <c r="AG443" s="76">
        <v>29</v>
      </c>
      <c r="AH443" s="76">
        <v>195</v>
      </c>
      <c r="AI443" s="76">
        <v>0</v>
      </c>
      <c r="AJ443" s="76">
        <v>58</v>
      </c>
      <c r="AK443" s="76">
        <v>19</v>
      </c>
      <c r="AL443" s="76" t="b">
        <v>0</v>
      </c>
      <c r="AM443" s="78">
        <v>45035.844629629632</v>
      </c>
      <c r="AN443" s="76" t="s">
        <v>13089</v>
      </c>
      <c r="AO443" s="76" t="s">
        <v>13628</v>
      </c>
      <c r="AP443" s="82" t="str">
        <f>HYPERLINK("https://t.co/XakRE9uIhh")</f>
        <v>https://t.co/XakRE9uIhh</v>
      </c>
      <c r="AQ443" s="82" t="str">
        <f>HYPERLINK("http://www.manifesteddreams.org")</f>
        <v>http://www.manifesteddreams.org</v>
      </c>
      <c r="AR443" s="76" t="s">
        <v>14178</v>
      </c>
      <c r="AS443" s="76"/>
      <c r="AT443" s="76"/>
      <c r="AU443" s="76"/>
      <c r="AV443" s="76"/>
      <c r="AW443" s="82" t="str">
        <f>HYPERLINK("https://t.co/XakRE9uIhh")</f>
        <v>https://t.co/XakRE9uIhh</v>
      </c>
      <c r="AX443" s="76" t="b">
        <v>0</v>
      </c>
      <c r="AY443" s="76"/>
      <c r="AZ443" s="76"/>
      <c r="BA443" s="76" t="b">
        <v>0</v>
      </c>
      <c r="BB443" s="76" t="b">
        <v>1</v>
      </c>
      <c r="BC443" s="76" t="b">
        <v>1</v>
      </c>
      <c r="BD443" s="76" t="b">
        <v>0</v>
      </c>
      <c r="BE443" s="76" t="b">
        <v>0</v>
      </c>
      <c r="BF443" s="76" t="b">
        <v>0</v>
      </c>
      <c r="BG443" s="76" t="b">
        <v>0</v>
      </c>
      <c r="BH443" s="82" t="str">
        <f>HYPERLINK("https://pbs.twimg.com/profile_banners/1648782505380593673/1681935868")</f>
        <v>https://pbs.twimg.com/profile_banners/1648782505380593673/1681935868</v>
      </c>
      <c r="BI443" s="76"/>
      <c r="BJ443" s="76" t="s">
        <v>14450</v>
      </c>
      <c r="BK443" s="76" t="b">
        <v>0</v>
      </c>
      <c r="BL443" s="76"/>
      <c r="BM443" s="76" t="s">
        <v>66</v>
      </c>
      <c r="BN443" s="76" t="s">
        <v>14452</v>
      </c>
      <c r="BO443" s="82" t="str">
        <f>HYPERLINK("https://twitter.com/mnifstddreams")</f>
        <v>https://twitter.com/mnifstddreams</v>
      </c>
      <c r="BP443" s="2"/>
    </row>
    <row r="444" spans="1:68" x14ac:dyDescent="0.25">
      <c r="A444" s="62" t="s">
        <v>599</v>
      </c>
      <c r="B444" s="63"/>
      <c r="C444" s="63"/>
      <c r="D444" s="64"/>
      <c r="E444" s="66"/>
      <c r="F444" s="103" t="str">
        <f>HYPERLINK("https://pbs.twimg.com/profile_images/1633264529722290176/Az__ADUD_normal.jpg")</f>
        <v>https://pbs.twimg.com/profile_images/1633264529722290176/Az__ADUD_normal.jpg</v>
      </c>
      <c r="G444" s="63"/>
      <c r="H444" s="67"/>
      <c r="I444" s="68"/>
      <c r="J444" s="68"/>
      <c r="K444" s="67" t="s">
        <v>14893</v>
      </c>
      <c r="L444" s="71"/>
      <c r="M444" s="72"/>
      <c r="N444" s="72"/>
      <c r="O444" s="73"/>
      <c r="P444" s="74"/>
      <c r="Q444" s="74"/>
      <c r="R444" s="87"/>
      <c r="S444" s="87"/>
      <c r="T444" s="87"/>
      <c r="U444" s="87"/>
      <c r="V444" s="48"/>
      <c r="W444" s="48"/>
      <c r="X444" s="48"/>
      <c r="Y444" s="48"/>
      <c r="Z444" s="47"/>
      <c r="AA444" s="69">
        <v>444</v>
      </c>
      <c r="AB444" s="69"/>
      <c r="AC444" s="70"/>
      <c r="AD444" s="76" t="s">
        <v>12175</v>
      </c>
      <c r="AE444" s="80" t="s">
        <v>11592</v>
      </c>
      <c r="AF444" s="76">
        <v>5</v>
      </c>
      <c r="AG444" s="76">
        <v>16</v>
      </c>
      <c r="AH444" s="76">
        <v>5</v>
      </c>
      <c r="AI444" s="76">
        <v>0</v>
      </c>
      <c r="AJ444" s="76">
        <v>4</v>
      </c>
      <c r="AK444" s="76">
        <v>3</v>
      </c>
      <c r="AL444" s="76" t="b">
        <v>0</v>
      </c>
      <c r="AM444" s="78">
        <v>43521.176319444443</v>
      </c>
      <c r="AN444" s="76" t="s">
        <v>13090</v>
      </c>
      <c r="AO444" s="76" t="s">
        <v>13629</v>
      </c>
      <c r="AP444" s="82" t="str">
        <f>HYPERLINK("https://t.co/p4NybrgAgs")</f>
        <v>https://t.co/p4NybrgAgs</v>
      </c>
      <c r="AQ444" s="82" t="str">
        <f>HYPERLINK("http://www.vcsmasterclass.com.br")</f>
        <v>http://www.vcsmasterclass.com.br</v>
      </c>
      <c r="AR444" s="76" t="s">
        <v>14179</v>
      </c>
      <c r="AS444" s="76"/>
      <c r="AT444" s="76"/>
      <c r="AU444" s="76"/>
      <c r="AV444" s="76"/>
      <c r="AW444" s="82" t="str">
        <f>HYPERLINK("https://t.co/p4NybrgAgs")</f>
        <v>https://t.co/p4NybrgAgs</v>
      </c>
      <c r="AX444" s="76" t="b">
        <v>0</v>
      </c>
      <c r="AY444" s="76"/>
      <c r="AZ444" s="76"/>
      <c r="BA444" s="76" t="b">
        <v>0</v>
      </c>
      <c r="BB444" s="76" t="b">
        <v>1</v>
      </c>
      <c r="BC444" s="76" t="b">
        <v>1</v>
      </c>
      <c r="BD444" s="76" t="b">
        <v>0</v>
      </c>
      <c r="BE444" s="76" t="b">
        <v>0</v>
      </c>
      <c r="BF444" s="76" t="b">
        <v>0</v>
      </c>
      <c r="BG444" s="76" t="b">
        <v>0</v>
      </c>
      <c r="BH444" s="82" t="str">
        <f>HYPERLINK("https://pbs.twimg.com/profile_banners/1099885171871023104/1678235594")</f>
        <v>https://pbs.twimg.com/profile_banners/1099885171871023104/1678235594</v>
      </c>
      <c r="BI444" s="76"/>
      <c r="BJ444" s="76" t="s">
        <v>14450</v>
      </c>
      <c r="BK444" s="76" t="b">
        <v>0</v>
      </c>
      <c r="BL444" s="76"/>
      <c r="BM444" s="76" t="s">
        <v>66</v>
      </c>
      <c r="BN444" s="76" t="s">
        <v>14452</v>
      </c>
      <c r="BO444" s="82" t="str">
        <f>HYPERLINK("https://twitter.com/viniciusdiferr1")</f>
        <v>https://twitter.com/viniciusdiferr1</v>
      </c>
      <c r="BP444" s="2"/>
    </row>
    <row r="445" spans="1:68" x14ac:dyDescent="0.25">
      <c r="A445" s="62" t="s">
        <v>600</v>
      </c>
      <c r="B445" s="63"/>
      <c r="C445" s="63"/>
      <c r="D445" s="64"/>
      <c r="E445" s="66"/>
      <c r="F445" s="103" t="str">
        <f>HYPERLINK("https://pbs.twimg.com/profile_images/1447935156833169409/DQSH2gtZ_normal.jpg")</f>
        <v>https://pbs.twimg.com/profile_images/1447935156833169409/DQSH2gtZ_normal.jpg</v>
      </c>
      <c r="G445" s="63"/>
      <c r="H445" s="67"/>
      <c r="I445" s="68"/>
      <c r="J445" s="68"/>
      <c r="K445" s="67" t="s">
        <v>14894</v>
      </c>
      <c r="L445" s="71"/>
      <c r="M445" s="72"/>
      <c r="N445" s="72"/>
      <c r="O445" s="73"/>
      <c r="P445" s="74"/>
      <c r="Q445" s="74"/>
      <c r="R445" s="87"/>
      <c r="S445" s="87"/>
      <c r="T445" s="87"/>
      <c r="U445" s="87"/>
      <c r="V445" s="48"/>
      <c r="W445" s="48"/>
      <c r="X445" s="48"/>
      <c r="Y445" s="48"/>
      <c r="Z445" s="47"/>
      <c r="AA445" s="69">
        <v>445</v>
      </c>
      <c r="AB445" s="69"/>
      <c r="AC445" s="70"/>
      <c r="AD445" s="76" t="s">
        <v>12176</v>
      </c>
      <c r="AE445" s="80" t="s">
        <v>11593</v>
      </c>
      <c r="AF445" s="76">
        <v>87</v>
      </c>
      <c r="AG445" s="76">
        <v>319</v>
      </c>
      <c r="AH445" s="76">
        <v>924</v>
      </c>
      <c r="AI445" s="76">
        <v>0</v>
      </c>
      <c r="AJ445" s="76">
        <v>944</v>
      </c>
      <c r="AK445" s="76">
        <v>2</v>
      </c>
      <c r="AL445" s="76" t="b">
        <v>0</v>
      </c>
      <c r="AM445" s="78">
        <v>44481.610196759262</v>
      </c>
      <c r="AN445" s="76"/>
      <c r="AO445" s="76"/>
      <c r="AP445" s="76"/>
      <c r="AQ445" s="76"/>
      <c r="AR445" s="76"/>
      <c r="AS445" s="76"/>
      <c r="AT445" s="76"/>
      <c r="AU445" s="76"/>
      <c r="AV445" s="76"/>
      <c r="AW445" s="76"/>
      <c r="AX445" s="76" t="b">
        <v>0</v>
      </c>
      <c r="AY445" s="76"/>
      <c r="AZ445" s="76"/>
      <c r="BA445" s="76" t="b">
        <v>0</v>
      </c>
      <c r="BB445" s="76" t="b">
        <v>1</v>
      </c>
      <c r="BC445" s="76" t="b">
        <v>1</v>
      </c>
      <c r="BD445" s="76" t="b">
        <v>0</v>
      </c>
      <c r="BE445" s="76" t="b">
        <v>0</v>
      </c>
      <c r="BF445" s="76" t="b">
        <v>0</v>
      </c>
      <c r="BG445" s="76" t="b">
        <v>0</v>
      </c>
      <c r="BH445" s="76"/>
      <c r="BI445" s="76"/>
      <c r="BJ445" s="76" t="s">
        <v>14450</v>
      </c>
      <c r="BK445" s="76" t="b">
        <v>0</v>
      </c>
      <c r="BL445" s="76"/>
      <c r="BM445" s="76" t="s">
        <v>66</v>
      </c>
      <c r="BN445" s="76" t="s">
        <v>14452</v>
      </c>
      <c r="BO445" s="82" t="str">
        <f>HYPERLINK("https://twitter.com/puschinni")</f>
        <v>https://twitter.com/puschinni</v>
      </c>
      <c r="BP445" s="2"/>
    </row>
    <row r="446" spans="1:68" x14ac:dyDescent="0.25">
      <c r="A446" s="62" t="s">
        <v>601</v>
      </c>
      <c r="B446" s="63"/>
      <c r="C446" s="63"/>
      <c r="D446" s="64"/>
      <c r="E446" s="66"/>
      <c r="F446" s="103" t="str">
        <f>HYPERLINK("https://pbs.twimg.com/profile_images/1500950013442154508/1CVZH0CG_normal.jpg")</f>
        <v>https://pbs.twimg.com/profile_images/1500950013442154508/1CVZH0CG_normal.jpg</v>
      </c>
      <c r="G446" s="63"/>
      <c r="H446" s="67"/>
      <c r="I446" s="68"/>
      <c r="J446" s="68"/>
      <c r="K446" s="67" t="s">
        <v>14895</v>
      </c>
      <c r="L446" s="71"/>
      <c r="M446" s="72"/>
      <c r="N446" s="72"/>
      <c r="O446" s="73"/>
      <c r="P446" s="74"/>
      <c r="Q446" s="74"/>
      <c r="R446" s="87"/>
      <c r="S446" s="87"/>
      <c r="T446" s="87"/>
      <c r="U446" s="87"/>
      <c r="V446" s="48"/>
      <c r="W446" s="48"/>
      <c r="X446" s="48"/>
      <c r="Y446" s="48"/>
      <c r="Z446" s="47"/>
      <c r="AA446" s="69">
        <v>446</v>
      </c>
      <c r="AB446" s="69"/>
      <c r="AC446" s="70"/>
      <c r="AD446" s="76" t="s">
        <v>12177</v>
      </c>
      <c r="AE446" s="80" t="s">
        <v>12701</v>
      </c>
      <c r="AF446" s="76">
        <v>380</v>
      </c>
      <c r="AG446" s="76">
        <v>199</v>
      </c>
      <c r="AH446" s="76">
        <v>11141</v>
      </c>
      <c r="AI446" s="76">
        <v>5</v>
      </c>
      <c r="AJ446" s="76">
        <v>68018</v>
      </c>
      <c r="AK446" s="76">
        <v>1239</v>
      </c>
      <c r="AL446" s="76" t="b">
        <v>0</v>
      </c>
      <c r="AM446" s="78">
        <v>41988.851365740738</v>
      </c>
      <c r="AN446" s="76" t="s">
        <v>13010</v>
      </c>
      <c r="AO446" s="76" t="s">
        <v>13630</v>
      </c>
      <c r="AP446" s="76"/>
      <c r="AQ446" s="76"/>
      <c r="AR446" s="76"/>
      <c r="AS446" s="76"/>
      <c r="AT446" s="76"/>
      <c r="AU446" s="76"/>
      <c r="AV446" s="76"/>
      <c r="AW446" s="76"/>
      <c r="AX446" s="76" t="b">
        <v>0</v>
      </c>
      <c r="AY446" s="76"/>
      <c r="AZ446" s="76"/>
      <c r="BA446" s="76" t="b">
        <v>1</v>
      </c>
      <c r="BB446" s="76" t="b">
        <v>1</v>
      </c>
      <c r="BC446" s="76" t="b">
        <v>1</v>
      </c>
      <c r="BD446" s="76" t="b">
        <v>0</v>
      </c>
      <c r="BE446" s="76" t="b">
        <v>1</v>
      </c>
      <c r="BF446" s="76" t="b">
        <v>0</v>
      </c>
      <c r="BG446" s="76" t="b">
        <v>0</v>
      </c>
      <c r="BH446" s="82" t="str">
        <f>HYPERLINK("https://pbs.twimg.com/profile_banners/2923557713/1646723019")</f>
        <v>https://pbs.twimg.com/profile_banners/2923557713/1646723019</v>
      </c>
      <c r="BI446" s="76"/>
      <c r="BJ446" s="76" t="s">
        <v>14450</v>
      </c>
      <c r="BK446" s="76" t="b">
        <v>0</v>
      </c>
      <c r="BL446" s="76"/>
      <c r="BM446" s="76" t="s">
        <v>66</v>
      </c>
      <c r="BN446" s="76" t="s">
        <v>14452</v>
      </c>
      <c r="BO446" s="82" t="str">
        <f>HYPERLINK("https://twitter.com/rasinkavz")</f>
        <v>https://twitter.com/rasinkavz</v>
      </c>
      <c r="BP446" s="2"/>
    </row>
    <row r="447" spans="1:68" x14ac:dyDescent="0.25">
      <c r="A447" s="62" t="s">
        <v>931</v>
      </c>
      <c r="B447" s="63"/>
      <c r="C447" s="63"/>
      <c r="D447" s="64"/>
      <c r="E447" s="66"/>
      <c r="F447" s="103" t="str">
        <f>HYPERLINK("https://pbs.twimg.com/profile_images/1427292844612595720/RC1YSvuT_normal.jpg")</f>
        <v>https://pbs.twimg.com/profile_images/1427292844612595720/RC1YSvuT_normal.jpg</v>
      </c>
      <c r="G447" s="63"/>
      <c r="H447" s="67"/>
      <c r="I447" s="68"/>
      <c r="J447" s="68"/>
      <c r="K447" s="67" t="s">
        <v>14896</v>
      </c>
      <c r="L447" s="71"/>
      <c r="M447" s="72"/>
      <c r="N447" s="72"/>
      <c r="O447" s="73"/>
      <c r="P447" s="74"/>
      <c r="Q447" s="74"/>
      <c r="R447" s="87"/>
      <c r="S447" s="87"/>
      <c r="T447" s="87"/>
      <c r="U447" s="87"/>
      <c r="V447" s="48"/>
      <c r="W447" s="48"/>
      <c r="X447" s="48"/>
      <c r="Y447" s="48"/>
      <c r="Z447" s="47"/>
      <c r="AA447" s="69">
        <v>447</v>
      </c>
      <c r="AB447" s="69"/>
      <c r="AC447" s="70"/>
      <c r="AD447" s="76" t="s">
        <v>12178</v>
      </c>
      <c r="AE447" s="80" t="s">
        <v>12702</v>
      </c>
      <c r="AF447" s="76">
        <v>79308925</v>
      </c>
      <c r="AG447" s="76">
        <v>1179</v>
      </c>
      <c r="AH447" s="76">
        <v>56599</v>
      </c>
      <c r="AI447" s="76">
        <v>79878</v>
      </c>
      <c r="AJ447" s="76">
        <v>6177</v>
      </c>
      <c r="AK447" s="76">
        <v>15682</v>
      </c>
      <c r="AL447" s="76" t="b">
        <v>0</v>
      </c>
      <c r="AM447" s="78">
        <v>39399.905393518522</v>
      </c>
      <c r="AN447" s="76" t="s">
        <v>13091</v>
      </c>
      <c r="AO447" s="76" t="s">
        <v>13631</v>
      </c>
      <c r="AP447" s="82" t="str">
        <f>HYPERLINK("https://t.co/bUisN3Y1A6")</f>
        <v>https://t.co/bUisN3Y1A6</v>
      </c>
      <c r="AQ447" s="82" t="str">
        <f>HYPERLINK("http://youtube.com")</f>
        <v>http://youtube.com</v>
      </c>
      <c r="AR447" s="76" t="s">
        <v>4225</v>
      </c>
      <c r="AS447" s="76"/>
      <c r="AT447" s="76"/>
      <c r="AU447" s="76"/>
      <c r="AV447" s="76"/>
      <c r="AW447" s="82" t="str">
        <f>HYPERLINK("https://t.co/bUisN3Y1A6")</f>
        <v>https://t.co/bUisN3Y1A6</v>
      </c>
      <c r="AX447" s="76" t="b">
        <v>1</v>
      </c>
      <c r="AY447" s="76"/>
      <c r="AZ447" s="76"/>
      <c r="BA447" s="76" t="b">
        <v>0</v>
      </c>
      <c r="BB447" s="76" t="b">
        <v>1</v>
      </c>
      <c r="BC447" s="76" t="b">
        <v>0</v>
      </c>
      <c r="BD447" s="76" t="b">
        <v>0</v>
      </c>
      <c r="BE447" s="76" t="b">
        <v>1</v>
      </c>
      <c r="BF447" s="76" t="b">
        <v>0</v>
      </c>
      <c r="BG447" s="76" t="b">
        <v>0</v>
      </c>
      <c r="BH447" s="82" t="str">
        <f>HYPERLINK("https://pbs.twimg.com/profile_banners/10228272/1694793799")</f>
        <v>https://pbs.twimg.com/profile_banners/10228272/1694793799</v>
      </c>
      <c r="BI447" s="76"/>
      <c r="BJ447" s="76" t="s">
        <v>14451</v>
      </c>
      <c r="BK447" s="76" t="b">
        <v>0</v>
      </c>
      <c r="BL447" s="76"/>
      <c r="BM447" s="76" t="s">
        <v>65</v>
      </c>
      <c r="BN447" s="76" t="s">
        <v>14452</v>
      </c>
      <c r="BO447" s="82" t="str">
        <f>HYPERLINK("https://twitter.com/youtube")</f>
        <v>https://twitter.com/youtube</v>
      </c>
      <c r="BP447" s="2"/>
    </row>
    <row r="448" spans="1:68" x14ac:dyDescent="0.25">
      <c r="A448" s="62" t="s">
        <v>602</v>
      </c>
      <c r="B448" s="63"/>
      <c r="C448" s="63"/>
      <c r="D448" s="64"/>
      <c r="E448" s="66"/>
      <c r="F448" s="103" t="str">
        <f>HYPERLINK("https://pbs.twimg.com/profile_images/1674869631348006920/qat0oxg4_normal.jpg")</f>
        <v>https://pbs.twimg.com/profile_images/1674869631348006920/qat0oxg4_normal.jpg</v>
      </c>
      <c r="G448" s="63"/>
      <c r="H448" s="67"/>
      <c r="I448" s="68"/>
      <c r="J448" s="68"/>
      <c r="K448" s="67" t="s">
        <v>14897</v>
      </c>
      <c r="L448" s="71"/>
      <c r="M448" s="72"/>
      <c r="N448" s="72"/>
      <c r="O448" s="73"/>
      <c r="P448" s="74"/>
      <c r="Q448" s="74"/>
      <c r="R448" s="87"/>
      <c r="S448" s="87"/>
      <c r="T448" s="87"/>
      <c r="U448" s="87"/>
      <c r="V448" s="48"/>
      <c r="W448" s="48"/>
      <c r="X448" s="48"/>
      <c r="Y448" s="48"/>
      <c r="Z448" s="47"/>
      <c r="AA448" s="69">
        <v>448</v>
      </c>
      <c r="AB448" s="69"/>
      <c r="AC448" s="70"/>
      <c r="AD448" s="76" t="s">
        <v>12179</v>
      </c>
      <c r="AE448" s="80" t="s">
        <v>11594</v>
      </c>
      <c r="AF448" s="76">
        <v>52</v>
      </c>
      <c r="AG448" s="76">
        <v>2</v>
      </c>
      <c r="AH448" s="76">
        <v>34</v>
      </c>
      <c r="AI448" s="76">
        <v>0</v>
      </c>
      <c r="AJ448" s="76">
        <v>3</v>
      </c>
      <c r="AK448" s="76">
        <v>34</v>
      </c>
      <c r="AL448" s="76" t="b">
        <v>0</v>
      </c>
      <c r="AM448" s="78">
        <v>45107.830949074072</v>
      </c>
      <c r="AN448" s="76"/>
      <c r="AO448" s="76" t="s">
        <v>13632</v>
      </c>
      <c r="AP448" s="76"/>
      <c r="AQ448" s="76"/>
      <c r="AR448" s="76"/>
      <c r="AS448" s="76"/>
      <c r="AT448" s="76"/>
      <c r="AU448" s="76"/>
      <c r="AV448" s="76"/>
      <c r="AW448" s="76"/>
      <c r="AX448" s="76" t="b">
        <v>0</v>
      </c>
      <c r="AY448" s="76"/>
      <c r="AZ448" s="76"/>
      <c r="BA448" s="76" t="b">
        <v>0</v>
      </c>
      <c r="BB448" s="76" t="b">
        <v>1</v>
      </c>
      <c r="BC448" s="76" t="b">
        <v>1</v>
      </c>
      <c r="BD448" s="76" t="b">
        <v>0</v>
      </c>
      <c r="BE448" s="76" t="b">
        <v>0</v>
      </c>
      <c r="BF448" s="76" t="b">
        <v>0</v>
      </c>
      <c r="BG448" s="76" t="b">
        <v>0</v>
      </c>
      <c r="BH448" s="82" t="str">
        <f>HYPERLINK("https://pbs.twimg.com/profile_banners/1674869507133693972/1688490087")</f>
        <v>https://pbs.twimg.com/profile_banners/1674869507133693972/1688490087</v>
      </c>
      <c r="BI448" s="76"/>
      <c r="BJ448" s="76" t="s">
        <v>14450</v>
      </c>
      <c r="BK448" s="76" t="b">
        <v>0</v>
      </c>
      <c r="BL448" s="76"/>
      <c r="BM448" s="76" t="s">
        <v>66</v>
      </c>
      <c r="BN448" s="76" t="s">
        <v>14452</v>
      </c>
      <c r="BO448" s="82" t="str">
        <f>HYPERLINK("https://twitter.com/meeeegustarc5")</f>
        <v>https://twitter.com/meeeegustarc5</v>
      </c>
      <c r="BP448" s="2"/>
    </row>
    <row r="449" spans="1:68" x14ac:dyDescent="0.25">
      <c r="A449" s="62" t="s">
        <v>603</v>
      </c>
      <c r="B449" s="63"/>
      <c r="C449" s="63"/>
      <c r="D449" s="64"/>
      <c r="E449" s="66"/>
      <c r="F449" s="103" t="str">
        <f>HYPERLINK("https://pbs.twimg.com/profile_images/1549479310754562050/mFufqUrb_normal.jpg")</f>
        <v>https://pbs.twimg.com/profile_images/1549479310754562050/mFufqUrb_normal.jpg</v>
      </c>
      <c r="G449" s="63"/>
      <c r="H449" s="67"/>
      <c r="I449" s="68"/>
      <c r="J449" s="68"/>
      <c r="K449" s="67" t="s">
        <v>14898</v>
      </c>
      <c r="L449" s="71"/>
      <c r="M449" s="72"/>
      <c r="N449" s="72"/>
      <c r="O449" s="73"/>
      <c r="P449" s="74"/>
      <c r="Q449" s="74"/>
      <c r="R449" s="87"/>
      <c r="S449" s="87"/>
      <c r="T449" s="87"/>
      <c r="U449" s="87"/>
      <c r="V449" s="48"/>
      <c r="W449" s="48"/>
      <c r="X449" s="48"/>
      <c r="Y449" s="48"/>
      <c r="Z449" s="47"/>
      <c r="AA449" s="69">
        <v>449</v>
      </c>
      <c r="AB449" s="69"/>
      <c r="AC449" s="70"/>
      <c r="AD449" s="76" t="s">
        <v>12180</v>
      </c>
      <c r="AE449" s="80" t="s">
        <v>12703</v>
      </c>
      <c r="AF449" s="76">
        <v>236</v>
      </c>
      <c r="AG449" s="76">
        <v>271</v>
      </c>
      <c r="AH449" s="76">
        <v>4208</v>
      </c>
      <c r="AI449" s="76">
        <v>1</v>
      </c>
      <c r="AJ449" s="76">
        <v>22908</v>
      </c>
      <c r="AK449" s="76">
        <v>132</v>
      </c>
      <c r="AL449" s="76" t="b">
        <v>0</v>
      </c>
      <c r="AM449" s="78">
        <v>40732.968101851853</v>
      </c>
      <c r="AN449" s="76" t="s">
        <v>7790</v>
      </c>
      <c r="AO449" s="76"/>
      <c r="AP449" s="76"/>
      <c r="AQ449" s="76"/>
      <c r="AR449" s="76"/>
      <c r="AS449" s="76"/>
      <c r="AT449" s="76"/>
      <c r="AU449" s="76"/>
      <c r="AV449" s="76"/>
      <c r="AW449" s="76"/>
      <c r="AX449" s="76" t="b">
        <v>0</v>
      </c>
      <c r="AY449" s="76"/>
      <c r="AZ449" s="76"/>
      <c r="BA449" s="76" t="b">
        <v>1</v>
      </c>
      <c r="BB449" s="76" t="b">
        <v>0</v>
      </c>
      <c r="BC449" s="76" t="b">
        <v>0</v>
      </c>
      <c r="BD449" s="76" t="b">
        <v>0</v>
      </c>
      <c r="BE449" s="76" t="b">
        <v>1</v>
      </c>
      <c r="BF449" s="76" t="b">
        <v>0</v>
      </c>
      <c r="BG449" s="76" t="b">
        <v>0</v>
      </c>
      <c r="BH449" s="82" t="str">
        <f>HYPERLINK("https://pbs.twimg.com/profile_banners/331927614/1548275607")</f>
        <v>https://pbs.twimg.com/profile_banners/331927614/1548275607</v>
      </c>
      <c r="BI449" s="76"/>
      <c r="BJ449" s="76" t="s">
        <v>14450</v>
      </c>
      <c r="BK449" s="76" t="b">
        <v>0</v>
      </c>
      <c r="BL449" s="76"/>
      <c r="BM449" s="76" t="s">
        <v>66</v>
      </c>
      <c r="BN449" s="76" t="s">
        <v>14452</v>
      </c>
      <c r="BO449" s="82" t="str">
        <f>HYPERLINK("https://twitter.com/danisanchez454")</f>
        <v>https://twitter.com/danisanchez454</v>
      </c>
      <c r="BP449" s="2"/>
    </row>
    <row r="450" spans="1:68" x14ac:dyDescent="0.25">
      <c r="A450" s="62" t="s">
        <v>604</v>
      </c>
      <c r="B450" s="63"/>
      <c r="C450" s="63"/>
      <c r="D450" s="64"/>
      <c r="E450" s="66"/>
      <c r="F450" s="103" t="str">
        <f>HYPERLINK("https://pbs.twimg.com/profile_images/1612930354913894401/41z4159x_normal.jpg")</f>
        <v>https://pbs.twimg.com/profile_images/1612930354913894401/41z4159x_normal.jpg</v>
      </c>
      <c r="G450" s="63"/>
      <c r="H450" s="67"/>
      <c r="I450" s="68"/>
      <c r="J450" s="68"/>
      <c r="K450" s="67" t="s">
        <v>14899</v>
      </c>
      <c r="L450" s="71"/>
      <c r="M450" s="72"/>
      <c r="N450" s="72"/>
      <c r="O450" s="73"/>
      <c r="P450" s="74"/>
      <c r="Q450" s="74"/>
      <c r="R450" s="87"/>
      <c r="S450" s="87"/>
      <c r="T450" s="87"/>
      <c r="U450" s="87"/>
      <c r="V450" s="48"/>
      <c r="W450" s="48"/>
      <c r="X450" s="48"/>
      <c r="Y450" s="48"/>
      <c r="Z450" s="47"/>
      <c r="AA450" s="69">
        <v>450</v>
      </c>
      <c r="AB450" s="69"/>
      <c r="AC450" s="70"/>
      <c r="AD450" s="76" t="s">
        <v>12181</v>
      </c>
      <c r="AE450" s="80" t="s">
        <v>11595</v>
      </c>
      <c r="AF450" s="76">
        <v>242</v>
      </c>
      <c r="AG450" s="76">
        <v>9</v>
      </c>
      <c r="AH450" s="76">
        <v>2348</v>
      </c>
      <c r="AI450" s="76">
        <v>1</v>
      </c>
      <c r="AJ450" s="76">
        <v>23</v>
      </c>
      <c r="AK450" s="76">
        <v>2183</v>
      </c>
      <c r="AL450" s="76" t="b">
        <v>0</v>
      </c>
      <c r="AM450" s="78">
        <v>44832.656192129631</v>
      </c>
      <c r="AN450" s="76"/>
      <c r="AO450" s="76"/>
      <c r="AP450" s="76"/>
      <c r="AQ450" s="76"/>
      <c r="AR450" s="76"/>
      <c r="AS450" s="76"/>
      <c r="AT450" s="76"/>
      <c r="AU450" s="76"/>
      <c r="AV450" s="76"/>
      <c r="AW450" s="76"/>
      <c r="AX450" s="76" t="b">
        <v>0</v>
      </c>
      <c r="AY450" s="76"/>
      <c r="AZ450" s="76"/>
      <c r="BA450" s="76" t="b">
        <v>0</v>
      </c>
      <c r="BB450" s="76" t="b">
        <v>1</v>
      </c>
      <c r="BC450" s="76" t="b">
        <v>1</v>
      </c>
      <c r="BD450" s="76" t="b">
        <v>0</v>
      </c>
      <c r="BE450" s="76" t="b">
        <v>0</v>
      </c>
      <c r="BF450" s="76" t="b">
        <v>0</v>
      </c>
      <c r="BG450" s="76" t="b">
        <v>0</v>
      </c>
      <c r="BH450" s="76"/>
      <c r="BI450" s="76"/>
      <c r="BJ450" s="76" t="s">
        <v>14450</v>
      </c>
      <c r="BK450" s="76" t="b">
        <v>0</v>
      </c>
      <c r="BL450" s="76"/>
      <c r="BM450" s="76" t="s">
        <v>66</v>
      </c>
      <c r="BN450" s="76" t="s">
        <v>14452</v>
      </c>
      <c r="BO450" s="82" t="str">
        <f>HYPERLINK("https://twitter.com/colombiavozavoz")</f>
        <v>https://twitter.com/colombiavozavoz</v>
      </c>
      <c r="BP450" s="2"/>
    </row>
    <row r="451" spans="1:68" x14ac:dyDescent="0.25">
      <c r="A451" s="62" t="s">
        <v>605</v>
      </c>
      <c r="B451" s="63"/>
      <c r="C451" s="63"/>
      <c r="D451" s="64"/>
      <c r="E451" s="66"/>
      <c r="F451" s="103" t="str">
        <f>HYPERLINK("https://pbs.twimg.com/profile_images/1665893431590154240/Cpdh1N7I_normal.jpg")</f>
        <v>https://pbs.twimg.com/profile_images/1665893431590154240/Cpdh1N7I_normal.jpg</v>
      </c>
      <c r="G451" s="63"/>
      <c r="H451" s="67"/>
      <c r="I451" s="68"/>
      <c r="J451" s="68"/>
      <c r="K451" s="67" t="s">
        <v>14900</v>
      </c>
      <c r="L451" s="71"/>
      <c r="M451" s="72"/>
      <c r="N451" s="72"/>
      <c r="O451" s="73"/>
      <c r="P451" s="74"/>
      <c r="Q451" s="74"/>
      <c r="R451" s="87"/>
      <c r="S451" s="87"/>
      <c r="T451" s="87"/>
      <c r="U451" s="87"/>
      <c r="V451" s="48"/>
      <c r="W451" s="48"/>
      <c r="X451" s="48"/>
      <c r="Y451" s="48"/>
      <c r="Z451" s="47"/>
      <c r="AA451" s="69">
        <v>451</v>
      </c>
      <c r="AB451" s="69"/>
      <c r="AC451" s="70"/>
      <c r="AD451" s="76" t="s">
        <v>12182</v>
      </c>
      <c r="AE451" s="80" t="s">
        <v>12704</v>
      </c>
      <c r="AF451" s="76">
        <v>156</v>
      </c>
      <c r="AG451" s="76">
        <v>697</v>
      </c>
      <c r="AH451" s="76">
        <v>386</v>
      </c>
      <c r="AI451" s="76">
        <v>0</v>
      </c>
      <c r="AJ451" s="76">
        <v>79</v>
      </c>
      <c r="AK451" s="76">
        <v>13</v>
      </c>
      <c r="AL451" s="76" t="b">
        <v>0</v>
      </c>
      <c r="AM451" s="78">
        <v>40100.680266203701</v>
      </c>
      <c r="AN451" s="76" t="s">
        <v>13092</v>
      </c>
      <c r="AO451" s="76"/>
      <c r="AP451" s="76"/>
      <c r="AQ451" s="76"/>
      <c r="AR451" s="76"/>
      <c r="AS451" s="76"/>
      <c r="AT451" s="76"/>
      <c r="AU451" s="76"/>
      <c r="AV451" s="76"/>
      <c r="AW451" s="76"/>
      <c r="AX451" s="76" t="b">
        <v>0</v>
      </c>
      <c r="AY451" s="76"/>
      <c r="AZ451" s="76"/>
      <c r="BA451" s="76" t="b">
        <v>0</v>
      </c>
      <c r="BB451" s="76" t="b">
        <v>1</v>
      </c>
      <c r="BC451" s="76" t="b">
        <v>0</v>
      </c>
      <c r="BD451" s="76" t="b">
        <v>0</v>
      </c>
      <c r="BE451" s="76" t="b">
        <v>0</v>
      </c>
      <c r="BF451" s="76" t="b">
        <v>0</v>
      </c>
      <c r="BG451" s="76" t="b">
        <v>0</v>
      </c>
      <c r="BH451" s="82" t="str">
        <f>HYPERLINK("https://pbs.twimg.com/profile_banners/82396150/1686014920")</f>
        <v>https://pbs.twimg.com/profile_banners/82396150/1686014920</v>
      </c>
      <c r="BI451" s="76"/>
      <c r="BJ451" s="76" t="s">
        <v>14450</v>
      </c>
      <c r="BK451" s="76" t="b">
        <v>0</v>
      </c>
      <c r="BL451" s="76"/>
      <c r="BM451" s="76" t="s">
        <v>66</v>
      </c>
      <c r="BN451" s="76" t="s">
        <v>14452</v>
      </c>
      <c r="BO451" s="82" t="str">
        <f>HYPERLINK("https://twitter.com/michellenvarro")</f>
        <v>https://twitter.com/michellenvarro</v>
      </c>
      <c r="BP451" s="2"/>
    </row>
    <row r="452" spans="1:68" x14ac:dyDescent="0.25">
      <c r="A452" s="62" t="s">
        <v>932</v>
      </c>
      <c r="B452" s="63"/>
      <c r="C452" s="63"/>
      <c r="D452" s="64"/>
      <c r="E452" s="66"/>
      <c r="F452" s="103" t="str">
        <f>HYPERLINK("https://pbs.twimg.com/profile_images/1508424337979842571/5z0gLwyM_normal.jpg")</f>
        <v>https://pbs.twimg.com/profile_images/1508424337979842571/5z0gLwyM_normal.jpg</v>
      </c>
      <c r="G452" s="63"/>
      <c r="H452" s="67"/>
      <c r="I452" s="68"/>
      <c r="J452" s="68"/>
      <c r="K452" s="67" t="s">
        <v>14901</v>
      </c>
      <c r="L452" s="71"/>
      <c r="M452" s="72"/>
      <c r="N452" s="72"/>
      <c r="O452" s="73"/>
      <c r="P452" s="74"/>
      <c r="Q452" s="74"/>
      <c r="R452" s="87"/>
      <c r="S452" s="87"/>
      <c r="T452" s="87"/>
      <c r="U452" s="87"/>
      <c r="V452" s="48"/>
      <c r="W452" s="48"/>
      <c r="X452" s="48"/>
      <c r="Y452" s="48"/>
      <c r="Z452" s="47"/>
      <c r="AA452" s="69">
        <v>452</v>
      </c>
      <c r="AB452" s="69"/>
      <c r="AC452" s="70"/>
      <c r="AD452" s="76" t="s">
        <v>12183</v>
      </c>
      <c r="AE452" s="80" t="s">
        <v>11341</v>
      </c>
      <c r="AF452" s="76">
        <v>192</v>
      </c>
      <c r="AG452" s="76">
        <v>697</v>
      </c>
      <c r="AH452" s="76">
        <v>118</v>
      </c>
      <c r="AI452" s="76">
        <v>0</v>
      </c>
      <c r="AJ452" s="76">
        <v>106</v>
      </c>
      <c r="AK452" s="76">
        <v>26</v>
      </c>
      <c r="AL452" s="76" t="b">
        <v>0</v>
      </c>
      <c r="AM452" s="78">
        <v>44388.04383101852</v>
      </c>
      <c r="AN452" s="76" t="s">
        <v>13093</v>
      </c>
      <c r="AO452" s="76" t="s">
        <v>13633</v>
      </c>
      <c r="AP452" s="82" t="str">
        <f>HYPERLINK("https://t.co/B1vzjRmE5z")</f>
        <v>https://t.co/B1vzjRmE5z</v>
      </c>
      <c r="AQ452" s="82" t="str">
        <f>HYPERLINK("https://bio.link/ameericastore")</f>
        <v>https://bio.link/ameericastore</v>
      </c>
      <c r="AR452" s="76" t="s">
        <v>14180</v>
      </c>
      <c r="AS452" s="76"/>
      <c r="AT452" s="76"/>
      <c r="AU452" s="76"/>
      <c r="AV452" s="76"/>
      <c r="AW452" s="82" t="str">
        <f>HYPERLINK("https://t.co/B1vzjRmE5z")</f>
        <v>https://t.co/B1vzjRmE5z</v>
      </c>
      <c r="AX452" s="76" t="b">
        <v>0</v>
      </c>
      <c r="AY452" s="76"/>
      <c r="AZ452" s="76"/>
      <c r="BA452" s="76" t="b">
        <v>0</v>
      </c>
      <c r="BB452" s="76" t="b">
        <v>1</v>
      </c>
      <c r="BC452" s="76" t="b">
        <v>1</v>
      </c>
      <c r="BD452" s="76" t="b">
        <v>0</v>
      </c>
      <c r="BE452" s="76" t="b">
        <v>0</v>
      </c>
      <c r="BF452" s="76" t="b">
        <v>0</v>
      </c>
      <c r="BG452" s="76" t="b">
        <v>0</v>
      </c>
      <c r="BH452" s="82" t="str">
        <f>HYPERLINK("https://pbs.twimg.com/profile_banners/1414027373670973440/1651985973")</f>
        <v>https://pbs.twimg.com/profile_banners/1414027373670973440/1651985973</v>
      </c>
      <c r="BI452" s="76"/>
      <c r="BJ452" s="76" t="s">
        <v>14450</v>
      </c>
      <c r="BK452" s="76" t="b">
        <v>0</v>
      </c>
      <c r="BL452" s="76"/>
      <c r="BM452" s="76" t="s">
        <v>65</v>
      </c>
      <c r="BN452" s="76" t="s">
        <v>14452</v>
      </c>
      <c r="BO452" s="82" t="str">
        <f>HYPERLINK("https://twitter.com/ameericastore")</f>
        <v>https://twitter.com/ameericastore</v>
      </c>
      <c r="BP452" s="2"/>
    </row>
    <row r="453" spans="1:68" x14ac:dyDescent="0.25">
      <c r="A453" s="62" t="s">
        <v>606</v>
      </c>
      <c r="B453" s="63"/>
      <c r="C453" s="63"/>
      <c r="D453" s="64"/>
      <c r="E453" s="66"/>
      <c r="F453" s="103" t="str">
        <f>HYPERLINK("https://pbs.twimg.com/profile_images/1682781796113559552/fSmurrhS_normal.jpg")</f>
        <v>https://pbs.twimg.com/profile_images/1682781796113559552/fSmurrhS_normal.jpg</v>
      </c>
      <c r="G453" s="63"/>
      <c r="H453" s="67"/>
      <c r="I453" s="68"/>
      <c r="J453" s="68"/>
      <c r="K453" s="67" t="s">
        <v>14902</v>
      </c>
      <c r="L453" s="71"/>
      <c r="M453" s="72"/>
      <c r="N453" s="72"/>
      <c r="O453" s="73"/>
      <c r="P453" s="74"/>
      <c r="Q453" s="74"/>
      <c r="R453" s="87"/>
      <c r="S453" s="87"/>
      <c r="T453" s="87"/>
      <c r="U453" s="87"/>
      <c r="V453" s="48"/>
      <c r="W453" s="48"/>
      <c r="X453" s="48"/>
      <c r="Y453" s="48"/>
      <c r="Z453" s="47"/>
      <c r="AA453" s="69">
        <v>453</v>
      </c>
      <c r="AB453" s="69"/>
      <c r="AC453" s="70"/>
      <c r="AD453" s="76" t="s">
        <v>12184</v>
      </c>
      <c r="AE453" s="80" t="s">
        <v>11596</v>
      </c>
      <c r="AF453" s="76">
        <v>3</v>
      </c>
      <c r="AG453" s="76">
        <v>18</v>
      </c>
      <c r="AH453" s="76">
        <v>170</v>
      </c>
      <c r="AI453" s="76">
        <v>0</v>
      </c>
      <c r="AJ453" s="76">
        <v>2</v>
      </c>
      <c r="AK453" s="76">
        <v>0</v>
      </c>
      <c r="AL453" s="76" t="b">
        <v>0</v>
      </c>
      <c r="AM453" s="78">
        <v>45129.638287037036</v>
      </c>
      <c r="AN453" s="76"/>
      <c r="AO453" s="76" t="s">
        <v>13634</v>
      </c>
      <c r="AP453" s="82" t="str">
        <f>HYPERLINK("https://t.co/dbb7XgLX1p")</f>
        <v>https://t.co/dbb7XgLX1p</v>
      </c>
      <c r="AQ453" s="82" t="str">
        <f>HYPERLINK("http://empleolandia.com")</f>
        <v>http://empleolandia.com</v>
      </c>
      <c r="AR453" s="76" t="s">
        <v>4307</v>
      </c>
      <c r="AS453" s="76"/>
      <c r="AT453" s="76"/>
      <c r="AU453" s="76"/>
      <c r="AV453" s="76"/>
      <c r="AW453" s="82" t="str">
        <f>HYPERLINK("https://t.co/dbb7XgLX1p")</f>
        <v>https://t.co/dbb7XgLX1p</v>
      </c>
      <c r="AX453" s="76" t="b">
        <v>0</v>
      </c>
      <c r="AY453" s="76"/>
      <c r="AZ453" s="76"/>
      <c r="BA453" s="76" t="b">
        <v>0</v>
      </c>
      <c r="BB453" s="76" t="b">
        <v>1</v>
      </c>
      <c r="BC453" s="76" t="b">
        <v>1</v>
      </c>
      <c r="BD453" s="76" t="b">
        <v>0</v>
      </c>
      <c r="BE453" s="76" t="b">
        <v>0</v>
      </c>
      <c r="BF453" s="76" t="b">
        <v>0</v>
      </c>
      <c r="BG453" s="76" t="b">
        <v>0</v>
      </c>
      <c r="BH453" s="82" t="str">
        <f>HYPERLINK("https://pbs.twimg.com/profile_banners/1682772209876566017/1690041316")</f>
        <v>https://pbs.twimg.com/profile_banners/1682772209876566017/1690041316</v>
      </c>
      <c r="BI453" s="76"/>
      <c r="BJ453" s="76" t="s">
        <v>14450</v>
      </c>
      <c r="BK453" s="76" t="b">
        <v>0</v>
      </c>
      <c r="BL453" s="76"/>
      <c r="BM453" s="76" t="s">
        <v>66</v>
      </c>
      <c r="BN453" s="76" t="s">
        <v>14452</v>
      </c>
      <c r="BO453" s="82" t="str">
        <f>HYPERLINK("https://twitter.com/empleolandia")</f>
        <v>https://twitter.com/empleolandia</v>
      </c>
      <c r="BP453" s="2"/>
    </row>
    <row r="454" spans="1:68" x14ac:dyDescent="0.25">
      <c r="A454" s="62" t="s">
        <v>607</v>
      </c>
      <c r="B454" s="63"/>
      <c r="C454" s="63"/>
      <c r="D454" s="64"/>
      <c r="E454" s="66"/>
      <c r="F454" s="103" t="str">
        <f>HYPERLINK("https://pbs.twimg.com/profile_images/973021273352794112/rAL06L8e_normal.jpg")</f>
        <v>https://pbs.twimg.com/profile_images/973021273352794112/rAL06L8e_normal.jpg</v>
      </c>
      <c r="G454" s="63"/>
      <c r="H454" s="67"/>
      <c r="I454" s="68"/>
      <c r="J454" s="68"/>
      <c r="K454" s="67" t="s">
        <v>14903</v>
      </c>
      <c r="L454" s="71"/>
      <c r="M454" s="72"/>
      <c r="N454" s="72"/>
      <c r="O454" s="73"/>
      <c r="P454" s="74"/>
      <c r="Q454" s="74"/>
      <c r="R454" s="87"/>
      <c r="S454" s="87"/>
      <c r="T454" s="87"/>
      <c r="U454" s="87"/>
      <c r="V454" s="48"/>
      <c r="W454" s="48"/>
      <c r="X454" s="48"/>
      <c r="Y454" s="48"/>
      <c r="Z454" s="47"/>
      <c r="AA454" s="69">
        <v>454</v>
      </c>
      <c r="AB454" s="69"/>
      <c r="AC454" s="70"/>
      <c r="AD454" s="76" t="s">
        <v>12185</v>
      </c>
      <c r="AE454" s="80" t="s">
        <v>12705</v>
      </c>
      <c r="AF454" s="76">
        <v>129</v>
      </c>
      <c r="AG454" s="76">
        <v>189</v>
      </c>
      <c r="AH454" s="76">
        <v>1761</v>
      </c>
      <c r="AI454" s="76">
        <v>0</v>
      </c>
      <c r="AJ454" s="76">
        <v>3071</v>
      </c>
      <c r="AK454" s="76">
        <v>121</v>
      </c>
      <c r="AL454" s="76" t="b">
        <v>0</v>
      </c>
      <c r="AM454" s="78">
        <v>41351.730162037034</v>
      </c>
      <c r="AN454" s="76"/>
      <c r="AO454" s="76" t="s">
        <v>13635</v>
      </c>
      <c r="AP454" s="76"/>
      <c r="AQ454" s="76"/>
      <c r="AR454" s="76"/>
      <c r="AS454" s="76"/>
      <c r="AT454" s="76"/>
      <c r="AU454" s="76"/>
      <c r="AV454" s="76"/>
      <c r="AW454" s="76"/>
      <c r="AX454" s="76" t="b">
        <v>0</v>
      </c>
      <c r="AY454" s="76"/>
      <c r="AZ454" s="76"/>
      <c r="BA454" s="76" t="b">
        <v>1</v>
      </c>
      <c r="BB454" s="76" t="b">
        <v>1</v>
      </c>
      <c r="BC454" s="76" t="b">
        <v>0</v>
      </c>
      <c r="BD454" s="76" t="b">
        <v>0</v>
      </c>
      <c r="BE454" s="76" t="b">
        <v>1</v>
      </c>
      <c r="BF454" s="76" t="b">
        <v>0</v>
      </c>
      <c r="BG454" s="76" t="b">
        <v>0</v>
      </c>
      <c r="BH454" s="82" t="str">
        <f>HYPERLINK("https://pbs.twimg.com/profile_banners/1278333337/1518558914")</f>
        <v>https://pbs.twimg.com/profile_banners/1278333337/1518558914</v>
      </c>
      <c r="BI454" s="76"/>
      <c r="BJ454" s="76" t="s">
        <v>14450</v>
      </c>
      <c r="BK454" s="76" t="b">
        <v>0</v>
      </c>
      <c r="BL454" s="76"/>
      <c r="BM454" s="76" t="s">
        <v>66</v>
      </c>
      <c r="BN454" s="76" t="s">
        <v>14452</v>
      </c>
      <c r="BO454" s="82" t="str">
        <f>HYPERLINK("https://twitter.com/dux284")</f>
        <v>https://twitter.com/dux284</v>
      </c>
      <c r="BP454" s="2"/>
    </row>
    <row r="455" spans="1:68" x14ac:dyDescent="0.25">
      <c r="A455" s="62" t="s">
        <v>608</v>
      </c>
      <c r="B455" s="63"/>
      <c r="C455" s="63"/>
      <c r="D455" s="64"/>
      <c r="E455" s="66"/>
      <c r="F455" s="103" t="str">
        <f>HYPERLINK("https://pbs.twimg.com/profile_images/1655001546537545730/PPL84PVl_normal.jpg")</f>
        <v>https://pbs.twimg.com/profile_images/1655001546537545730/PPL84PVl_normal.jpg</v>
      </c>
      <c r="G455" s="63"/>
      <c r="H455" s="67"/>
      <c r="I455" s="68"/>
      <c r="J455" s="68"/>
      <c r="K455" s="67" t="s">
        <v>14904</v>
      </c>
      <c r="L455" s="71"/>
      <c r="M455" s="72"/>
      <c r="N455" s="72"/>
      <c r="O455" s="73"/>
      <c r="P455" s="74"/>
      <c r="Q455" s="74"/>
      <c r="R455" s="87"/>
      <c r="S455" s="87"/>
      <c r="T455" s="87"/>
      <c r="U455" s="87"/>
      <c r="V455" s="48"/>
      <c r="W455" s="48"/>
      <c r="X455" s="48"/>
      <c r="Y455" s="48"/>
      <c r="Z455" s="47"/>
      <c r="AA455" s="69">
        <v>455</v>
      </c>
      <c r="AB455" s="69"/>
      <c r="AC455" s="70"/>
      <c r="AD455" s="76" t="s">
        <v>12186</v>
      </c>
      <c r="AE455" s="80" t="s">
        <v>11597</v>
      </c>
      <c r="AF455" s="76">
        <v>4</v>
      </c>
      <c r="AG455" s="76">
        <v>4</v>
      </c>
      <c r="AH455" s="76">
        <v>693</v>
      </c>
      <c r="AI455" s="76">
        <v>0</v>
      </c>
      <c r="AJ455" s="76">
        <v>0</v>
      </c>
      <c r="AK455" s="76">
        <v>693</v>
      </c>
      <c r="AL455" s="76" t="b">
        <v>0</v>
      </c>
      <c r="AM455" s="78">
        <v>45053.005023148151</v>
      </c>
      <c r="AN455" s="76"/>
      <c r="AO455" s="76" t="s">
        <v>13636</v>
      </c>
      <c r="AP455" s="76"/>
      <c r="AQ455" s="76"/>
      <c r="AR455" s="76"/>
      <c r="AS455" s="76"/>
      <c r="AT455" s="76"/>
      <c r="AU455" s="76"/>
      <c r="AV455" s="76">
        <v>1.67782231707683E+18</v>
      </c>
      <c r="AW455" s="76"/>
      <c r="AX455" s="76" t="b">
        <v>0</v>
      </c>
      <c r="AY455" s="76"/>
      <c r="AZ455" s="76"/>
      <c r="BA455" s="76" t="b">
        <v>0</v>
      </c>
      <c r="BB455" s="76" t="b">
        <v>1</v>
      </c>
      <c r="BC455" s="76" t="b">
        <v>1</v>
      </c>
      <c r="BD455" s="76" t="b">
        <v>0</v>
      </c>
      <c r="BE455" s="76" t="b">
        <v>0</v>
      </c>
      <c r="BF455" s="76" t="b">
        <v>0</v>
      </c>
      <c r="BG455" s="76" t="b">
        <v>0</v>
      </c>
      <c r="BH455" s="76"/>
      <c r="BI455" s="76"/>
      <c r="BJ455" s="76" t="s">
        <v>14450</v>
      </c>
      <c r="BK455" s="76" t="b">
        <v>0</v>
      </c>
      <c r="BL455" s="76"/>
      <c r="BM455" s="76" t="s">
        <v>66</v>
      </c>
      <c r="BN455" s="76" t="s">
        <v>14452</v>
      </c>
      <c r="BO455" s="82" t="str">
        <f>HYPERLINK("https://twitter.com/memez_van")</f>
        <v>https://twitter.com/memez_van</v>
      </c>
      <c r="BP455" s="2"/>
    </row>
    <row r="456" spans="1:68" x14ac:dyDescent="0.25">
      <c r="A456" s="62" t="s">
        <v>609</v>
      </c>
      <c r="B456" s="63"/>
      <c r="C456" s="63"/>
      <c r="D456" s="64"/>
      <c r="E456" s="66"/>
      <c r="F456" s="103" t="str">
        <f>HYPERLINK("https://pbs.twimg.com/profile_images/1590722620378456066/A4jN7U-Y_normal.jpg")</f>
        <v>https://pbs.twimg.com/profile_images/1590722620378456066/A4jN7U-Y_normal.jpg</v>
      </c>
      <c r="G456" s="63"/>
      <c r="H456" s="67"/>
      <c r="I456" s="68"/>
      <c r="J456" s="68"/>
      <c r="K456" s="67" t="s">
        <v>14905</v>
      </c>
      <c r="L456" s="71"/>
      <c r="M456" s="72"/>
      <c r="N456" s="72"/>
      <c r="O456" s="73"/>
      <c r="P456" s="74"/>
      <c r="Q456" s="74"/>
      <c r="R456" s="87"/>
      <c r="S456" s="87"/>
      <c r="T456" s="87"/>
      <c r="U456" s="87"/>
      <c r="V456" s="48"/>
      <c r="W456" s="48"/>
      <c r="X456" s="48"/>
      <c r="Y456" s="48"/>
      <c r="Z456" s="47"/>
      <c r="AA456" s="69">
        <v>456</v>
      </c>
      <c r="AB456" s="69"/>
      <c r="AC456" s="70"/>
      <c r="AD456" s="76" t="s">
        <v>12187</v>
      </c>
      <c r="AE456" s="80" t="s">
        <v>11598</v>
      </c>
      <c r="AF456" s="76">
        <v>16</v>
      </c>
      <c r="AG456" s="76">
        <v>45</v>
      </c>
      <c r="AH456" s="76">
        <v>788</v>
      </c>
      <c r="AI456" s="76">
        <v>0</v>
      </c>
      <c r="AJ456" s="76">
        <v>54</v>
      </c>
      <c r="AK456" s="76">
        <v>668</v>
      </c>
      <c r="AL456" s="76" t="b">
        <v>0</v>
      </c>
      <c r="AM456" s="78">
        <v>44718.484398148146</v>
      </c>
      <c r="AN456" s="76"/>
      <c r="AO456" s="76" t="s">
        <v>13637</v>
      </c>
      <c r="AP456" s="82" t="str">
        <f>HYPERLINK("https://t.co/wreBr2p6JE")</f>
        <v>https://t.co/wreBr2p6JE</v>
      </c>
      <c r="AQ456" s="82" t="str">
        <f>HYPERLINK("https://www.chatguru.com.br")</f>
        <v>https://www.chatguru.com.br</v>
      </c>
      <c r="AR456" s="76" t="s">
        <v>14181</v>
      </c>
      <c r="AS456" s="76"/>
      <c r="AT456" s="76"/>
      <c r="AU456" s="76"/>
      <c r="AV456" s="76"/>
      <c r="AW456" s="82" t="str">
        <f>HYPERLINK("https://t.co/wreBr2p6JE")</f>
        <v>https://t.co/wreBr2p6JE</v>
      </c>
      <c r="AX456" s="76" t="b">
        <v>0</v>
      </c>
      <c r="AY456" s="76"/>
      <c r="AZ456" s="76"/>
      <c r="BA456" s="76" t="b">
        <v>0</v>
      </c>
      <c r="BB456" s="76" t="b">
        <v>1</v>
      </c>
      <c r="BC456" s="76" t="b">
        <v>1</v>
      </c>
      <c r="BD456" s="76" t="b">
        <v>0</v>
      </c>
      <c r="BE456" s="76" t="b">
        <v>0</v>
      </c>
      <c r="BF456" s="76" t="b">
        <v>0</v>
      </c>
      <c r="BG456" s="76" t="b">
        <v>0</v>
      </c>
      <c r="BH456" s="82" t="str">
        <f>HYPERLINK("https://pbs.twimg.com/profile_banners/1533774887252279297/1679667774")</f>
        <v>https://pbs.twimg.com/profile_banners/1533774887252279297/1679667774</v>
      </c>
      <c r="BI456" s="76"/>
      <c r="BJ456" s="76" t="s">
        <v>14450</v>
      </c>
      <c r="BK456" s="76" t="b">
        <v>0</v>
      </c>
      <c r="BL456" s="76"/>
      <c r="BM456" s="76" t="s">
        <v>66</v>
      </c>
      <c r="BN456" s="76" t="s">
        <v>14452</v>
      </c>
      <c r="BO456" s="82" t="str">
        <f>HYPERLINK("https://twitter.com/chatguruoficial")</f>
        <v>https://twitter.com/chatguruoficial</v>
      </c>
      <c r="BP456" s="2"/>
    </row>
    <row r="457" spans="1:68" x14ac:dyDescent="0.25">
      <c r="A457" s="62" t="s">
        <v>610</v>
      </c>
      <c r="B457" s="63"/>
      <c r="C457" s="63"/>
      <c r="D457" s="64"/>
      <c r="E457" s="66"/>
      <c r="F457" s="103" t="str">
        <f>HYPERLINK("https://pbs.twimg.com/profile_images/1678577227456208897/o8x7R5h4_normal.jpg")</f>
        <v>https://pbs.twimg.com/profile_images/1678577227456208897/o8x7R5h4_normal.jpg</v>
      </c>
      <c r="G457" s="63"/>
      <c r="H457" s="67"/>
      <c r="I457" s="68"/>
      <c r="J457" s="68"/>
      <c r="K457" s="67" t="s">
        <v>14906</v>
      </c>
      <c r="L457" s="71"/>
      <c r="M457" s="72"/>
      <c r="N457" s="72"/>
      <c r="O457" s="73"/>
      <c r="P457" s="74"/>
      <c r="Q457" s="74"/>
      <c r="R457" s="87"/>
      <c r="S457" s="87"/>
      <c r="T457" s="87"/>
      <c r="U457" s="87"/>
      <c r="V457" s="48"/>
      <c r="W457" s="48"/>
      <c r="X457" s="48"/>
      <c r="Y457" s="48"/>
      <c r="Z457" s="47"/>
      <c r="AA457" s="69">
        <v>457</v>
      </c>
      <c r="AB457" s="69"/>
      <c r="AC457" s="70"/>
      <c r="AD457" s="76" t="s">
        <v>12188</v>
      </c>
      <c r="AE457" s="80" t="s">
        <v>11599</v>
      </c>
      <c r="AF457" s="76">
        <v>5</v>
      </c>
      <c r="AG457" s="76">
        <v>25</v>
      </c>
      <c r="AH457" s="76">
        <v>141</v>
      </c>
      <c r="AI457" s="76">
        <v>0</v>
      </c>
      <c r="AJ457" s="76">
        <v>0</v>
      </c>
      <c r="AK457" s="76">
        <v>139</v>
      </c>
      <c r="AL457" s="76" t="b">
        <v>0</v>
      </c>
      <c r="AM457" s="78">
        <v>44923.961909722224</v>
      </c>
      <c r="AN457" s="76"/>
      <c r="AO457" s="76"/>
      <c r="AP457" s="76"/>
      <c r="AQ457" s="76"/>
      <c r="AR457" s="76"/>
      <c r="AS457" s="76"/>
      <c r="AT457" s="76"/>
      <c r="AU457" s="76"/>
      <c r="AV457" s="76"/>
      <c r="AW457" s="76"/>
      <c r="AX457" s="76" t="b">
        <v>0</v>
      </c>
      <c r="AY457" s="76"/>
      <c r="AZ457" s="76"/>
      <c r="BA457" s="76" t="b">
        <v>0</v>
      </c>
      <c r="BB457" s="76" t="b">
        <v>1</v>
      </c>
      <c r="BC457" s="76" t="b">
        <v>1</v>
      </c>
      <c r="BD457" s="76" t="b">
        <v>0</v>
      </c>
      <c r="BE457" s="76" t="b">
        <v>0</v>
      </c>
      <c r="BF457" s="76" t="b">
        <v>0</v>
      </c>
      <c r="BG457" s="76" t="b">
        <v>0</v>
      </c>
      <c r="BH457" s="82" t="str">
        <f>HYPERLINK("https://pbs.twimg.com/profile_banners/1608237494046281730/1689038973")</f>
        <v>https://pbs.twimg.com/profile_banners/1608237494046281730/1689038973</v>
      </c>
      <c r="BI457" s="76"/>
      <c r="BJ457" s="76" t="s">
        <v>14450</v>
      </c>
      <c r="BK457" s="76" t="b">
        <v>0</v>
      </c>
      <c r="BL457" s="76"/>
      <c r="BM457" s="76" t="s">
        <v>66</v>
      </c>
      <c r="BN457" s="76" t="s">
        <v>14452</v>
      </c>
      <c r="BO457" s="82" t="str">
        <f>HYPERLINK("https://twitter.com/century21goldt")</f>
        <v>https://twitter.com/century21goldt</v>
      </c>
      <c r="BP457" s="2"/>
    </row>
    <row r="458" spans="1:68" x14ac:dyDescent="0.25">
      <c r="A458" s="62" t="s">
        <v>611</v>
      </c>
      <c r="B458" s="63"/>
      <c r="C458" s="63"/>
      <c r="D458" s="64"/>
      <c r="E458" s="66"/>
      <c r="F458" s="103" t="str">
        <f>HYPERLINK("https://pbs.twimg.com/profile_images/1651898296581910529/X_xH4L1C_normal.jpg")</f>
        <v>https://pbs.twimg.com/profile_images/1651898296581910529/X_xH4L1C_normal.jpg</v>
      </c>
      <c r="G458" s="63"/>
      <c r="H458" s="67"/>
      <c r="I458" s="68"/>
      <c r="J458" s="68"/>
      <c r="K458" s="67" t="s">
        <v>14907</v>
      </c>
      <c r="L458" s="71"/>
      <c r="M458" s="72"/>
      <c r="N458" s="72"/>
      <c r="O458" s="73"/>
      <c r="P458" s="74"/>
      <c r="Q458" s="74"/>
      <c r="R458" s="87"/>
      <c r="S458" s="87"/>
      <c r="T458" s="87"/>
      <c r="U458" s="87"/>
      <c r="V458" s="48"/>
      <c r="W458" s="48"/>
      <c r="X458" s="48"/>
      <c r="Y458" s="48"/>
      <c r="Z458" s="47"/>
      <c r="AA458" s="69">
        <v>458</v>
      </c>
      <c r="AB458" s="69"/>
      <c r="AC458" s="70"/>
      <c r="AD458" s="76" t="s">
        <v>12189</v>
      </c>
      <c r="AE458" s="80" t="s">
        <v>11600</v>
      </c>
      <c r="AF458" s="76">
        <v>9</v>
      </c>
      <c r="AG458" s="76">
        <v>13</v>
      </c>
      <c r="AH458" s="76">
        <v>413</v>
      </c>
      <c r="AI458" s="76">
        <v>0</v>
      </c>
      <c r="AJ458" s="76">
        <v>2</v>
      </c>
      <c r="AK458" s="76">
        <v>401</v>
      </c>
      <c r="AL458" s="76" t="b">
        <v>0</v>
      </c>
      <c r="AM458" s="78">
        <v>45035.049050925925</v>
      </c>
      <c r="AN458" s="76" t="s">
        <v>13094</v>
      </c>
      <c r="AO458" s="76" t="s">
        <v>13638</v>
      </c>
      <c r="AP458" s="76"/>
      <c r="AQ458" s="76"/>
      <c r="AR458" s="76"/>
      <c r="AS458" s="76"/>
      <c r="AT458" s="76"/>
      <c r="AU458" s="76"/>
      <c r="AV458" s="76"/>
      <c r="AW458" s="76"/>
      <c r="AX458" s="76" t="b">
        <v>0</v>
      </c>
      <c r="AY458" s="76"/>
      <c r="AZ458" s="76"/>
      <c r="BA458" s="76" t="b">
        <v>0</v>
      </c>
      <c r="BB458" s="76" t="b">
        <v>1</v>
      </c>
      <c r="BC458" s="76" t="b">
        <v>1</v>
      </c>
      <c r="BD458" s="76" t="b">
        <v>0</v>
      </c>
      <c r="BE458" s="76" t="b">
        <v>0</v>
      </c>
      <c r="BF458" s="76" t="b">
        <v>0</v>
      </c>
      <c r="BG458" s="76" t="b">
        <v>0</v>
      </c>
      <c r="BH458" s="82" t="str">
        <f>HYPERLINK("https://pbs.twimg.com/profile_banners/1648494046384357377/1687491494")</f>
        <v>https://pbs.twimg.com/profile_banners/1648494046384357377/1687491494</v>
      </c>
      <c r="BI458" s="76"/>
      <c r="BJ458" s="76" t="s">
        <v>14450</v>
      </c>
      <c r="BK458" s="76" t="b">
        <v>0</v>
      </c>
      <c r="BL458" s="76"/>
      <c r="BM458" s="76" t="s">
        <v>66</v>
      </c>
      <c r="BN458" s="76" t="s">
        <v>14452</v>
      </c>
      <c r="BO458" s="82" t="str">
        <f>HYPERLINK("https://twitter.com/vinicius198547")</f>
        <v>https://twitter.com/vinicius198547</v>
      </c>
      <c r="BP458" s="2"/>
    </row>
    <row r="459" spans="1:68" x14ac:dyDescent="0.25">
      <c r="A459" s="62" t="s">
        <v>612</v>
      </c>
      <c r="B459" s="63"/>
      <c r="C459" s="63"/>
      <c r="D459" s="64"/>
      <c r="E459" s="66"/>
      <c r="F459" s="103" t="str">
        <f>HYPERLINK("https://pbs.twimg.com/profile_images/1705673305733173248/dKoVWsT8_normal.jpg")</f>
        <v>https://pbs.twimg.com/profile_images/1705673305733173248/dKoVWsT8_normal.jpg</v>
      </c>
      <c r="G459" s="63"/>
      <c r="H459" s="67"/>
      <c r="I459" s="68"/>
      <c r="J459" s="68"/>
      <c r="K459" s="67" t="s">
        <v>14908</v>
      </c>
      <c r="L459" s="71"/>
      <c r="M459" s="72"/>
      <c r="N459" s="72"/>
      <c r="O459" s="73"/>
      <c r="P459" s="74"/>
      <c r="Q459" s="74"/>
      <c r="R459" s="87"/>
      <c r="S459" s="87"/>
      <c r="T459" s="87"/>
      <c r="U459" s="87"/>
      <c r="V459" s="48"/>
      <c r="W459" s="48"/>
      <c r="X459" s="48"/>
      <c r="Y459" s="48"/>
      <c r="Z459" s="47"/>
      <c r="AA459" s="69">
        <v>459</v>
      </c>
      <c r="AB459" s="69"/>
      <c r="AC459" s="70"/>
      <c r="AD459" s="76" t="s">
        <v>12190</v>
      </c>
      <c r="AE459" s="80" t="s">
        <v>11601</v>
      </c>
      <c r="AF459" s="76">
        <v>2</v>
      </c>
      <c r="AG459" s="76">
        <v>8</v>
      </c>
      <c r="AH459" s="76">
        <v>23</v>
      </c>
      <c r="AI459" s="76">
        <v>0</v>
      </c>
      <c r="AJ459" s="76">
        <v>2</v>
      </c>
      <c r="AK459" s="76">
        <v>0</v>
      </c>
      <c r="AL459" s="76" t="b">
        <v>0</v>
      </c>
      <c r="AM459" s="78">
        <v>45001.552060185182</v>
      </c>
      <c r="AN459" s="76"/>
      <c r="AO459" s="76" t="s">
        <v>13639</v>
      </c>
      <c r="AP459" s="76"/>
      <c r="AQ459" s="76"/>
      <c r="AR459" s="76"/>
      <c r="AS459" s="76"/>
      <c r="AT459" s="76"/>
      <c r="AU459" s="76"/>
      <c r="AV459" s="76"/>
      <c r="AW459" s="76"/>
      <c r="AX459" s="76" t="b">
        <v>0</v>
      </c>
      <c r="AY459" s="76"/>
      <c r="AZ459" s="76"/>
      <c r="BA459" s="76" t="b">
        <v>0</v>
      </c>
      <c r="BB459" s="76" t="b">
        <v>1</v>
      </c>
      <c r="BC459" s="76" t="b">
        <v>1</v>
      </c>
      <c r="BD459" s="76" t="b">
        <v>0</v>
      </c>
      <c r="BE459" s="76" t="b">
        <v>0</v>
      </c>
      <c r="BF459" s="76" t="b">
        <v>0</v>
      </c>
      <c r="BG459" s="76" t="b">
        <v>0</v>
      </c>
      <c r="BH459" s="82" t="str">
        <f>HYPERLINK("https://pbs.twimg.com/profile_banners/1636355310628528128/1678973293")</f>
        <v>https://pbs.twimg.com/profile_banners/1636355310628528128/1678973293</v>
      </c>
      <c r="BI459" s="76"/>
      <c r="BJ459" s="76" t="s">
        <v>14450</v>
      </c>
      <c r="BK459" s="76" t="b">
        <v>0</v>
      </c>
      <c r="BL459" s="76"/>
      <c r="BM459" s="76" t="s">
        <v>66</v>
      </c>
      <c r="BN459" s="76" t="s">
        <v>14452</v>
      </c>
      <c r="BO459" s="82" t="str">
        <f>HYPERLINK("https://twitter.com/tatahsouza21")</f>
        <v>https://twitter.com/tatahsouza21</v>
      </c>
      <c r="BP459" s="2"/>
    </row>
    <row r="460" spans="1:68" x14ac:dyDescent="0.25">
      <c r="A460" s="62" t="s">
        <v>613</v>
      </c>
      <c r="B460" s="63"/>
      <c r="C460" s="63"/>
      <c r="D460" s="64"/>
      <c r="E460" s="66"/>
      <c r="F460" s="103" t="str">
        <f>HYPERLINK("https://pbs.twimg.com/profile_images/1631720949522341891/Wv7JBC7c_normal.jpg")</f>
        <v>https://pbs.twimg.com/profile_images/1631720949522341891/Wv7JBC7c_normal.jpg</v>
      </c>
      <c r="G460" s="63"/>
      <c r="H460" s="67"/>
      <c r="I460" s="68"/>
      <c r="J460" s="68"/>
      <c r="K460" s="67" t="s">
        <v>14909</v>
      </c>
      <c r="L460" s="71"/>
      <c r="M460" s="72"/>
      <c r="N460" s="72"/>
      <c r="O460" s="73"/>
      <c r="P460" s="74"/>
      <c r="Q460" s="74"/>
      <c r="R460" s="87"/>
      <c r="S460" s="87"/>
      <c r="T460" s="87"/>
      <c r="U460" s="87"/>
      <c r="V460" s="48"/>
      <c r="W460" s="48"/>
      <c r="X460" s="48"/>
      <c r="Y460" s="48"/>
      <c r="Z460" s="47"/>
      <c r="AA460" s="69">
        <v>460</v>
      </c>
      <c r="AB460" s="69"/>
      <c r="AC460" s="70"/>
      <c r="AD460" s="76" t="s">
        <v>12191</v>
      </c>
      <c r="AE460" s="80" t="s">
        <v>11342</v>
      </c>
      <c r="AF460" s="76">
        <v>778051</v>
      </c>
      <c r="AG460" s="76">
        <v>76</v>
      </c>
      <c r="AH460" s="76">
        <v>100527</v>
      </c>
      <c r="AI460" s="76">
        <v>891</v>
      </c>
      <c r="AJ460" s="76">
        <v>3756</v>
      </c>
      <c r="AK460" s="76">
        <v>5611</v>
      </c>
      <c r="AL460" s="76" t="b">
        <v>0</v>
      </c>
      <c r="AM460" s="78">
        <v>40074.568472222221</v>
      </c>
      <c r="AN460" s="76" t="s">
        <v>7791</v>
      </c>
      <c r="AO460" s="76" t="s">
        <v>13640</v>
      </c>
      <c r="AP460" s="82" t="str">
        <f>HYPERLINK("https://t.co/4pmhkEiqxD")</f>
        <v>https://t.co/4pmhkEiqxD</v>
      </c>
      <c r="AQ460" s="82" t="str">
        <f>HYPERLINK("http://www.cptm.sp.gov.br")</f>
        <v>http://www.cptm.sp.gov.br</v>
      </c>
      <c r="AR460" s="76" t="s">
        <v>14182</v>
      </c>
      <c r="AS460" s="76"/>
      <c r="AT460" s="76"/>
      <c r="AU460" s="76"/>
      <c r="AV460" s="76"/>
      <c r="AW460" s="82" t="str">
        <f>HYPERLINK("https://t.co/4pmhkEiqxD")</f>
        <v>https://t.co/4pmhkEiqxD</v>
      </c>
      <c r="AX460" s="76" t="b">
        <v>0</v>
      </c>
      <c r="AY460" s="76"/>
      <c r="AZ460" s="76"/>
      <c r="BA460" s="76" t="b">
        <v>1</v>
      </c>
      <c r="BB460" s="76" t="b">
        <v>1</v>
      </c>
      <c r="BC460" s="76" t="b">
        <v>0</v>
      </c>
      <c r="BD460" s="76" t="b">
        <v>0</v>
      </c>
      <c r="BE460" s="76" t="b">
        <v>1</v>
      </c>
      <c r="BF460" s="76" t="b">
        <v>0</v>
      </c>
      <c r="BG460" s="76" t="b">
        <v>0</v>
      </c>
      <c r="BH460" s="82" t="str">
        <f>HYPERLINK("https://pbs.twimg.com/profile_banners/75281850/1667912871")</f>
        <v>https://pbs.twimg.com/profile_banners/75281850/1667912871</v>
      </c>
      <c r="BI460" s="76"/>
      <c r="BJ460" s="76" t="s">
        <v>14450</v>
      </c>
      <c r="BK460" s="76" t="b">
        <v>0</v>
      </c>
      <c r="BL460" s="76"/>
      <c r="BM460" s="76" t="s">
        <v>66</v>
      </c>
      <c r="BN460" s="76" t="s">
        <v>14452</v>
      </c>
      <c r="BO460" s="82" t="str">
        <f>HYPERLINK("https://twitter.com/cptm_oficial")</f>
        <v>https://twitter.com/cptm_oficial</v>
      </c>
      <c r="BP460" s="2"/>
    </row>
    <row r="461" spans="1:68" x14ac:dyDescent="0.25">
      <c r="A461" s="62" t="s">
        <v>614</v>
      </c>
      <c r="B461" s="63"/>
      <c r="C461" s="63"/>
      <c r="D461" s="64"/>
      <c r="E461" s="66"/>
      <c r="F461" s="103" t="str">
        <f>HYPERLINK("https://pbs.twimg.com/profile_images/1587163536173813762/xBavG1_H_normal.png")</f>
        <v>https://pbs.twimg.com/profile_images/1587163536173813762/xBavG1_H_normal.png</v>
      </c>
      <c r="G461" s="63"/>
      <c r="H461" s="67"/>
      <c r="I461" s="68"/>
      <c r="J461" s="68"/>
      <c r="K461" s="67" t="s">
        <v>14910</v>
      </c>
      <c r="L461" s="71"/>
      <c r="M461" s="72"/>
      <c r="N461" s="72"/>
      <c r="O461" s="73"/>
      <c r="P461" s="74"/>
      <c r="Q461" s="74"/>
      <c r="R461" s="87"/>
      <c r="S461" s="87"/>
      <c r="T461" s="87"/>
      <c r="U461" s="87"/>
      <c r="V461" s="48"/>
      <c r="W461" s="48"/>
      <c r="X461" s="48"/>
      <c r="Y461" s="48"/>
      <c r="Z461" s="47"/>
      <c r="AA461" s="69">
        <v>461</v>
      </c>
      <c r="AB461" s="69"/>
      <c r="AC461" s="70"/>
      <c r="AD461" s="76" t="s">
        <v>12192</v>
      </c>
      <c r="AE461" s="80" t="s">
        <v>11602</v>
      </c>
      <c r="AF461" s="76">
        <v>5</v>
      </c>
      <c r="AG461" s="76">
        <v>6</v>
      </c>
      <c r="AH461" s="76">
        <v>50</v>
      </c>
      <c r="AI461" s="76">
        <v>0</v>
      </c>
      <c r="AJ461" s="76">
        <v>17</v>
      </c>
      <c r="AK461" s="76">
        <v>46</v>
      </c>
      <c r="AL461" s="76" t="b">
        <v>0</v>
      </c>
      <c r="AM461" s="78">
        <v>44803.801226851851</v>
      </c>
      <c r="AN461" s="76" t="s">
        <v>13095</v>
      </c>
      <c r="AO461" s="76" t="s">
        <v>13641</v>
      </c>
      <c r="AP461" s="82" t="str">
        <f>HYPERLINK("https://t.co/DHsqveWT2M")</f>
        <v>https://t.co/DHsqveWT2M</v>
      </c>
      <c r="AQ461" s="82" t="str">
        <f>HYPERLINK("https://thesauce.com.br")</f>
        <v>https://thesauce.com.br</v>
      </c>
      <c r="AR461" s="76" t="s">
        <v>14183</v>
      </c>
      <c r="AS461" s="76"/>
      <c r="AT461" s="76"/>
      <c r="AU461" s="76"/>
      <c r="AV461" s="76"/>
      <c r="AW461" s="82" t="str">
        <f>HYPERLINK("https://t.co/DHsqveWT2M")</f>
        <v>https://t.co/DHsqveWT2M</v>
      </c>
      <c r="AX461" s="76" t="b">
        <v>0</v>
      </c>
      <c r="AY461" s="76"/>
      <c r="AZ461" s="76"/>
      <c r="BA461" s="76" t="b">
        <v>0</v>
      </c>
      <c r="BB461" s="76" t="b">
        <v>1</v>
      </c>
      <c r="BC461" s="76" t="b">
        <v>1</v>
      </c>
      <c r="BD461" s="76" t="b">
        <v>0</v>
      </c>
      <c r="BE461" s="76" t="b">
        <v>0</v>
      </c>
      <c r="BF461" s="76" t="b">
        <v>0</v>
      </c>
      <c r="BG461" s="76" t="b">
        <v>0</v>
      </c>
      <c r="BH461" s="82" t="str">
        <f>HYPERLINK("https://pbs.twimg.com/profile_banners/1564692822674083842/1667244342")</f>
        <v>https://pbs.twimg.com/profile_banners/1564692822674083842/1667244342</v>
      </c>
      <c r="BI461" s="76"/>
      <c r="BJ461" s="76" t="s">
        <v>14450</v>
      </c>
      <c r="BK461" s="76" t="b">
        <v>0</v>
      </c>
      <c r="BL461" s="76"/>
      <c r="BM461" s="76" t="s">
        <v>66</v>
      </c>
      <c r="BN461" s="76" t="s">
        <v>14452</v>
      </c>
      <c r="BO461" s="82" t="str">
        <f>HYPERLINK("https://twitter.com/thesauce_ag")</f>
        <v>https://twitter.com/thesauce_ag</v>
      </c>
      <c r="BP461" s="2"/>
    </row>
    <row r="462" spans="1:68" x14ac:dyDescent="0.25">
      <c r="A462" s="62" t="s">
        <v>615</v>
      </c>
      <c r="B462" s="63"/>
      <c r="C462" s="63"/>
      <c r="D462" s="64"/>
      <c r="E462" s="66"/>
      <c r="F462" s="103" t="str">
        <f>HYPERLINK("https://pbs.twimg.com/profile_images/1675967268642082817/l2bN3C5q_normal.jpg")</f>
        <v>https://pbs.twimg.com/profile_images/1675967268642082817/l2bN3C5q_normal.jpg</v>
      </c>
      <c r="G462" s="63"/>
      <c r="H462" s="67"/>
      <c r="I462" s="68"/>
      <c r="J462" s="68"/>
      <c r="K462" s="67" t="s">
        <v>14911</v>
      </c>
      <c r="L462" s="71"/>
      <c r="M462" s="72"/>
      <c r="N462" s="72"/>
      <c r="O462" s="73"/>
      <c r="P462" s="74"/>
      <c r="Q462" s="74"/>
      <c r="R462" s="87"/>
      <c r="S462" s="87"/>
      <c r="T462" s="87"/>
      <c r="U462" s="87"/>
      <c r="V462" s="48"/>
      <c r="W462" s="48"/>
      <c r="X462" s="48"/>
      <c r="Y462" s="48"/>
      <c r="Z462" s="47"/>
      <c r="AA462" s="69">
        <v>462</v>
      </c>
      <c r="AB462" s="69"/>
      <c r="AC462" s="70"/>
      <c r="AD462" s="76" t="s">
        <v>933</v>
      </c>
      <c r="AE462" s="80" t="s">
        <v>11603</v>
      </c>
      <c r="AF462" s="76">
        <v>3</v>
      </c>
      <c r="AG462" s="76">
        <v>35</v>
      </c>
      <c r="AH462" s="76">
        <v>39</v>
      </c>
      <c r="AI462" s="76">
        <v>0</v>
      </c>
      <c r="AJ462" s="76">
        <v>14</v>
      </c>
      <c r="AK462" s="76">
        <v>9</v>
      </c>
      <c r="AL462" s="76" t="b">
        <v>0</v>
      </c>
      <c r="AM462" s="78">
        <v>44862.869780092595</v>
      </c>
      <c r="AN462" s="76" t="s">
        <v>7809</v>
      </c>
      <c r="AO462" s="76" t="s">
        <v>13642</v>
      </c>
      <c r="AP462" s="82" t="str">
        <f>HYPERLINK("https://t.co/W20my735Ni")</f>
        <v>https://t.co/W20my735Ni</v>
      </c>
      <c r="AQ462" s="82" t="str">
        <f>HYPERLINK("https://youtube.com/@henriiquepc")</f>
        <v>https://youtube.com/@henriiquepc</v>
      </c>
      <c r="AR462" s="76" t="s">
        <v>14184</v>
      </c>
      <c r="AS462" s="76"/>
      <c r="AT462" s="76"/>
      <c r="AU462" s="76"/>
      <c r="AV462" s="76"/>
      <c r="AW462" s="82" t="str">
        <f>HYPERLINK("https://t.co/W20my735Ni")</f>
        <v>https://t.co/W20my735Ni</v>
      </c>
      <c r="AX462" s="76" t="b">
        <v>0</v>
      </c>
      <c r="AY462" s="76"/>
      <c r="AZ462" s="76"/>
      <c r="BA462" s="76" t="b">
        <v>1</v>
      </c>
      <c r="BB462" s="76" t="b">
        <v>1</v>
      </c>
      <c r="BC462" s="76" t="b">
        <v>1</v>
      </c>
      <c r="BD462" s="76" t="b">
        <v>0</v>
      </c>
      <c r="BE462" s="76" t="b">
        <v>0</v>
      </c>
      <c r="BF462" s="76" t="b">
        <v>0</v>
      </c>
      <c r="BG462" s="76" t="b">
        <v>0</v>
      </c>
      <c r="BH462" s="82" t="str">
        <f>HYPERLINK("https://pbs.twimg.com/profile_banners/1586098527989628928/1666991696")</f>
        <v>https://pbs.twimg.com/profile_banners/1586098527989628928/1666991696</v>
      </c>
      <c r="BI462" s="76"/>
      <c r="BJ462" s="76" t="s">
        <v>14450</v>
      </c>
      <c r="BK462" s="76" t="b">
        <v>0</v>
      </c>
      <c r="BL462" s="76"/>
      <c r="BM462" s="76" t="s">
        <v>66</v>
      </c>
      <c r="BN462" s="76" t="s">
        <v>14452</v>
      </c>
      <c r="BO462" s="82" t="str">
        <f>HYPERLINK("https://twitter.com/papodevendedor")</f>
        <v>https://twitter.com/papodevendedor</v>
      </c>
      <c r="BP462" s="2"/>
    </row>
    <row r="463" spans="1:68" x14ac:dyDescent="0.25">
      <c r="A463" s="62" t="s">
        <v>933</v>
      </c>
      <c r="B463" s="63"/>
      <c r="C463" s="63"/>
      <c r="D463" s="64"/>
      <c r="E463" s="66"/>
      <c r="F463" s="103" t="str">
        <f>HYPERLINK("https://abs.twimg.com/sticky/default_profile_images/default_profile_normal.png")</f>
        <v>https://abs.twimg.com/sticky/default_profile_images/default_profile_normal.png</v>
      </c>
      <c r="G463" s="63"/>
      <c r="H463" s="67"/>
      <c r="I463" s="68"/>
      <c r="J463" s="68"/>
      <c r="K463" s="67" t="s">
        <v>14912</v>
      </c>
      <c r="L463" s="71"/>
      <c r="M463" s="72"/>
      <c r="N463" s="72"/>
      <c r="O463" s="73"/>
      <c r="P463" s="74"/>
      <c r="Q463" s="74"/>
      <c r="R463" s="87"/>
      <c r="S463" s="87"/>
      <c r="T463" s="87"/>
      <c r="U463" s="87"/>
      <c r="V463" s="48"/>
      <c r="W463" s="48"/>
      <c r="X463" s="48"/>
      <c r="Y463" s="48"/>
      <c r="Z463" s="47"/>
      <c r="AA463" s="69">
        <v>463</v>
      </c>
      <c r="AB463" s="69"/>
      <c r="AC463" s="70"/>
      <c r="AD463" s="76" t="s">
        <v>12193</v>
      </c>
      <c r="AE463" s="80" t="s">
        <v>12706</v>
      </c>
      <c r="AF463" s="76">
        <v>0</v>
      </c>
      <c r="AG463" s="76">
        <v>0</v>
      </c>
      <c r="AH463" s="76">
        <v>0</v>
      </c>
      <c r="AI463" s="76">
        <v>0</v>
      </c>
      <c r="AJ463" s="76">
        <v>0</v>
      </c>
      <c r="AK463" s="76">
        <v>0</v>
      </c>
      <c r="AL463" s="76" t="b">
        <v>0</v>
      </c>
      <c r="AM463" s="78">
        <v>40056.58121527778</v>
      </c>
      <c r="AN463" s="76"/>
      <c r="AO463" s="76"/>
      <c r="AP463" s="76"/>
      <c r="AQ463" s="76"/>
      <c r="AR463" s="76"/>
      <c r="AS463" s="76"/>
      <c r="AT463" s="76"/>
      <c r="AU463" s="76"/>
      <c r="AV463" s="76"/>
      <c r="AW463" s="76"/>
      <c r="AX463" s="76" t="b">
        <v>0</v>
      </c>
      <c r="AY463" s="76"/>
      <c r="AZ463" s="76"/>
      <c r="BA463" s="76" t="b">
        <v>0</v>
      </c>
      <c r="BB463" s="76" t="b">
        <v>1</v>
      </c>
      <c r="BC463" s="76" t="b">
        <v>1</v>
      </c>
      <c r="BD463" s="76" t="b">
        <v>1</v>
      </c>
      <c r="BE463" s="76" t="b">
        <v>0</v>
      </c>
      <c r="BF463" s="76" t="b">
        <v>0</v>
      </c>
      <c r="BG463" s="76" t="b">
        <v>0</v>
      </c>
      <c r="BH463" s="76"/>
      <c r="BI463" s="76"/>
      <c r="BJ463" s="76" t="s">
        <v>14450</v>
      </c>
      <c r="BK463" s="76" t="b">
        <v>0</v>
      </c>
      <c r="BL463" s="76"/>
      <c r="BM463" s="76" t="s">
        <v>65</v>
      </c>
      <c r="BN463" s="76" t="s">
        <v>14452</v>
      </c>
      <c r="BO463" s="82" t="str">
        <f>HYPERLINK("https://twitter.com/henriquepc")</f>
        <v>https://twitter.com/henriquepc</v>
      </c>
      <c r="BP463" s="2"/>
    </row>
    <row r="464" spans="1:68" x14ac:dyDescent="0.25">
      <c r="A464" s="62" t="s">
        <v>616</v>
      </c>
      <c r="B464" s="63"/>
      <c r="C464" s="63"/>
      <c r="D464" s="64"/>
      <c r="E464" s="66"/>
      <c r="F464" s="103" t="str">
        <f>HYPERLINK("https://pbs.twimg.com/profile_images/1623050770848391168/F_btqRwz_normal.jpg")</f>
        <v>https://pbs.twimg.com/profile_images/1623050770848391168/F_btqRwz_normal.jpg</v>
      </c>
      <c r="G464" s="63"/>
      <c r="H464" s="67"/>
      <c r="I464" s="68"/>
      <c r="J464" s="68"/>
      <c r="K464" s="67" t="s">
        <v>14913</v>
      </c>
      <c r="L464" s="71"/>
      <c r="M464" s="72"/>
      <c r="N464" s="72"/>
      <c r="O464" s="73"/>
      <c r="P464" s="74"/>
      <c r="Q464" s="74"/>
      <c r="R464" s="87"/>
      <c r="S464" s="87"/>
      <c r="T464" s="87"/>
      <c r="U464" s="87"/>
      <c r="V464" s="48"/>
      <c r="W464" s="48"/>
      <c r="X464" s="48"/>
      <c r="Y464" s="48"/>
      <c r="Z464" s="47"/>
      <c r="AA464" s="69">
        <v>464</v>
      </c>
      <c r="AB464" s="69"/>
      <c r="AC464" s="70"/>
      <c r="AD464" s="76" t="s">
        <v>12194</v>
      </c>
      <c r="AE464" s="80" t="s">
        <v>11604</v>
      </c>
      <c r="AF464" s="76">
        <v>9</v>
      </c>
      <c r="AG464" s="76">
        <v>41</v>
      </c>
      <c r="AH464" s="76">
        <v>19</v>
      </c>
      <c r="AI464" s="76">
        <v>0</v>
      </c>
      <c r="AJ464" s="76">
        <v>0</v>
      </c>
      <c r="AK464" s="76">
        <v>10</v>
      </c>
      <c r="AL464" s="76" t="b">
        <v>0</v>
      </c>
      <c r="AM464" s="78">
        <v>44964.818553240744</v>
      </c>
      <c r="AN464" s="76"/>
      <c r="AO464" s="76" t="s">
        <v>13643</v>
      </c>
      <c r="AP464" s="76"/>
      <c r="AQ464" s="76"/>
      <c r="AR464" s="76"/>
      <c r="AS464" s="76"/>
      <c r="AT464" s="76"/>
      <c r="AU464" s="76"/>
      <c r="AV464" s="76">
        <v>1.6240988643859899E+18</v>
      </c>
      <c r="AW464" s="76"/>
      <c r="AX464" s="76" t="b">
        <v>0</v>
      </c>
      <c r="AY464" s="76"/>
      <c r="AZ464" s="76"/>
      <c r="BA464" s="76" t="b">
        <v>0</v>
      </c>
      <c r="BB464" s="76" t="b">
        <v>1</v>
      </c>
      <c r="BC464" s="76" t="b">
        <v>1</v>
      </c>
      <c r="BD464" s="76" t="b">
        <v>0</v>
      </c>
      <c r="BE464" s="76" t="b">
        <v>0</v>
      </c>
      <c r="BF464" s="76" t="b">
        <v>0</v>
      </c>
      <c r="BG464" s="76" t="b">
        <v>0</v>
      </c>
      <c r="BH464" s="82" t="str">
        <f>HYPERLINK("https://pbs.twimg.com/profile_banners/1623043447014756357/1675802688")</f>
        <v>https://pbs.twimg.com/profile_banners/1623043447014756357/1675802688</v>
      </c>
      <c r="BI464" s="76"/>
      <c r="BJ464" s="76" t="s">
        <v>14450</v>
      </c>
      <c r="BK464" s="76" t="b">
        <v>0</v>
      </c>
      <c r="BL464" s="76"/>
      <c r="BM464" s="76" t="s">
        <v>66</v>
      </c>
      <c r="BN464" s="76" t="s">
        <v>14452</v>
      </c>
      <c r="BO464" s="82" t="str">
        <f>HYPERLINK("https://twitter.com/focushr_")</f>
        <v>https://twitter.com/focushr_</v>
      </c>
      <c r="BP464" s="2"/>
    </row>
    <row r="465" spans="1:68" x14ac:dyDescent="0.25">
      <c r="A465" s="62" t="s">
        <v>617</v>
      </c>
      <c r="B465" s="63"/>
      <c r="C465" s="63"/>
      <c r="D465" s="64"/>
      <c r="E465" s="66"/>
      <c r="F465" s="103" t="str">
        <f>HYPERLINK("https://pbs.twimg.com/profile_images/1637923380862111744/9sTDMlY__normal.jpg")</f>
        <v>https://pbs.twimg.com/profile_images/1637923380862111744/9sTDMlY__normal.jpg</v>
      </c>
      <c r="G465" s="63"/>
      <c r="H465" s="67"/>
      <c r="I465" s="68"/>
      <c r="J465" s="68"/>
      <c r="K465" s="67" t="s">
        <v>14914</v>
      </c>
      <c r="L465" s="71"/>
      <c r="M465" s="72"/>
      <c r="N465" s="72"/>
      <c r="O465" s="73"/>
      <c r="P465" s="74"/>
      <c r="Q465" s="74"/>
      <c r="R465" s="87"/>
      <c r="S465" s="87"/>
      <c r="T465" s="87"/>
      <c r="U465" s="87"/>
      <c r="V465" s="48"/>
      <c r="W465" s="48"/>
      <c r="X465" s="48"/>
      <c r="Y465" s="48"/>
      <c r="Z465" s="47"/>
      <c r="AA465" s="69">
        <v>465</v>
      </c>
      <c r="AB465" s="69"/>
      <c r="AC465" s="70"/>
      <c r="AD465" s="76" t="s">
        <v>12195</v>
      </c>
      <c r="AE465" s="80" t="s">
        <v>12707</v>
      </c>
      <c r="AF465" s="76">
        <v>643</v>
      </c>
      <c r="AG465" s="76">
        <v>1913</v>
      </c>
      <c r="AH465" s="76">
        <v>1896</v>
      </c>
      <c r="AI465" s="76">
        <v>1</v>
      </c>
      <c r="AJ465" s="76">
        <v>40</v>
      </c>
      <c r="AK465" s="76">
        <v>1724</v>
      </c>
      <c r="AL465" s="76" t="b">
        <v>0</v>
      </c>
      <c r="AM465" s="78">
        <v>42063.660752314812</v>
      </c>
      <c r="AN465" s="76" t="s">
        <v>13096</v>
      </c>
      <c r="AO465" s="76" t="s">
        <v>13644</v>
      </c>
      <c r="AP465" s="82" t="str">
        <f>HYPERLINK("https://t.co/2RIhURIyee")</f>
        <v>https://t.co/2RIhURIyee</v>
      </c>
      <c r="AQ465" s="82" t="str">
        <f>HYPERLINK("https://consultoresdeproductividad.com")</f>
        <v>https://consultoresdeproductividad.com</v>
      </c>
      <c r="AR465" s="76" t="s">
        <v>14185</v>
      </c>
      <c r="AS465" s="76"/>
      <c r="AT465" s="76"/>
      <c r="AU465" s="76"/>
      <c r="AV465" s="76"/>
      <c r="AW465" s="82" t="str">
        <f>HYPERLINK("https://t.co/2RIhURIyee")</f>
        <v>https://t.co/2RIhURIyee</v>
      </c>
      <c r="AX465" s="76" t="b">
        <v>0</v>
      </c>
      <c r="AY465" s="76"/>
      <c r="AZ465" s="76"/>
      <c r="BA465" s="76" t="b">
        <v>0</v>
      </c>
      <c r="BB465" s="76" t="b">
        <v>0</v>
      </c>
      <c r="BC465" s="76" t="b">
        <v>0</v>
      </c>
      <c r="BD465" s="76" t="b">
        <v>0</v>
      </c>
      <c r="BE465" s="76" t="b">
        <v>0</v>
      </c>
      <c r="BF465" s="76" t="b">
        <v>0</v>
      </c>
      <c r="BG465" s="76" t="b">
        <v>0</v>
      </c>
      <c r="BH465" s="82" t="str">
        <f>HYPERLINK("https://pbs.twimg.com/profile_banners/3050174172/1679688538")</f>
        <v>https://pbs.twimg.com/profile_banners/3050174172/1679688538</v>
      </c>
      <c r="BI465" s="76"/>
      <c r="BJ465" s="76" t="s">
        <v>14450</v>
      </c>
      <c r="BK465" s="76" t="b">
        <v>0</v>
      </c>
      <c r="BL465" s="76"/>
      <c r="BM465" s="76" t="s">
        <v>66</v>
      </c>
      <c r="BN465" s="76" t="s">
        <v>14452</v>
      </c>
      <c r="BO465" s="82" t="str">
        <f>HYPERLINK("https://twitter.com/consultores_dp")</f>
        <v>https://twitter.com/consultores_dp</v>
      </c>
      <c r="BP465" s="2"/>
    </row>
    <row r="466" spans="1:68" x14ac:dyDescent="0.25">
      <c r="A466" s="62" t="s">
        <v>618</v>
      </c>
      <c r="B466" s="63"/>
      <c r="C466" s="63"/>
      <c r="D466" s="64"/>
      <c r="E466" s="66"/>
      <c r="F466" s="103" t="str">
        <f>HYPERLINK("https://pbs.twimg.com/profile_images/666946134695374848/qxcSlbVY_normal.jpg")</f>
        <v>https://pbs.twimg.com/profile_images/666946134695374848/qxcSlbVY_normal.jpg</v>
      </c>
      <c r="G466" s="63"/>
      <c r="H466" s="67"/>
      <c r="I466" s="68"/>
      <c r="J466" s="68"/>
      <c r="K466" s="67" t="s">
        <v>14915</v>
      </c>
      <c r="L466" s="71"/>
      <c r="M466" s="72"/>
      <c r="N466" s="72"/>
      <c r="O466" s="73"/>
      <c r="P466" s="74"/>
      <c r="Q466" s="74"/>
      <c r="R466" s="87"/>
      <c r="S466" s="87"/>
      <c r="T466" s="87"/>
      <c r="U466" s="87"/>
      <c r="V466" s="48"/>
      <c r="W466" s="48"/>
      <c r="X466" s="48"/>
      <c r="Y466" s="48"/>
      <c r="Z466" s="47"/>
      <c r="AA466" s="69">
        <v>466</v>
      </c>
      <c r="AB466" s="69"/>
      <c r="AC466" s="70"/>
      <c r="AD466" s="76" t="s">
        <v>12196</v>
      </c>
      <c r="AE466" s="80" t="s">
        <v>12708</v>
      </c>
      <c r="AF466" s="76">
        <v>2119</v>
      </c>
      <c r="AG466" s="76">
        <v>2108</v>
      </c>
      <c r="AH466" s="76">
        <v>9053</v>
      </c>
      <c r="AI466" s="76">
        <v>87</v>
      </c>
      <c r="AJ466" s="76">
        <v>4980</v>
      </c>
      <c r="AK466" s="76">
        <v>2495</v>
      </c>
      <c r="AL466" s="76" t="b">
        <v>0</v>
      </c>
      <c r="AM466" s="78">
        <v>42326.483773148146</v>
      </c>
      <c r="AN466" s="76" t="s">
        <v>13097</v>
      </c>
      <c r="AO466" s="76" t="s">
        <v>13645</v>
      </c>
      <c r="AP466" s="82" t="str">
        <f>HYPERLINK("https://t.co/JEtpvbMeln")</f>
        <v>https://t.co/JEtpvbMeln</v>
      </c>
      <c r="AQ466" s="82" t="str">
        <f>HYPERLINK("http://bit.ly/soy2miradas")</f>
        <v>http://bit.ly/soy2miradas</v>
      </c>
      <c r="AR466" s="76" t="s">
        <v>14186</v>
      </c>
      <c r="AS466" s="76"/>
      <c r="AT466" s="76"/>
      <c r="AU466" s="76"/>
      <c r="AV466" s="76"/>
      <c r="AW466" s="82" t="str">
        <f>HYPERLINK("https://t.co/JEtpvbMeln")</f>
        <v>https://t.co/JEtpvbMeln</v>
      </c>
      <c r="AX466" s="76" t="b">
        <v>0</v>
      </c>
      <c r="AY466" s="76"/>
      <c r="AZ466" s="76"/>
      <c r="BA466" s="76" t="b">
        <v>1</v>
      </c>
      <c r="BB466" s="76" t="b">
        <v>1</v>
      </c>
      <c r="BC466" s="76" t="b">
        <v>1</v>
      </c>
      <c r="BD466" s="76" t="b">
        <v>0</v>
      </c>
      <c r="BE466" s="76" t="b">
        <v>1</v>
      </c>
      <c r="BF466" s="76" t="b">
        <v>0</v>
      </c>
      <c r="BG466" s="76" t="b">
        <v>0</v>
      </c>
      <c r="BH466" s="82" t="str">
        <f>HYPERLINK("https://pbs.twimg.com/profile_banners/4217513265/1592685442")</f>
        <v>https://pbs.twimg.com/profile_banners/4217513265/1592685442</v>
      </c>
      <c r="BI466" s="76"/>
      <c r="BJ466" s="76" t="s">
        <v>14450</v>
      </c>
      <c r="BK466" s="76" t="b">
        <v>0</v>
      </c>
      <c r="BL466" s="76"/>
      <c r="BM466" s="76" t="s">
        <v>66</v>
      </c>
      <c r="BN466" s="76" t="s">
        <v>14452</v>
      </c>
      <c r="BO466" s="82" t="str">
        <f>HYPERLINK("https://twitter.com/m_garciaarranz")</f>
        <v>https://twitter.com/m_garciaarranz</v>
      </c>
      <c r="BP466" s="2"/>
    </row>
    <row r="467" spans="1:68" x14ac:dyDescent="0.25">
      <c r="A467" s="62" t="s">
        <v>619</v>
      </c>
      <c r="B467" s="63"/>
      <c r="C467" s="63"/>
      <c r="D467" s="64"/>
      <c r="E467" s="66"/>
      <c r="F467" s="103" t="str">
        <f>HYPERLINK("https://pbs.twimg.com/profile_images/1656762643418316801/Pv0cmqaS_normal.png")</f>
        <v>https://pbs.twimg.com/profile_images/1656762643418316801/Pv0cmqaS_normal.png</v>
      </c>
      <c r="G467" s="63"/>
      <c r="H467" s="67"/>
      <c r="I467" s="68"/>
      <c r="J467" s="68"/>
      <c r="K467" s="67" t="s">
        <v>14916</v>
      </c>
      <c r="L467" s="71"/>
      <c r="M467" s="72"/>
      <c r="N467" s="72"/>
      <c r="O467" s="73"/>
      <c r="P467" s="74"/>
      <c r="Q467" s="74"/>
      <c r="R467" s="87"/>
      <c r="S467" s="87"/>
      <c r="T467" s="87"/>
      <c r="U467" s="87"/>
      <c r="V467" s="48"/>
      <c r="W467" s="48"/>
      <c r="X467" s="48"/>
      <c r="Y467" s="48"/>
      <c r="Z467" s="47"/>
      <c r="AA467" s="69">
        <v>467</v>
      </c>
      <c r="AB467" s="69"/>
      <c r="AC467" s="70"/>
      <c r="AD467" s="76" t="s">
        <v>12197</v>
      </c>
      <c r="AE467" s="80" t="s">
        <v>12709</v>
      </c>
      <c r="AF467" s="76">
        <v>44</v>
      </c>
      <c r="AG467" s="76">
        <v>94</v>
      </c>
      <c r="AH467" s="76">
        <v>218</v>
      </c>
      <c r="AI467" s="76">
        <v>1</v>
      </c>
      <c r="AJ467" s="76">
        <v>43</v>
      </c>
      <c r="AK467" s="76">
        <v>36</v>
      </c>
      <c r="AL467" s="76" t="b">
        <v>0</v>
      </c>
      <c r="AM467" s="78">
        <v>40492.846967592595</v>
      </c>
      <c r="AN467" s="76" t="s">
        <v>13098</v>
      </c>
      <c r="AO467" s="76" t="s">
        <v>13646</v>
      </c>
      <c r="AP467" s="82" t="str">
        <f>HYPERLINK("https://t.co/ur8t87fqvv")</f>
        <v>https://t.co/ur8t87fqvv</v>
      </c>
      <c r="AQ467" s="82" t="str">
        <f>HYPERLINK("https://yess.com.br/")</f>
        <v>https://yess.com.br/</v>
      </c>
      <c r="AR467" s="76" t="s">
        <v>14187</v>
      </c>
      <c r="AS467" s="76"/>
      <c r="AT467" s="76"/>
      <c r="AU467" s="76"/>
      <c r="AV467" s="76"/>
      <c r="AW467" s="82" t="str">
        <f>HYPERLINK("https://t.co/ur8t87fqvv")</f>
        <v>https://t.co/ur8t87fqvv</v>
      </c>
      <c r="AX467" s="76" t="b">
        <v>0</v>
      </c>
      <c r="AY467" s="76"/>
      <c r="AZ467" s="76"/>
      <c r="BA467" s="76" t="b">
        <v>0</v>
      </c>
      <c r="BB467" s="76" t="b">
        <v>1</v>
      </c>
      <c r="BC467" s="76" t="b">
        <v>0</v>
      </c>
      <c r="BD467" s="76" t="b">
        <v>0</v>
      </c>
      <c r="BE467" s="76" t="b">
        <v>0</v>
      </c>
      <c r="BF467" s="76" t="b">
        <v>0</v>
      </c>
      <c r="BG467" s="76" t="b">
        <v>0</v>
      </c>
      <c r="BH467" s="82" t="str">
        <f>HYPERLINK("https://pbs.twimg.com/profile_banners/214195415/1683837970")</f>
        <v>https://pbs.twimg.com/profile_banners/214195415/1683837970</v>
      </c>
      <c r="BI467" s="76"/>
      <c r="BJ467" s="76" t="s">
        <v>14450</v>
      </c>
      <c r="BK467" s="76" t="b">
        <v>0</v>
      </c>
      <c r="BL467" s="76"/>
      <c r="BM467" s="76" t="s">
        <v>66</v>
      </c>
      <c r="BN467" s="76" t="s">
        <v>14452</v>
      </c>
      <c r="BO467" s="82" t="str">
        <f>HYPERLINK("https://twitter.com/yessagenciaweb")</f>
        <v>https://twitter.com/yessagenciaweb</v>
      </c>
      <c r="BP467" s="2"/>
    </row>
    <row r="468" spans="1:68" x14ac:dyDescent="0.25">
      <c r="A468" s="62" t="s">
        <v>620</v>
      </c>
      <c r="B468" s="63"/>
      <c r="C468" s="63"/>
      <c r="D468" s="64"/>
      <c r="E468" s="66"/>
      <c r="F468" s="103" t="str">
        <f>HYPERLINK("https://pbs.twimg.com/profile_images/1674197390620864512/ZDXPCJBw_normal.jpg")</f>
        <v>https://pbs.twimg.com/profile_images/1674197390620864512/ZDXPCJBw_normal.jpg</v>
      </c>
      <c r="G468" s="63"/>
      <c r="H468" s="67"/>
      <c r="I468" s="68"/>
      <c r="J468" s="68"/>
      <c r="K468" s="67" t="s">
        <v>14917</v>
      </c>
      <c r="L468" s="71"/>
      <c r="M468" s="72"/>
      <c r="N468" s="72"/>
      <c r="O468" s="73"/>
      <c r="P468" s="74"/>
      <c r="Q468" s="74"/>
      <c r="R468" s="87"/>
      <c r="S468" s="87"/>
      <c r="T468" s="87"/>
      <c r="U468" s="87"/>
      <c r="V468" s="48"/>
      <c r="W468" s="48"/>
      <c r="X468" s="48"/>
      <c r="Y468" s="48"/>
      <c r="Z468" s="47"/>
      <c r="AA468" s="69">
        <v>468</v>
      </c>
      <c r="AB468" s="69"/>
      <c r="AC468" s="70"/>
      <c r="AD468" s="76" t="s">
        <v>12198</v>
      </c>
      <c r="AE468" s="80" t="s">
        <v>11605</v>
      </c>
      <c r="AF468" s="76">
        <v>3</v>
      </c>
      <c r="AG468" s="76">
        <v>25</v>
      </c>
      <c r="AH468" s="76">
        <v>34</v>
      </c>
      <c r="AI468" s="76">
        <v>0</v>
      </c>
      <c r="AJ468" s="76">
        <v>23</v>
      </c>
      <c r="AK468" s="76">
        <v>10</v>
      </c>
      <c r="AL468" s="76" t="b">
        <v>0</v>
      </c>
      <c r="AM468" s="78">
        <v>45088.948877314811</v>
      </c>
      <c r="AN468" s="76" t="s">
        <v>13099</v>
      </c>
      <c r="AO468" s="76" t="s">
        <v>13647</v>
      </c>
      <c r="AP468" s="76"/>
      <c r="AQ468" s="76"/>
      <c r="AR468" s="76"/>
      <c r="AS468" s="76"/>
      <c r="AT468" s="76"/>
      <c r="AU468" s="76"/>
      <c r="AV468" s="76"/>
      <c r="AW468" s="76"/>
      <c r="AX468" s="76" t="b">
        <v>0</v>
      </c>
      <c r="AY468" s="76"/>
      <c r="AZ468" s="76"/>
      <c r="BA468" s="76" t="b">
        <v>0</v>
      </c>
      <c r="BB468" s="76" t="b">
        <v>1</v>
      </c>
      <c r="BC468" s="76" t="b">
        <v>1</v>
      </c>
      <c r="BD468" s="76" t="b">
        <v>0</v>
      </c>
      <c r="BE468" s="76" t="b">
        <v>0</v>
      </c>
      <c r="BF468" s="76" t="b">
        <v>0</v>
      </c>
      <c r="BG468" s="76" t="b">
        <v>0</v>
      </c>
      <c r="BH468" s="82" t="str">
        <f>HYPERLINK("https://pbs.twimg.com/profile_banners/1668026664658272257/1686524743")</f>
        <v>https://pbs.twimg.com/profile_banners/1668026664658272257/1686524743</v>
      </c>
      <c r="BI468" s="76"/>
      <c r="BJ468" s="76" t="s">
        <v>14450</v>
      </c>
      <c r="BK468" s="76" t="b">
        <v>0</v>
      </c>
      <c r="BL468" s="76"/>
      <c r="BM468" s="76" t="s">
        <v>66</v>
      </c>
      <c r="BN468" s="76" t="s">
        <v>14452</v>
      </c>
      <c r="BO468" s="82" t="str">
        <f>HYPERLINK("https://twitter.com/alimentadorweb")</f>
        <v>https://twitter.com/alimentadorweb</v>
      </c>
      <c r="BP468" s="2"/>
    </row>
    <row r="469" spans="1:68" x14ac:dyDescent="0.25">
      <c r="A469" s="62" t="s">
        <v>621</v>
      </c>
      <c r="B469" s="63"/>
      <c r="C469" s="63"/>
      <c r="D469" s="64"/>
      <c r="E469" s="66"/>
      <c r="F469" s="103" t="str">
        <f>HYPERLINK("https://pbs.twimg.com/profile_images/458876770234560512/35qYhvkm_normal.jpeg")</f>
        <v>https://pbs.twimg.com/profile_images/458876770234560512/35qYhvkm_normal.jpeg</v>
      </c>
      <c r="G469" s="63"/>
      <c r="H469" s="67"/>
      <c r="I469" s="68"/>
      <c r="J469" s="68"/>
      <c r="K469" s="67" t="s">
        <v>14918</v>
      </c>
      <c r="L469" s="71"/>
      <c r="M469" s="72"/>
      <c r="N469" s="72"/>
      <c r="O469" s="73"/>
      <c r="P469" s="74"/>
      <c r="Q469" s="74"/>
      <c r="R469" s="87"/>
      <c r="S469" s="87"/>
      <c r="T469" s="87"/>
      <c r="U469" s="87"/>
      <c r="V469" s="48"/>
      <c r="W469" s="48"/>
      <c r="X469" s="48"/>
      <c r="Y469" s="48"/>
      <c r="Z469" s="47"/>
      <c r="AA469" s="69">
        <v>469</v>
      </c>
      <c r="AB469" s="69"/>
      <c r="AC469" s="70"/>
      <c r="AD469" s="76" t="s">
        <v>12199</v>
      </c>
      <c r="AE469" s="80" t="s">
        <v>12710</v>
      </c>
      <c r="AF469" s="76">
        <v>4840</v>
      </c>
      <c r="AG469" s="76">
        <v>2844</v>
      </c>
      <c r="AH469" s="76">
        <v>87185</v>
      </c>
      <c r="AI469" s="76">
        <v>481</v>
      </c>
      <c r="AJ469" s="76">
        <v>59</v>
      </c>
      <c r="AK469" s="76">
        <v>21125</v>
      </c>
      <c r="AL469" s="76" t="b">
        <v>0</v>
      </c>
      <c r="AM469" s="78">
        <v>40078.71770833333</v>
      </c>
      <c r="AN469" s="76" t="s">
        <v>7801</v>
      </c>
      <c r="AO469" s="76" t="s">
        <v>13648</v>
      </c>
      <c r="AP469" s="82" t="str">
        <f>HYPERLINK("http://t.co/NJxl6j6CsD")</f>
        <v>http://t.co/NJxl6j6CsD</v>
      </c>
      <c r="AQ469" s="82" t="str">
        <f>HYPERLINK("http://autoresponder.com.es")</f>
        <v>http://autoresponder.com.es</v>
      </c>
      <c r="AR469" s="76" t="s">
        <v>14188</v>
      </c>
      <c r="AS469" s="76"/>
      <c r="AT469" s="76"/>
      <c r="AU469" s="76"/>
      <c r="AV469" s="76">
        <v>1.10323966718763E+18</v>
      </c>
      <c r="AW469" s="82" t="str">
        <f>HYPERLINK("http://t.co/NJxl6j6CsD")</f>
        <v>http://t.co/NJxl6j6CsD</v>
      </c>
      <c r="AX469" s="76" t="b">
        <v>0</v>
      </c>
      <c r="AY469" s="76"/>
      <c r="AZ469" s="76"/>
      <c r="BA469" s="76" t="b">
        <v>0</v>
      </c>
      <c r="BB469" s="76" t="b">
        <v>1</v>
      </c>
      <c r="BC469" s="76" t="b">
        <v>1</v>
      </c>
      <c r="BD469" s="76" t="b">
        <v>0</v>
      </c>
      <c r="BE469" s="76" t="b">
        <v>0</v>
      </c>
      <c r="BF469" s="76" t="b">
        <v>0</v>
      </c>
      <c r="BG469" s="76" t="b">
        <v>0</v>
      </c>
      <c r="BH469" s="82" t="str">
        <f>HYPERLINK("https://pbs.twimg.com/profile_banners/76388353/1398239580")</f>
        <v>https://pbs.twimg.com/profile_banners/76388353/1398239580</v>
      </c>
      <c r="BI469" s="76"/>
      <c r="BJ469" s="76" t="s">
        <v>14450</v>
      </c>
      <c r="BK469" s="76" t="b">
        <v>0</v>
      </c>
      <c r="BL469" s="76"/>
      <c r="BM469" s="76" t="s">
        <v>66</v>
      </c>
      <c r="BN469" s="76" t="s">
        <v>14452</v>
      </c>
      <c r="BO469" s="82" t="str">
        <f>HYPERLINK("https://twitter.com/inteligencia999")</f>
        <v>https://twitter.com/inteligencia999</v>
      </c>
      <c r="BP469" s="2"/>
    </row>
    <row r="470" spans="1:68" x14ac:dyDescent="0.25">
      <c r="A470" s="62" t="s">
        <v>622</v>
      </c>
      <c r="B470" s="63"/>
      <c r="C470" s="63"/>
      <c r="D470" s="64"/>
      <c r="E470" s="66"/>
      <c r="F470" s="103" t="str">
        <f>HYPERLINK("https://pbs.twimg.com/profile_images/1601251603406884864/aKiDQL9S_normal.jpg")</f>
        <v>https://pbs.twimg.com/profile_images/1601251603406884864/aKiDQL9S_normal.jpg</v>
      </c>
      <c r="G470" s="63"/>
      <c r="H470" s="67"/>
      <c r="I470" s="68"/>
      <c r="J470" s="68"/>
      <c r="K470" s="67" t="s">
        <v>14919</v>
      </c>
      <c r="L470" s="71"/>
      <c r="M470" s="72"/>
      <c r="N470" s="72"/>
      <c r="O470" s="73"/>
      <c r="P470" s="74"/>
      <c r="Q470" s="74"/>
      <c r="R470" s="87"/>
      <c r="S470" s="87"/>
      <c r="T470" s="87"/>
      <c r="U470" s="87"/>
      <c r="V470" s="48"/>
      <c r="W470" s="48"/>
      <c r="X470" s="48"/>
      <c r="Y470" s="48"/>
      <c r="Z470" s="47"/>
      <c r="AA470" s="69">
        <v>470</v>
      </c>
      <c r="AB470" s="69"/>
      <c r="AC470" s="70"/>
      <c r="AD470" s="76" t="s">
        <v>12200</v>
      </c>
      <c r="AE470" s="80" t="s">
        <v>11606</v>
      </c>
      <c r="AF470" s="76">
        <v>2135</v>
      </c>
      <c r="AG470" s="76">
        <v>4963</v>
      </c>
      <c r="AH470" s="76">
        <v>51548</v>
      </c>
      <c r="AI470" s="76">
        <v>2</v>
      </c>
      <c r="AJ470" s="76">
        <v>34494</v>
      </c>
      <c r="AK470" s="76">
        <v>4868</v>
      </c>
      <c r="AL470" s="76" t="b">
        <v>0</v>
      </c>
      <c r="AM470" s="78">
        <v>44480.76771990741</v>
      </c>
      <c r="AN470" s="76" t="s">
        <v>7791</v>
      </c>
      <c r="AO470" s="76" t="s">
        <v>13649</v>
      </c>
      <c r="AP470" s="76"/>
      <c r="AQ470" s="76"/>
      <c r="AR470" s="76"/>
      <c r="AS470" s="76"/>
      <c r="AT470" s="76"/>
      <c r="AU470" s="76"/>
      <c r="AV470" s="76"/>
      <c r="AW470" s="76"/>
      <c r="AX470" s="76" t="b">
        <v>0</v>
      </c>
      <c r="AY470" s="76"/>
      <c r="AZ470" s="76"/>
      <c r="BA470" s="76" t="b">
        <v>1</v>
      </c>
      <c r="BB470" s="76" t="b">
        <v>1</v>
      </c>
      <c r="BC470" s="76" t="b">
        <v>1</v>
      </c>
      <c r="BD470" s="76" t="b">
        <v>0</v>
      </c>
      <c r="BE470" s="76" t="b">
        <v>1</v>
      </c>
      <c r="BF470" s="76" t="b">
        <v>0</v>
      </c>
      <c r="BG470" s="76" t="b">
        <v>0</v>
      </c>
      <c r="BH470" s="82" t="str">
        <f>HYPERLINK("https://pbs.twimg.com/profile_banners/1447629280935096335/1670603775")</f>
        <v>https://pbs.twimg.com/profile_banners/1447629280935096335/1670603775</v>
      </c>
      <c r="BI470" s="76"/>
      <c r="BJ470" s="76" t="s">
        <v>14450</v>
      </c>
      <c r="BK470" s="76" t="b">
        <v>0</v>
      </c>
      <c r="BL470" s="76"/>
      <c r="BM470" s="76" t="s">
        <v>66</v>
      </c>
      <c r="BN470" s="76" t="s">
        <v>14452</v>
      </c>
      <c r="BO470" s="82" t="str">
        <f>HYPERLINK("https://twitter.com/julioce81307211")</f>
        <v>https://twitter.com/julioce81307211</v>
      </c>
      <c r="BP470" s="2"/>
    </row>
    <row r="471" spans="1:68" x14ac:dyDescent="0.25">
      <c r="A471" s="62" t="s">
        <v>623</v>
      </c>
      <c r="B471" s="63"/>
      <c r="C471" s="63"/>
      <c r="D471" s="64"/>
      <c r="E471" s="66"/>
      <c r="F471" s="103" t="str">
        <f>HYPERLINK("https://pbs.twimg.com/profile_images/568473907422699522/LhDtQw-V_normal.jpeg")</f>
        <v>https://pbs.twimg.com/profile_images/568473907422699522/LhDtQw-V_normal.jpeg</v>
      </c>
      <c r="G471" s="63"/>
      <c r="H471" s="67"/>
      <c r="I471" s="68"/>
      <c r="J471" s="68"/>
      <c r="K471" s="67" t="s">
        <v>14920</v>
      </c>
      <c r="L471" s="71"/>
      <c r="M471" s="72"/>
      <c r="N471" s="72"/>
      <c r="O471" s="73"/>
      <c r="P471" s="74"/>
      <c r="Q471" s="74"/>
      <c r="R471" s="87"/>
      <c r="S471" s="87"/>
      <c r="T471" s="87"/>
      <c r="U471" s="87"/>
      <c r="V471" s="48"/>
      <c r="W471" s="48"/>
      <c r="X471" s="48"/>
      <c r="Y471" s="48"/>
      <c r="Z471" s="47"/>
      <c r="AA471" s="69">
        <v>471</v>
      </c>
      <c r="AB471" s="69"/>
      <c r="AC471" s="70"/>
      <c r="AD471" s="76" t="s">
        <v>12201</v>
      </c>
      <c r="AE471" s="80" t="s">
        <v>12711</v>
      </c>
      <c r="AF471" s="76">
        <v>32</v>
      </c>
      <c r="AG471" s="76">
        <v>73</v>
      </c>
      <c r="AH471" s="76">
        <v>2968</v>
      </c>
      <c r="AI471" s="76">
        <v>1</v>
      </c>
      <c r="AJ471" s="76">
        <v>55</v>
      </c>
      <c r="AK471" s="76">
        <v>2851</v>
      </c>
      <c r="AL471" s="76" t="b">
        <v>0</v>
      </c>
      <c r="AM471" s="78">
        <v>40367.595173611109</v>
      </c>
      <c r="AN471" s="76" t="s">
        <v>13100</v>
      </c>
      <c r="AO471" s="76" t="s">
        <v>13650</v>
      </c>
      <c r="AP471" s="82" t="str">
        <f>HYPERLINK("https://t.co/rme51nQq2p")</f>
        <v>https://t.co/rme51nQq2p</v>
      </c>
      <c r="AQ471" s="82" t="str">
        <f>HYPERLINK("https://www.barrettfinancial.com/mtzompantzi/")</f>
        <v>https://www.barrettfinancial.com/mtzompantzi/</v>
      </c>
      <c r="AR471" s="76" t="s">
        <v>14189</v>
      </c>
      <c r="AS471" s="82" t="str">
        <f>HYPERLINK("https://t.co/Pt5Is90p00")</f>
        <v>https://t.co/Pt5Is90p00</v>
      </c>
      <c r="AT471" s="82" t="str">
        <f>HYPERLINK("http://nmlsconsumeraccess.org")</f>
        <v>http://nmlsconsumeraccess.org</v>
      </c>
      <c r="AU471" s="76" t="s">
        <v>14429</v>
      </c>
      <c r="AV471" s="76"/>
      <c r="AW471" s="82" t="str">
        <f>HYPERLINK("https://t.co/rme51nQq2p")</f>
        <v>https://t.co/rme51nQq2p</v>
      </c>
      <c r="AX471" s="76" t="b">
        <v>0</v>
      </c>
      <c r="AY471" s="76"/>
      <c r="AZ471" s="76"/>
      <c r="BA471" s="76" t="b">
        <v>0</v>
      </c>
      <c r="BB471" s="76" t="b">
        <v>1</v>
      </c>
      <c r="BC471" s="76" t="b">
        <v>0</v>
      </c>
      <c r="BD471" s="76" t="b">
        <v>0</v>
      </c>
      <c r="BE471" s="76" t="b">
        <v>0</v>
      </c>
      <c r="BF471" s="76" t="b">
        <v>0</v>
      </c>
      <c r="BG471" s="76" t="b">
        <v>0</v>
      </c>
      <c r="BH471" s="82" t="str">
        <f>HYPERLINK("https://pbs.twimg.com/profile_banners/164289162/1573779963")</f>
        <v>https://pbs.twimg.com/profile_banners/164289162/1573779963</v>
      </c>
      <c r="BI471" s="76"/>
      <c r="BJ471" s="76" t="s">
        <v>14450</v>
      </c>
      <c r="BK471" s="76" t="b">
        <v>0</v>
      </c>
      <c r="BL471" s="76"/>
      <c r="BM471" s="76" t="s">
        <v>66</v>
      </c>
      <c r="BN471" s="76" t="s">
        <v>14452</v>
      </c>
      <c r="BO471" s="82" t="str">
        <f>HYPERLINK("https://twitter.com/mtzompantzi")</f>
        <v>https://twitter.com/mtzompantzi</v>
      </c>
      <c r="BP471" s="2"/>
    </row>
    <row r="472" spans="1:68" x14ac:dyDescent="0.25">
      <c r="A472" s="62" t="s">
        <v>624</v>
      </c>
      <c r="B472" s="63"/>
      <c r="C472" s="63"/>
      <c r="D472" s="64"/>
      <c r="E472" s="66"/>
      <c r="F472" s="103" t="str">
        <f>HYPERLINK("https://pbs.twimg.com/profile_images/1569710686263189506/O9ol319X_normal.jpg")</f>
        <v>https://pbs.twimg.com/profile_images/1569710686263189506/O9ol319X_normal.jpg</v>
      </c>
      <c r="G472" s="63"/>
      <c r="H472" s="67"/>
      <c r="I472" s="68"/>
      <c r="J472" s="68"/>
      <c r="K472" s="67" t="s">
        <v>14921</v>
      </c>
      <c r="L472" s="71"/>
      <c r="M472" s="72"/>
      <c r="N472" s="72"/>
      <c r="O472" s="73"/>
      <c r="P472" s="74"/>
      <c r="Q472" s="74"/>
      <c r="R472" s="87"/>
      <c r="S472" s="87"/>
      <c r="T472" s="87"/>
      <c r="U472" s="87"/>
      <c r="V472" s="48"/>
      <c r="W472" s="48"/>
      <c r="X472" s="48"/>
      <c r="Y472" s="48"/>
      <c r="Z472" s="47"/>
      <c r="AA472" s="69">
        <v>472</v>
      </c>
      <c r="AB472" s="69"/>
      <c r="AC472" s="70"/>
      <c r="AD472" s="76" t="s">
        <v>12202</v>
      </c>
      <c r="AE472" s="80" t="s">
        <v>11607</v>
      </c>
      <c r="AF472" s="76">
        <v>362</v>
      </c>
      <c r="AG472" s="76">
        <v>34</v>
      </c>
      <c r="AH472" s="76">
        <v>245</v>
      </c>
      <c r="AI472" s="76">
        <v>2</v>
      </c>
      <c r="AJ472" s="76">
        <v>35</v>
      </c>
      <c r="AK472" s="76">
        <v>219</v>
      </c>
      <c r="AL472" s="76" t="b">
        <v>0</v>
      </c>
      <c r="AM472" s="78">
        <v>44685.602280092593</v>
      </c>
      <c r="AN472" s="76" t="s">
        <v>13101</v>
      </c>
      <c r="AO472" s="76" t="s">
        <v>13651</v>
      </c>
      <c r="AP472" s="82" t="str">
        <f>HYPERLINK("https://t.co/zrAjhkWiO5")</f>
        <v>https://t.co/zrAjhkWiO5</v>
      </c>
      <c r="AQ472" s="82" t="str">
        <f>HYPERLINK("http://www.rhplanning.com.mx")</f>
        <v>http://www.rhplanning.com.mx</v>
      </c>
      <c r="AR472" s="76" t="s">
        <v>14190</v>
      </c>
      <c r="AS472" s="76"/>
      <c r="AT472" s="76"/>
      <c r="AU472" s="76"/>
      <c r="AV472" s="76">
        <v>1.6872069579694999E+18</v>
      </c>
      <c r="AW472" s="82" t="str">
        <f>HYPERLINK("https://t.co/zrAjhkWiO5")</f>
        <v>https://t.co/zrAjhkWiO5</v>
      </c>
      <c r="AX472" s="76" t="b">
        <v>0</v>
      </c>
      <c r="AY472" s="76"/>
      <c r="AZ472" s="76"/>
      <c r="BA472" s="76" t="b">
        <v>1</v>
      </c>
      <c r="BB472" s="76" t="b">
        <v>1</v>
      </c>
      <c r="BC472" s="76" t="b">
        <v>1</v>
      </c>
      <c r="BD472" s="76" t="b">
        <v>0</v>
      </c>
      <c r="BE472" s="76" t="b">
        <v>0</v>
      </c>
      <c r="BF472" s="76" t="b">
        <v>0</v>
      </c>
      <c r="BG472" s="76" t="b">
        <v>0</v>
      </c>
      <c r="BH472" s="82" t="str">
        <f>HYPERLINK("https://pbs.twimg.com/profile_banners/1521858609830928384/1655151093")</f>
        <v>https://pbs.twimg.com/profile_banners/1521858609830928384/1655151093</v>
      </c>
      <c r="BI472" s="76"/>
      <c r="BJ472" s="76" t="s">
        <v>14450</v>
      </c>
      <c r="BK472" s="76" t="b">
        <v>0</v>
      </c>
      <c r="BL472" s="76"/>
      <c r="BM472" s="76" t="s">
        <v>66</v>
      </c>
      <c r="BN472" s="76" t="s">
        <v>14452</v>
      </c>
      <c r="BO472" s="82" t="str">
        <f>HYPERLINK("https://twitter.com/rhplanningmx")</f>
        <v>https://twitter.com/rhplanningmx</v>
      </c>
      <c r="BP472" s="2"/>
    </row>
    <row r="473" spans="1:68" x14ac:dyDescent="0.25">
      <c r="A473" s="62" t="s">
        <v>934</v>
      </c>
      <c r="B473" s="63"/>
      <c r="C473" s="63"/>
      <c r="D473" s="64"/>
      <c r="E473" s="66"/>
      <c r="F473" s="103" t="str">
        <f>HYPERLINK("https://pbs.twimg.com/profile_images/1367341197937827846/qO3E3hNE_normal.jpg")</f>
        <v>https://pbs.twimg.com/profile_images/1367341197937827846/qO3E3hNE_normal.jpg</v>
      </c>
      <c r="G473" s="63"/>
      <c r="H473" s="67"/>
      <c r="I473" s="68"/>
      <c r="J473" s="68"/>
      <c r="K473" s="67" t="s">
        <v>14922</v>
      </c>
      <c r="L473" s="71"/>
      <c r="M473" s="72"/>
      <c r="N473" s="72"/>
      <c r="O473" s="73"/>
      <c r="P473" s="74"/>
      <c r="Q473" s="74"/>
      <c r="R473" s="87"/>
      <c r="S473" s="87"/>
      <c r="T473" s="87"/>
      <c r="U473" s="87"/>
      <c r="V473" s="48"/>
      <c r="W473" s="48"/>
      <c r="X473" s="48"/>
      <c r="Y473" s="48"/>
      <c r="Z473" s="47"/>
      <c r="AA473" s="69">
        <v>473</v>
      </c>
      <c r="AB473" s="69"/>
      <c r="AC473" s="70"/>
      <c r="AD473" s="76" t="s">
        <v>12203</v>
      </c>
      <c r="AE473" s="80" t="s">
        <v>12712</v>
      </c>
      <c r="AF473" s="76">
        <v>20516</v>
      </c>
      <c r="AG473" s="76">
        <v>1311</v>
      </c>
      <c r="AH473" s="76">
        <v>2203</v>
      </c>
      <c r="AI473" s="76">
        <v>51</v>
      </c>
      <c r="AJ473" s="76">
        <v>2142</v>
      </c>
      <c r="AK473" s="76">
        <v>536</v>
      </c>
      <c r="AL473" s="76" t="b">
        <v>0</v>
      </c>
      <c r="AM473" s="78">
        <v>44054.09814814815</v>
      </c>
      <c r="AN473" s="76" t="s">
        <v>13102</v>
      </c>
      <c r="AO473" s="76" t="s">
        <v>13652</v>
      </c>
      <c r="AP473" s="82" t="str">
        <f>HYPERLINK("https://t.co/T0V29zImXb")</f>
        <v>https://t.co/T0V29zImXb</v>
      </c>
      <c r="AQ473" s="82" t="str">
        <f>HYPERLINK("https://www.facebook.com/groups/895891714232281/?ref=share")</f>
        <v>https://www.facebook.com/groups/895891714232281/?ref=share</v>
      </c>
      <c r="AR473" s="76" t="s">
        <v>14191</v>
      </c>
      <c r="AS473" s="76"/>
      <c r="AT473" s="76"/>
      <c r="AU473" s="76"/>
      <c r="AV473" s="76">
        <v>1.6759587460553101E+18</v>
      </c>
      <c r="AW473" s="82" t="str">
        <f>HYPERLINK("https://t.co/T0V29zImXb")</f>
        <v>https://t.co/T0V29zImXb</v>
      </c>
      <c r="AX473" s="76" t="b">
        <v>0</v>
      </c>
      <c r="AY473" s="76"/>
      <c r="AZ473" s="76"/>
      <c r="BA473" s="76" t="b">
        <v>1</v>
      </c>
      <c r="BB473" s="76" t="b">
        <v>1</v>
      </c>
      <c r="BC473" s="76" t="b">
        <v>1</v>
      </c>
      <c r="BD473" s="76" t="b">
        <v>0</v>
      </c>
      <c r="BE473" s="76" t="b">
        <v>0</v>
      </c>
      <c r="BF473" s="76" t="b">
        <v>0</v>
      </c>
      <c r="BG473" s="76" t="b">
        <v>0</v>
      </c>
      <c r="BH473" s="82" t="str">
        <f>HYPERLINK("https://pbs.twimg.com/profile_banners/1293009538531176448/1614834520")</f>
        <v>https://pbs.twimg.com/profile_banners/1293009538531176448/1614834520</v>
      </c>
      <c r="BI473" s="76"/>
      <c r="BJ473" s="76" t="s">
        <v>14450</v>
      </c>
      <c r="BK473" s="76" t="b">
        <v>0</v>
      </c>
      <c r="BL473" s="76"/>
      <c r="BM473" s="76" t="s">
        <v>65</v>
      </c>
      <c r="BN473" s="76" t="s">
        <v>14452</v>
      </c>
      <c r="BO473" s="82" t="str">
        <f>HYPERLINK("https://twitter.com/yvacantes")</f>
        <v>https://twitter.com/yvacantes</v>
      </c>
      <c r="BP473" s="2"/>
    </row>
    <row r="474" spans="1:68" x14ac:dyDescent="0.25">
      <c r="A474" s="62" t="s">
        <v>935</v>
      </c>
      <c r="B474" s="63"/>
      <c r="C474" s="63"/>
      <c r="D474" s="64"/>
      <c r="E474" s="66"/>
      <c r="F474" s="103" t="str">
        <f>HYPERLINK("https://pbs.twimg.com/profile_images/1610548333528973313/_zHSjPbK_normal.jpg")</f>
        <v>https://pbs.twimg.com/profile_images/1610548333528973313/_zHSjPbK_normal.jpg</v>
      </c>
      <c r="G474" s="63"/>
      <c r="H474" s="67"/>
      <c r="I474" s="68"/>
      <c r="J474" s="68"/>
      <c r="K474" s="67" t="s">
        <v>14923</v>
      </c>
      <c r="L474" s="71"/>
      <c r="M474" s="72"/>
      <c r="N474" s="72"/>
      <c r="O474" s="73"/>
      <c r="P474" s="74"/>
      <c r="Q474" s="74"/>
      <c r="R474" s="87"/>
      <c r="S474" s="87"/>
      <c r="T474" s="87"/>
      <c r="U474" s="87"/>
      <c r="V474" s="48"/>
      <c r="W474" s="48"/>
      <c r="X474" s="48"/>
      <c r="Y474" s="48"/>
      <c r="Z474" s="47"/>
      <c r="AA474" s="69">
        <v>474</v>
      </c>
      <c r="AB474" s="69"/>
      <c r="AC474" s="70"/>
      <c r="AD474" s="76" t="s">
        <v>12204</v>
      </c>
      <c r="AE474" s="80" t="s">
        <v>12713</v>
      </c>
      <c r="AF474" s="76">
        <v>147207</v>
      </c>
      <c r="AG474" s="76">
        <v>4492</v>
      </c>
      <c r="AH474" s="76">
        <v>40410</v>
      </c>
      <c r="AI474" s="76">
        <v>175</v>
      </c>
      <c r="AJ474" s="76">
        <v>95776</v>
      </c>
      <c r="AK474" s="76">
        <v>2647</v>
      </c>
      <c r="AL474" s="76" t="b">
        <v>0</v>
      </c>
      <c r="AM474" s="78">
        <v>43867.150625000002</v>
      </c>
      <c r="AN474" s="76" t="s">
        <v>13103</v>
      </c>
      <c r="AO474" s="76" t="s">
        <v>13653</v>
      </c>
      <c r="AP474" s="82" t="str">
        <f>HYPERLINK("https://t.co/goDcu0MlFm")</f>
        <v>https://t.co/goDcu0MlFm</v>
      </c>
      <c r="AQ474" s="82" t="str">
        <f>HYPERLINK("http://linkr.bio/laderh")</f>
        <v>http://linkr.bio/laderh</v>
      </c>
      <c r="AR474" s="76" t="s">
        <v>14192</v>
      </c>
      <c r="AS474" s="76"/>
      <c r="AT474" s="76"/>
      <c r="AU474" s="76"/>
      <c r="AV474" s="76">
        <v>1.4459273891675899E+18</v>
      </c>
      <c r="AW474" s="82" t="str">
        <f>HYPERLINK("https://t.co/goDcu0MlFm")</f>
        <v>https://t.co/goDcu0MlFm</v>
      </c>
      <c r="AX474" s="76" t="b">
        <v>1</v>
      </c>
      <c r="AY474" s="76"/>
      <c r="AZ474" s="76"/>
      <c r="BA474" s="76" t="b">
        <v>1</v>
      </c>
      <c r="BB474" s="76" t="b">
        <v>1</v>
      </c>
      <c r="BC474" s="76" t="b">
        <v>1</v>
      </c>
      <c r="BD474" s="76" t="b">
        <v>0</v>
      </c>
      <c r="BE474" s="76" t="b">
        <v>1</v>
      </c>
      <c r="BF474" s="76" t="b">
        <v>0</v>
      </c>
      <c r="BG474" s="76" t="b">
        <v>0</v>
      </c>
      <c r="BH474" s="82" t="str">
        <f>HYPERLINK("https://pbs.twimg.com/profile_banners/1225261955591610369/1694630939")</f>
        <v>https://pbs.twimg.com/profile_banners/1225261955591610369/1694630939</v>
      </c>
      <c r="BI474" s="76"/>
      <c r="BJ474" s="76" t="s">
        <v>14450</v>
      </c>
      <c r="BK474" s="76" t="b">
        <v>0</v>
      </c>
      <c r="BL474" s="76"/>
      <c r="BM474" s="76" t="s">
        <v>65</v>
      </c>
      <c r="BN474" s="76" t="s">
        <v>14452</v>
      </c>
      <c r="BO474" s="82" t="str">
        <f>HYPERLINK("https://twitter.com/la_de_rh")</f>
        <v>https://twitter.com/la_de_rh</v>
      </c>
      <c r="BP474" s="2"/>
    </row>
    <row r="475" spans="1:68" x14ac:dyDescent="0.25">
      <c r="A475" s="62" t="s">
        <v>936</v>
      </c>
      <c r="B475" s="63"/>
      <c r="C475" s="63"/>
      <c r="D475" s="64"/>
      <c r="E475" s="66"/>
      <c r="F475" s="103" t="str">
        <f>HYPERLINK("https://pbs.twimg.com/profile_images/1461143273976651777/HO92EnjC_normal.jpg")</f>
        <v>https://pbs.twimg.com/profile_images/1461143273976651777/HO92EnjC_normal.jpg</v>
      </c>
      <c r="G475" s="63"/>
      <c r="H475" s="67"/>
      <c r="I475" s="68"/>
      <c r="J475" s="68"/>
      <c r="K475" s="67" t="s">
        <v>14924</v>
      </c>
      <c r="L475" s="71"/>
      <c r="M475" s="72"/>
      <c r="N475" s="72"/>
      <c r="O475" s="73"/>
      <c r="P475" s="74"/>
      <c r="Q475" s="74"/>
      <c r="R475" s="87"/>
      <c r="S475" s="87"/>
      <c r="T475" s="87"/>
      <c r="U475" s="87"/>
      <c r="V475" s="48"/>
      <c r="W475" s="48"/>
      <c r="X475" s="48"/>
      <c r="Y475" s="48"/>
      <c r="Z475" s="47"/>
      <c r="AA475" s="69">
        <v>475</v>
      </c>
      <c r="AB475" s="69"/>
      <c r="AC475" s="70"/>
      <c r="AD475" s="76" t="s">
        <v>12205</v>
      </c>
      <c r="AE475" s="80" t="s">
        <v>12714</v>
      </c>
      <c r="AF475" s="76">
        <v>45567</v>
      </c>
      <c r="AG475" s="76">
        <v>113</v>
      </c>
      <c r="AH475" s="76">
        <v>26373</v>
      </c>
      <c r="AI475" s="76">
        <v>125</v>
      </c>
      <c r="AJ475" s="76">
        <v>4265</v>
      </c>
      <c r="AK475" s="76">
        <v>14736</v>
      </c>
      <c r="AL475" s="76" t="b">
        <v>0</v>
      </c>
      <c r="AM475" s="78">
        <v>44060.921481481484</v>
      </c>
      <c r="AN475" s="76" t="s">
        <v>13101</v>
      </c>
      <c r="AO475" s="76" t="s">
        <v>13654</v>
      </c>
      <c r="AP475" s="76"/>
      <c r="AQ475" s="76"/>
      <c r="AR475" s="76"/>
      <c r="AS475" s="76"/>
      <c r="AT475" s="76"/>
      <c r="AU475" s="76"/>
      <c r="AV475" s="76">
        <v>1.2957941675288399E+18</v>
      </c>
      <c r="AW475" s="76"/>
      <c r="AX475" s="76" t="b">
        <v>0</v>
      </c>
      <c r="AY475" s="76"/>
      <c r="AZ475" s="76"/>
      <c r="BA475" s="76" t="b">
        <v>1</v>
      </c>
      <c r="BB475" s="76" t="b">
        <v>0</v>
      </c>
      <c r="BC475" s="76" t="b">
        <v>1</v>
      </c>
      <c r="BD475" s="76" t="b">
        <v>0</v>
      </c>
      <c r="BE475" s="76" t="b">
        <v>1</v>
      </c>
      <c r="BF475" s="76" t="b">
        <v>0</v>
      </c>
      <c r="BG475" s="76" t="b">
        <v>0</v>
      </c>
      <c r="BH475" s="82" t="str">
        <f>HYPERLINK("https://pbs.twimg.com/profile_banners/1295482238784516097/1637198661")</f>
        <v>https://pbs.twimg.com/profile_banners/1295482238784516097/1637198661</v>
      </c>
      <c r="BI475" s="76"/>
      <c r="BJ475" s="76" t="s">
        <v>14450</v>
      </c>
      <c r="BK475" s="76" t="b">
        <v>0</v>
      </c>
      <c r="BL475" s="76"/>
      <c r="BM475" s="76" t="s">
        <v>65</v>
      </c>
      <c r="BN475" s="76" t="s">
        <v>14452</v>
      </c>
      <c r="BO475" s="82" t="str">
        <f>HYPERLINK("https://twitter.com/loscazavacantes")</f>
        <v>https://twitter.com/loscazavacantes</v>
      </c>
      <c r="BP475" s="2"/>
    </row>
    <row r="476" spans="1:68" x14ac:dyDescent="0.25">
      <c r="A476" s="62" t="s">
        <v>625</v>
      </c>
      <c r="B476" s="63"/>
      <c r="C476" s="63"/>
      <c r="D476" s="64"/>
      <c r="E476" s="66"/>
      <c r="F476" s="103" t="str">
        <f>HYPERLINK("https://pbs.twimg.com/profile_images/1477351522535153668/PhF1RHJx_normal.jpg")</f>
        <v>https://pbs.twimg.com/profile_images/1477351522535153668/PhF1RHJx_normal.jpg</v>
      </c>
      <c r="G476" s="63"/>
      <c r="H476" s="67"/>
      <c r="I476" s="68"/>
      <c r="J476" s="68"/>
      <c r="K476" s="67" t="s">
        <v>14925</v>
      </c>
      <c r="L476" s="71"/>
      <c r="M476" s="72"/>
      <c r="N476" s="72"/>
      <c r="O476" s="73"/>
      <c r="P476" s="74"/>
      <c r="Q476" s="74"/>
      <c r="R476" s="87"/>
      <c r="S476" s="87"/>
      <c r="T476" s="87"/>
      <c r="U476" s="87"/>
      <c r="V476" s="48"/>
      <c r="W476" s="48"/>
      <c r="X476" s="48"/>
      <c r="Y476" s="48"/>
      <c r="Z476" s="47"/>
      <c r="AA476" s="69">
        <v>476</v>
      </c>
      <c r="AB476" s="69"/>
      <c r="AC476" s="70"/>
      <c r="AD476" s="76" t="s">
        <v>12206</v>
      </c>
      <c r="AE476" s="80" t="s">
        <v>12715</v>
      </c>
      <c r="AF476" s="76">
        <v>1505</v>
      </c>
      <c r="AG476" s="76">
        <v>212</v>
      </c>
      <c r="AH476" s="76">
        <v>27687</v>
      </c>
      <c r="AI476" s="76">
        <v>19</v>
      </c>
      <c r="AJ476" s="76">
        <v>900</v>
      </c>
      <c r="AK476" s="76">
        <v>19163</v>
      </c>
      <c r="AL476" s="76" t="b">
        <v>0</v>
      </c>
      <c r="AM476" s="78">
        <v>40714.667604166665</v>
      </c>
      <c r="AN476" s="76" t="s">
        <v>13104</v>
      </c>
      <c r="AO476" s="76" t="s">
        <v>13655</v>
      </c>
      <c r="AP476" s="82" t="str">
        <f>HYPERLINK("https://t.co/QWaJn7aord")</f>
        <v>https://t.co/QWaJn7aord</v>
      </c>
      <c r="AQ476" s="82" t="str">
        <f>HYPERLINK("https://www.fatimavazquez.com")</f>
        <v>https://www.fatimavazquez.com</v>
      </c>
      <c r="AR476" s="76" t="s">
        <v>14193</v>
      </c>
      <c r="AS476" s="76"/>
      <c r="AT476" s="76"/>
      <c r="AU476" s="76"/>
      <c r="AV476" s="76"/>
      <c r="AW476" s="82" t="str">
        <f>HYPERLINK("https://t.co/QWaJn7aord")</f>
        <v>https://t.co/QWaJn7aord</v>
      </c>
      <c r="AX476" s="76" t="b">
        <v>1</v>
      </c>
      <c r="AY476" s="76"/>
      <c r="AZ476" s="76"/>
      <c r="BA476" s="76" t="b">
        <v>0</v>
      </c>
      <c r="BB476" s="76" t="b">
        <v>1</v>
      </c>
      <c r="BC476" s="76" t="b">
        <v>1</v>
      </c>
      <c r="BD476" s="76" t="b">
        <v>0</v>
      </c>
      <c r="BE476" s="76" t="b">
        <v>0</v>
      </c>
      <c r="BF476" s="76" t="b">
        <v>0</v>
      </c>
      <c r="BG476" s="76" t="b">
        <v>0</v>
      </c>
      <c r="BH476" s="82" t="str">
        <f>HYPERLINK("https://pbs.twimg.com/profile_banners/320827683/1641063069")</f>
        <v>https://pbs.twimg.com/profile_banners/320827683/1641063069</v>
      </c>
      <c r="BI476" s="76"/>
      <c r="BJ476" s="76" t="s">
        <v>14450</v>
      </c>
      <c r="BK476" s="76" t="b">
        <v>0</v>
      </c>
      <c r="BL476" s="76"/>
      <c r="BM476" s="76" t="s">
        <v>66</v>
      </c>
      <c r="BN476" s="76" t="s">
        <v>14452</v>
      </c>
      <c r="BO476" s="82" t="str">
        <f>HYPERLINK("https://twitter.com/fatimavazquezdg")</f>
        <v>https://twitter.com/fatimavazquezdg</v>
      </c>
      <c r="BP476" s="2"/>
    </row>
    <row r="477" spans="1:68" x14ac:dyDescent="0.25">
      <c r="A477" s="62" t="s">
        <v>626</v>
      </c>
      <c r="B477" s="63"/>
      <c r="C477" s="63"/>
      <c r="D477" s="64"/>
      <c r="E477" s="66"/>
      <c r="F477" s="103" t="str">
        <f>HYPERLINK("https://pbs.twimg.com/profile_images/996054417509150721/oeVifUD6_normal.jpg")</f>
        <v>https://pbs.twimg.com/profile_images/996054417509150721/oeVifUD6_normal.jpg</v>
      </c>
      <c r="G477" s="63"/>
      <c r="H477" s="67"/>
      <c r="I477" s="68"/>
      <c r="J477" s="68"/>
      <c r="K477" s="67" t="s">
        <v>14926</v>
      </c>
      <c r="L477" s="71"/>
      <c r="M477" s="72"/>
      <c r="N477" s="72"/>
      <c r="O477" s="73"/>
      <c r="P477" s="74"/>
      <c r="Q477" s="74"/>
      <c r="R477" s="87"/>
      <c r="S477" s="87"/>
      <c r="T477" s="87"/>
      <c r="U477" s="87"/>
      <c r="V477" s="48"/>
      <c r="W477" s="48"/>
      <c r="X477" s="48"/>
      <c r="Y477" s="48"/>
      <c r="Z477" s="47"/>
      <c r="AA477" s="69">
        <v>477</v>
      </c>
      <c r="AB477" s="69"/>
      <c r="AC477" s="70"/>
      <c r="AD477" s="76" t="s">
        <v>12207</v>
      </c>
      <c r="AE477" s="80" t="s">
        <v>12716</v>
      </c>
      <c r="AF477" s="76">
        <v>184</v>
      </c>
      <c r="AG477" s="76">
        <v>1075</v>
      </c>
      <c r="AH477" s="76">
        <v>999</v>
      </c>
      <c r="AI477" s="76">
        <v>0</v>
      </c>
      <c r="AJ477" s="76">
        <v>190</v>
      </c>
      <c r="AK477" s="76">
        <v>151</v>
      </c>
      <c r="AL477" s="76" t="b">
        <v>0</v>
      </c>
      <c r="AM477" s="78">
        <v>42306.770636574074</v>
      </c>
      <c r="AN477" s="76"/>
      <c r="AO477" s="76" t="s">
        <v>13656</v>
      </c>
      <c r="AP477" s="82" t="str">
        <f>HYPERLINK("https://t.co/6DdtzBh68z")</f>
        <v>https://t.co/6DdtzBh68z</v>
      </c>
      <c r="AQ477" s="82" t="str">
        <f>HYPERLINK("http://www.livy.com.ar")</f>
        <v>http://www.livy.com.ar</v>
      </c>
      <c r="AR477" s="76" t="s">
        <v>14194</v>
      </c>
      <c r="AS477" s="76"/>
      <c r="AT477" s="76"/>
      <c r="AU477" s="76"/>
      <c r="AV477" s="76"/>
      <c r="AW477" s="82" t="str">
        <f>HYPERLINK("https://t.co/6DdtzBh68z")</f>
        <v>https://t.co/6DdtzBh68z</v>
      </c>
      <c r="AX477" s="76" t="b">
        <v>0</v>
      </c>
      <c r="AY477" s="76"/>
      <c r="AZ477" s="76"/>
      <c r="BA477" s="76" t="b">
        <v>0</v>
      </c>
      <c r="BB477" s="76" t="b">
        <v>1</v>
      </c>
      <c r="BC477" s="76" t="b">
        <v>0</v>
      </c>
      <c r="BD477" s="76" t="b">
        <v>0</v>
      </c>
      <c r="BE477" s="76" t="b">
        <v>0</v>
      </c>
      <c r="BF477" s="76" t="b">
        <v>0</v>
      </c>
      <c r="BG477" s="76" t="b">
        <v>0</v>
      </c>
      <c r="BH477" s="82" t="str">
        <f>HYPERLINK("https://pbs.twimg.com/profile_banners/4069638868/1526312838")</f>
        <v>https://pbs.twimg.com/profile_banners/4069638868/1526312838</v>
      </c>
      <c r="BI477" s="76"/>
      <c r="BJ477" s="76" t="s">
        <v>14450</v>
      </c>
      <c r="BK477" s="76" t="b">
        <v>0</v>
      </c>
      <c r="BL477" s="76"/>
      <c r="BM477" s="76" t="s">
        <v>66</v>
      </c>
      <c r="BN477" s="76" t="s">
        <v>14452</v>
      </c>
      <c r="BO477" s="82" t="str">
        <f>HYPERLINK("https://twitter.com/marielalivy")</f>
        <v>https://twitter.com/marielalivy</v>
      </c>
      <c r="BP477" s="2"/>
    </row>
    <row r="478" spans="1:68" x14ac:dyDescent="0.25">
      <c r="A478" s="62" t="s">
        <v>628</v>
      </c>
      <c r="B478" s="63"/>
      <c r="C478" s="63"/>
      <c r="D478" s="64"/>
      <c r="E478" s="66"/>
      <c r="F478" s="103" t="str">
        <f>HYPERLINK("https://pbs.twimg.com/profile_images/1589990148636385281/ZuvdWBos_normal.jpg")</f>
        <v>https://pbs.twimg.com/profile_images/1589990148636385281/ZuvdWBos_normal.jpg</v>
      </c>
      <c r="G478" s="63"/>
      <c r="H478" s="67"/>
      <c r="I478" s="68"/>
      <c r="J478" s="68"/>
      <c r="K478" s="67" t="s">
        <v>14927</v>
      </c>
      <c r="L478" s="71"/>
      <c r="M478" s="72"/>
      <c r="N478" s="72"/>
      <c r="O478" s="73"/>
      <c r="P478" s="74"/>
      <c r="Q478" s="74"/>
      <c r="R478" s="87"/>
      <c r="S478" s="87"/>
      <c r="T478" s="87"/>
      <c r="U478" s="87"/>
      <c r="V478" s="48"/>
      <c r="W478" s="48"/>
      <c r="X478" s="48"/>
      <c r="Y478" s="48"/>
      <c r="Z478" s="47"/>
      <c r="AA478" s="69">
        <v>478</v>
      </c>
      <c r="AB478" s="69"/>
      <c r="AC478" s="70"/>
      <c r="AD478" s="76" t="s">
        <v>12208</v>
      </c>
      <c r="AE478" s="80" t="s">
        <v>12717</v>
      </c>
      <c r="AF478" s="76">
        <v>975</v>
      </c>
      <c r="AG478" s="76">
        <v>368</v>
      </c>
      <c r="AH478" s="76">
        <v>8002</v>
      </c>
      <c r="AI478" s="76">
        <v>45</v>
      </c>
      <c r="AJ478" s="76">
        <v>1398</v>
      </c>
      <c r="AK478" s="76">
        <v>1580</v>
      </c>
      <c r="AL478" s="76" t="b">
        <v>0</v>
      </c>
      <c r="AM478" s="78">
        <v>39991.655659722222</v>
      </c>
      <c r="AN478" s="76" t="s">
        <v>12875</v>
      </c>
      <c r="AO478" s="76" t="s">
        <v>13657</v>
      </c>
      <c r="AP478" s="82" t="str">
        <f>HYPERLINK("https://t.co/qix2nll6H3")</f>
        <v>https://t.co/qix2nll6H3</v>
      </c>
      <c r="AQ478" s="82" t="str">
        <f>HYPERLINK("http://www.podermail.com?r=Twitter")</f>
        <v>http://www.podermail.com?r=Twitter</v>
      </c>
      <c r="AR478" s="76" t="s">
        <v>14195</v>
      </c>
      <c r="AS478" s="76"/>
      <c r="AT478" s="76"/>
      <c r="AU478" s="76"/>
      <c r="AV478" s="76"/>
      <c r="AW478" s="82" t="str">
        <f>HYPERLINK("https://t.co/qix2nll6H3")</f>
        <v>https://t.co/qix2nll6H3</v>
      </c>
      <c r="AX478" s="76" t="b">
        <v>0</v>
      </c>
      <c r="AY478" s="76"/>
      <c r="AZ478" s="76"/>
      <c r="BA478" s="76" t="b">
        <v>1</v>
      </c>
      <c r="BB478" s="76" t="b">
        <v>1</v>
      </c>
      <c r="BC478" s="76" t="b">
        <v>0</v>
      </c>
      <c r="BD478" s="76" t="b">
        <v>0</v>
      </c>
      <c r="BE478" s="76" t="b">
        <v>0</v>
      </c>
      <c r="BF478" s="76" t="b">
        <v>0</v>
      </c>
      <c r="BG478" s="76" t="b">
        <v>0</v>
      </c>
      <c r="BH478" s="82" t="str">
        <f>HYPERLINK("https://pbs.twimg.com/profile_banners/51470700/1667906956")</f>
        <v>https://pbs.twimg.com/profile_banners/51470700/1667906956</v>
      </c>
      <c r="BI478" s="76"/>
      <c r="BJ478" s="76" t="s">
        <v>14451</v>
      </c>
      <c r="BK478" s="76" t="b">
        <v>0</v>
      </c>
      <c r="BL478" s="76"/>
      <c r="BM478" s="76" t="s">
        <v>66</v>
      </c>
      <c r="BN478" s="76" t="s">
        <v>14452</v>
      </c>
      <c r="BO478" s="82" t="str">
        <f>HYPERLINK("https://twitter.com/podermail_com")</f>
        <v>https://twitter.com/podermail_com</v>
      </c>
      <c r="BP478" s="2"/>
    </row>
    <row r="479" spans="1:68" x14ac:dyDescent="0.25">
      <c r="A479" s="62" t="s">
        <v>629</v>
      </c>
      <c r="B479" s="63"/>
      <c r="C479" s="63"/>
      <c r="D479" s="64"/>
      <c r="E479" s="66"/>
      <c r="F479" s="103" t="str">
        <f>HYPERLINK("https://pbs.twimg.com/profile_images/1603745575022825474/C0O7O3IP_normal.jpg")</f>
        <v>https://pbs.twimg.com/profile_images/1603745575022825474/C0O7O3IP_normal.jpg</v>
      </c>
      <c r="G479" s="63"/>
      <c r="H479" s="67"/>
      <c r="I479" s="68"/>
      <c r="J479" s="68"/>
      <c r="K479" s="67" t="s">
        <v>14928</v>
      </c>
      <c r="L479" s="71"/>
      <c r="M479" s="72"/>
      <c r="N479" s="72"/>
      <c r="O479" s="73"/>
      <c r="P479" s="74"/>
      <c r="Q479" s="74"/>
      <c r="R479" s="87"/>
      <c r="S479" s="87"/>
      <c r="T479" s="87"/>
      <c r="U479" s="87"/>
      <c r="V479" s="48"/>
      <c r="W479" s="48"/>
      <c r="X479" s="48"/>
      <c r="Y479" s="48"/>
      <c r="Z479" s="47"/>
      <c r="AA479" s="69">
        <v>479</v>
      </c>
      <c r="AB479" s="69"/>
      <c r="AC479" s="70"/>
      <c r="AD479" s="76" t="s">
        <v>12209</v>
      </c>
      <c r="AE479" s="80" t="s">
        <v>11609</v>
      </c>
      <c r="AF479" s="76">
        <v>6</v>
      </c>
      <c r="AG479" s="76">
        <v>1</v>
      </c>
      <c r="AH479" s="76">
        <v>3026</v>
      </c>
      <c r="AI479" s="76">
        <v>0</v>
      </c>
      <c r="AJ479" s="76">
        <v>0</v>
      </c>
      <c r="AK479" s="76">
        <v>802</v>
      </c>
      <c r="AL479" s="76" t="b">
        <v>0</v>
      </c>
      <c r="AM479" s="78">
        <v>44911.548252314817</v>
      </c>
      <c r="AN479" s="76" t="s">
        <v>12888</v>
      </c>
      <c r="AO479" s="76" t="s">
        <v>13658</v>
      </c>
      <c r="AP479" s="76"/>
      <c r="AQ479" s="76"/>
      <c r="AR479" s="76"/>
      <c r="AS479" s="76"/>
      <c r="AT479" s="76"/>
      <c r="AU479" s="76"/>
      <c r="AV479" s="76"/>
      <c r="AW479" s="76"/>
      <c r="AX479" s="76" t="b">
        <v>0</v>
      </c>
      <c r="AY479" s="76"/>
      <c r="AZ479" s="76"/>
      <c r="BA479" s="76" t="b">
        <v>0</v>
      </c>
      <c r="BB479" s="76" t="b">
        <v>1</v>
      </c>
      <c r="BC479" s="76" t="b">
        <v>1</v>
      </c>
      <c r="BD479" s="76" t="b">
        <v>0</v>
      </c>
      <c r="BE479" s="76" t="b">
        <v>0</v>
      </c>
      <c r="BF479" s="76" t="b">
        <v>0</v>
      </c>
      <c r="BG479" s="76" t="b">
        <v>0</v>
      </c>
      <c r="BH479" s="82" t="str">
        <f>HYPERLINK("https://pbs.twimg.com/profile_banners/1603738740253511680/1671197174")</f>
        <v>https://pbs.twimg.com/profile_banners/1603738740253511680/1671197174</v>
      </c>
      <c r="BI479" s="76"/>
      <c r="BJ479" s="76" t="s">
        <v>14450</v>
      </c>
      <c r="BK479" s="76" t="b">
        <v>0</v>
      </c>
      <c r="BL479" s="76"/>
      <c r="BM479" s="76" t="s">
        <v>66</v>
      </c>
      <c r="BN479" s="76" t="s">
        <v>14452</v>
      </c>
      <c r="BO479" s="82" t="str">
        <f>HYPERLINK("https://twitter.com/josepoliticus")</f>
        <v>https://twitter.com/josepoliticus</v>
      </c>
      <c r="BP479" s="2"/>
    </row>
    <row r="480" spans="1:68" x14ac:dyDescent="0.25">
      <c r="A480" s="62" t="s">
        <v>630</v>
      </c>
      <c r="B480" s="63"/>
      <c r="C480" s="63"/>
      <c r="D480" s="64"/>
      <c r="E480" s="66"/>
      <c r="F480" s="103" t="str">
        <f>HYPERLINK("https://pbs.twimg.com/profile_images/1615932460193222656/6sWVsHt-_normal.jpg")</f>
        <v>https://pbs.twimg.com/profile_images/1615932460193222656/6sWVsHt-_normal.jpg</v>
      </c>
      <c r="G480" s="63"/>
      <c r="H480" s="67"/>
      <c r="I480" s="68"/>
      <c r="J480" s="68"/>
      <c r="K480" s="67" t="s">
        <v>14929</v>
      </c>
      <c r="L480" s="71"/>
      <c r="M480" s="72"/>
      <c r="N480" s="72"/>
      <c r="O480" s="73"/>
      <c r="P480" s="74"/>
      <c r="Q480" s="74"/>
      <c r="R480" s="87"/>
      <c r="S480" s="87"/>
      <c r="T480" s="87"/>
      <c r="U480" s="87"/>
      <c r="V480" s="48"/>
      <c r="W480" s="48"/>
      <c r="X480" s="48"/>
      <c r="Y480" s="48"/>
      <c r="Z480" s="47"/>
      <c r="AA480" s="69">
        <v>480</v>
      </c>
      <c r="AB480" s="69"/>
      <c r="AC480" s="70"/>
      <c r="AD480" s="76" t="s">
        <v>12210</v>
      </c>
      <c r="AE480" s="80" t="s">
        <v>11610</v>
      </c>
      <c r="AF480" s="76">
        <v>30</v>
      </c>
      <c r="AG480" s="76">
        <v>100</v>
      </c>
      <c r="AH480" s="76">
        <v>179</v>
      </c>
      <c r="AI480" s="76">
        <v>0</v>
      </c>
      <c r="AJ480" s="76">
        <v>70</v>
      </c>
      <c r="AK480" s="76">
        <v>119</v>
      </c>
      <c r="AL480" s="76" t="b">
        <v>0</v>
      </c>
      <c r="AM480" s="78">
        <v>44282.746180555558</v>
      </c>
      <c r="AN480" s="76" t="s">
        <v>13105</v>
      </c>
      <c r="AO480" s="76" t="s">
        <v>13659</v>
      </c>
      <c r="AP480" s="76"/>
      <c r="AQ480" s="76"/>
      <c r="AR480" s="76"/>
      <c r="AS480" s="76"/>
      <c r="AT480" s="76"/>
      <c r="AU480" s="76"/>
      <c r="AV480" s="76"/>
      <c r="AW480" s="76"/>
      <c r="AX480" s="76" t="b">
        <v>0</v>
      </c>
      <c r="AY480" s="76"/>
      <c r="AZ480" s="76"/>
      <c r="BA480" s="76" t="b">
        <v>1</v>
      </c>
      <c r="BB480" s="76" t="b">
        <v>1</v>
      </c>
      <c r="BC480" s="76" t="b">
        <v>1</v>
      </c>
      <c r="BD480" s="76" t="b">
        <v>0</v>
      </c>
      <c r="BE480" s="76" t="b">
        <v>0</v>
      </c>
      <c r="BF480" s="76" t="b">
        <v>0</v>
      </c>
      <c r="BG480" s="76" t="b">
        <v>0</v>
      </c>
      <c r="BH480" s="76"/>
      <c r="BI480" s="76"/>
      <c r="BJ480" s="76" t="s">
        <v>14450</v>
      </c>
      <c r="BK480" s="76" t="b">
        <v>0</v>
      </c>
      <c r="BL480" s="76"/>
      <c r="BM480" s="76" t="s">
        <v>66</v>
      </c>
      <c r="BN480" s="76" t="s">
        <v>14452</v>
      </c>
      <c r="BO480" s="82" t="str">
        <f>HYPERLINK("https://twitter.com/grucaps")</f>
        <v>https://twitter.com/grucaps</v>
      </c>
      <c r="BP480" s="2"/>
    </row>
    <row r="481" spans="1:68" x14ac:dyDescent="0.25">
      <c r="A481" s="62" t="s">
        <v>631</v>
      </c>
      <c r="B481" s="63"/>
      <c r="C481" s="63"/>
      <c r="D481" s="64"/>
      <c r="E481" s="66"/>
      <c r="F481" s="103" t="str">
        <f>HYPERLINK("https://pbs.twimg.com/profile_images/1637648241792626688/iYkq0zga_normal.jpg")</f>
        <v>https://pbs.twimg.com/profile_images/1637648241792626688/iYkq0zga_normal.jpg</v>
      </c>
      <c r="G481" s="63"/>
      <c r="H481" s="67"/>
      <c r="I481" s="68"/>
      <c r="J481" s="68"/>
      <c r="K481" s="67" t="s">
        <v>14930</v>
      </c>
      <c r="L481" s="71"/>
      <c r="M481" s="72"/>
      <c r="N481" s="72"/>
      <c r="O481" s="73"/>
      <c r="P481" s="74"/>
      <c r="Q481" s="74"/>
      <c r="R481" s="87"/>
      <c r="S481" s="87"/>
      <c r="T481" s="87"/>
      <c r="U481" s="87"/>
      <c r="V481" s="48"/>
      <c r="W481" s="48"/>
      <c r="X481" s="48"/>
      <c r="Y481" s="48"/>
      <c r="Z481" s="47"/>
      <c r="AA481" s="69">
        <v>481</v>
      </c>
      <c r="AB481" s="69"/>
      <c r="AC481" s="70"/>
      <c r="AD481" s="76" t="s">
        <v>12211</v>
      </c>
      <c r="AE481" s="80" t="s">
        <v>11611</v>
      </c>
      <c r="AF481" s="76">
        <v>13</v>
      </c>
      <c r="AG481" s="76">
        <v>0</v>
      </c>
      <c r="AH481" s="76">
        <v>18</v>
      </c>
      <c r="AI481" s="76">
        <v>0</v>
      </c>
      <c r="AJ481" s="76">
        <v>0</v>
      </c>
      <c r="AK481" s="76">
        <v>11</v>
      </c>
      <c r="AL481" s="76" t="b">
        <v>0</v>
      </c>
      <c r="AM481" s="78">
        <v>44205.948703703703</v>
      </c>
      <c r="AN481" s="76" t="s">
        <v>7809</v>
      </c>
      <c r="AO481" s="76" t="s">
        <v>13660</v>
      </c>
      <c r="AP481" s="82" t="str">
        <f>HYPERLINK("https://t.co/1mD97YQn7A")</f>
        <v>https://t.co/1mD97YQn7A</v>
      </c>
      <c r="AQ481" s="82" t="str">
        <f>HYPERLINK("https://instagram.com/evandrobassil")</f>
        <v>https://instagram.com/evandrobassil</v>
      </c>
      <c r="AR481" s="76" t="s">
        <v>14196</v>
      </c>
      <c r="AS481" s="82" t="str">
        <f>HYPERLINK("https://t.co/8gtwEkrPGM")</f>
        <v>https://t.co/8gtwEkrPGM</v>
      </c>
      <c r="AT481" s="82" t="str">
        <f>HYPERLINK("https://www.tiktok.com/@evandrobassil")</f>
        <v>https://www.tiktok.com/@evandrobassil</v>
      </c>
      <c r="AU481" s="76" t="s">
        <v>14430</v>
      </c>
      <c r="AV481" s="76"/>
      <c r="AW481" s="82" t="str">
        <f>HYPERLINK("https://t.co/1mD97YQn7A")</f>
        <v>https://t.co/1mD97YQn7A</v>
      </c>
      <c r="AX481" s="76" t="b">
        <v>0</v>
      </c>
      <c r="AY481" s="76"/>
      <c r="AZ481" s="76"/>
      <c r="BA481" s="76" t="b">
        <v>0</v>
      </c>
      <c r="BB481" s="76" t="b">
        <v>0</v>
      </c>
      <c r="BC481" s="76" t="b">
        <v>1</v>
      </c>
      <c r="BD481" s="76" t="b">
        <v>0</v>
      </c>
      <c r="BE481" s="76" t="b">
        <v>0</v>
      </c>
      <c r="BF481" s="76" t="b">
        <v>0</v>
      </c>
      <c r="BG481" s="76" t="b">
        <v>0</v>
      </c>
      <c r="BH481" s="82" t="str">
        <f>HYPERLINK("https://pbs.twimg.com/profile_banners/1348038053688995840/1679281548")</f>
        <v>https://pbs.twimg.com/profile_banners/1348038053688995840/1679281548</v>
      </c>
      <c r="BI481" s="76"/>
      <c r="BJ481" s="76" t="s">
        <v>14450</v>
      </c>
      <c r="BK481" s="76" t="b">
        <v>0</v>
      </c>
      <c r="BL481" s="76"/>
      <c r="BM481" s="76" t="s">
        <v>66</v>
      </c>
      <c r="BN481" s="76" t="s">
        <v>14452</v>
      </c>
      <c r="BO481" s="82" t="str">
        <f>HYPERLINK("https://twitter.com/bassilevandro")</f>
        <v>https://twitter.com/bassilevandro</v>
      </c>
      <c r="BP481" s="2"/>
    </row>
    <row r="482" spans="1:68" x14ac:dyDescent="0.25">
      <c r="A482" s="62" t="s">
        <v>632</v>
      </c>
      <c r="B482" s="63"/>
      <c r="C482" s="63"/>
      <c r="D482" s="64"/>
      <c r="E482" s="66"/>
      <c r="F482" s="103" t="str">
        <f>HYPERLINK("https://pbs.twimg.com/profile_images/1245260761368330245/yqTs6y_y_normal.jpg")</f>
        <v>https://pbs.twimg.com/profile_images/1245260761368330245/yqTs6y_y_normal.jpg</v>
      </c>
      <c r="G482" s="63"/>
      <c r="H482" s="67"/>
      <c r="I482" s="68"/>
      <c r="J482" s="68"/>
      <c r="K482" s="67" t="s">
        <v>14931</v>
      </c>
      <c r="L482" s="71"/>
      <c r="M482" s="72"/>
      <c r="N482" s="72"/>
      <c r="O482" s="73"/>
      <c r="P482" s="74"/>
      <c r="Q482" s="74"/>
      <c r="R482" s="87"/>
      <c r="S482" s="87"/>
      <c r="T482" s="87"/>
      <c r="U482" s="87"/>
      <c r="V482" s="48"/>
      <c r="W482" s="48"/>
      <c r="X482" s="48"/>
      <c r="Y482" s="48"/>
      <c r="Z482" s="47"/>
      <c r="AA482" s="69">
        <v>482</v>
      </c>
      <c r="AB482" s="69"/>
      <c r="AC482" s="70"/>
      <c r="AD482" s="76" t="s">
        <v>12212</v>
      </c>
      <c r="AE482" s="80" t="s">
        <v>11612</v>
      </c>
      <c r="AF482" s="76">
        <v>202</v>
      </c>
      <c r="AG482" s="76">
        <v>56</v>
      </c>
      <c r="AH482" s="76">
        <v>583</v>
      </c>
      <c r="AI482" s="76">
        <v>4</v>
      </c>
      <c r="AJ482" s="76">
        <v>778</v>
      </c>
      <c r="AK482" s="76">
        <v>390</v>
      </c>
      <c r="AL482" s="76" t="b">
        <v>0</v>
      </c>
      <c r="AM482" s="78">
        <v>43921.62835648148</v>
      </c>
      <c r="AN482" s="76" t="s">
        <v>13106</v>
      </c>
      <c r="AO482" s="76" t="s">
        <v>13661</v>
      </c>
      <c r="AP482" s="82" t="str">
        <f>HYPERLINK("https://t.co/EkBgzMfSZe")</f>
        <v>https://t.co/EkBgzMfSZe</v>
      </c>
      <c r="AQ482" s="82" t="str">
        <f>HYPERLINK("http://www.tierrasdelcid.es")</f>
        <v>http://www.tierrasdelcid.es</v>
      </c>
      <c r="AR482" s="76" t="s">
        <v>14197</v>
      </c>
      <c r="AS482" s="76"/>
      <c r="AT482" s="76"/>
      <c r="AU482" s="76"/>
      <c r="AV482" s="76">
        <v>1.2503652392013299E+18</v>
      </c>
      <c r="AW482" s="82" t="str">
        <f>HYPERLINK("https://t.co/EkBgzMfSZe")</f>
        <v>https://t.co/EkBgzMfSZe</v>
      </c>
      <c r="AX482" s="76" t="b">
        <v>0</v>
      </c>
      <c r="AY482" s="76"/>
      <c r="AZ482" s="76"/>
      <c r="BA482" s="76" t="b">
        <v>0</v>
      </c>
      <c r="BB482" s="76" t="b">
        <v>1</v>
      </c>
      <c r="BC482" s="76" t="b">
        <v>1</v>
      </c>
      <c r="BD482" s="76" t="b">
        <v>0</v>
      </c>
      <c r="BE482" s="76" t="b">
        <v>1</v>
      </c>
      <c r="BF482" s="76" t="b">
        <v>0</v>
      </c>
      <c r="BG482" s="76" t="b">
        <v>0</v>
      </c>
      <c r="BH482" s="82" t="str">
        <f>HYPERLINK("https://pbs.twimg.com/profile_banners/1245003977051308032/1591596467")</f>
        <v>https://pbs.twimg.com/profile_banners/1245003977051308032/1591596467</v>
      </c>
      <c r="BI482" s="76"/>
      <c r="BJ482" s="76" t="s">
        <v>14450</v>
      </c>
      <c r="BK482" s="76" t="b">
        <v>0</v>
      </c>
      <c r="BL482" s="76"/>
      <c r="BM482" s="76" t="s">
        <v>66</v>
      </c>
      <c r="BN482" s="76" t="s">
        <v>14452</v>
      </c>
      <c r="BO482" s="82" t="str">
        <f>HYPERLINK("https://twitter.com/tierras_cid")</f>
        <v>https://twitter.com/tierras_cid</v>
      </c>
      <c r="BP482" s="2"/>
    </row>
    <row r="483" spans="1:68" x14ac:dyDescent="0.25">
      <c r="A483" s="62" t="s">
        <v>937</v>
      </c>
      <c r="B483" s="63"/>
      <c r="C483" s="63"/>
      <c r="D483" s="64"/>
      <c r="E483" s="66"/>
      <c r="F483" s="103" t="str">
        <f>HYPERLINK("https://pbs.twimg.com/profile_images/1352544928245682176/TwB6zarp_normal.jpg")</f>
        <v>https://pbs.twimg.com/profile_images/1352544928245682176/TwB6zarp_normal.jpg</v>
      </c>
      <c r="G483" s="63"/>
      <c r="H483" s="67"/>
      <c r="I483" s="68"/>
      <c r="J483" s="68"/>
      <c r="K483" s="67" t="s">
        <v>14932</v>
      </c>
      <c r="L483" s="71"/>
      <c r="M483" s="72"/>
      <c r="N483" s="72"/>
      <c r="O483" s="73"/>
      <c r="P483" s="74"/>
      <c r="Q483" s="74"/>
      <c r="R483" s="87"/>
      <c r="S483" s="87"/>
      <c r="T483" s="87"/>
      <c r="U483" s="87"/>
      <c r="V483" s="48"/>
      <c r="W483" s="48"/>
      <c r="X483" s="48"/>
      <c r="Y483" s="48"/>
      <c r="Z483" s="47"/>
      <c r="AA483" s="69">
        <v>483</v>
      </c>
      <c r="AB483" s="69"/>
      <c r="AC483" s="70"/>
      <c r="AD483" s="76" t="s">
        <v>12213</v>
      </c>
      <c r="AE483" s="80" t="s">
        <v>12718</v>
      </c>
      <c r="AF483" s="76">
        <v>3384</v>
      </c>
      <c r="AG483" s="76">
        <v>346</v>
      </c>
      <c r="AH483" s="76">
        <v>9454</v>
      </c>
      <c r="AI483" s="76">
        <v>70</v>
      </c>
      <c r="AJ483" s="76">
        <v>579</v>
      </c>
      <c r="AK483" s="76">
        <v>1048</v>
      </c>
      <c r="AL483" s="76" t="b">
        <v>0</v>
      </c>
      <c r="AM483" s="78">
        <v>41466.760057870371</v>
      </c>
      <c r="AN483" s="76" t="s">
        <v>13107</v>
      </c>
      <c r="AO483" s="76" t="s">
        <v>13662</v>
      </c>
      <c r="AP483" s="82" t="str">
        <f>HYPERLINK("http://t.co/50IYeEYqFY")</f>
        <v>http://t.co/50IYeEYqFY</v>
      </c>
      <c r="AQ483" s="82" t="str">
        <f>HYPERLINK("http://www.empleorural.es")</f>
        <v>http://www.empleorural.es</v>
      </c>
      <c r="AR483" s="76" t="s">
        <v>14198</v>
      </c>
      <c r="AS483" s="76"/>
      <c r="AT483" s="76"/>
      <c r="AU483" s="76"/>
      <c r="AV483" s="76"/>
      <c r="AW483" s="82" t="str">
        <f>HYPERLINK("http://t.co/50IYeEYqFY")</f>
        <v>http://t.co/50IYeEYqFY</v>
      </c>
      <c r="AX483" s="76" t="b">
        <v>0</v>
      </c>
      <c r="AY483" s="76"/>
      <c r="AZ483" s="76"/>
      <c r="BA483" s="76" t="b">
        <v>0</v>
      </c>
      <c r="BB483" s="76" t="b">
        <v>1</v>
      </c>
      <c r="BC483" s="76" t="b">
        <v>0</v>
      </c>
      <c r="BD483" s="76" t="b">
        <v>0</v>
      </c>
      <c r="BE483" s="76" t="b">
        <v>0</v>
      </c>
      <c r="BF483" s="76" t="b">
        <v>0</v>
      </c>
      <c r="BG483" s="76" t="b">
        <v>0</v>
      </c>
      <c r="BH483" s="82" t="str">
        <f>HYPERLINK("https://pbs.twimg.com/profile_banners/1586497441/1611566984")</f>
        <v>https://pbs.twimg.com/profile_banners/1586497441/1611566984</v>
      </c>
      <c r="BI483" s="76"/>
      <c r="BJ483" s="76" t="s">
        <v>14450</v>
      </c>
      <c r="BK483" s="76" t="b">
        <v>0</v>
      </c>
      <c r="BL483" s="76"/>
      <c r="BM483" s="76" t="s">
        <v>65</v>
      </c>
      <c r="BN483" s="76" t="s">
        <v>14452</v>
      </c>
      <c r="BO483" s="82" t="str">
        <f>HYPERLINK("https://twitter.com/empresasempleo")</f>
        <v>https://twitter.com/empresasempleo</v>
      </c>
      <c r="BP483" s="2"/>
    </row>
    <row r="484" spans="1:68" x14ac:dyDescent="0.25">
      <c r="A484" s="62" t="s">
        <v>938</v>
      </c>
      <c r="B484" s="63"/>
      <c r="C484" s="63"/>
      <c r="D484" s="64"/>
      <c r="E484" s="66"/>
      <c r="F484" s="103" t="str">
        <f>HYPERLINK("https://pbs.twimg.com/profile_images/1576631604/tierras_sorianas_del_cid_normal.jpg")</f>
        <v>https://pbs.twimg.com/profile_images/1576631604/tierras_sorianas_del_cid_normal.jpg</v>
      </c>
      <c r="G484" s="63"/>
      <c r="H484" s="67"/>
      <c r="I484" s="68"/>
      <c r="J484" s="68"/>
      <c r="K484" s="67" t="s">
        <v>14933</v>
      </c>
      <c r="L484" s="71"/>
      <c r="M484" s="72"/>
      <c r="N484" s="72"/>
      <c r="O484" s="73"/>
      <c r="P484" s="74"/>
      <c r="Q484" s="74"/>
      <c r="R484" s="87"/>
      <c r="S484" s="87"/>
      <c r="T484" s="87"/>
      <c r="U484" s="87"/>
      <c r="V484" s="48"/>
      <c r="W484" s="48"/>
      <c r="X484" s="48"/>
      <c r="Y484" s="48"/>
      <c r="Z484" s="47"/>
      <c r="AA484" s="69">
        <v>484</v>
      </c>
      <c r="AB484" s="69"/>
      <c r="AC484" s="70"/>
      <c r="AD484" s="76" t="s">
        <v>12214</v>
      </c>
      <c r="AE484" s="80" t="s">
        <v>12719</v>
      </c>
      <c r="AF484" s="76">
        <v>33</v>
      </c>
      <c r="AG484" s="76">
        <v>1</v>
      </c>
      <c r="AH484" s="76">
        <v>2</v>
      </c>
      <c r="AI484" s="76">
        <v>0</v>
      </c>
      <c r="AJ484" s="76">
        <v>0</v>
      </c>
      <c r="AK484" s="76">
        <v>0</v>
      </c>
      <c r="AL484" s="76" t="b">
        <v>0</v>
      </c>
      <c r="AM484" s="78">
        <v>40823.471053240741</v>
      </c>
      <c r="AN484" s="76"/>
      <c r="AO484" s="76"/>
      <c r="AP484" s="76"/>
      <c r="AQ484" s="76"/>
      <c r="AR484" s="76"/>
      <c r="AS484" s="76"/>
      <c r="AT484" s="76"/>
      <c r="AU484" s="76"/>
      <c r="AV484" s="76"/>
      <c r="AW484" s="76"/>
      <c r="AX484" s="76" t="b">
        <v>0</v>
      </c>
      <c r="AY484" s="76"/>
      <c r="AZ484" s="76"/>
      <c r="BA484" s="76" t="b">
        <v>0</v>
      </c>
      <c r="BB484" s="76" t="b">
        <v>1</v>
      </c>
      <c r="BC484" s="76" t="b">
        <v>0</v>
      </c>
      <c r="BD484" s="76" t="b">
        <v>0</v>
      </c>
      <c r="BE484" s="76" t="b">
        <v>0</v>
      </c>
      <c r="BF484" s="76" t="b">
        <v>0</v>
      </c>
      <c r="BG484" s="76" t="b">
        <v>0</v>
      </c>
      <c r="BH484" s="76"/>
      <c r="BI484" s="76"/>
      <c r="BJ484" s="76" t="s">
        <v>14450</v>
      </c>
      <c r="BK484" s="76" t="b">
        <v>0</v>
      </c>
      <c r="BL484" s="76"/>
      <c r="BM484" s="76" t="s">
        <v>65</v>
      </c>
      <c r="BN484" s="76" t="s">
        <v>14452</v>
      </c>
      <c r="BO484" s="82" t="str">
        <f>HYPERLINK("https://twitter.com/tierrasdelcid")</f>
        <v>https://twitter.com/tierrasdelcid</v>
      </c>
      <c r="BP484" s="2"/>
    </row>
    <row r="485" spans="1:68" x14ac:dyDescent="0.25">
      <c r="A485" s="62" t="s">
        <v>633</v>
      </c>
      <c r="B485" s="63"/>
      <c r="C485" s="63"/>
      <c r="D485" s="64"/>
      <c r="E485" s="66"/>
      <c r="F485" s="103" t="str">
        <f>HYPERLINK("https://pbs.twimg.com/profile_images/1468049210255851521/ecTAJPGz_normal.jpg")</f>
        <v>https://pbs.twimg.com/profile_images/1468049210255851521/ecTAJPGz_normal.jpg</v>
      </c>
      <c r="G485" s="63"/>
      <c r="H485" s="67"/>
      <c r="I485" s="68"/>
      <c r="J485" s="68"/>
      <c r="K485" s="67" t="s">
        <v>14934</v>
      </c>
      <c r="L485" s="71"/>
      <c r="M485" s="72"/>
      <c r="N485" s="72"/>
      <c r="O485" s="73"/>
      <c r="P485" s="74"/>
      <c r="Q485" s="74"/>
      <c r="R485" s="87"/>
      <c r="S485" s="87"/>
      <c r="T485" s="87"/>
      <c r="U485" s="87"/>
      <c r="V485" s="48"/>
      <c r="W485" s="48"/>
      <c r="X485" s="48"/>
      <c r="Y485" s="48"/>
      <c r="Z485" s="47"/>
      <c r="AA485" s="69">
        <v>485</v>
      </c>
      <c r="AB485" s="69"/>
      <c r="AC485" s="70"/>
      <c r="AD485" s="76" t="s">
        <v>12215</v>
      </c>
      <c r="AE485" s="80" t="s">
        <v>11613</v>
      </c>
      <c r="AF485" s="76">
        <v>21</v>
      </c>
      <c r="AG485" s="76">
        <v>44</v>
      </c>
      <c r="AH485" s="76">
        <v>307</v>
      </c>
      <c r="AI485" s="76">
        <v>0</v>
      </c>
      <c r="AJ485" s="76">
        <v>143</v>
      </c>
      <c r="AK485" s="76">
        <v>251</v>
      </c>
      <c r="AL485" s="76" t="b">
        <v>0</v>
      </c>
      <c r="AM485" s="78">
        <v>44451.520162037035</v>
      </c>
      <c r="AN485" s="76" t="s">
        <v>7770</v>
      </c>
      <c r="AO485" s="76" t="s">
        <v>13663</v>
      </c>
      <c r="AP485" s="82" t="str">
        <f>HYPERLINK("https://t.co/jogrJT2bqI")</f>
        <v>https://t.co/jogrJT2bqI</v>
      </c>
      <c r="AQ485" s="82" t="str">
        <f>HYPERLINK("http://www.libreriacapitulos.com")</f>
        <v>http://www.libreriacapitulos.com</v>
      </c>
      <c r="AR485" s="76" t="s">
        <v>4311</v>
      </c>
      <c r="AS485" s="76"/>
      <c r="AT485" s="76"/>
      <c r="AU485" s="76"/>
      <c r="AV485" s="76">
        <v>1.7008868541309499E+18</v>
      </c>
      <c r="AW485" s="82" t="str">
        <f>HYPERLINK("https://t.co/jogrJT2bqI")</f>
        <v>https://t.co/jogrJT2bqI</v>
      </c>
      <c r="AX485" s="76" t="b">
        <v>0</v>
      </c>
      <c r="AY485" s="76"/>
      <c r="AZ485" s="76"/>
      <c r="BA485" s="76" t="b">
        <v>0</v>
      </c>
      <c r="BB485" s="76" t="b">
        <v>1</v>
      </c>
      <c r="BC485" s="76" t="b">
        <v>1</v>
      </c>
      <c r="BD485" s="76" t="b">
        <v>0</v>
      </c>
      <c r="BE485" s="76" t="b">
        <v>0</v>
      </c>
      <c r="BF485" s="76" t="b">
        <v>0</v>
      </c>
      <c r="BG485" s="76" t="b">
        <v>0</v>
      </c>
      <c r="BH485" s="82" t="str">
        <f>HYPERLINK("https://pbs.twimg.com/profile_banners/1437030249947148291/1690314137")</f>
        <v>https://pbs.twimg.com/profile_banners/1437030249947148291/1690314137</v>
      </c>
      <c r="BI485" s="76"/>
      <c r="BJ485" s="76" t="s">
        <v>14450</v>
      </c>
      <c r="BK485" s="76" t="b">
        <v>0</v>
      </c>
      <c r="BL485" s="76"/>
      <c r="BM485" s="76" t="s">
        <v>66</v>
      </c>
      <c r="BN485" s="76" t="s">
        <v>14452</v>
      </c>
      <c r="BO485" s="82" t="str">
        <f>HYPERLINK("https://twitter.com/lib_capitulos")</f>
        <v>https://twitter.com/lib_capitulos</v>
      </c>
      <c r="BP485" s="2"/>
    </row>
    <row r="486" spans="1:68" x14ac:dyDescent="0.25">
      <c r="A486" s="62" t="s">
        <v>634</v>
      </c>
      <c r="B486" s="63"/>
      <c r="C486" s="63"/>
      <c r="D486" s="64"/>
      <c r="E486" s="66"/>
      <c r="F486" s="103" t="str">
        <f>HYPERLINK("https://pbs.twimg.com/profile_images/1694378237969747968/XtjezgvB_normal.jpg")</f>
        <v>https://pbs.twimg.com/profile_images/1694378237969747968/XtjezgvB_normal.jpg</v>
      </c>
      <c r="G486" s="63"/>
      <c r="H486" s="67"/>
      <c r="I486" s="68"/>
      <c r="J486" s="68"/>
      <c r="K486" s="67" t="s">
        <v>14935</v>
      </c>
      <c r="L486" s="71"/>
      <c r="M486" s="72"/>
      <c r="N486" s="72"/>
      <c r="O486" s="73"/>
      <c r="P486" s="74"/>
      <c r="Q486" s="74"/>
      <c r="R486" s="87"/>
      <c r="S486" s="87"/>
      <c r="T486" s="87"/>
      <c r="U486" s="87"/>
      <c r="V486" s="48"/>
      <c r="W486" s="48"/>
      <c r="X486" s="48"/>
      <c r="Y486" s="48"/>
      <c r="Z486" s="47"/>
      <c r="AA486" s="69">
        <v>486</v>
      </c>
      <c r="AB486" s="69"/>
      <c r="AC486" s="70"/>
      <c r="AD486" s="76" t="s">
        <v>12216</v>
      </c>
      <c r="AE486" s="80" t="s">
        <v>11343</v>
      </c>
      <c r="AF486" s="76">
        <v>93</v>
      </c>
      <c r="AG486" s="76">
        <v>140</v>
      </c>
      <c r="AH486" s="76">
        <v>3546</v>
      </c>
      <c r="AI486" s="76">
        <v>0</v>
      </c>
      <c r="AJ486" s="76">
        <v>26140</v>
      </c>
      <c r="AK486" s="76">
        <v>795</v>
      </c>
      <c r="AL486" s="76" t="b">
        <v>0</v>
      </c>
      <c r="AM486" s="78">
        <v>42284.85701388889</v>
      </c>
      <c r="AN486" s="76" t="s">
        <v>7800</v>
      </c>
      <c r="AO486" s="76" t="s">
        <v>13664</v>
      </c>
      <c r="AP486" s="82" t="str">
        <f>HYPERLINK("https://t.co/zmwhCWsvuk")</f>
        <v>https://t.co/zmwhCWsvuk</v>
      </c>
      <c r="AQ486" s="82" t="str">
        <f>HYPERLINK("http://superslimx.com.br")</f>
        <v>http://superslimx.com.br</v>
      </c>
      <c r="AR486" s="76" t="s">
        <v>14199</v>
      </c>
      <c r="AS486" s="76"/>
      <c r="AT486" s="76"/>
      <c r="AU486" s="76"/>
      <c r="AV486" s="76"/>
      <c r="AW486" s="82" t="str">
        <f>HYPERLINK("https://t.co/zmwhCWsvuk")</f>
        <v>https://t.co/zmwhCWsvuk</v>
      </c>
      <c r="AX486" s="76" t="b">
        <v>0</v>
      </c>
      <c r="AY486" s="76"/>
      <c r="AZ486" s="76"/>
      <c r="BA486" s="76" t="b">
        <v>1</v>
      </c>
      <c r="BB486" s="76" t="b">
        <v>1</v>
      </c>
      <c r="BC486" s="76" t="b">
        <v>1</v>
      </c>
      <c r="BD486" s="76" t="b">
        <v>0</v>
      </c>
      <c r="BE486" s="76" t="b">
        <v>1</v>
      </c>
      <c r="BF486" s="76" t="b">
        <v>0</v>
      </c>
      <c r="BG486" s="76" t="b">
        <v>0</v>
      </c>
      <c r="BH486" s="82" t="str">
        <f>HYPERLINK("https://pbs.twimg.com/profile_banners/3893109381/1617291102")</f>
        <v>https://pbs.twimg.com/profile_banners/3893109381/1617291102</v>
      </c>
      <c r="BI486" s="76"/>
      <c r="BJ486" s="76" t="s">
        <v>14450</v>
      </c>
      <c r="BK486" s="76" t="b">
        <v>0</v>
      </c>
      <c r="BL486" s="76"/>
      <c r="BM486" s="76" t="s">
        <v>66</v>
      </c>
      <c r="BN486" s="76" t="s">
        <v>14452</v>
      </c>
      <c r="BO486" s="82" t="str">
        <f>HYPERLINK("https://twitter.com/oportoneto")</f>
        <v>https://twitter.com/oportoneto</v>
      </c>
      <c r="BP486" s="2"/>
    </row>
    <row r="487" spans="1:68" x14ac:dyDescent="0.25">
      <c r="A487" s="62" t="s">
        <v>635</v>
      </c>
      <c r="B487" s="63"/>
      <c r="C487" s="63"/>
      <c r="D487" s="64"/>
      <c r="E487" s="66"/>
      <c r="F487" s="103" t="str">
        <f>HYPERLINK("https://pbs.twimg.com/profile_images/1313110333599428609/QJv6O0Mf_normal.jpg")</f>
        <v>https://pbs.twimg.com/profile_images/1313110333599428609/QJv6O0Mf_normal.jpg</v>
      </c>
      <c r="G487" s="63"/>
      <c r="H487" s="67"/>
      <c r="I487" s="68"/>
      <c r="J487" s="68"/>
      <c r="K487" s="67" t="s">
        <v>14936</v>
      </c>
      <c r="L487" s="71"/>
      <c r="M487" s="72"/>
      <c r="N487" s="72"/>
      <c r="O487" s="73"/>
      <c r="P487" s="74"/>
      <c r="Q487" s="74"/>
      <c r="R487" s="87"/>
      <c r="S487" s="87"/>
      <c r="T487" s="87"/>
      <c r="U487" s="87"/>
      <c r="V487" s="48"/>
      <c r="W487" s="48"/>
      <c r="X487" s="48"/>
      <c r="Y487" s="48"/>
      <c r="Z487" s="47"/>
      <c r="AA487" s="69">
        <v>487</v>
      </c>
      <c r="AB487" s="69"/>
      <c r="AC487" s="70"/>
      <c r="AD487" s="76" t="s">
        <v>12217</v>
      </c>
      <c r="AE487" s="80" t="s">
        <v>12720</v>
      </c>
      <c r="AF487" s="76">
        <v>278</v>
      </c>
      <c r="AG487" s="76">
        <v>394</v>
      </c>
      <c r="AH487" s="76">
        <v>749</v>
      </c>
      <c r="AI487" s="76">
        <v>3</v>
      </c>
      <c r="AJ487" s="76">
        <v>367</v>
      </c>
      <c r="AK487" s="76">
        <v>261</v>
      </c>
      <c r="AL487" s="76" t="b">
        <v>0</v>
      </c>
      <c r="AM487" s="78">
        <v>40063.613865740743</v>
      </c>
      <c r="AN487" s="76" t="s">
        <v>13108</v>
      </c>
      <c r="AO487" s="76" t="s">
        <v>13665</v>
      </c>
      <c r="AP487" s="82" t="str">
        <f>HYPERLINK("https://t.co/0jaxCu83Rd")</f>
        <v>https://t.co/0jaxCu83Rd</v>
      </c>
      <c r="AQ487" s="82" t="str">
        <f>HYPERLINK("http://agreggavendas.com.br/")</f>
        <v>http://agreggavendas.com.br/</v>
      </c>
      <c r="AR487" s="76" t="s">
        <v>14200</v>
      </c>
      <c r="AS487" s="76"/>
      <c r="AT487" s="76"/>
      <c r="AU487" s="76"/>
      <c r="AV487" s="76">
        <v>8.0902746089760294E+17</v>
      </c>
      <c r="AW487" s="82" t="str">
        <f>HYPERLINK("https://t.co/0jaxCu83Rd")</f>
        <v>https://t.co/0jaxCu83Rd</v>
      </c>
      <c r="AX487" s="76" t="b">
        <v>0</v>
      </c>
      <c r="AY487" s="76"/>
      <c r="AZ487" s="76"/>
      <c r="BA487" s="76" t="b">
        <v>0</v>
      </c>
      <c r="BB487" s="76" t="b">
        <v>1</v>
      </c>
      <c r="BC487" s="76" t="b">
        <v>0</v>
      </c>
      <c r="BD487" s="76" t="b">
        <v>0</v>
      </c>
      <c r="BE487" s="76" t="b">
        <v>0</v>
      </c>
      <c r="BF487" s="76" t="b">
        <v>0</v>
      </c>
      <c r="BG487" s="76" t="b">
        <v>0</v>
      </c>
      <c r="BH487" s="82" t="str">
        <f>HYPERLINK("https://pbs.twimg.com/profile_banners/72296051/1481821329")</f>
        <v>https://pbs.twimg.com/profile_banners/72296051/1481821329</v>
      </c>
      <c r="BI487" s="76"/>
      <c r="BJ487" s="76" t="s">
        <v>14450</v>
      </c>
      <c r="BK487" s="76" t="b">
        <v>0</v>
      </c>
      <c r="BL487" s="76"/>
      <c r="BM487" s="76" t="s">
        <v>66</v>
      </c>
      <c r="BN487" s="76" t="s">
        <v>14452</v>
      </c>
      <c r="BO487" s="82" t="str">
        <f>HYPERLINK("https://twitter.com/juniorportare")</f>
        <v>https://twitter.com/juniorportare</v>
      </c>
      <c r="BP487" s="2"/>
    </row>
    <row r="488" spans="1:68" x14ac:dyDescent="0.25">
      <c r="A488" s="62" t="s">
        <v>636</v>
      </c>
      <c r="B488" s="63"/>
      <c r="C488" s="63"/>
      <c r="D488" s="64"/>
      <c r="E488" s="66"/>
      <c r="F488" s="103" t="str">
        <f>HYPERLINK("https://pbs.twimg.com/profile_images/1363952041593344005/Rm6VS-rO_normal.jpg")</f>
        <v>https://pbs.twimg.com/profile_images/1363952041593344005/Rm6VS-rO_normal.jpg</v>
      </c>
      <c r="G488" s="63"/>
      <c r="H488" s="67"/>
      <c r="I488" s="68"/>
      <c r="J488" s="68"/>
      <c r="K488" s="67" t="s">
        <v>14937</v>
      </c>
      <c r="L488" s="71"/>
      <c r="M488" s="72"/>
      <c r="N488" s="72"/>
      <c r="O488" s="73"/>
      <c r="P488" s="74"/>
      <c r="Q488" s="74"/>
      <c r="R488" s="87"/>
      <c r="S488" s="87"/>
      <c r="T488" s="87"/>
      <c r="U488" s="87"/>
      <c r="V488" s="48"/>
      <c r="W488" s="48"/>
      <c r="X488" s="48"/>
      <c r="Y488" s="48"/>
      <c r="Z488" s="47"/>
      <c r="AA488" s="69">
        <v>488</v>
      </c>
      <c r="AB488" s="69"/>
      <c r="AC488" s="70"/>
      <c r="AD488" s="76" t="s">
        <v>12218</v>
      </c>
      <c r="AE488" s="80" t="s">
        <v>11614</v>
      </c>
      <c r="AF488" s="76">
        <v>971</v>
      </c>
      <c r="AG488" s="76">
        <v>1791</v>
      </c>
      <c r="AH488" s="76">
        <v>550</v>
      </c>
      <c r="AI488" s="76">
        <v>0</v>
      </c>
      <c r="AJ488" s="76">
        <v>301</v>
      </c>
      <c r="AK488" s="76">
        <v>313</v>
      </c>
      <c r="AL488" s="76" t="b">
        <v>0</v>
      </c>
      <c r="AM488" s="78">
        <v>44249.861724537041</v>
      </c>
      <c r="AN488" s="76"/>
      <c r="AO488" s="76" t="s">
        <v>13666</v>
      </c>
      <c r="AP488" s="82" t="str">
        <f>HYPERLINK("https://t.co/rQ8SlNiHvN")</f>
        <v>https://t.co/rQ8SlNiHvN</v>
      </c>
      <c r="AQ488" s="82" t="str">
        <f>HYPERLINK("https://iloveventas.com")</f>
        <v>https://iloveventas.com</v>
      </c>
      <c r="AR488" s="76" t="s">
        <v>14201</v>
      </c>
      <c r="AS488" s="76"/>
      <c r="AT488" s="76"/>
      <c r="AU488" s="76"/>
      <c r="AV488" s="76">
        <v>1.6773589009857001E+18</v>
      </c>
      <c r="AW488" s="82" t="str">
        <f>HYPERLINK("https://t.co/rQ8SlNiHvN")</f>
        <v>https://t.co/rQ8SlNiHvN</v>
      </c>
      <c r="AX488" s="76" t="b">
        <v>0</v>
      </c>
      <c r="AY488" s="76"/>
      <c r="AZ488" s="76"/>
      <c r="BA488" s="76" t="b">
        <v>0</v>
      </c>
      <c r="BB488" s="76" t="b">
        <v>1</v>
      </c>
      <c r="BC488" s="76" t="b">
        <v>1</v>
      </c>
      <c r="BD488" s="76" t="b">
        <v>0</v>
      </c>
      <c r="BE488" s="76" t="b">
        <v>1</v>
      </c>
      <c r="BF488" s="76" t="b">
        <v>0</v>
      </c>
      <c r="BG488" s="76" t="b">
        <v>0</v>
      </c>
      <c r="BH488" s="82" t="str">
        <f>HYPERLINK("https://pbs.twimg.com/profile_banners/1363951773174673413/1644863856")</f>
        <v>https://pbs.twimg.com/profile_banners/1363951773174673413/1644863856</v>
      </c>
      <c r="BI488" s="76"/>
      <c r="BJ488" s="76" t="s">
        <v>14450</v>
      </c>
      <c r="BK488" s="76" t="b">
        <v>0</v>
      </c>
      <c r="BL488" s="76"/>
      <c r="BM488" s="76" t="s">
        <v>66</v>
      </c>
      <c r="BN488" s="76" t="s">
        <v>14452</v>
      </c>
      <c r="BO488" s="82" t="str">
        <f>HYPERLINK("https://twitter.com/iloveventas")</f>
        <v>https://twitter.com/iloveventas</v>
      </c>
      <c r="BP488" s="2"/>
    </row>
    <row r="489" spans="1:68" x14ac:dyDescent="0.25">
      <c r="A489" s="62" t="s">
        <v>637</v>
      </c>
      <c r="B489" s="63"/>
      <c r="C489" s="63"/>
      <c r="D489" s="64"/>
      <c r="E489" s="66"/>
      <c r="F489" s="103" t="str">
        <f>HYPERLINK("https://pbs.twimg.com/profile_images/562164138588508160/mQcNpBHj_normal.jpeg")</f>
        <v>https://pbs.twimg.com/profile_images/562164138588508160/mQcNpBHj_normal.jpeg</v>
      </c>
      <c r="G489" s="63"/>
      <c r="H489" s="67"/>
      <c r="I489" s="68"/>
      <c r="J489" s="68"/>
      <c r="K489" s="67" t="s">
        <v>14938</v>
      </c>
      <c r="L489" s="71"/>
      <c r="M489" s="72"/>
      <c r="N489" s="72"/>
      <c r="O489" s="73"/>
      <c r="P489" s="74"/>
      <c r="Q489" s="74"/>
      <c r="R489" s="87"/>
      <c r="S489" s="87"/>
      <c r="T489" s="87"/>
      <c r="U489" s="87"/>
      <c r="V489" s="48"/>
      <c r="W489" s="48"/>
      <c r="X489" s="48"/>
      <c r="Y489" s="48"/>
      <c r="Z489" s="47"/>
      <c r="AA489" s="69">
        <v>489</v>
      </c>
      <c r="AB489" s="69"/>
      <c r="AC489" s="70"/>
      <c r="AD489" s="76" t="s">
        <v>12219</v>
      </c>
      <c r="AE489" s="80" t="s">
        <v>12721</v>
      </c>
      <c r="AF489" s="76">
        <v>38</v>
      </c>
      <c r="AG489" s="76">
        <v>691</v>
      </c>
      <c r="AH489" s="76">
        <v>1119</v>
      </c>
      <c r="AI489" s="76">
        <v>0</v>
      </c>
      <c r="AJ489" s="76">
        <v>1548</v>
      </c>
      <c r="AK489" s="76">
        <v>0</v>
      </c>
      <c r="AL489" s="76" t="b">
        <v>0</v>
      </c>
      <c r="AM489" s="78">
        <v>40426.08630787037</v>
      </c>
      <c r="AN489" s="76" t="s">
        <v>13109</v>
      </c>
      <c r="AO489" s="76" t="s">
        <v>13667</v>
      </c>
      <c r="AP489" s="76"/>
      <c r="AQ489" s="76"/>
      <c r="AR489" s="76"/>
      <c r="AS489" s="76"/>
      <c r="AT489" s="76"/>
      <c r="AU489" s="76"/>
      <c r="AV489" s="76"/>
      <c r="AW489" s="76"/>
      <c r="AX489" s="76" t="b">
        <v>0</v>
      </c>
      <c r="AY489" s="76"/>
      <c r="AZ489" s="76"/>
      <c r="BA489" s="76" t="b">
        <v>0</v>
      </c>
      <c r="BB489" s="76" t="b">
        <v>1</v>
      </c>
      <c r="BC489" s="76" t="b">
        <v>1</v>
      </c>
      <c r="BD489" s="76" t="b">
        <v>0</v>
      </c>
      <c r="BE489" s="76" t="b">
        <v>0</v>
      </c>
      <c r="BF489" s="76" t="b">
        <v>0</v>
      </c>
      <c r="BG489" s="76" t="b">
        <v>0</v>
      </c>
      <c r="BH489" s="76"/>
      <c r="BI489" s="76"/>
      <c r="BJ489" s="76" t="s">
        <v>14450</v>
      </c>
      <c r="BK489" s="76" t="b">
        <v>0</v>
      </c>
      <c r="BL489" s="76"/>
      <c r="BM489" s="76" t="s">
        <v>66</v>
      </c>
      <c r="BN489" s="76" t="s">
        <v>14452</v>
      </c>
      <c r="BO489" s="82" t="str">
        <f>HYPERLINK("https://twitter.com/binho_nog")</f>
        <v>https://twitter.com/binho_nog</v>
      </c>
      <c r="BP489" s="2"/>
    </row>
    <row r="490" spans="1:68" x14ac:dyDescent="0.25">
      <c r="A490" s="62" t="s">
        <v>939</v>
      </c>
      <c r="B490" s="63"/>
      <c r="C490" s="63"/>
      <c r="D490" s="64"/>
      <c r="E490" s="66"/>
      <c r="F490" s="103" t="str">
        <f>HYPERLINK("https://pbs.twimg.com/profile_images/1685794696944046080/UcgQneM__normal.jpg")</f>
        <v>https://pbs.twimg.com/profile_images/1685794696944046080/UcgQneM__normal.jpg</v>
      </c>
      <c r="G490" s="63"/>
      <c r="H490" s="67"/>
      <c r="I490" s="68"/>
      <c r="J490" s="68"/>
      <c r="K490" s="67" t="s">
        <v>14939</v>
      </c>
      <c r="L490" s="71"/>
      <c r="M490" s="72"/>
      <c r="N490" s="72"/>
      <c r="O490" s="73"/>
      <c r="P490" s="74"/>
      <c r="Q490" s="74"/>
      <c r="R490" s="87"/>
      <c r="S490" s="87"/>
      <c r="T490" s="87"/>
      <c r="U490" s="87"/>
      <c r="V490" s="48"/>
      <c r="W490" s="48"/>
      <c r="X490" s="48"/>
      <c r="Y490" s="48"/>
      <c r="Z490" s="47"/>
      <c r="AA490" s="69">
        <v>490</v>
      </c>
      <c r="AB490" s="69"/>
      <c r="AC490" s="70"/>
      <c r="AD490" s="76" t="s">
        <v>12220</v>
      </c>
      <c r="AE490" s="80" t="s">
        <v>12722</v>
      </c>
      <c r="AF490" s="76">
        <v>366900</v>
      </c>
      <c r="AG490" s="76">
        <v>430</v>
      </c>
      <c r="AH490" s="76">
        <v>7539</v>
      </c>
      <c r="AI490" s="76">
        <v>243</v>
      </c>
      <c r="AJ490" s="76">
        <v>15745</v>
      </c>
      <c r="AK490" s="76">
        <v>1031</v>
      </c>
      <c r="AL490" s="76" t="b">
        <v>0</v>
      </c>
      <c r="AM490" s="78">
        <v>39834.847615740742</v>
      </c>
      <c r="AN490" s="76" t="s">
        <v>13110</v>
      </c>
      <c r="AO490" s="76" t="s">
        <v>13668</v>
      </c>
      <c r="AP490" s="82" t="str">
        <f>HYPERLINK("https://t.co/twU7H7xdPG")</f>
        <v>https://t.co/twU7H7xdPG</v>
      </c>
      <c r="AQ490" s="82" t="str">
        <f>HYPERLINK("http://youtube.com/@pavinatto")</f>
        <v>http://youtube.com/@pavinatto</v>
      </c>
      <c r="AR490" s="76" t="s">
        <v>14202</v>
      </c>
      <c r="AS490" s="76"/>
      <c r="AT490" s="76"/>
      <c r="AU490" s="76"/>
      <c r="AV490" s="76">
        <v>1.7072202893549599E+18</v>
      </c>
      <c r="AW490" s="82" t="str">
        <f>HYPERLINK("https://t.co/twU7H7xdPG")</f>
        <v>https://t.co/twU7H7xdPG</v>
      </c>
      <c r="AX490" s="76" t="b">
        <v>0</v>
      </c>
      <c r="AY490" s="76"/>
      <c r="AZ490" s="76"/>
      <c r="BA490" s="76" t="b">
        <v>1</v>
      </c>
      <c r="BB490" s="76" t="b">
        <v>1</v>
      </c>
      <c r="BC490" s="76" t="b">
        <v>0</v>
      </c>
      <c r="BD490" s="76" t="b">
        <v>0</v>
      </c>
      <c r="BE490" s="76" t="b">
        <v>1</v>
      </c>
      <c r="BF490" s="76" t="b">
        <v>0</v>
      </c>
      <c r="BG490" s="76" t="b">
        <v>0</v>
      </c>
      <c r="BH490" s="82" t="str">
        <f>HYPERLINK("https://pbs.twimg.com/profile_banners/19305403/1687182250")</f>
        <v>https://pbs.twimg.com/profile_banners/19305403/1687182250</v>
      </c>
      <c r="BI490" s="76"/>
      <c r="BJ490" s="76" t="s">
        <v>14450</v>
      </c>
      <c r="BK490" s="76" t="b">
        <v>0</v>
      </c>
      <c r="BL490" s="76"/>
      <c r="BM490" s="76" t="s">
        <v>65</v>
      </c>
      <c r="BN490" s="76" t="s">
        <v>14452</v>
      </c>
      <c r="BO490" s="82" t="str">
        <f>HYPERLINK("https://twitter.com/pavinatto")</f>
        <v>https://twitter.com/pavinatto</v>
      </c>
      <c r="BP490" s="2"/>
    </row>
    <row r="491" spans="1:68" x14ac:dyDescent="0.25">
      <c r="A491" s="62" t="s">
        <v>940</v>
      </c>
      <c r="B491" s="63"/>
      <c r="C491" s="63"/>
      <c r="D491" s="64"/>
      <c r="E491" s="66"/>
      <c r="F491" s="103" t="str">
        <f>HYPERLINK("https://pbs.twimg.com/profile_images/1649123424491405322/tffb1R2q_normal.jpg")</f>
        <v>https://pbs.twimg.com/profile_images/1649123424491405322/tffb1R2q_normal.jpg</v>
      </c>
      <c r="G491" s="63"/>
      <c r="H491" s="67"/>
      <c r="I491" s="68"/>
      <c r="J491" s="68"/>
      <c r="K491" s="67" t="s">
        <v>14940</v>
      </c>
      <c r="L491" s="71"/>
      <c r="M491" s="72"/>
      <c r="N491" s="72"/>
      <c r="O491" s="73"/>
      <c r="P491" s="74"/>
      <c r="Q491" s="74"/>
      <c r="R491" s="87"/>
      <c r="S491" s="87"/>
      <c r="T491" s="87"/>
      <c r="U491" s="87"/>
      <c r="V491" s="48"/>
      <c r="W491" s="48"/>
      <c r="X491" s="48"/>
      <c r="Y491" s="48"/>
      <c r="Z491" s="47"/>
      <c r="AA491" s="69">
        <v>491</v>
      </c>
      <c r="AB491" s="69"/>
      <c r="AC491" s="70"/>
      <c r="AD491" s="76" t="s">
        <v>12221</v>
      </c>
      <c r="AE491" s="80" t="s">
        <v>11344</v>
      </c>
      <c r="AF491" s="76">
        <v>323252</v>
      </c>
      <c r="AG491" s="76">
        <v>164</v>
      </c>
      <c r="AH491" s="76">
        <v>1425</v>
      </c>
      <c r="AI491" s="76">
        <v>830</v>
      </c>
      <c r="AJ491" s="76">
        <v>237</v>
      </c>
      <c r="AK491" s="76">
        <v>161</v>
      </c>
      <c r="AL491" s="76" t="b">
        <v>0</v>
      </c>
      <c r="AM491" s="78">
        <v>39561.341898148145</v>
      </c>
      <c r="AN491" s="76" t="s">
        <v>13111</v>
      </c>
      <c r="AO491" s="76" t="s">
        <v>13669</v>
      </c>
      <c r="AP491" s="82" t="str">
        <f>HYPERLINK("https://t.co/2NEh8XDL8n")</f>
        <v>https://t.co/2NEh8XDL8n</v>
      </c>
      <c r="AQ491" s="82" t="str">
        <f>HYPERLINK("http://www.rogeriomorgado.com.br")</f>
        <v>http://www.rogeriomorgado.com.br</v>
      </c>
      <c r="AR491" s="76" t="s">
        <v>14203</v>
      </c>
      <c r="AS491" s="76"/>
      <c r="AT491" s="76"/>
      <c r="AU491" s="76"/>
      <c r="AV491" s="76"/>
      <c r="AW491" s="82" t="str">
        <f>HYPERLINK("https://t.co/2NEh8XDL8n")</f>
        <v>https://t.co/2NEh8XDL8n</v>
      </c>
      <c r="AX491" s="76" t="b">
        <v>0</v>
      </c>
      <c r="AY491" s="76"/>
      <c r="AZ491" s="76"/>
      <c r="BA491" s="76" t="b">
        <v>0</v>
      </c>
      <c r="BB491" s="76" t="b">
        <v>0</v>
      </c>
      <c r="BC491" s="76" t="b">
        <v>0</v>
      </c>
      <c r="BD491" s="76" t="b">
        <v>0</v>
      </c>
      <c r="BE491" s="76" t="b">
        <v>1</v>
      </c>
      <c r="BF491" s="76" t="b">
        <v>0</v>
      </c>
      <c r="BG491" s="76" t="b">
        <v>0</v>
      </c>
      <c r="BH491" s="82" t="str">
        <f>HYPERLINK("https://pbs.twimg.com/profile_banners/14489036/1399620506")</f>
        <v>https://pbs.twimg.com/profile_banners/14489036/1399620506</v>
      </c>
      <c r="BI491" s="76"/>
      <c r="BJ491" s="76" t="s">
        <v>14450</v>
      </c>
      <c r="BK491" s="76" t="b">
        <v>0</v>
      </c>
      <c r="BL491" s="76"/>
      <c r="BM491" s="76" t="s">
        <v>65</v>
      </c>
      <c r="BN491" s="76" t="s">
        <v>14452</v>
      </c>
      <c r="BO491" s="82" t="str">
        <f>HYPERLINK("https://twitter.com/rogeriomorgado")</f>
        <v>https://twitter.com/rogeriomorgado</v>
      </c>
      <c r="BP491" s="2"/>
    </row>
    <row r="492" spans="1:68" x14ac:dyDescent="0.25">
      <c r="A492" s="62" t="s">
        <v>638</v>
      </c>
      <c r="B492" s="63"/>
      <c r="C492" s="63"/>
      <c r="D492" s="64"/>
      <c r="E492" s="66"/>
      <c r="F492" s="103" t="str">
        <f>HYPERLINK("https://pbs.twimg.com/profile_images/1612339979098652673/M-3Zbbcq_normal.jpg")</f>
        <v>https://pbs.twimg.com/profile_images/1612339979098652673/M-3Zbbcq_normal.jpg</v>
      </c>
      <c r="G492" s="63"/>
      <c r="H492" s="67"/>
      <c r="I492" s="68"/>
      <c r="J492" s="68"/>
      <c r="K492" s="67" t="s">
        <v>14941</v>
      </c>
      <c r="L492" s="71"/>
      <c r="M492" s="72"/>
      <c r="N492" s="72"/>
      <c r="O492" s="73"/>
      <c r="P492" s="74"/>
      <c r="Q492" s="74"/>
      <c r="R492" s="87"/>
      <c r="S492" s="87"/>
      <c r="T492" s="87"/>
      <c r="U492" s="87"/>
      <c r="V492" s="48"/>
      <c r="W492" s="48"/>
      <c r="X492" s="48"/>
      <c r="Y492" s="48"/>
      <c r="Z492" s="47"/>
      <c r="AA492" s="69">
        <v>492</v>
      </c>
      <c r="AB492" s="69"/>
      <c r="AC492" s="70"/>
      <c r="AD492" s="76" t="s">
        <v>12222</v>
      </c>
      <c r="AE492" s="80" t="s">
        <v>12723</v>
      </c>
      <c r="AF492" s="76">
        <v>1161</v>
      </c>
      <c r="AG492" s="76">
        <v>212</v>
      </c>
      <c r="AH492" s="76">
        <v>50274</v>
      </c>
      <c r="AI492" s="76">
        <v>39</v>
      </c>
      <c r="AJ492" s="76">
        <v>127</v>
      </c>
      <c r="AK492" s="76">
        <v>5969</v>
      </c>
      <c r="AL492" s="76" t="b">
        <v>0</v>
      </c>
      <c r="AM492" s="78">
        <v>40992.066932870373</v>
      </c>
      <c r="AN492" s="76" t="s">
        <v>7767</v>
      </c>
      <c r="AO492" s="76" t="s">
        <v>13670</v>
      </c>
      <c r="AP492" s="82" t="str">
        <f>HYPERLINK("https://t.co/jLUs0jWRa4")</f>
        <v>https://t.co/jLUs0jWRa4</v>
      </c>
      <c r="AQ492" s="82" t="str">
        <f>HYPERLINK("http://www.revistatmx.com/")</f>
        <v>http://www.revistatmx.com/</v>
      </c>
      <c r="AR492" s="76" t="s">
        <v>4312</v>
      </c>
      <c r="AS492" s="76"/>
      <c r="AT492" s="76"/>
      <c r="AU492" s="76"/>
      <c r="AV492" s="76"/>
      <c r="AW492" s="82" t="str">
        <f>HYPERLINK("https://t.co/jLUs0jWRa4")</f>
        <v>https://t.co/jLUs0jWRa4</v>
      </c>
      <c r="AX492" s="76" t="b">
        <v>0</v>
      </c>
      <c r="AY492" s="76"/>
      <c r="AZ492" s="76"/>
      <c r="BA492" s="76" t="b">
        <v>0</v>
      </c>
      <c r="BB492" s="76" t="b">
        <v>1</v>
      </c>
      <c r="BC492" s="76" t="b">
        <v>0</v>
      </c>
      <c r="BD492" s="76" t="b">
        <v>0</v>
      </c>
      <c r="BE492" s="76" t="b">
        <v>0</v>
      </c>
      <c r="BF492" s="76" t="b">
        <v>0</v>
      </c>
      <c r="BG492" s="76" t="b">
        <v>0</v>
      </c>
      <c r="BH492" s="82" t="str">
        <f>HYPERLINK("https://pbs.twimg.com/profile_banners/534887779/1669619296")</f>
        <v>https://pbs.twimg.com/profile_banners/534887779/1669619296</v>
      </c>
      <c r="BI492" s="76"/>
      <c r="BJ492" s="76" t="s">
        <v>14450</v>
      </c>
      <c r="BK492" s="76" t="b">
        <v>0</v>
      </c>
      <c r="BL492" s="76"/>
      <c r="BM492" s="76" t="s">
        <v>66</v>
      </c>
      <c r="BN492" s="76" t="s">
        <v>14452</v>
      </c>
      <c r="BO492" s="82" t="str">
        <f>HYPERLINK("https://twitter.com/revistatmx")</f>
        <v>https://twitter.com/revistatmx</v>
      </c>
      <c r="BP492" s="2"/>
    </row>
    <row r="493" spans="1:68" x14ac:dyDescent="0.25">
      <c r="A493" s="62" t="s">
        <v>941</v>
      </c>
      <c r="B493" s="63"/>
      <c r="C493" s="63"/>
      <c r="D493" s="64"/>
      <c r="E493" s="66"/>
      <c r="F493" s="103" t="str">
        <f>HYPERLINK("https://pbs.twimg.com/profile_images/1665808903181938689/e9iPMNZM_normal.jpg")</f>
        <v>https://pbs.twimg.com/profile_images/1665808903181938689/e9iPMNZM_normal.jpg</v>
      </c>
      <c r="G493" s="63"/>
      <c r="H493" s="67"/>
      <c r="I493" s="68"/>
      <c r="J493" s="68"/>
      <c r="K493" s="67" t="s">
        <v>14942</v>
      </c>
      <c r="L493" s="71"/>
      <c r="M493" s="72"/>
      <c r="N493" s="72"/>
      <c r="O493" s="73"/>
      <c r="P493" s="74"/>
      <c r="Q493" s="74"/>
      <c r="R493" s="87"/>
      <c r="S493" s="87"/>
      <c r="T493" s="87"/>
      <c r="U493" s="87"/>
      <c r="V493" s="48"/>
      <c r="W493" s="48"/>
      <c r="X493" s="48"/>
      <c r="Y493" s="48"/>
      <c r="Z493" s="47"/>
      <c r="AA493" s="69">
        <v>493</v>
      </c>
      <c r="AB493" s="69"/>
      <c r="AC493" s="70"/>
      <c r="AD493" s="76" t="s">
        <v>12223</v>
      </c>
      <c r="AE493" s="80" t="s">
        <v>12724</v>
      </c>
      <c r="AF493" s="76">
        <v>23926</v>
      </c>
      <c r="AG493" s="76">
        <v>107</v>
      </c>
      <c r="AH493" s="76">
        <v>23048</v>
      </c>
      <c r="AI493" s="76">
        <v>56</v>
      </c>
      <c r="AJ493" s="76">
        <v>13563</v>
      </c>
      <c r="AK493" s="76">
        <v>9769</v>
      </c>
      <c r="AL493" s="76" t="b">
        <v>0</v>
      </c>
      <c r="AM493" s="78">
        <v>43466.557118055556</v>
      </c>
      <c r="AN493" s="76" t="s">
        <v>13112</v>
      </c>
      <c r="AO493" s="76" t="s">
        <v>13671</v>
      </c>
      <c r="AP493" s="82" t="str">
        <f>HYPERLINK("https://t.co/AkgEqebSrx")</f>
        <v>https://t.co/AkgEqebSrx</v>
      </c>
      <c r="AQ493" s="82" t="str">
        <f>HYPERLINK("http://tlalnepantla.gob.mx")</f>
        <v>http://tlalnepantla.gob.mx</v>
      </c>
      <c r="AR493" s="76" t="s">
        <v>14204</v>
      </c>
      <c r="AS493" s="76"/>
      <c r="AT493" s="76"/>
      <c r="AU493" s="76"/>
      <c r="AV493" s="76"/>
      <c r="AW493" s="82" t="str">
        <f>HYPERLINK("https://t.co/AkgEqebSrx")</f>
        <v>https://t.co/AkgEqebSrx</v>
      </c>
      <c r="AX493" s="76" t="b">
        <v>0</v>
      </c>
      <c r="AY493" s="76"/>
      <c r="AZ493" s="76"/>
      <c r="BA493" s="76" t="b">
        <v>1</v>
      </c>
      <c r="BB493" s="76" t="b">
        <v>1</v>
      </c>
      <c r="BC493" s="76" t="b">
        <v>0</v>
      </c>
      <c r="BD493" s="76" t="b">
        <v>0</v>
      </c>
      <c r="BE493" s="76" t="b">
        <v>0</v>
      </c>
      <c r="BF493" s="76" t="b">
        <v>0</v>
      </c>
      <c r="BG493" s="76" t="b">
        <v>0</v>
      </c>
      <c r="BH493" s="82" t="str">
        <f>HYPERLINK("https://pbs.twimg.com/profile_banners/1080091835526111232/1685994781")</f>
        <v>https://pbs.twimg.com/profile_banners/1080091835526111232/1685994781</v>
      </c>
      <c r="BI493" s="76"/>
      <c r="BJ493" s="76" t="s">
        <v>14450</v>
      </c>
      <c r="BK493" s="76" t="b">
        <v>0</v>
      </c>
      <c r="BL493" s="76"/>
      <c r="BM493" s="76" t="s">
        <v>65</v>
      </c>
      <c r="BN493" s="76" t="s">
        <v>14452</v>
      </c>
      <c r="BO493" s="82" t="str">
        <f>HYPERLINK("https://twitter.com/gob_tlalne")</f>
        <v>https://twitter.com/gob_tlalne</v>
      </c>
      <c r="BP493" s="2"/>
    </row>
    <row r="494" spans="1:68" x14ac:dyDescent="0.25">
      <c r="A494" s="62" t="s">
        <v>639</v>
      </c>
      <c r="B494" s="63"/>
      <c r="C494" s="63"/>
      <c r="D494" s="64"/>
      <c r="E494" s="66"/>
      <c r="F494" s="103" t="str">
        <f>HYPERLINK("https://pbs.twimg.com/profile_images/1676147827360030720/DRWaVflY_normal.jpg")</f>
        <v>https://pbs.twimg.com/profile_images/1676147827360030720/DRWaVflY_normal.jpg</v>
      </c>
      <c r="G494" s="63"/>
      <c r="H494" s="67"/>
      <c r="I494" s="68"/>
      <c r="J494" s="68"/>
      <c r="K494" s="67" t="s">
        <v>14943</v>
      </c>
      <c r="L494" s="71"/>
      <c r="M494" s="72"/>
      <c r="N494" s="72"/>
      <c r="O494" s="73"/>
      <c r="P494" s="74"/>
      <c r="Q494" s="74"/>
      <c r="R494" s="87"/>
      <c r="S494" s="87"/>
      <c r="T494" s="87"/>
      <c r="U494" s="87"/>
      <c r="V494" s="48"/>
      <c r="W494" s="48"/>
      <c r="X494" s="48"/>
      <c r="Y494" s="48"/>
      <c r="Z494" s="47"/>
      <c r="AA494" s="69">
        <v>494</v>
      </c>
      <c r="AB494" s="69"/>
      <c r="AC494" s="70"/>
      <c r="AD494" s="76" t="s">
        <v>12224</v>
      </c>
      <c r="AE494" s="80" t="s">
        <v>11615</v>
      </c>
      <c r="AF494" s="76">
        <v>2</v>
      </c>
      <c r="AG494" s="76">
        <v>20</v>
      </c>
      <c r="AH494" s="76">
        <v>155</v>
      </c>
      <c r="AI494" s="76">
        <v>0</v>
      </c>
      <c r="AJ494" s="76">
        <v>141</v>
      </c>
      <c r="AK494" s="76">
        <v>153</v>
      </c>
      <c r="AL494" s="76" t="b">
        <v>0</v>
      </c>
      <c r="AM494" s="78">
        <v>45041.347094907411</v>
      </c>
      <c r="AN494" s="76" t="s">
        <v>12888</v>
      </c>
      <c r="AO494" s="76" t="s">
        <v>13672</v>
      </c>
      <c r="AP494" s="82" t="str">
        <f>HYPERLINK("https://t.co/cdoQX8dmDf")</f>
        <v>https://t.co/cdoQX8dmDf</v>
      </c>
      <c r="AQ494" s="82" t="str">
        <f>HYPERLINK("https://linktr.ee/inmoinformativo?utm_source=linktree_admin_share")</f>
        <v>https://linktr.ee/inmoinformativo?utm_source=linktree_admin_share</v>
      </c>
      <c r="AR494" s="76" t="s">
        <v>14205</v>
      </c>
      <c r="AS494" s="76"/>
      <c r="AT494" s="76"/>
      <c r="AU494" s="76"/>
      <c r="AV494" s="76">
        <v>1.68418353057694E+18</v>
      </c>
      <c r="AW494" s="82" t="str">
        <f>HYPERLINK("https://t.co/cdoQX8dmDf")</f>
        <v>https://t.co/cdoQX8dmDf</v>
      </c>
      <c r="AX494" s="76" t="b">
        <v>0</v>
      </c>
      <c r="AY494" s="76"/>
      <c r="AZ494" s="76"/>
      <c r="BA494" s="76" t="b">
        <v>0</v>
      </c>
      <c r="BB494" s="76" t="b">
        <v>1</v>
      </c>
      <c r="BC494" s="76" t="b">
        <v>1</v>
      </c>
      <c r="BD494" s="76" t="b">
        <v>0</v>
      </c>
      <c r="BE494" s="76" t="b">
        <v>0</v>
      </c>
      <c r="BF494" s="76" t="b">
        <v>0</v>
      </c>
      <c r="BG494" s="76" t="b">
        <v>0</v>
      </c>
      <c r="BH494" s="82" t="str">
        <f>HYPERLINK("https://pbs.twimg.com/profile_banners/1650776215878348804/1690672428")</f>
        <v>https://pbs.twimg.com/profile_banners/1650776215878348804/1690672428</v>
      </c>
      <c r="BI494" s="76"/>
      <c r="BJ494" s="76" t="s">
        <v>14450</v>
      </c>
      <c r="BK494" s="76" t="b">
        <v>0</v>
      </c>
      <c r="BL494" s="76"/>
      <c r="BM494" s="76" t="s">
        <v>66</v>
      </c>
      <c r="BN494" s="76" t="s">
        <v>14452</v>
      </c>
      <c r="BO494" s="82" t="str">
        <f>HYPERLINK("https://twitter.com/inmoinformativo")</f>
        <v>https://twitter.com/inmoinformativo</v>
      </c>
      <c r="BP494" s="2"/>
    </row>
    <row r="495" spans="1:68" x14ac:dyDescent="0.25">
      <c r="A495" s="62" t="s">
        <v>640</v>
      </c>
      <c r="B495" s="63"/>
      <c r="C495" s="63"/>
      <c r="D495" s="64"/>
      <c r="E495" s="66"/>
      <c r="F495" s="103" t="str">
        <f>HYPERLINK("https://pbs.twimg.com/profile_images/1684150446695350272/CwwE5RQR_normal.jpg")</f>
        <v>https://pbs.twimg.com/profile_images/1684150446695350272/CwwE5RQR_normal.jpg</v>
      </c>
      <c r="G495" s="63"/>
      <c r="H495" s="67"/>
      <c r="I495" s="68"/>
      <c r="J495" s="68"/>
      <c r="K495" s="67" t="s">
        <v>14944</v>
      </c>
      <c r="L495" s="71"/>
      <c r="M495" s="72"/>
      <c r="N495" s="72"/>
      <c r="O495" s="73"/>
      <c r="P495" s="74"/>
      <c r="Q495" s="74"/>
      <c r="R495" s="87"/>
      <c r="S495" s="87"/>
      <c r="T495" s="87"/>
      <c r="U495" s="87"/>
      <c r="V495" s="48"/>
      <c r="W495" s="48"/>
      <c r="X495" s="48"/>
      <c r="Y495" s="48"/>
      <c r="Z495" s="47"/>
      <c r="AA495" s="69">
        <v>495</v>
      </c>
      <c r="AB495" s="69"/>
      <c r="AC495" s="70"/>
      <c r="AD495" s="76" t="s">
        <v>12225</v>
      </c>
      <c r="AE495" s="80" t="s">
        <v>11616</v>
      </c>
      <c r="AF495" s="76">
        <v>0</v>
      </c>
      <c r="AG495" s="76">
        <v>2</v>
      </c>
      <c r="AH495" s="76">
        <v>3</v>
      </c>
      <c r="AI495" s="76">
        <v>0</v>
      </c>
      <c r="AJ495" s="76">
        <v>0</v>
      </c>
      <c r="AK495" s="76">
        <v>3</v>
      </c>
      <c r="AL495" s="76" t="b">
        <v>0</v>
      </c>
      <c r="AM495" s="78">
        <v>45133.440046296295</v>
      </c>
      <c r="AN495" s="76" t="s">
        <v>7791</v>
      </c>
      <c r="AO495" s="76" t="s">
        <v>13673</v>
      </c>
      <c r="AP495" s="82" t="str">
        <f>HYPERLINK("https://t.co/CXtH4ozWOg")</f>
        <v>https://t.co/CXtH4ozWOg</v>
      </c>
      <c r="AQ495" s="82" t="str">
        <f>HYPERLINK("https://andretpgservicos.wixsite.com/my-site-1")</f>
        <v>https://andretpgservicos.wixsite.com/my-site-1</v>
      </c>
      <c r="AR495" s="76" t="s">
        <v>14206</v>
      </c>
      <c r="AS495" s="76"/>
      <c r="AT495" s="76"/>
      <c r="AU495" s="76"/>
      <c r="AV495" s="76"/>
      <c r="AW495" s="82" t="str">
        <f>HYPERLINK("https://t.co/CXtH4ozWOg")</f>
        <v>https://t.co/CXtH4ozWOg</v>
      </c>
      <c r="AX495" s="76" t="b">
        <v>0</v>
      </c>
      <c r="AY495" s="76"/>
      <c r="AZ495" s="76"/>
      <c r="BA495" s="76" t="b">
        <v>0</v>
      </c>
      <c r="BB495" s="76" t="b">
        <v>1</v>
      </c>
      <c r="BC495" s="76" t="b">
        <v>1</v>
      </c>
      <c r="BD495" s="76" t="b">
        <v>0</v>
      </c>
      <c r="BE495" s="76" t="b">
        <v>0</v>
      </c>
      <c r="BF495" s="76" t="b">
        <v>0</v>
      </c>
      <c r="BG495" s="76" t="b">
        <v>0</v>
      </c>
      <c r="BH495" s="82" t="str">
        <f>HYPERLINK("https://pbs.twimg.com/profile_banners/1684149839565651968/1690372482")</f>
        <v>https://pbs.twimg.com/profile_banners/1684149839565651968/1690372482</v>
      </c>
      <c r="BI495" s="76"/>
      <c r="BJ495" s="76" t="s">
        <v>14450</v>
      </c>
      <c r="BK495" s="76" t="b">
        <v>0</v>
      </c>
      <c r="BL495" s="76"/>
      <c r="BM495" s="76" t="s">
        <v>66</v>
      </c>
      <c r="BN495" s="76" t="s">
        <v>14452</v>
      </c>
      <c r="BO495" s="82" t="str">
        <f>HYPERLINK("https://twitter.com/1terceirizacao")</f>
        <v>https://twitter.com/1terceirizacao</v>
      </c>
      <c r="BP495" s="2"/>
    </row>
    <row r="496" spans="1:68" x14ac:dyDescent="0.25">
      <c r="A496" s="62" t="s">
        <v>641</v>
      </c>
      <c r="B496" s="63"/>
      <c r="C496" s="63"/>
      <c r="D496" s="64"/>
      <c r="E496" s="66"/>
      <c r="F496" s="103" t="str">
        <f>HYPERLINK("https://pbs.twimg.com/profile_images/1657873071204716545/BvlLtmyw_normal.jpg")</f>
        <v>https://pbs.twimg.com/profile_images/1657873071204716545/BvlLtmyw_normal.jpg</v>
      </c>
      <c r="G496" s="63"/>
      <c r="H496" s="67"/>
      <c r="I496" s="68"/>
      <c r="J496" s="68"/>
      <c r="K496" s="67" t="s">
        <v>14945</v>
      </c>
      <c r="L496" s="71"/>
      <c r="M496" s="72"/>
      <c r="N496" s="72"/>
      <c r="O496" s="73"/>
      <c r="P496" s="74"/>
      <c r="Q496" s="74"/>
      <c r="R496" s="87"/>
      <c r="S496" s="87"/>
      <c r="T496" s="87"/>
      <c r="U496" s="87"/>
      <c r="V496" s="48"/>
      <c r="W496" s="48"/>
      <c r="X496" s="48"/>
      <c r="Y496" s="48"/>
      <c r="Z496" s="47"/>
      <c r="AA496" s="69">
        <v>496</v>
      </c>
      <c r="AB496" s="69"/>
      <c r="AC496" s="70"/>
      <c r="AD496" s="76" t="s">
        <v>12226</v>
      </c>
      <c r="AE496" s="80" t="s">
        <v>11617</v>
      </c>
      <c r="AF496" s="76">
        <v>21</v>
      </c>
      <c r="AG496" s="76">
        <v>127</v>
      </c>
      <c r="AH496" s="76">
        <v>53</v>
      </c>
      <c r="AI496" s="76">
        <v>0</v>
      </c>
      <c r="AJ496" s="76">
        <v>149</v>
      </c>
      <c r="AK496" s="76">
        <v>21</v>
      </c>
      <c r="AL496" s="76" t="b">
        <v>0</v>
      </c>
      <c r="AM496" s="78">
        <v>43716.740231481483</v>
      </c>
      <c r="AN496" s="76" t="s">
        <v>7767</v>
      </c>
      <c r="AO496" s="76" t="s">
        <v>13674</v>
      </c>
      <c r="AP496" s="82" t="str">
        <f>HYPERLINK("https://t.co/6mZA5UnuGd")</f>
        <v>https://t.co/6mZA5UnuGd</v>
      </c>
      <c r="AQ496" s="82" t="str">
        <f>HYPERLINK("https://bonner.mx")</f>
        <v>https://bonner.mx</v>
      </c>
      <c r="AR496" s="76" t="s">
        <v>14207</v>
      </c>
      <c r="AS496" s="76"/>
      <c r="AT496" s="76"/>
      <c r="AU496" s="76"/>
      <c r="AV496" s="76"/>
      <c r="AW496" s="82" t="str">
        <f>HYPERLINK("https://t.co/6mZA5UnuGd")</f>
        <v>https://t.co/6mZA5UnuGd</v>
      </c>
      <c r="AX496" s="76" t="b">
        <v>0</v>
      </c>
      <c r="AY496" s="76"/>
      <c r="AZ496" s="76"/>
      <c r="BA496" s="76" t="b">
        <v>0</v>
      </c>
      <c r="BB496" s="76" t="b">
        <v>1</v>
      </c>
      <c r="BC496" s="76" t="b">
        <v>1</v>
      </c>
      <c r="BD496" s="76" t="b">
        <v>0</v>
      </c>
      <c r="BE496" s="76" t="b">
        <v>0</v>
      </c>
      <c r="BF496" s="76" t="b">
        <v>0</v>
      </c>
      <c r="BG496" s="76" t="b">
        <v>0</v>
      </c>
      <c r="BH496" s="82" t="str">
        <f>HYPERLINK("https://pbs.twimg.com/profile_banners/1170755118482042882/1684070100")</f>
        <v>https://pbs.twimg.com/profile_banners/1170755118482042882/1684070100</v>
      </c>
      <c r="BI496" s="76"/>
      <c r="BJ496" s="76" t="s">
        <v>14450</v>
      </c>
      <c r="BK496" s="76" t="b">
        <v>0</v>
      </c>
      <c r="BL496" s="76"/>
      <c r="BM496" s="76" t="s">
        <v>66</v>
      </c>
      <c r="BN496" s="76" t="s">
        <v>14452</v>
      </c>
      <c r="BO496" s="82" t="str">
        <f>HYPERLINK("https://twitter.com/thebonnermx")</f>
        <v>https://twitter.com/thebonnermx</v>
      </c>
      <c r="BP496" s="2"/>
    </row>
    <row r="497" spans="1:68" x14ac:dyDescent="0.25">
      <c r="A497" s="62" t="s">
        <v>642</v>
      </c>
      <c r="B497" s="63"/>
      <c r="C497" s="63"/>
      <c r="D497" s="64"/>
      <c r="E497" s="66"/>
      <c r="F497" s="103" t="str">
        <f>HYPERLINK("https://pbs.twimg.com/profile_images/1437376263589613569/mQhRx1yf_normal.jpg")</f>
        <v>https://pbs.twimg.com/profile_images/1437376263589613569/mQhRx1yf_normal.jpg</v>
      </c>
      <c r="G497" s="63"/>
      <c r="H497" s="67"/>
      <c r="I497" s="68"/>
      <c r="J497" s="68"/>
      <c r="K497" s="67" t="s">
        <v>14946</v>
      </c>
      <c r="L497" s="71"/>
      <c r="M497" s="72"/>
      <c r="N497" s="72"/>
      <c r="O497" s="73"/>
      <c r="P497" s="74"/>
      <c r="Q497" s="74"/>
      <c r="R497" s="87"/>
      <c r="S497" s="87"/>
      <c r="T497" s="87"/>
      <c r="U497" s="87"/>
      <c r="V497" s="48"/>
      <c r="W497" s="48"/>
      <c r="X497" s="48"/>
      <c r="Y497" s="48"/>
      <c r="Z497" s="47"/>
      <c r="AA497" s="69">
        <v>497</v>
      </c>
      <c r="AB497" s="69"/>
      <c r="AC497" s="70"/>
      <c r="AD497" s="76" t="s">
        <v>12227</v>
      </c>
      <c r="AE497" s="80" t="s">
        <v>11618</v>
      </c>
      <c r="AF497" s="76">
        <v>33</v>
      </c>
      <c r="AG497" s="76">
        <v>45</v>
      </c>
      <c r="AH497" s="76">
        <v>1860</v>
      </c>
      <c r="AI497" s="76">
        <v>0</v>
      </c>
      <c r="AJ497" s="76">
        <v>320</v>
      </c>
      <c r="AK497" s="76">
        <v>27</v>
      </c>
      <c r="AL497" s="76" t="b">
        <v>0</v>
      </c>
      <c r="AM497" s="78">
        <v>44146.386979166666</v>
      </c>
      <c r="AN497" s="76" t="s">
        <v>13071</v>
      </c>
      <c r="AO497" s="76" t="s">
        <v>13675</v>
      </c>
      <c r="AP497" s="76"/>
      <c r="AQ497" s="76"/>
      <c r="AR497" s="76"/>
      <c r="AS497" s="76"/>
      <c r="AT497" s="76"/>
      <c r="AU497" s="76"/>
      <c r="AV497" s="76">
        <v>1.51863417293135E+18</v>
      </c>
      <c r="AW497" s="76"/>
      <c r="AX497" s="76" t="b">
        <v>0</v>
      </c>
      <c r="AY497" s="76"/>
      <c r="AZ497" s="76"/>
      <c r="BA497" s="76" t="b">
        <v>1</v>
      </c>
      <c r="BB497" s="76" t="b">
        <v>0</v>
      </c>
      <c r="BC497" s="76" t="b">
        <v>1</v>
      </c>
      <c r="BD497" s="76" t="b">
        <v>0</v>
      </c>
      <c r="BE497" s="76" t="b">
        <v>1</v>
      </c>
      <c r="BF497" s="76" t="b">
        <v>0</v>
      </c>
      <c r="BG497" s="76" t="b">
        <v>0</v>
      </c>
      <c r="BH497" s="82" t="str">
        <f>HYPERLINK("https://pbs.twimg.com/profile_banners/1326453777956745217/1631538217")</f>
        <v>https://pbs.twimg.com/profile_banners/1326453777956745217/1631538217</v>
      </c>
      <c r="BI497" s="76"/>
      <c r="BJ497" s="76" t="s">
        <v>14450</v>
      </c>
      <c r="BK497" s="76" t="b">
        <v>0</v>
      </c>
      <c r="BL497" s="76"/>
      <c r="BM497" s="76" t="s">
        <v>66</v>
      </c>
      <c r="BN497" s="76" t="s">
        <v>14452</v>
      </c>
      <c r="BO497" s="82" t="str">
        <f>HYPERLINK("https://twitter.com/wil_carrillo18")</f>
        <v>https://twitter.com/wil_carrillo18</v>
      </c>
      <c r="BP497" s="2"/>
    </row>
    <row r="498" spans="1:68" x14ac:dyDescent="0.25">
      <c r="A498" s="62" t="s">
        <v>942</v>
      </c>
      <c r="B498" s="63"/>
      <c r="C498" s="63"/>
      <c r="D498" s="64"/>
      <c r="E498" s="66"/>
      <c r="F498" s="103" t="str">
        <f>HYPERLINK("https://pbs.twimg.com/profile_images/483268939107938305/jhVcxi0v_normal.jpeg")</f>
        <v>https://pbs.twimg.com/profile_images/483268939107938305/jhVcxi0v_normal.jpeg</v>
      </c>
      <c r="G498" s="63"/>
      <c r="H498" s="67"/>
      <c r="I498" s="68"/>
      <c r="J498" s="68"/>
      <c r="K498" s="67" t="s">
        <v>14947</v>
      </c>
      <c r="L498" s="71"/>
      <c r="M498" s="72"/>
      <c r="N498" s="72"/>
      <c r="O498" s="73"/>
      <c r="P498" s="74"/>
      <c r="Q498" s="74"/>
      <c r="R498" s="87"/>
      <c r="S498" s="87"/>
      <c r="T498" s="87"/>
      <c r="U498" s="87"/>
      <c r="V498" s="48"/>
      <c r="W498" s="48"/>
      <c r="X498" s="48"/>
      <c r="Y498" s="48"/>
      <c r="Z498" s="47"/>
      <c r="AA498" s="69">
        <v>498</v>
      </c>
      <c r="AB498" s="69"/>
      <c r="AC498" s="70"/>
      <c r="AD498" s="76" t="s">
        <v>12228</v>
      </c>
      <c r="AE498" s="80" t="s">
        <v>11345</v>
      </c>
      <c r="AF498" s="76">
        <v>13774</v>
      </c>
      <c r="AG498" s="76">
        <v>58</v>
      </c>
      <c r="AH498" s="76">
        <v>178352</v>
      </c>
      <c r="AI498" s="76">
        <v>76</v>
      </c>
      <c r="AJ498" s="76">
        <v>8687</v>
      </c>
      <c r="AK498" s="76">
        <v>660</v>
      </c>
      <c r="AL498" s="76" t="b">
        <v>0</v>
      </c>
      <c r="AM498" s="78">
        <v>40307.66133101852</v>
      </c>
      <c r="AN498" s="76"/>
      <c r="AO498" s="76" t="s">
        <v>13676</v>
      </c>
      <c r="AP498" s="76"/>
      <c r="AQ498" s="76"/>
      <c r="AR498" s="76"/>
      <c r="AS498" s="76"/>
      <c r="AT498" s="76"/>
      <c r="AU498" s="76"/>
      <c r="AV498" s="76">
        <v>1.11139633143051E+18</v>
      </c>
      <c r="AW498" s="76"/>
      <c r="AX498" s="76" t="b">
        <v>0</v>
      </c>
      <c r="AY498" s="76"/>
      <c r="AZ498" s="76"/>
      <c r="BA498" s="76" t="b">
        <v>0</v>
      </c>
      <c r="BB498" s="76" t="b">
        <v>1</v>
      </c>
      <c r="BC498" s="76" t="b">
        <v>1</v>
      </c>
      <c r="BD498" s="76" t="b">
        <v>0</v>
      </c>
      <c r="BE498" s="76" t="b">
        <v>1</v>
      </c>
      <c r="BF498" s="76" t="b">
        <v>0</v>
      </c>
      <c r="BG498" s="76" t="b">
        <v>0</v>
      </c>
      <c r="BH498" s="82" t="str">
        <f>HYPERLINK("https://pbs.twimg.com/profile_banners/141980896/1592753153")</f>
        <v>https://pbs.twimg.com/profile_banners/141980896/1592753153</v>
      </c>
      <c r="BI498" s="76"/>
      <c r="BJ498" s="76" t="s">
        <v>14450</v>
      </c>
      <c r="BK498" s="76" t="b">
        <v>0</v>
      </c>
      <c r="BL498" s="76"/>
      <c r="BM498" s="76" t="s">
        <v>65</v>
      </c>
      <c r="BN498" s="76" t="s">
        <v>14452</v>
      </c>
      <c r="BO498" s="82" t="str">
        <f>HYPERLINK("https://twitter.com/lfuenmayortoro")</f>
        <v>https://twitter.com/lfuenmayortoro</v>
      </c>
      <c r="BP498" s="2"/>
    </row>
    <row r="499" spans="1:68" x14ac:dyDescent="0.25">
      <c r="A499" s="62" t="s">
        <v>643</v>
      </c>
      <c r="B499" s="63"/>
      <c r="C499" s="63"/>
      <c r="D499" s="64"/>
      <c r="E499" s="66"/>
      <c r="F499" s="103" t="str">
        <f>HYPERLINK("https://pbs.twimg.com/profile_images/1006930707975991297/YWls0P6r_normal.jpg")</f>
        <v>https://pbs.twimg.com/profile_images/1006930707975991297/YWls0P6r_normal.jpg</v>
      </c>
      <c r="G499" s="63"/>
      <c r="H499" s="67"/>
      <c r="I499" s="68"/>
      <c r="J499" s="68"/>
      <c r="K499" s="67" t="s">
        <v>14948</v>
      </c>
      <c r="L499" s="71"/>
      <c r="M499" s="72"/>
      <c r="N499" s="72"/>
      <c r="O499" s="73"/>
      <c r="P499" s="74"/>
      <c r="Q499" s="74"/>
      <c r="R499" s="87"/>
      <c r="S499" s="87"/>
      <c r="T499" s="87"/>
      <c r="U499" s="87"/>
      <c r="V499" s="48"/>
      <c r="W499" s="48"/>
      <c r="X499" s="48"/>
      <c r="Y499" s="48"/>
      <c r="Z499" s="47"/>
      <c r="AA499" s="69">
        <v>499</v>
      </c>
      <c r="AB499" s="69"/>
      <c r="AC499" s="70"/>
      <c r="AD499" s="76" t="s">
        <v>12229</v>
      </c>
      <c r="AE499" s="80" t="s">
        <v>11619</v>
      </c>
      <c r="AF499" s="76">
        <v>380</v>
      </c>
      <c r="AG499" s="76">
        <v>239</v>
      </c>
      <c r="AH499" s="76">
        <v>20360</v>
      </c>
      <c r="AI499" s="76">
        <v>5</v>
      </c>
      <c r="AJ499" s="76">
        <v>203</v>
      </c>
      <c r="AK499" s="76">
        <v>19704</v>
      </c>
      <c r="AL499" s="76" t="b">
        <v>0</v>
      </c>
      <c r="AM499" s="78">
        <v>43259.544224537036</v>
      </c>
      <c r="AN499" s="76" t="s">
        <v>13113</v>
      </c>
      <c r="AO499" s="76" t="s">
        <v>13677</v>
      </c>
      <c r="AP499" s="82" t="str">
        <f>HYPERLINK("https://t.co/mrj6WaxsAH")</f>
        <v>https://t.co/mrj6WaxsAH</v>
      </c>
      <c r="AQ499" s="82" t="str">
        <f>HYPERLINK("http://jornalsomos.com.br")</f>
        <v>http://jornalsomos.com.br</v>
      </c>
      <c r="AR499" s="76" t="s">
        <v>14208</v>
      </c>
      <c r="AS499" s="76"/>
      <c r="AT499" s="76"/>
      <c r="AU499" s="76"/>
      <c r="AV499" s="76"/>
      <c r="AW499" s="82" t="str">
        <f>HYPERLINK("https://t.co/mrj6WaxsAH")</f>
        <v>https://t.co/mrj6WaxsAH</v>
      </c>
      <c r="AX499" s="76" t="b">
        <v>0</v>
      </c>
      <c r="AY499" s="76"/>
      <c r="AZ499" s="76"/>
      <c r="BA499" s="76" t="b">
        <v>1</v>
      </c>
      <c r="BB499" s="76" t="b">
        <v>1</v>
      </c>
      <c r="BC499" s="76" t="b">
        <v>0</v>
      </c>
      <c r="BD499" s="76" t="b">
        <v>0</v>
      </c>
      <c r="BE499" s="76" t="b">
        <v>1</v>
      </c>
      <c r="BF499" s="76" t="b">
        <v>0</v>
      </c>
      <c r="BG499" s="76" t="b">
        <v>0</v>
      </c>
      <c r="BH499" s="82" t="str">
        <f>HYPERLINK("https://pbs.twimg.com/profile_banners/1005072875295002624/1586983970")</f>
        <v>https://pbs.twimg.com/profile_banners/1005072875295002624/1586983970</v>
      </c>
      <c r="BI499" s="76"/>
      <c r="BJ499" s="76" t="s">
        <v>14450</v>
      </c>
      <c r="BK499" s="76" t="b">
        <v>0</v>
      </c>
      <c r="BL499" s="76"/>
      <c r="BM499" s="76" t="s">
        <v>66</v>
      </c>
      <c r="BN499" s="76" t="s">
        <v>14452</v>
      </c>
      <c r="BO499" s="82" t="str">
        <f>HYPERLINK("https://twitter.com/jornalsomos")</f>
        <v>https://twitter.com/jornalsomos</v>
      </c>
      <c r="BP499" s="2"/>
    </row>
    <row r="500" spans="1:68" x14ac:dyDescent="0.25">
      <c r="A500" s="62" t="s">
        <v>644</v>
      </c>
      <c r="B500" s="63"/>
      <c r="C500" s="63"/>
      <c r="D500" s="64"/>
      <c r="E500" s="66"/>
      <c r="F500" s="103" t="str">
        <f>HYPERLINK("https://pbs.twimg.com/profile_images/1706740155233492992/KgGdMHNB_normal.jpg")</f>
        <v>https://pbs.twimg.com/profile_images/1706740155233492992/KgGdMHNB_normal.jpg</v>
      </c>
      <c r="G500" s="63"/>
      <c r="H500" s="67"/>
      <c r="I500" s="68"/>
      <c r="J500" s="68"/>
      <c r="K500" s="67" t="s">
        <v>14949</v>
      </c>
      <c r="L500" s="71"/>
      <c r="M500" s="72"/>
      <c r="N500" s="72"/>
      <c r="O500" s="73"/>
      <c r="P500" s="74"/>
      <c r="Q500" s="74"/>
      <c r="R500" s="87"/>
      <c r="S500" s="87"/>
      <c r="T500" s="87"/>
      <c r="U500" s="87"/>
      <c r="V500" s="48"/>
      <c r="W500" s="48"/>
      <c r="X500" s="48"/>
      <c r="Y500" s="48"/>
      <c r="Z500" s="47"/>
      <c r="AA500" s="69">
        <v>500</v>
      </c>
      <c r="AB500" s="69"/>
      <c r="AC500" s="70"/>
      <c r="AD500" s="76" t="s">
        <v>12230</v>
      </c>
      <c r="AE500" s="80" t="s">
        <v>11620</v>
      </c>
      <c r="AF500" s="76">
        <v>39</v>
      </c>
      <c r="AG500" s="76">
        <v>147</v>
      </c>
      <c r="AH500" s="76">
        <v>2254</v>
      </c>
      <c r="AI500" s="76">
        <v>0</v>
      </c>
      <c r="AJ500" s="76">
        <v>2361</v>
      </c>
      <c r="AK500" s="76">
        <v>1127</v>
      </c>
      <c r="AL500" s="76" t="b">
        <v>0</v>
      </c>
      <c r="AM500" s="78">
        <v>43447.765081018515</v>
      </c>
      <c r="AN500" s="76"/>
      <c r="AO500" s="76"/>
      <c r="AP500" s="76"/>
      <c r="AQ500" s="76"/>
      <c r="AR500" s="76"/>
      <c r="AS500" s="76"/>
      <c r="AT500" s="76"/>
      <c r="AU500" s="76"/>
      <c r="AV500" s="76"/>
      <c r="AW500" s="76"/>
      <c r="AX500" s="76" t="b">
        <v>0</v>
      </c>
      <c r="AY500" s="76"/>
      <c r="AZ500" s="76"/>
      <c r="BA500" s="76" t="b">
        <v>0</v>
      </c>
      <c r="BB500" s="76" t="b">
        <v>1</v>
      </c>
      <c r="BC500" s="76" t="b">
        <v>1</v>
      </c>
      <c r="BD500" s="76" t="b">
        <v>0</v>
      </c>
      <c r="BE500" s="76" t="b">
        <v>0</v>
      </c>
      <c r="BF500" s="76" t="b">
        <v>0</v>
      </c>
      <c r="BG500" s="76" t="b">
        <v>0</v>
      </c>
      <c r="BH500" s="82" t="str">
        <f>HYPERLINK("https://pbs.twimg.com/profile_banners/1073281827543150592/1681444520")</f>
        <v>https://pbs.twimg.com/profile_banners/1073281827543150592/1681444520</v>
      </c>
      <c r="BI500" s="76"/>
      <c r="BJ500" s="76" t="s">
        <v>14450</v>
      </c>
      <c r="BK500" s="76" t="b">
        <v>0</v>
      </c>
      <c r="BL500" s="76"/>
      <c r="BM500" s="76" t="s">
        <v>66</v>
      </c>
      <c r="BN500" s="76" t="s">
        <v>14452</v>
      </c>
      <c r="BO500" s="82" t="str">
        <f>HYPERLINK("https://twitter.com/rosaescamilla19")</f>
        <v>https://twitter.com/rosaescamilla19</v>
      </c>
      <c r="BP500" s="2"/>
    </row>
    <row r="501" spans="1:68" x14ac:dyDescent="0.25">
      <c r="A501" s="62" t="s">
        <v>645</v>
      </c>
      <c r="B501" s="63"/>
      <c r="C501" s="63"/>
      <c r="D501" s="64"/>
      <c r="E501" s="66"/>
      <c r="F501" s="103" t="str">
        <f>HYPERLINK("https://pbs.twimg.com/profile_images/1559408444507131904/NVUHFz4N_normal.jpg")</f>
        <v>https://pbs.twimg.com/profile_images/1559408444507131904/NVUHFz4N_normal.jpg</v>
      </c>
      <c r="G501" s="63"/>
      <c r="H501" s="67"/>
      <c r="I501" s="68"/>
      <c r="J501" s="68"/>
      <c r="K501" s="67" t="s">
        <v>14950</v>
      </c>
      <c r="L501" s="71"/>
      <c r="M501" s="72"/>
      <c r="N501" s="72"/>
      <c r="O501" s="73"/>
      <c r="P501" s="74"/>
      <c r="Q501" s="74"/>
      <c r="R501" s="87"/>
      <c r="S501" s="87"/>
      <c r="T501" s="87"/>
      <c r="U501" s="87"/>
      <c r="V501" s="48"/>
      <c r="W501" s="48"/>
      <c r="X501" s="48"/>
      <c r="Y501" s="48"/>
      <c r="Z501" s="47"/>
      <c r="AA501" s="69">
        <v>501</v>
      </c>
      <c r="AB501" s="69"/>
      <c r="AC501" s="70"/>
      <c r="AD501" s="76" t="s">
        <v>12231</v>
      </c>
      <c r="AE501" s="80" t="s">
        <v>12725</v>
      </c>
      <c r="AF501" s="76">
        <v>9</v>
      </c>
      <c r="AG501" s="76">
        <v>22</v>
      </c>
      <c r="AH501" s="76">
        <v>178</v>
      </c>
      <c r="AI501" s="76">
        <v>0</v>
      </c>
      <c r="AJ501" s="76">
        <v>33</v>
      </c>
      <c r="AK501" s="76">
        <v>8</v>
      </c>
      <c r="AL501" s="76" t="b">
        <v>0</v>
      </c>
      <c r="AM501" s="78">
        <v>41309.133240740739</v>
      </c>
      <c r="AN501" s="76"/>
      <c r="AO501" s="76" t="s">
        <v>13678</v>
      </c>
      <c r="AP501" s="82" t="str">
        <f>HYPERLINK("https://t.co/m1L0ac0dXR")</f>
        <v>https://t.co/m1L0ac0dXR</v>
      </c>
      <c r="AQ501" s="82" t="str">
        <f>HYPERLINK("https://youtu.be/puhDzNAEu60")</f>
        <v>https://youtu.be/puhDzNAEu60</v>
      </c>
      <c r="AR501" s="76" t="s">
        <v>14209</v>
      </c>
      <c r="AS501" s="82" t="str">
        <f>HYPERLINK("https://t.co/aVQVey45rF")</f>
        <v>https://t.co/aVQVey45rF</v>
      </c>
      <c r="AT501" s="82" t="str">
        <f>HYPERLINK("https://open.spotify.com/show/6bKlj7ggY05CBAumsWTcJJ?si=MPgylRxrS0mHofYrieR6")</f>
        <v>https://open.spotify.com/show/6bKlj7ggY05CBAumsWTcJJ?si=MPgylRxrS0mHofYrieR6</v>
      </c>
      <c r="AU501" s="76" t="s">
        <v>14431</v>
      </c>
      <c r="AV501" s="76"/>
      <c r="AW501" s="82" t="str">
        <f>HYPERLINK("https://t.co/m1L0ac0dXR")</f>
        <v>https://t.co/m1L0ac0dXR</v>
      </c>
      <c r="AX501" s="76" t="b">
        <v>0</v>
      </c>
      <c r="AY501" s="76"/>
      <c r="AZ501" s="76"/>
      <c r="BA501" s="76" t="b">
        <v>0</v>
      </c>
      <c r="BB501" s="76" t="b">
        <v>1</v>
      </c>
      <c r="BC501" s="76" t="b">
        <v>0</v>
      </c>
      <c r="BD501" s="76" t="b">
        <v>0</v>
      </c>
      <c r="BE501" s="76" t="b">
        <v>0</v>
      </c>
      <c r="BF501" s="76" t="b">
        <v>0</v>
      </c>
      <c r="BG501" s="76" t="b">
        <v>0</v>
      </c>
      <c r="BH501" s="82" t="str">
        <f>HYPERLINK("https://pbs.twimg.com/profile_banners/1146903338/1527099811")</f>
        <v>https://pbs.twimg.com/profile_banners/1146903338/1527099811</v>
      </c>
      <c r="BI501" s="76"/>
      <c r="BJ501" s="76" t="s">
        <v>14450</v>
      </c>
      <c r="BK501" s="76" t="b">
        <v>0</v>
      </c>
      <c r="BL501" s="76"/>
      <c r="BM501" s="76" t="s">
        <v>66</v>
      </c>
      <c r="BN501" s="76" t="s">
        <v>14452</v>
      </c>
      <c r="BO501" s="82" t="str">
        <f>HYPERLINK("https://twitter.com/deobedsdl")</f>
        <v>https://twitter.com/deobedsdl</v>
      </c>
      <c r="BP501" s="2"/>
    </row>
    <row r="502" spans="1:68" x14ac:dyDescent="0.25">
      <c r="A502" s="62" t="s">
        <v>646</v>
      </c>
      <c r="B502" s="63"/>
      <c r="C502" s="63"/>
      <c r="D502" s="64"/>
      <c r="E502" s="66"/>
      <c r="F502" s="103" t="str">
        <f>HYPERLINK("https://pbs.twimg.com/profile_images/378800000358174000/2fa50a54617214ef4dd48fbc1944165b_normal.jpeg")</f>
        <v>https://pbs.twimg.com/profile_images/378800000358174000/2fa50a54617214ef4dd48fbc1944165b_normal.jpeg</v>
      </c>
      <c r="G502" s="63"/>
      <c r="H502" s="67"/>
      <c r="I502" s="68"/>
      <c r="J502" s="68"/>
      <c r="K502" s="67" t="s">
        <v>14951</v>
      </c>
      <c r="L502" s="71"/>
      <c r="M502" s="72"/>
      <c r="N502" s="72"/>
      <c r="O502" s="73"/>
      <c r="P502" s="74"/>
      <c r="Q502" s="74"/>
      <c r="R502" s="87"/>
      <c r="S502" s="87"/>
      <c r="T502" s="87"/>
      <c r="U502" s="87"/>
      <c r="V502" s="48"/>
      <c r="W502" s="48"/>
      <c r="X502" s="48"/>
      <c r="Y502" s="48"/>
      <c r="Z502" s="47"/>
      <c r="AA502" s="69">
        <v>502</v>
      </c>
      <c r="AB502" s="69"/>
      <c r="AC502" s="70"/>
      <c r="AD502" s="76" t="s">
        <v>12232</v>
      </c>
      <c r="AE502" s="80" t="s">
        <v>12726</v>
      </c>
      <c r="AF502" s="76">
        <v>189</v>
      </c>
      <c r="AG502" s="76">
        <v>508</v>
      </c>
      <c r="AH502" s="76">
        <v>60697</v>
      </c>
      <c r="AI502" s="76">
        <v>2</v>
      </c>
      <c r="AJ502" s="76">
        <v>1050</v>
      </c>
      <c r="AK502" s="76">
        <v>4604</v>
      </c>
      <c r="AL502" s="76" t="b">
        <v>0</v>
      </c>
      <c r="AM502" s="78">
        <v>40758.076435185183</v>
      </c>
      <c r="AN502" s="76" t="s">
        <v>13114</v>
      </c>
      <c r="AO502" s="82" t="str">
        <f>HYPERLINK("https://t.co/xNFfwIr7kJ")</f>
        <v>https://t.co/xNFfwIr7kJ</v>
      </c>
      <c r="AP502" s="82" t="str">
        <f>HYPERLINK("http://t.co/ZIX5DG8Jyi")</f>
        <v>http://t.co/ZIX5DG8Jyi</v>
      </c>
      <c r="AQ502" s="82" t="str">
        <f>HYPERLINK("http://www.marcelagonzalez.com/")</f>
        <v>http://www.marcelagonzalez.com/</v>
      </c>
      <c r="AR502" s="76" t="s">
        <v>14210</v>
      </c>
      <c r="AS502" s="82" t="str">
        <f>HYPERLINK("https://t.co/xNFfwIr7kJ")</f>
        <v>https://t.co/xNFfwIr7kJ</v>
      </c>
      <c r="AT502" s="82" t="str">
        <f>HYPERLINK("https://www.facebook.com/propiedadesmg?ref=tn_tnmn")</f>
        <v>https://www.facebook.com/propiedadesmg?ref=tn_tnmn</v>
      </c>
      <c r="AU502" s="76" t="s">
        <v>14432</v>
      </c>
      <c r="AV502" s="76"/>
      <c r="AW502" s="82" t="str">
        <f>HYPERLINK("http://t.co/ZIX5DG8Jyi")</f>
        <v>http://t.co/ZIX5DG8Jyi</v>
      </c>
      <c r="AX502" s="76" t="b">
        <v>0</v>
      </c>
      <c r="AY502" s="76"/>
      <c r="AZ502" s="76"/>
      <c r="BA502" s="76" t="b">
        <v>1</v>
      </c>
      <c r="BB502" s="76" t="b">
        <v>1</v>
      </c>
      <c r="BC502" s="76" t="b">
        <v>0</v>
      </c>
      <c r="BD502" s="76" t="b">
        <v>0</v>
      </c>
      <c r="BE502" s="76" t="b">
        <v>0</v>
      </c>
      <c r="BF502" s="76" t="b">
        <v>0</v>
      </c>
      <c r="BG502" s="76" t="b">
        <v>1</v>
      </c>
      <c r="BH502" s="82" t="str">
        <f>HYPERLINK("https://pbs.twimg.com/profile_banners/347598196/1400351135")</f>
        <v>https://pbs.twimg.com/profile_banners/347598196/1400351135</v>
      </c>
      <c r="BI502" s="76"/>
      <c r="BJ502" s="76" t="s">
        <v>14450</v>
      </c>
      <c r="BK502" s="76" t="b">
        <v>0</v>
      </c>
      <c r="BL502" s="76"/>
      <c r="BM502" s="76" t="s">
        <v>66</v>
      </c>
      <c r="BN502" s="76" t="s">
        <v>14452</v>
      </c>
      <c r="BO502" s="82" t="str">
        <f>HYPERLINK("https://twitter.com/inmobgonzalez")</f>
        <v>https://twitter.com/inmobgonzalez</v>
      </c>
      <c r="BP502" s="2"/>
    </row>
    <row r="503" spans="1:68" x14ac:dyDescent="0.25">
      <c r="A503" s="62" t="s">
        <v>647</v>
      </c>
      <c r="B503" s="63"/>
      <c r="C503" s="63"/>
      <c r="D503" s="64"/>
      <c r="E503" s="66"/>
      <c r="F503" s="103" t="str">
        <f>HYPERLINK("https://pbs.twimg.com/profile_images/1385674823205101571/eqO1WaKE_normal.jpg")</f>
        <v>https://pbs.twimg.com/profile_images/1385674823205101571/eqO1WaKE_normal.jpg</v>
      </c>
      <c r="G503" s="63"/>
      <c r="H503" s="67"/>
      <c r="I503" s="68"/>
      <c r="J503" s="68"/>
      <c r="K503" s="67" t="s">
        <v>14952</v>
      </c>
      <c r="L503" s="71"/>
      <c r="M503" s="72"/>
      <c r="N503" s="72"/>
      <c r="O503" s="73"/>
      <c r="P503" s="74"/>
      <c r="Q503" s="74"/>
      <c r="R503" s="87"/>
      <c r="S503" s="87"/>
      <c r="T503" s="87"/>
      <c r="U503" s="87"/>
      <c r="V503" s="48"/>
      <c r="W503" s="48"/>
      <c r="X503" s="48"/>
      <c r="Y503" s="48"/>
      <c r="Z503" s="47"/>
      <c r="AA503" s="69">
        <v>503</v>
      </c>
      <c r="AB503" s="69"/>
      <c r="AC503" s="70"/>
      <c r="AD503" s="76" t="s">
        <v>12233</v>
      </c>
      <c r="AE503" s="80" t="s">
        <v>12727</v>
      </c>
      <c r="AF503" s="76">
        <v>11</v>
      </c>
      <c r="AG503" s="76">
        <v>35</v>
      </c>
      <c r="AH503" s="76">
        <v>268</v>
      </c>
      <c r="AI503" s="76">
        <v>0</v>
      </c>
      <c r="AJ503" s="76">
        <v>2</v>
      </c>
      <c r="AK503" s="76">
        <v>62</v>
      </c>
      <c r="AL503" s="76" t="b">
        <v>0</v>
      </c>
      <c r="AM503" s="78">
        <v>39987.915162037039</v>
      </c>
      <c r="AN503" s="76" t="s">
        <v>13115</v>
      </c>
      <c r="AO503" s="76" t="s">
        <v>13679</v>
      </c>
      <c r="AP503" s="82" t="str">
        <f>HYPERLINK("https://t.co/6c3LfMoQUq")</f>
        <v>https://t.co/6c3LfMoQUq</v>
      </c>
      <c r="AQ503" s="82" t="str">
        <f>HYPERLINK("https://www.instagram.com/andreval.gestor/")</f>
        <v>https://www.instagram.com/andreval.gestor/</v>
      </c>
      <c r="AR503" s="76" t="s">
        <v>14211</v>
      </c>
      <c r="AS503" s="76"/>
      <c r="AT503" s="76"/>
      <c r="AU503" s="76"/>
      <c r="AV503" s="76"/>
      <c r="AW503" s="82" t="str">
        <f>HYPERLINK("https://t.co/6c3LfMoQUq")</f>
        <v>https://t.co/6c3LfMoQUq</v>
      </c>
      <c r="AX503" s="76" t="b">
        <v>0</v>
      </c>
      <c r="AY503" s="76"/>
      <c r="AZ503" s="76"/>
      <c r="BA503" s="76" t="b">
        <v>0</v>
      </c>
      <c r="BB503" s="76" t="b">
        <v>1</v>
      </c>
      <c r="BC503" s="76" t="b">
        <v>0</v>
      </c>
      <c r="BD503" s="76" t="b">
        <v>0</v>
      </c>
      <c r="BE503" s="76" t="b">
        <v>0</v>
      </c>
      <c r="BF503" s="76" t="b">
        <v>0</v>
      </c>
      <c r="BG503" s="76" t="b">
        <v>0</v>
      </c>
      <c r="BH503" s="82" t="str">
        <f>HYPERLINK("https://pbs.twimg.com/profile_banners/50115826/1557191656")</f>
        <v>https://pbs.twimg.com/profile_banners/50115826/1557191656</v>
      </c>
      <c r="BI503" s="76"/>
      <c r="BJ503" s="76" t="s">
        <v>14450</v>
      </c>
      <c r="BK503" s="76" t="b">
        <v>0</v>
      </c>
      <c r="BL503" s="76"/>
      <c r="BM503" s="76" t="s">
        <v>66</v>
      </c>
      <c r="BN503" s="76" t="s">
        <v>14452</v>
      </c>
      <c r="BO503" s="82" t="str">
        <f>HYPERLINK("https://twitter.com/andrevalgestor")</f>
        <v>https://twitter.com/andrevalgestor</v>
      </c>
      <c r="BP503" s="2"/>
    </row>
    <row r="504" spans="1:68" x14ac:dyDescent="0.25">
      <c r="A504" s="62" t="s">
        <v>648</v>
      </c>
      <c r="B504" s="63"/>
      <c r="C504" s="63"/>
      <c r="D504" s="64"/>
      <c r="E504" s="66"/>
      <c r="F504" s="103" t="str">
        <f>HYPERLINK("https://pbs.twimg.com/profile_images/1082664033654718464/B5uniA4J_normal.jpg")</f>
        <v>https://pbs.twimg.com/profile_images/1082664033654718464/B5uniA4J_normal.jpg</v>
      </c>
      <c r="G504" s="63"/>
      <c r="H504" s="67"/>
      <c r="I504" s="68"/>
      <c r="J504" s="68"/>
      <c r="K504" s="67" t="s">
        <v>14953</v>
      </c>
      <c r="L504" s="71"/>
      <c r="M504" s="72"/>
      <c r="N504" s="72"/>
      <c r="O504" s="73"/>
      <c r="P504" s="74"/>
      <c r="Q504" s="74"/>
      <c r="R504" s="87"/>
      <c r="S504" s="87"/>
      <c r="T504" s="87"/>
      <c r="U504" s="87"/>
      <c r="V504" s="48"/>
      <c r="W504" s="48"/>
      <c r="X504" s="48"/>
      <c r="Y504" s="48"/>
      <c r="Z504" s="47"/>
      <c r="AA504" s="69">
        <v>504</v>
      </c>
      <c r="AB504" s="69"/>
      <c r="AC504" s="70"/>
      <c r="AD504" s="76" t="s">
        <v>12234</v>
      </c>
      <c r="AE504" s="80" t="s">
        <v>12728</v>
      </c>
      <c r="AF504" s="76">
        <v>1846</v>
      </c>
      <c r="AG504" s="76">
        <v>1443</v>
      </c>
      <c r="AH504" s="76">
        <v>36853</v>
      </c>
      <c r="AI504" s="76">
        <v>47</v>
      </c>
      <c r="AJ504" s="76">
        <v>448</v>
      </c>
      <c r="AK504" s="76">
        <v>24713</v>
      </c>
      <c r="AL504" s="76" t="b">
        <v>0</v>
      </c>
      <c r="AM504" s="78">
        <v>40896.610312500001</v>
      </c>
      <c r="AN504" s="76" t="s">
        <v>13116</v>
      </c>
      <c r="AO504" s="76"/>
      <c r="AP504" s="82" t="str">
        <f>HYPERLINK("https://t.co/R58gvJsIEh")</f>
        <v>https://t.co/R58gvJsIEh</v>
      </c>
      <c r="AQ504" s="82" t="str">
        <f>HYPERLINK("http://radiomejor.com/radiosol/103.9_fm/")</f>
        <v>http://radiomejor.com/radiosol/103.9_fm/</v>
      </c>
      <c r="AR504" s="76" t="s">
        <v>14212</v>
      </c>
      <c r="AS504" s="76"/>
      <c r="AT504" s="76"/>
      <c r="AU504" s="76"/>
      <c r="AV504" s="76">
        <v>1.4780733622493E+18</v>
      </c>
      <c r="AW504" s="82" t="str">
        <f>HYPERLINK("https://t.co/R58gvJsIEh")</f>
        <v>https://t.co/R58gvJsIEh</v>
      </c>
      <c r="AX504" s="76" t="b">
        <v>0</v>
      </c>
      <c r="AY504" s="76"/>
      <c r="AZ504" s="76"/>
      <c r="BA504" s="76" t="b">
        <v>0</v>
      </c>
      <c r="BB504" s="76" t="b">
        <v>1</v>
      </c>
      <c r="BC504" s="76" t="b">
        <v>1</v>
      </c>
      <c r="BD504" s="76" t="b">
        <v>0</v>
      </c>
      <c r="BE504" s="76" t="b">
        <v>1</v>
      </c>
      <c r="BF504" s="76" t="b">
        <v>0</v>
      </c>
      <c r="BG504" s="76" t="b">
        <v>0</v>
      </c>
      <c r="BH504" s="82" t="str">
        <f>HYPERLINK("https://pbs.twimg.com/profile_banners/440894373/1515434412")</f>
        <v>https://pbs.twimg.com/profile_banners/440894373/1515434412</v>
      </c>
      <c r="BI504" s="76"/>
      <c r="BJ504" s="76" t="s">
        <v>14450</v>
      </c>
      <c r="BK504" s="76" t="b">
        <v>0</v>
      </c>
      <c r="BL504" s="76"/>
      <c r="BM504" s="76" t="s">
        <v>66</v>
      </c>
      <c r="BN504" s="76" t="s">
        <v>14452</v>
      </c>
      <c r="BO504" s="82" t="str">
        <f>HYPERLINK("https://twitter.com/radiosol1039")</f>
        <v>https://twitter.com/radiosol1039</v>
      </c>
      <c r="BP504" s="2"/>
    </row>
    <row r="505" spans="1:68" x14ac:dyDescent="0.25">
      <c r="A505" s="62" t="s">
        <v>649</v>
      </c>
      <c r="B505" s="63"/>
      <c r="C505" s="63"/>
      <c r="D505" s="64"/>
      <c r="E505" s="66"/>
      <c r="F505" s="103" t="str">
        <f>HYPERLINK("https://pbs.twimg.com/profile_images/1428428579885486081/0Mg8DapI_normal.jpg")</f>
        <v>https://pbs.twimg.com/profile_images/1428428579885486081/0Mg8DapI_normal.jpg</v>
      </c>
      <c r="G505" s="63"/>
      <c r="H505" s="67"/>
      <c r="I505" s="68"/>
      <c r="J505" s="68"/>
      <c r="K505" s="67" t="s">
        <v>14954</v>
      </c>
      <c r="L505" s="71"/>
      <c r="M505" s="72"/>
      <c r="N505" s="72"/>
      <c r="O505" s="73"/>
      <c r="P505" s="74"/>
      <c r="Q505" s="74"/>
      <c r="R505" s="87"/>
      <c r="S505" s="87"/>
      <c r="T505" s="87"/>
      <c r="U505" s="87"/>
      <c r="V505" s="48"/>
      <c r="W505" s="48"/>
      <c r="X505" s="48"/>
      <c r="Y505" s="48"/>
      <c r="Z505" s="47"/>
      <c r="AA505" s="69">
        <v>505</v>
      </c>
      <c r="AB505" s="69"/>
      <c r="AC505" s="70"/>
      <c r="AD505" s="76" t="s">
        <v>12235</v>
      </c>
      <c r="AE505" s="80" t="s">
        <v>11621</v>
      </c>
      <c r="AF505" s="76">
        <v>636</v>
      </c>
      <c r="AG505" s="76">
        <v>657</v>
      </c>
      <c r="AH505" s="76">
        <v>7420</v>
      </c>
      <c r="AI505" s="76">
        <v>5</v>
      </c>
      <c r="AJ505" s="76">
        <v>1</v>
      </c>
      <c r="AK505" s="76">
        <v>2239</v>
      </c>
      <c r="AL505" s="76" t="b">
        <v>0</v>
      </c>
      <c r="AM505" s="78">
        <v>44427.78020833333</v>
      </c>
      <c r="AN505" s="76" t="s">
        <v>13117</v>
      </c>
      <c r="AO505" s="76" t="s">
        <v>13680</v>
      </c>
      <c r="AP505" s="82" t="str">
        <f>HYPERLINK("https://t.co/6zb3bfNhtx")</f>
        <v>https://t.co/6zb3bfNhtx</v>
      </c>
      <c r="AQ505" s="82" t="str">
        <f>HYPERLINK("https://blogdohiellevy.com.br/")</f>
        <v>https://blogdohiellevy.com.br/</v>
      </c>
      <c r="AR505" s="76" t="s">
        <v>14213</v>
      </c>
      <c r="AS505" s="76"/>
      <c r="AT505" s="76"/>
      <c r="AU505" s="76"/>
      <c r="AV505" s="76"/>
      <c r="AW505" s="82" t="str">
        <f>HYPERLINK("https://t.co/6zb3bfNhtx")</f>
        <v>https://t.co/6zb3bfNhtx</v>
      </c>
      <c r="AX505" s="76" t="b">
        <v>0</v>
      </c>
      <c r="AY505" s="76"/>
      <c r="AZ505" s="76"/>
      <c r="BA505" s="76" t="b">
        <v>0</v>
      </c>
      <c r="BB505" s="76" t="b">
        <v>1</v>
      </c>
      <c r="BC505" s="76" t="b">
        <v>1</v>
      </c>
      <c r="BD505" s="76" t="b">
        <v>0</v>
      </c>
      <c r="BE505" s="76" t="b">
        <v>0</v>
      </c>
      <c r="BF505" s="76" t="b">
        <v>0</v>
      </c>
      <c r="BG505" s="76" t="b">
        <v>0</v>
      </c>
      <c r="BH505" s="82" t="str">
        <f>HYPERLINK("https://pbs.twimg.com/profile_banners/1428427211028287489/1629399004")</f>
        <v>https://pbs.twimg.com/profile_banners/1428427211028287489/1629399004</v>
      </c>
      <c r="BI505" s="76"/>
      <c r="BJ505" s="76" t="s">
        <v>14450</v>
      </c>
      <c r="BK505" s="76" t="b">
        <v>0</v>
      </c>
      <c r="BL505" s="76"/>
      <c r="BM505" s="76" t="s">
        <v>66</v>
      </c>
      <c r="BN505" s="76" t="s">
        <v>14452</v>
      </c>
      <c r="BO505" s="82" t="str">
        <f>HYPERLINK("https://twitter.com/blogdohiel")</f>
        <v>https://twitter.com/blogdohiel</v>
      </c>
      <c r="BP505" s="2"/>
    </row>
    <row r="506" spans="1:68" x14ac:dyDescent="0.25">
      <c r="A506" s="62" t="s">
        <v>650</v>
      </c>
      <c r="B506" s="63"/>
      <c r="C506" s="63"/>
      <c r="D506" s="64"/>
      <c r="E506" s="66"/>
      <c r="F506" s="103" t="str">
        <f>HYPERLINK("https://pbs.twimg.com/profile_images/1523883451446870016/AAFeQe9D_normal.jpg")</f>
        <v>https://pbs.twimg.com/profile_images/1523883451446870016/AAFeQe9D_normal.jpg</v>
      </c>
      <c r="G506" s="63"/>
      <c r="H506" s="67"/>
      <c r="I506" s="68"/>
      <c r="J506" s="68"/>
      <c r="K506" s="67" t="s">
        <v>14955</v>
      </c>
      <c r="L506" s="71"/>
      <c r="M506" s="72"/>
      <c r="N506" s="72"/>
      <c r="O506" s="73"/>
      <c r="P506" s="74"/>
      <c r="Q506" s="74"/>
      <c r="R506" s="87"/>
      <c r="S506" s="87"/>
      <c r="T506" s="87"/>
      <c r="U506" s="87"/>
      <c r="V506" s="48"/>
      <c r="W506" s="48"/>
      <c r="X506" s="48"/>
      <c r="Y506" s="48"/>
      <c r="Z506" s="47"/>
      <c r="AA506" s="69">
        <v>506</v>
      </c>
      <c r="AB506" s="69"/>
      <c r="AC506" s="70"/>
      <c r="AD506" s="76" t="s">
        <v>12236</v>
      </c>
      <c r="AE506" s="80" t="s">
        <v>12729</v>
      </c>
      <c r="AF506" s="76">
        <v>137</v>
      </c>
      <c r="AG506" s="76">
        <v>6</v>
      </c>
      <c r="AH506" s="76">
        <v>54413</v>
      </c>
      <c r="AI506" s="76">
        <v>0</v>
      </c>
      <c r="AJ506" s="76">
        <v>15748</v>
      </c>
      <c r="AK506" s="76">
        <v>2116</v>
      </c>
      <c r="AL506" s="76" t="b">
        <v>0</v>
      </c>
      <c r="AM506" s="78">
        <v>40478.012858796297</v>
      </c>
      <c r="AN506" s="76" t="s">
        <v>13118</v>
      </c>
      <c r="AO506" s="76" t="s">
        <v>13681</v>
      </c>
      <c r="AP506" s="76"/>
      <c r="AQ506" s="76"/>
      <c r="AR506" s="76"/>
      <c r="AS506" s="76"/>
      <c r="AT506" s="76"/>
      <c r="AU506" s="76"/>
      <c r="AV506" s="76">
        <v>1.7057349535842099E+18</v>
      </c>
      <c r="AW506" s="76"/>
      <c r="AX506" s="76" t="b">
        <v>0</v>
      </c>
      <c r="AY506" s="76"/>
      <c r="AZ506" s="76"/>
      <c r="BA506" s="76" t="b">
        <v>0</v>
      </c>
      <c r="BB506" s="76" t="b">
        <v>0</v>
      </c>
      <c r="BC506" s="76" t="b">
        <v>1</v>
      </c>
      <c r="BD506" s="76" t="b">
        <v>0</v>
      </c>
      <c r="BE506" s="76" t="b">
        <v>1</v>
      </c>
      <c r="BF506" s="76" t="b">
        <v>0</v>
      </c>
      <c r="BG506" s="76" t="b">
        <v>0</v>
      </c>
      <c r="BH506" s="82" t="str">
        <f>HYPERLINK("https://pbs.twimg.com/profile_banners/208279699/1683971263")</f>
        <v>https://pbs.twimg.com/profile_banners/208279699/1683971263</v>
      </c>
      <c r="BI506" s="76"/>
      <c r="BJ506" s="76" t="s">
        <v>14450</v>
      </c>
      <c r="BK506" s="76" t="b">
        <v>0</v>
      </c>
      <c r="BL506" s="76"/>
      <c r="BM506" s="76" t="s">
        <v>66</v>
      </c>
      <c r="BN506" s="76" t="s">
        <v>14452</v>
      </c>
      <c r="BO506" s="82" t="str">
        <f>HYPERLINK("https://twitter.com/myagastelum")</f>
        <v>https://twitter.com/myagastelum</v>
      </c>
      <c r="BP506" s="2"/>
    </row>
    <row r="507" spans="1:68" x14ac:dyDescent="0.25">
      <c r="A507" s="62" t="s">
        <v>651</v>
      </c>
      <c r="B507" s="63"/>
      <c r="C507" s="63"/>
      <c r="D507" s="64"/>
      <c r="E507" s="66"/>
      <c r="F507" s="103" t="str">
        <f>HYPERLINK("https://pbs.twimg.com/profile_images/1659885249432518656/mR46FpBe_normal.jpg")</f>
        <v>https://pbs.twimg.com/profile_images/1659885249432518656/mR46FpBe_normal.jpg</v>
      </c>
      <c r="G507" s="63"/>
      <c r="H507" s="67"/>
      <c r="I507" s="68"/>
      <c r="J507" s="68"/>
      <c r="K507" s="67" t="s">
        <v>14956</v>
      </c>
      <c r="L507" s="71"/>
      <c r="M507" s="72"/>
      <c r="N507" s="72"/>
      <c r="O507" s="73"/>
      <c r="P507" s="74"/>
      <c r="Q507" s="74"/>
      <c r="R507" s="87"/>
      <c r="S507" s="87"/>
      <c r="T507" s="87"/>
      <c r="U507" s="87"/>
      <c r="V507" s="48"/>
      <c r="W507" s="48"/>
      <c r="X507" s="48"/>
      <c r="Y507" s="48"/>
      <c r="Z507" s="47"/>
      <c r="AA507" s="69">
        <v>507</v>
      </c>
      <c r="AB507" s="69"/>
      <c r="AC507" s="70"/>
      <c r="AD507" s="76" t="s">
        <v>12237</v>
      </c>
      <c r="AE507" s="80" t="s">
        <v>12730</v>
      </c>
      <c r="AF507" s="76">
        <v>7956</v>
      </c>
      <c r="AG507" s="76">
        <v>24</v>
      </c>
      <c r="AH507" s="76">
        <v>145</v>
      </c>
      <c r="AI507" s="76">
        <v>0</v>
      </c>
      <c r="AJ507" s="76">
        <v>49</v>
      </c>
      <c r="AK507" s="76">
        <v>30</v>
      </c>
      <c r="AL507" s="76" t="b">
        <v>0</v>
      </c>
      <c r="AM507" s="78">
        <v>40340.806388888886</v>
      </c>
      <c r="AN507" s="76" t="s">
        <v>12921</v>
      </c>
      <c r="AO507" s="76" t="s">
        <v>13682</v>
      </c>
      <c r="AP507" s="82" t="str">
        <f>HYPERLINK("https://t.co/DyjIplIdxP")</f>
        <v>https://t.co/DyjIplIdxP</v>
      </c>
      <c r="AQ507" s="82" t="str">
        <f>HYPERLINK("https://www.buse.com.py")</f>
        <v>https://www.buse.com.py</v>
      </c>
      <c r="AR507" s="76" t="s">
        <v>14214</v>
      </c>
      <c r="AS507" s="76"/>
      <c r="AT507" s="76"/>
      <c r="AU507" s="76"/>
      <c r="AV507" s="76"/>
      <c r="AW507" s="82" t="str">
        <f>HYPERLINK("https://t.co/DyjIplIdxP")</f>
        <v>https://t.co/DyjIplIdxP</v>
      </c>
      <c r="AX507" s="76" t="b">
        <v>1</v>
      </c>
      <c r="AY507" s="76"/>
      <c r="AZ507" s="76"/>
      <c r="BA507" s="76" t="b">
        <v>0</v>
      </c>
      <c r="BB507" s="76" t="b">
        <v>1</v>
      </c>
      <c r="BC507" s="76" t="b">
        <v>1</v>
      </c>
      <c r="BD507" s="76" t="b">
        <v>0</v>
      </c>
      <c r="BE507" s="76" t="b">
        <v>0</v>
      </c>
      <c r="BF507" s="76" t="b">
        <v>0</v>
      </c>
      <c r="BG507" s="76" t="b">
        <v>0</v>
      </c>
      <c r="BH507" s="82" t="str">
        <f>HYPERLINK("https://pbs.twimg.com/profile_banners/154624566/1686243972")</f>
        <v>https://pbs.twimg.com/profile_banners/154624566/1686243972</v>
      </c>
      <c r="BI507" s="76"/>
      <c r="BJ507" s="76" t="s">
        <v>14450</v>
      </c>
      <c r="BK507" s="76" t="b">
        <v>0</v>
      </c>
      <c r="BL507" s="76"/>
      <c r="BM507" s="76" t="s">
        <v>66</v>
      </c>
      <c r="BN507" s="76" t="s">
        <v>14452</v>
      </c>
      <c r="BO507" s="82" t="str">
        <f>HYPERLINK("https://twitter.com/ricardobuse")</f>
        <v>https://twitter.com/ricardobuse</v>
      </c>
      <c r="BP507" s="2"/>
    </row>
    <row r="508" spans="1:68" x14ac:dyDescent="0.25">
      <c r="A508" s="62" t="s">
        <v>652</v>
      </c>
      <c r="B508" s="63"/>
      <c r="C508" s="63"/>
      <c r="D508" s="64"/>
      <c r="E508" s="66"/>
      <c r="F508" s="103" t="str">
        <f>HYPERLINK("https://pbs.twimg.com/profile_images/1347587327850389508/HiwjKymy_normal.jpg")</f>
        <v>https://pbs.twimg.com/profile_images/1347587327850389508/HiwjKymy_normal.jpg</v>
      </c>
      <c r="G508" s="63"/>
      <c r="H508" s="67"/>
      <c r="I508" s="68"/>
      <c r="J508" s="68"/>
      <c r="K508" s="67" t="s">
        <v>14957</v>
      </c>
      <c r="L508" s="71"/>
      <c r="M508" s="72"/>
      <c r="N508" s="72"/>
      <c r="O508" s="73"/>
      <c r="P508" s="74"/>
      <c r="Q508" s="74"/>
      <c r="R508" s="87"/>
      <c r="S508" s="87"/>
      <c r="T508" s="87"/>
      <c r="U508" s="87"/>
      <c r="V508" s="48"/>
      <c r="W508" s="48"/>
      <c r="X508" s="48"/>
      <c r="Y508" s="48"/>
      <c r="Z508" s="47"/>
      <c r="AA508" s="69">
        <v>508</v>
      </c>
      <c r="AB508" s="69"/>
      <c r="AC508" s="70"/>
      <c r="AD508" s="76" t="s">
        <v>12238</v>
      </c>
      <c r="AE508" s="80" t="s">
        <v>12731</v>
      </c>
      <c r="AF508" s="76">
        <v>631</v>
      </c>
      <c r="AG508" s="76">
        <v>319</v>
      </c>
      <c r="AH508" s="76">
        <v>2103</v>
      </c>
      <c r="AI508" s="76">
        <v>5</v>
      </c>
      <c r="AJ508" s="76">
        <v>0</v>
      </c>
      <c r="AK508" s="76">
        <v>178</v>
      </c>
      <c r="AL508" s="76" t="b">
        <v>0</v>
      </c>
      <c r="AM508" s="78">
        <v>40066.04179398148</v>
      </c>
      <c r="AN508" s="76"/>
      <c r="AO508" s="76" t="s">
        <v>13683</v>
      </c>
      <c r="AP508" s="82" t="str">
        <f>HYPERLINK("https://t.co/cdIIX0Qfmr")</f>
        <v>https://t.co/cdIIX0Qfmr</v>
      </c>
      <c r="AQ508" s="82" t="str">
        <f>HYPERLINK("http://gondola.com.br")</f>
        <v>http://gondola.com.br</v>
      </c>
      <c r="AR508" s="76" t="s">
        <v>14215</v>
      </c>
      <c r="AS508" s="76"/>
      <c r="AT508" s="76"/>
      <c r="AU508" s="76"/>
      <c r="AV508" s="76"/>
      <c r="AW508" s="82" t="str">
        <f>HYPERLINK("https://t.co/cdIIX0Qfmr")</f>
        <v>https://t.co/cdIIX0Qfmr</v>
      </c>
      <c r="AX508" s="76" t="b">
        <v>0</v>
      </c>
      <c r="AY508" s="76"/>
      <c r="AZ508" s="76"/>
      <c r="BA508" s="76" t="b">
        <v>0</v>
      </c>
      <c r="BB508" s="76" t="b">
        <v>1</v>
      </c>
      <c r="BC508" s="76" t="b">
        <v>0</v>
      </c>
      <c r="BD508" s="76" t="b">
        <v>0</v>
      </c>
      <c r="BE508" s="76" t="b">
        <v>0</v>
      </c>
      <c r="BF508" s="76" t="b">
        <v>0</v>
      </c>
      <c r="BG508" s="76" t="b">
        <v>0</v>
      </c>
      <c r="BH508" s="82" t="str">
        <f>HYPERLINK("https://pbs.twimg.com/profile_banners/73002095/1610124831")</f>
        <v>https://pbs.twimg.com/profile_banners/73002095/1610124831</v>
      </c>
      <c r="BI508" s="76"/>
      <c r="BJ508" s="76" t="s">
        <v>14450</v>
      </c>
      <c r="BK508" s="76" t="b">
        <v>0</v>
      </c>
      <c r="BL508" s="76"/>
      <c r="BM508" s="76" t="s">
        <v>66</v>
      </c>
      <c r="BN508" s="76" t="s">
        <v>14452</v>
      </c>
      <c r="BO508" s="82" t="str">
        <f>HYPERLINK("https://twitter.com/gondolabrasil")</f>
        <v>https://twitter.com/gondolabrasil</v>
      </c>
      <c r="BP508" s="2"/>
    </row>
    <row r="509" spans="1:68" x14ac:dyDescent="0.25">
      <c r="A509" s="62" t="s">
        <v>653</v>
      </c>
      <c r="B509" s="63"/>
      <c r="C509" s="63"/>
      <c r="D509" s="64"/>
      <c r="E509" s="66"/>
      <c r="F509" s="103" t="str">
        <f>HYPERLINK("https://pbs.twimg.com/profile_images/612669071658758144/QxHVxYhc_normal.jpg")</f>
        <v>https://pbs.twimg.com/profile_images/612669071658758144/QxHVxYhc_normal.jpg</v>
      </c>
      <c r="G509" s="63"/>
      <c r="H509" s="67"/>
      <c r="I509" s="68"/>
      <c r="J509" s="68"/>
      <c r="K509" s="67" t="s">
        <v>14958</v>
      </c>
      <c r="L509" s="71"/>
      <c r="M509" s="72"/>
      <c r="N509" s="72"/>
      <c r="O509" s="73"/>
      <c r="P509" s="74"/>
      <c r="Q509" s="74"/>
      <c r="R509" s="87"/>
      <c r="S509" s="87"/>
      <c r="T509" s="87"/>
      <c r="U509" s="87"/>
      <c r="V509" s="48"/>
      <c r="W509" s="48"/>
      <c r="X509" s="48"/>
      <c r="Y509" s="48"/>
      <c r="Z509" s="47"/>
      <c r="AA509" s="69">
        <v>509</v>
      </c>
      <c r="AB509" s="69"/>
      <c r="AC509" s="70"/>
      <c r="AD509" s="76" t="s">
        <v>12239</v>
      </c>
      <c r="AE509" s="80" t="s">
        <v>11346</v>
      </c>
      <c r="AF509" s="76">
        <v>74</v>
      </c>
      <c r="AG509" s="76">
        <v>300</v>
      </c>
      <c r="AH509" s="76">
        <v>548</v>
      </c>
      <c r="AI509" s="76">
        <v>0</v>
      </c>
      <c r="AJ509" s="76">
        <v>4675</v>
      </c>
      <c r="AK509" s="76">
        <v>49</v>
      </c>
      <c r="AL509" s="76" t="b">
        <v>0</v>
      </c>
      <c r="AM509" s="78">
        <v>39942.180925925924</v>
      </c>
      <c r="AN509" s="76" t="s">
        <v>13119</v>
      </c>
      <c r="AO509" s="76" t="s">
        <v>13684</v>
      </c>
      <c r="AP509" s="76"/>
      <c r="AQ509" s="76"/>
      <c r="AR509" s="76"/>
      <c r="AS509" s="76"/>
      <c r="AT509" s="76"/>
      <c r="AU509" s="76"/>
      <c r="AV509" s="76"/>
      <c r="AW509" s="76"/>
      <c r="AX509" s="76" t="b">
        <v>0</v>
      </c>
      <c r="AY509" s="76"/>
      <c r="AZ509" s="76"/>
      <c r="BA509" s="76" t="b">
        <v>0</v>
      </c>
      <c r="BB509" s="76" t="b">
        <v>0</v>
      </c>
      <c r="BC509" s="76" t="b">
        <v>1</v>
      </c>
      <c r="BD509" s="76" t="b">
        <v>0</v>
      </c>
      <c r="BE509" s="76" t="b">
        <v>0</v>
      </c>
      <c r="BF509" s="76" t="b">
        <v>0</v>
      </c>
      <c r="BG509" s="76" t="b">
        <v>0</v>
      </c>
      <c r="BH509" s="76"/>
      <c r="BI509" s="76"/>
      <c r="BJ509" s="76" t="s">
        <v>14450</v>
      </c>
      <c r="BK509" s="76" t="b">
        <v>0</v>
      </c>
      <c r="BL509" s="76"/>
      <c r="BM509" s="76" t="s">
        <v>66</v>
      </c>
      <c r="BN509" s="76" t="s">
        <v>14452</v>
      </c>
      <c r="BO509" s="82" t="str">
        <f>HYPERLINK("https://twitter.com/luizreuter")</f>
        <v>https://twitter.com/luizreuter</v>
      </c>
      <c r="BP509" s="2"/>
    </row>
    <row r="510" spans="1:68" x14ac:dyDescent="0.25">
      <c r="A510" s="62" t="s">
        <v>654</v>
      </c>
      <c r="B510" s="63"/>
      <c r="C510" s="63"/>
      <c r="D510" s="64"/>
      <c r="E510" s="66"/>
      <c r="F510" s="103" t="str">
        <f>HYPERLINK("https://pbs.twimg.com/profile_images/1662195511259021312/2Mv4oERa_normal.jpg")</f>
        <v>https://pbs.twimg.com/profile_images/1662195511259021312/2Mv4oERa_normal.jpg</v>
      </c>
      <c r="G510" s="63"/>
      <c r="H510" s="67"/>
      <c r="I510" s="68"/>
      <c r="J510" s="68"/>
      <c r="K510" s="67" t="s">
        <v>14959</v>
      </c>
      <c r="L510" s="71"/>
      <c r="M510" s="72"/>
      <c r="N510" s="72"/>
      <c r="O510" s="73"/>
      <c r="P510" s="74"/>
      <c r="Q510" s="74"/>
      <c r="R510" s="87"/>
      <c r="S510" s="87"/>
      <c r="T510" s="87"/>
      <c r="U510" s="87"/>
      <c r="V510" s="48"/>
      <c r="W510" s="48"/>
      <c r="X510" s="48"/>
      <c r="Y510" s="48"/>
      <c r="Z510" s="47"/>
      <c r="AA510" s="69">
        <v>510</v>
      </c>
      <c r="AB510" s="69"/>
      <c r="AC510" s="70"/>
      <c r="AD510" s="76" t="s">
        <v>12240</v>
      </c>
      <c r="AE510" s="80" t="s">
        <v>12732</v>
      </c>
      <c r="AF510" s="76">
        <v>197</v>
      </c>
      <c r="AG510" s="76">
        <v>1378</v>
      </c>
      <c r="AH510" s="76">
        <v>407</v>
      </c>
      <c r="AI510" s="76">
        <v>0</v>
      </c>
      <c r="AJ510" s="76">
        <v>194</v>
      </c>
      <c r="AK510" s="76">
        <v>192</v>
      </c>
      <c r="AL510" s="76" t="b">
        <v>0</v>
      </c>
      <c r="AM510" s="78">
        <v>41910.104826388888</v>
      </c>
      <c r="AN510" s="76" t="s">
        <v>7791</v>
      </c>
      <c r="AO510" s="76" t="s">
        <v>13685</v>
      </c>
      <c r="AP510" s="82" t="str">
        <f>HYPERLINK("https://t.co/fG4VT81ucz")</f>
        <v>https://t.co/fG4VT81ucz</v>
      </c>
      <c r="AQ510" s="82" t="str">
        <f>HYPERLINK("http://www.arbconsultoria.net")</f>
        <v>http://www.arbconsultoria.net</v>
      </c>
      <c r="AR510" s="76" t="s">
        <v>14216</v>
      </c>
      <c r="AS510" s="76"/>
      <c r="AT510" s="76"/>
      <c r="AU510" s="76"/>
      <c r="AV510" s="76"/>
      <c r="AW510" s="82" t="str">
        <f>HYPERLINK("https://t.co/fG4VT81ucz")</f>
        <v>https://t.co/fG4VT81ucz</v>
      </c>
      <c r="AX510" s="76" t="b">
        <v>1</v>
      </c>
      <c r="AY510" s="76"/>
      <c r="AZ510" s="76"/>
      <c r="BA510" s="76" t="b">
        <v>1</v>
      </c>
      <c r="BB510" s="76" t="b">
        <v>1</v>
      </c>
      <c r="BC510" s="76" t="b">
        <v>1</v>
      </c>
      <c r="BD510" s="76" t="b">
        <v>0</v>
      </c>
      <c r="BE510" s="76" t="b">
        <v>1</v>
      </c>
      <c r="BF510" s="76" t="b">
        <v>0</v>
      </c>
      <c r="BG510" s="76" t="b">
        <v>0</v>
      </c>
      <c r="BH510" s="82" t="str">
        <f>HYPERLINK("https://pbs.twimg.com/profile_banners/2788366193/1685133268")</f>
        <v>https://pbs.twimg.com/profile_banners/2788366193/1685133268</v>
      </c>
      <c r="BI510" s="76"/>
      <c r="BJ510" s="76" t="s">
        <v>14450</v>
      </c>
      <c r="BK510" s="76" t="b">
        <v>0</v>
      </c>
      <c r="BL510" s="76"/>
      <c r="BM510" s="76" t="s">
        <v>66</v>
      </c>
      <c r="BN510" s="76" t="s">
        <v>14452</v>
      </c>
      <c r="BO510" s="82" t="str">
        <f>HYPERLINK("https://twitter.com/adv_arlisson")</f>
        <v>https://twitter.com/adv_arlisson</v>
      </c>
      <c r="BP510" s="2"/>
    </row>
    <row r="511" spans="1:68" x14ac:dyDescent="0.25">
      <c r="A511" s="62" t="s">
        <v>655</v>
      </c>
      <c r="B511" s="63"/>
      <c r="C511" s="63"/>
      <c r="D511" s="64"/>
      <c r="E511" s="66"/>
      <c r="F511" s="103" t="str">
        <f>HYPERLINK("https://pbs.twimg.com/profile_images/1620370236124942339/OLKXvKxI_normal.jpg")</f>
        <v>https://pbs.twimg.com/profile_images/1620370236124942339/OLKXvKxI_normal.jpg</v>
      </c>
      <c r="G511" s="63"/>
      <c r="H511" s="67"/>
      <c r="I511" s="68"/>
      <c r="J511" s="68"/>
      <c r="K511" s="67" t="s">
        <v>14960</v>
      </c>
      <c r="L511" s="71"/>
      <c r="M511" s="72"/>
      <c r="N511" s="72"/>
      <c r="O511" s="73"/>
      <c r="P511" s="74"/>
      <c r="Q511" s="74"/>
      <c r="R511" s="87"/>
      <c r="S511" s="87"/>
      <c r="T511" s="87"/>
      <c r="U511" s="87"/>
      <c r="V511" s="48"/>
      <c r="W511" s="48"/>
      <c r="X511" s="48"/>
      <c r="Y511" s="48"/>
      <c r="Z511" s="47"/>
      <c r="AA511" s="69">
        <v>511</v>
      </c>
      <c r="AB511" s="69"/>
      <c r="AC511" s="70"/>
      <c r="AD511" s="76" t="s">
        <v>12241</v>
      </c>
      <c r="AE511" s="80" t="s">
        <v>11622</v>
      </c>
      <c r="AF511" s="76">
        <v>3</v>
      </c>
      <c r="AG511" s="76">
        <v>10</v>
      </c>
      <c r="AH511" s="76">
        <v>32</v>
      </c>
      <c r="AI511" s="76">
        <v>0</v>
      </c>
      <c r="AJ511" s="76">
        <v>15</v>
      </c>
      <c r="AK511" s="76">
        <v>5</v>
      </c>
      <c r="AL511" s="76" t="b">
        <v>0</v>
      </c>
      <c r="AM511" s="78">
        <v>44957.43478009259</v>
      </c>
      <c r="AN511" s="76"/>
      <c r="AO511" s="76" t="s">
        <v>13686</v>
      </c>
      <c r="AP511" s="82" t="str">
        <f>HYPERLINK("https://t.co/kyt9HqEwuv")</f>
        <v>https://t.co/kyt9HqEwuv</v>
      </c>
      <c r="AQ511" s="82" t="str">
        <f>HYPERLINK("https://neobrainstorm.com/")</f>
        <v>https://neobrainstorm.com/</v>
      </c>
      <c r="AR511" s="76" t="s">
        <v>14217</v>
      </c>
      <c r="AS511" s="76"/>
      <c r="AT511" s="76"/>
      <c r="AU511" s="76"/>
      <c r="AV511" s="76">
        <v>1.6417592645816E+18</v>
      </c>
      <c r="AW511" s="82" t="str">
        <f>HYPERLINK("https://t.co/kyt9HqEwuv")</f>
        <v>https://t.co/kyt9HqEwuv</v>
      </c>
      <c r="AX511" s="76" t="b">
        <v>0</v>
      </c>
      <c r="AY511" s="76"/>
      <c r="AZ511" s="76"/>
      <c r="BA511" s="76" t="b">
        <v>0</v>
      </c>
      <c r="BB511" s="76" t="b">
        <v>1</v>
      </c>
      <c r="BC511" s="76" t="b">
        <v>1</v>
      </c>
      <c r="BD511" s="76" t="b">
        <v>0</v>
      </c>
      <c r="BE511" s="76" t="b">
        <v>0</v>
      </c>
      <c r="BF511" s="76" t="b">
        <v>0</v>
      </c>
      <c r="BG511" s="76" t="b">
        <v>0</v>
      </c>
      <c r="BH511" s="82" t="str">
        <f>HYPERLINK("https://pbs.twimg.com/profile_banners/1620367718661689347/1679874492")</f>
        <v>https://pbs.twimg.com/profile_banners/1620367718661689347/1679874492</v>
      </c>
      <c r="BI511" s="76"/>
      <c r="BJ511" s="76" t="s">
        <v>14450</v>
      </c>
      <c r="BK511" s="76" t="b">
        <v>0</v>
      </c>
      <c r="BL511" s="76"/>
      <c r="BM511" s="76" t="s">
        <v>66</v>
      </c>
      <c r="BN511" s="76" t="s">
        <v>14452</v>
      </c>
      <c r="BO511" s="82" t="str">
        <f>HYPERLINK("https://twitter.com/brainstormlabs_")</f>
        <v>https://twitter.com/brainstormlabs_</v>
      </c>
      <c r="BP511" s="2"/>
    </row>
    <row r="512" spans="1:68" x14ac:dyDescent="0.25">
      <c r="A512" s="62" t="s">
        <v>656</v>
      </c>
      <c r="B512" s="63"/>
      <c r="C512" s="63"/>
      <c r="D512" s="64"/>
      <c r="E512" s="66"/>
      <c r="F512" s="103" t="str">
        <f>HYPERLINK("https://pbs.twimg.com/profile_images/1229280276486000640/3BWMxh2W_normal.jpg")</f>
        <v>https://pbs.twimg.com/profile_images/1229280276486000640/3BWMxh2W_normal.jpg</v>
      </c>
      <c r="G512" s="63"/>
      <c r="H512" s="67"/>
      <c r="I512" s="68"/>
      <c r="J512" s="68"/>
      <c r="K512" s="67" t="s">
        <v>14961</v>
      </c>
      <c r="L512" s="71"/>
      <c r="M512" s="72"/>
      <c r="N512" s="72"/>
      <c r="O512" s="73"/>
      <c r="P512" s="74"/>
      <c r="Q512" s="74"/>
      <c r="R512" s="87"/>
      <c r="S512" s="87"/>
      <c r="T512" s="87"/>
      <c r="U512" s="87"/>
      <c r="V512" s="48"/>
      <c r="W512" s="48"/>
      <c r="X512" s="48"/>
      <c r="Y512" s="48"/>
      <c r="Z512" s="47"/>
      <c r="AA512" s="69">
        <v>512</v>
      </c>
      <c r="AB512" s="69"/>
      <c r="AC512" s="70"/>
      <c r="AD512" s="76" t="s">
        <v>12242</v>
      </c>
      <c r="AE512" s="80" t="s">
        <v>11623</v>
      </c>
      <c r="AF512" s="76">
        <v>212</v>
      </c>
      <c r="AG512" s="76">
        <v>2055</v>
      </c>
      <c r="AH512" s="76">
        <v>6289</v>
      </c>
      <c r="AI512" s="76">
        <v>0</v>
      </c>
      <c r="AJ512" s="76">
        <v>8530</v>
      </c>
      <c r="AK512" s="76">
        <v>394</v>
      </c>
      <c r="AL512" s="76" t="b">
        <v>0</v>
      </c>
      <c r="AM512" s="78">
        <v>43246.848773148151</v>
      </c>
      <c r="AN512" s="76" t="s">
        <v>7766</v>
      </c>
      <c r="AO512" s="76" t="s">
        <v>13687</v>
      </c>
      <c r="AP512" s="76"/>
      <c r="AQ512" s="76"/>
      <c r="AR512" s="76"/>
      <c r="AS512" s="76"/>
      <c r="AT512" s="76"/>
      <c r="AU512" s="76"/>
      <c r="AV512" s="76"/>
      <c r="AW512" s="76"/>
      <c r="AX512" s="76" t="b">
        <v>0</v>
      </c>
      <c r="AY512" s="76"/>
      <c r="AZ512" s="76"/>
      <c r="BA512" s="76" t="b">
        <v>1</v>
      </c>
      <c r="BB512" s="76" t="b">
        <v>1</v>
      </c>
      <c r="BC512" s="76" t="b">
        <v>1</v>
      </c>
      <c r="BD512" s="76" t="b">
        <v>0</v>
      </c>
      <c r="BE512" s="76" t="b">
        <v>1</v>
      </c>
      <c r="BF512" s="76" t="b">
        <v>0</v>
      </c>
      <c r="BG512" s="76" t="b">
        <v>0</v>
      </c>
      <c r="BH512" s="82" t="str">
        <f>HYPERLINK("https://pbs.twimg.com/profile_banners/1000472198820388867/1527366609")</f>
        <v>https://pbs.twimg.com/profile_banners/1000472198820388867/1527366609</v>
      </c>
      <c r="BI512" s="76"/>
      <c r="BJ512" s="76" t="s">
        <v>14450</v>
      </c>
      <c r="BK512" s="76" t="b">
        <v>0</v>
      </c>
      <c r="BL512" s="76"/>
      <c r="BM512" s="76" t="s">
        <v>66</v>
      </c>
      <c r="BN512" s="76" t="s">
        <v>14452</v>
      </c>
      <c r="BO512" s="82" t="str">
        <f>HYPERLINK("https://twitter.com/alcalrodrguez1")</f>
        <v>https://twitter.com/alcalrodrguez1</v>
      </c>
      <c r="BP512" s="2"/>
    </row>
    <row r="513" spans="1:68" x14ac:dyDescent="0.25">
      <c r="A513" s="62" t="s">
        <v>943</v>
      </c>
      <c r="B513" s="63"/>
      <c r="C513" s="63"/>
      <c r="D513" s="64"/>
      <c r="E513" s="66"/>
      <c r="F513" s="103" t="str">
        <f>HYPERLINK("https://pbs.twimg.com/profile_images/1541952010051850241/r0PrFbKH_normal.jpg")</f>
        <v>https://pbs.twimg.com/profile_images/1541952010051850241/r0PrFbKH_normal.jpg</v>
      </c>
      <c r="G513" s="63"/>
      <c r="H513" s="67"/>
      <c r="I513" s="68"/>
      <c r="J513" s="68"/>
      <c r="K513" s="67" t="s">
        <v>14962</v>
      </c>
      <c r="L513" s="71"/>
      <c r="M513" s="72"/>
      <c r="N513" s="72"/>
      <c r="O513" s="73"/>
      <c r="P513" s="74"/>
      <c r="Q513" s="74"/>
      <c r="R513" s="87"/>
      <c r="S513" s="87"/>
      <c r="T513" s="87"/>
      <c r="U513" s="87"/>
      <c r="V513" s="48"/>
      <c r="W513" s="48"/>
      <c r="X513" s="48"/>
      <c r="Y513" s="48"/>
      <c r="Z513" s="47"/>
      <c r="AA513" s="69">
        <v>513</v>
      </c>
      <c r="AB513" s="69"/>
      <c r="AC513" s="70"/>
      <c r="AD513" s="76" t="s">
        <v>12243</v>
      </c>
      <c r="AE513" s="80" t="s">
        <v>11347</v>
      </c>
      <c r="AF513" s="76">
        <v>125080</v>
      </c>
      <c r="AG513" s="76">
        <v>6</v>
      </c>
      <c r="AH513" s="76">
        <v>553</v>
      </c>
      <c r="AI513" s="76">
        <v>476</v>
      </c>
      <c r="AJ513" s="76">
        <v>12715</v>
      </c>
      <c r="AK513" s="76">
        <v>440</v>
      </c>
      <c r="AL513" s="76" t="b">
        <v>0</v>
      </c>
      <c r="AM513" s="78">
        <v>44429.6409375</v>
      </c>
      <c r="AN513" s="76" t="s">
        <v>13120</v>
      </c>
      <c r="AO513" s="76" t="s">
        <v>13688</v>
      </c>
      <c r="AP513" s="82" t="str">
        <f>HYPERLINK("https://t.co/2eWiUO5HGD")</f>
        <v>https://t.co/2eWiUO5HGD</v>
      </c>
      <c r="AQ513" s="82" t="str">
        <f>HYPERLINK("https://onlyfans.com/camilasanta1990")</f>
        <v>https://onlyfans.com/camilasanta1990</v>
      </c>
      <c r="AR513" s="76" t="s">
        <v>14218</v>
      </c>
      <c r="AS513" s="82" t="str">
        <f>HYPERLINK("https://t.co/AYaXOwfxAs")</f>
        <v>https://t.co/AYaXOwfxAs</v>
      </c>
      <c r="AT513" s="82" t="str">
        <f>HYPERLINK("https://t.me/+alfK6nGjgxVjYTZh")</f>
        <v>https://t.me/+alfK6nGjgxVjYTZh</v>
      </c>
      <c r="AU513" s="76" t="s">
        <v>14433</v>
      </c>
      <c r="AV513" s="76"/>
      <c r="AW513" s="82" t="str">
        <f>HYPERLINK("https://t.co/2eWiUO5HGD")</f>
        <v>https://t.co/2eWiUO5HGD</v>
      </c>
      <c r="AX513" s="76" t="b">
        <v>0</v>
      </c>
      <c r="AY513" s="76"/>
      <c r="AZ513" s="76"/>
      <c r="BA513" s="76" t="b">
        <v>1</v>
      </c>
      <c r="BB513" s="76" t="b">
        <v>1</v>
      </c>
      <c r="BC513" s="76" t="b">
        <v>1</v>
      </c>
      <c r="BD513" s="76" t="b">
        <v>0</v>
      </c>
      <c r="BE513" s="76" t="b">
        <v>0</v>
      </c>
      <c r="BF513" s="76" t="b">
        <v>0</v>
      </c>
      <c r="BG513" s="76" t="b">
        <v>1</v>
      </c>
      <c r="BH513" s="82" t="str">
        <f>HYPERLINK("https://pbs.twimg.com/profile_banners/1429101679035756544/1687648496")</f>
        <v>https://pbs.twimg.com/profile_banners/1429101679035756544/1687648496</v>
      </c>
      <c r="BI513" s="76" t="s">
        <v>14449</v>
      </c>
      <c r="BJ513" s="76" t="s">
        <v>14450</v>
      </c>
      <c r="BK513" s="76" t="b">
        <v>0</v>
      </c>
      <c r="BL513" s="76"/>
      <c r="BM513" s="76" t="s">
        <v>65</v>
      </c>
      <c r="BN513" s="76" t="s">
        <v>14452</v>
      </c>
      <c r="BO513" s="82" t="str">
        <f>HYPERLINK("https://twitter.com/parejahotwifex")</f>
        <v>https://twitter.com/parejahotwifex</v>
      </c>
      <c r="BP513" s="2"/>
    </row>
    <row r="514" spans="1:68" x14ac:dyDescent="0.25">
      <c r="A514" s="62" t="s">
        <v>657</v>
      </c>
      <c r="B514" s="63"/>
      <c r="C514" s="63"/>
      <c r="D514" s="64"/>
      <c r="E514" s="66"/>
      <c r="F514" s="103" t="str">
        <f>HYPERLINK("https://pbs.twimg.com/profile_images/1630013132897755146/h7hfVxEV_normal.jpg")</f>
        <v>https://pbs.twimg.com/profile_images/1630013132897755146/h7hfVxEV_normal.jpg</v>
      </c>
      <c r="G514" s="63"/>
      <c r="H514" s="67"/>
      <c r="I514" s="68"/>
      <c r="J514" s="68"/>
      <c r="K514" s="67" t="s">
        <v>14963</v>
      </c>
      <c r="L514" s="71"/>
      <c r="M514" s="72"/>
      <c r="N514" s="72"/>
      <c r="O514" s="73"/>
      <c r="P514" s="74"/>
      <c r="Q514" s="74"/>
      <c r="R514" s="87"/>
      <c r="S514" s="87"/>
      <c r="T514" s="87"/>
      <c r="U514" s="87"/>
      <c r="V514" s="48"/>
      <c r="W514" s="48"/>
      <c r="X514" s="48"/>
      <c r="Y514" s="48"/>
      <c r="Z514" s="47"/>
      <c r="AA514" s="69">
        <v>514</v>
      </c>
      <c r="AB514" s="69"/>
      <c r="AC514" s="70"/>
      <c r="AD514" s="76" t="s">
        <v>12244</v>
      </c>
      <c r="AE514" s="80" t="s">
        <v>12733</v>
      </c>
      <c r="AF514" s="76">
        <v>1131</v>
      </c>
      <c r="AG514" s="76">
        <v>43</v>
      </c>
      <c r="AH514" s="76">
        <v>8126</v>
      </c>
      <c r="AI514" s="76">
        <v>30</v>
      </c>
      <c r="AJ514" s="76">
        <v>115</v>
      </c>
      <c r="AK514" s="76">
        <v>711</v>
      </c>
      <c r="AL514" s="76" t="b">
        <v>0</v>
      </c>
      <c r="AM514" s="78">
        <v>40218.64744212963</v>
      </c>
      <c r="AN514" s="76" t="s">
        <v>7769</v>
      </c>
      <c r="AO514" s="76" t="s">
        <v>13689</v>
      </c>
      <c r="AP514" s="82" t="str">
        <f>HYPERLINK("https://t.co/RRtzVAJvFX")</f>
        <v>https://t.co/RRtzVAJvFX</v>
      </c>
      <c r="AQ514" s="82" t="str">
        <f>HYPERLINK("http://www.instagram.com/arcentroeduca")</f>
        <v>http://www.instagram.com/arcentroeduca</v>
      </c>
      <c r="AR514" s="76" t="s">
        <v>14219</v>
      </c>
      <c r="AS514" s="76"/>
      <c r="AT514" s="76"/>
      <c r="AU514" s="76"/>
      <c r="AV514" s="76"/>
      <c r="AW514" s="82" t="str">
        <f>HYPERLINK("https://t.co/RRtzVAJvFX")</f>
        <v>https://t.co/RRtzVAJvFX</v>
      </c>
      <c r="AX514" s="76" t="b">
        <v>0</v>
      </c>
      <c r="AY514" s="76"/>
      <c r="AZ514" s="76"/>
      <c r="BA514" s="76" t="b">
        <v>0</v>
      </c>
      <c r="BB514" s="76" t="b">
        <v>1</v>
      </c>
      <c r="BC514" s="76" t="b">
        <v>0</v>
      </c>
      <c r="BD514" s="76" t="b">
        <v>0</v>
      </c>
      <c r="BE514" s="76" t="b">
        <v>0</v>
      </c>
      <c r="BF514" s="76" t="b">
        <v>0</v>
      </c>
      <c r="BG514" s="76" t="b">
        <v>0</v>
      </c>
      <c r="BH514" s="82" t="str">
        <f>HYPERLINK("https://pbs.twimg.com/profile_banners/112745570/1686484061")</f>
        <v>https://pbs.twimg.com/profile_banners/112745570/1686484061</v>
      </c>
      <c r="BI514" s="76"/>
      <c r="BJ514" s="76" t="s">
        <v>14450</v>
      </c>
      <c r="BK514" s="76" t="b">
        <v>0</v>
      </c>
      <c r="BL514" s="76"/>
      <c r="BM514" s="76" t="s">
        <v>66</v>
      </c>
      <c r="BN514" s="76" t="s">
        <v>14452</v>
      </c>
      <c r="BO514" s="82" t="str">
        <f>HYPERLINK("https://twitter.com/arcentroeduca")</f>
        <v>https://twitter.com/arcentroeduca</v>
      </c>
      <c r="BP514" s="2"/>
    </row>
    <row r="515" spans="1:68" x14ac:dyDescent="0.25">
      <c r="A515" s="62" t="s">
        <v>658</v>
      </c>
      <c r="B515" s="63"/>
      <c r="C515" s="63"/>
      <c r="D515" s="64"/>
      <c r="E515" s="66"/>
      <c r="F515" s="103" t="str">
        <f>HYPERLINK("https://pbs.twimg.com/profile_images/1675860166133022720/ITQCj9gV_normal.jpg")</f>
        <v>https://pbs.twimg.com/profile_images/1675860166133022720/ITQCj9gV_normal.jpg</v>
      </c>
      <c r="G515" s="63"/>
      <c r="H515" s="67"/>
      <c r="I515" s="68"/>
      <c r="J515" s="68"/>
      <c r="K515" s="67" t="s">
        <v>14964</v>
      </c>
      <c r="L515" s="71"/>
      <c r="M515" s="72"/>
      <c r="N515" s="72"/>
      <c r="O515" s="73"/>
      <c r="P515" s="74"/>
      <c r="Q515" s="74"/>
      <c r="R515" s="87"/>
      <c r="S515" s="87"/>
      <c r="T515" s="87"/>
      <c r="U515" s="87"/>
      <c r="V515" s="48"/>
      <c r="W515" s="48"/>
      <c r="X515" s="48"/>
      <c r="Y515" s="48"/>
      <c r="Z515" s="47"/>
      <c r="AA515" s="69">
        <v>515</v>
      </c>
      <c r="AB515" s="69"/>
      <c r="AC515" s="70"/>
      <c r="AD515" s="76" t="s">
        <v>12245</v>
      </c>
      <c r="AE515" s="80" t="s">
        <v>12734</v>
      </c>
      <c r="AF515" s="76">
        <v>1505</v>
      </c>
      <c r="AG515" s="76">
        <v>62</v>
      </c>
      <c r="AH515" s="76">
        <v>7554</v>
      </c>
      <c r="AI515" s="76">
        <v>28</v>
      </c>
      <c r="AJ515" s="76">
        <v>350</v>
      </c>
      <c r="AK515" s="76">
        <v>2319</v>
      </c>
      <c r="AL515" s="76" t="b">
        <v>0</v>
      </c>
      <c r="AM515" s="78">
        <v>39964.843888888892</v>
      </c>
      <c r="AN515" s="76" t="s">
        <v>7763</v>
      </c>
      <c r="AO515" s="76" t="s">
        <v>13690</v>
      </c>
      <c r="AP515" s="82" t="str">
        <f>HYPERLINK("https://t.co/paSw4K4AvO")</f>
        <v>https://t.co/paSw4K4AvO</v>
      </c>
      <c r="AQ515" s="82" t="str">
        <f>HYPERLINK("https://www.manpowergroup.com.br")</f>
        <v>https://www.manpowergroup.com.br</v>
      </c>
      <c r="AR515" s="76" t="s">
        <v>14220</v>
      </c>
      <c r="AS515" s="76"/>
      <c r="AT515" s="76"/>
      <c r="AU515" s="76"/>
      <c r="AV515" s="76"/>
      <c r="AW515" s="82" t="str">
        <f>HYPERLINK("https://t.co/paSw4K4AvO")</f>
        <v>https://t.co/paSw4K4AvO</v>
      </c>
      <c r="AX515" s="76" t="b">
        <v>0</v>
      </c>
      <c r="AY515" s="76"/>
      <c r="AZ515" s="76"/>
      <c r="BA515" s="76" t="b">
        <v>1</v>
      </c>
      <c r="BB515" s="76" t="b">
        <v>1</v>
      </c>
      <c r="BC515" s="76" t="b">
        <v>0</v>
      </c>
      <c r="BD515" s="76" t="b">
        <v>0</v>
      </c>
      <c r="BE515" s="76" t="b">
        <v>1</v>
      </c>
      <c r="BF515" s="76" t="b">
        <v>0</v>
      </c>
      <c r="BG515" s="76" t="b">
        <v>0</v>
      </c>
      <c r="BH515" s="82" t="str">
        <f>HYPERLINK("https://pbs.twimg.com/profile_banners/43747250/1674837959")</f>
        <v>https://pbs.twimg.com/profile_banners/43747250/1674837959</v>
      </c>
      <c r="BI515" s="76"/>
      <c r="BJ515" s="76" t="s">
        <v>14450</v>
      </c>
      <c r="BK515" s="76" t="b">
        <v>0</v>
      </c>
      <c r="BL515" s="76"/>
      <c r="BM515" s="76" t="s">
        <v>66</v>
      </c>
      <c r="BN515" s="76" t="s">
        <v>14452</v>
      </c>
      <c r="BO515" s="82" t="str">
        <f>HYPERLINK("https://twitter.com/manpowergbrasil")</f>
        <v>https://twitter.com/manpowergbrasil</v>
      </c>
      <c r="BP515" s="2"/>
    </row>
    <row r="516" spans="1:68" x14ac:dyDescent="0.25">
      <c r="A516" s="62" t="s">
        <v>659</v>
      </c>
      <c r="B516" s="63"/>
      <c r="C516" s="63"/>
      <c r="D516" s="64"/>
      <c r="E516" s="66"/>
      <c r="F516" s="103" t="str">
        <f>HYPERLINK("https://pbs.twimg.com/profile_images/1594118288379887619/eFseG1yS_normal.jpg")</f>
        <v>https://pbs.twimg.com/profile_images/1594118288379887619/eFseG1yS_normal.jpg</v>
      </c>
      <c r="G516" s="63"/>
      <c r="H516" s="67"/>
      <c r="I516" s="68"/>
      <c r="J516" s="68"/>
      <c r="K516" s="67" t="s">
        <v>14965</v>
      </c>
      <c r="L516" s="71"/>
      <c r="M516" s="72"/>
      <c r="N516" s="72"/>
      <c r="O516" s="73"/>
      <c r="P516" s="74"/>
      <c r="Q516" s="74"/>
      <c r="R516" s="87"/>
      <c r="S516" s="87"/>
      <c r="T516" s="87"/>
      <c r="U516" s="87"/>
      <c r="V516" s="48"/>
      <c r="W516" s="48"/>
      <c r="X516" s="48"/>
      <c r="Y516" s="48"/>
      <c r="Z516" s="47"/>
      <c r="AA516" s="69">
        <v>516</v>
      </c>
      <c r="AB516" s="69"/>
      <c r="AC516" s="70"/>
      <c r="AD516" s="76" t="s">
        <v>12246</v>
      </c>
      <c r="AE516" s="80" t="s">
        <v>11624</v>
      </c>
      <c r="AF516" s="76">
        <v>4602</v>
      </c>
      <c r="AG516" s="76">
        <v>3</v>
      </c>
      <c r="AH516" s="76">
        <v>1062</v>
      </c>
      <c r="AI516" s="76">
        <v>14</v>
      </c>
      <c r="AJ516" s="76">
        <v>3250</v>
      </c>
      <c r="AK516" s="76">
        <v>502</v>
      </c>
      <c r="AL516" s="76" t="b">
        <v>0</v>
      </c>
      <c r="AM516" s="78">
        <v>44816.159363425926</v>
      </c>
      <c r="AN516" s="76"/>
      <c r="AO516" s="76" t="s">
        <v>13691</v>
      </c>
      <c r="AP516" s="76"/>
      <c r="AQ516" s="76"/>
      <c r="AR516" s="76"/>
      <c r="AS516" s="76"/>
      <c r="AT516" s="76"/>
      <c r="AU516" s="76"/>
      <c r="AV516" s="76"/>
      <c r="AW516" s="76"/>
      <c r="AX516" s="76" t="b">
        <v>0</v>
      </c>
      <c r="AY516" s="76"/>
      <c r="AZ516" s="76"/>
      <c r="BA516" s="76" t="b">
        <v>1</v>
      </c>
      <c r="BB516" s="76" t="b">
        <v>1</v>
      </c>
      <c r="BC516" s="76" t="b">
        <v>1</v>
      </c>
      <c r="BD516" s="76" t="b">
        <v>0</v>
      </c>
      <c r="BE516" s="76" t="b">
        <v>1</v>
      </c>
      <c r="BF516" s="76" t="b">
        <v>0</v>
      </c>
      <c r="BG516" s="76" t="b">
        <v>1</v>
      </c>
      <c r="BH516" s="82" t="str">
        <f>HYPERLINK("https://pbs.twimg.com/profile_banners/1569171235161997315/1672425711")</f>
        <v>https://pbs.twimg.com/profile_banners/1569171235161997315/1672425711</v>
      </c>
      <c r="BI516" s="76"/>
      <c r="BJ516" s="76" t="s">
        <v>14450</v>
      </c>
      <c r="BK516" s="76" t="b">
        <v>0</v>
      </c>
      <c r="BL516" s="76"/>
      <c r="BM516" s="76" t="s">
        <v>66</v>
      </c>
      <c r="BN516" s="76" t="s">
        <v>14452</v>
      </c>
      <c r="BO516" s="82" t="str">
        <f>HYPERLINK("https://twitter.com/elyokasxd")</f>
        <v>https://twitter.com/elyokasxd</v>
      </c>
      <c r="BP516" s="2"/>
    </row>
    <row r="517" spans="1:68" x14ac:dyDescent="0.25">
      <c r="A517" s="62" t="s">
        <v>660</v>
      </c>
      <c r="B517" s="63"/>
      <c r="C517" s="63"/>
      <c r="D517" s="64"/>
      <c r="E517" s="66"/>
      <c r="F517" s="103" t="str">
        <f>HYPERLINK("https://pbs.twimg.com/profile_images/1543770883952676865/Q_045J4g_normal.jpg")</f>
        <v>https://pbs.twimg.com/profile_images/1543770883952676865/Q_045J4g_normal.jpg</v>
      </c>
      <c r="G517" s="63"/>
      <c r="H517" s="67"/>
      <c r="I517" s="68"/>
      <c r="J517" s="68"/>
      <c r="K517" s="67" t="s">
        <v>14966</v>
      </c>
      <c r="L517" s="71"/>
      <c r="M517" s="72"/>
      <c r="N517" s="72"/>
      <c r="O517" s="73"/>
      <c r="P517" s="74"/>
      <c r="Q517" s="74"/>
      <c r="R517" s="87"/>
      <c r="S517" s="87"/>
      <c r="T517" s="87"/>
      <c r="U517" s="87"/>
      <c r="V517" s="48"/>
      <c r="W517" s="48"/>
      <c r="X517" s="48"/>
      <c r="Y517" s="48"/>
      <c r="Z517" s="47"/>
      <c r="AA517" s="69">
        <v>517</v>
      </c>
      <c r="AB517" s="69"/>
      <c r="AC517" s="70"/>
      <c r="AD517" s="76" t="s">
        <v>12247</v>
      </c>
      <c r="AE517" s="80" t="s">
        <v>11625</v>
      </c>
      <c r="AF517" s="76">
        <v>8</v>
      </c>
      <c r="AG517" s="76">
        <v>1</v>
      </c>
      <c r="AH517" s="76">
        <v>32</v>
      </c>
      <c r="AI517" s="76">
        <v>1</v>
      </c>
      <c r="AJ517" s="76">
        <v>1</v>
      </c>
      <c r="AK517" s="76">
        <v>8</v>
      </c>
      <c r="AL517" s="76" t="b">
        <v>0</v>
      </c>
      <c r="AM517" s="78">
        <v>43414.946828703702</v>
      </c>
      <c r="AN517" s="76"/>
      <c r="AO517" s="76" t="s">
        <v>13692</v>
      </c>
      <c r="AP517" s="76"/>
      <c r="AQ517" s="76"/>
      <c r="AR517" s="76"/>
      <c r="AS517" s="82" t="str">
        <f>HYPERLINK("https://t.co/BK9xDeWf0m")</f>
        <v>https://t.co/BK9xDeWf0m</v>
      </c>
      <c r="AT517" s="82" t="str">
        <f>HYPERLINK("http://guiterrengui.com/guia-pratico-d")</f>
        <v>http://guiterrengui.com/guia-pratico-d</v>
      </c>
      <c r="AU517" s="76" t="s">
        <v>14434</v>
      </c>
      <c r="AV517" s="76"/>
      <c r="AW517" s="76"/>
      <c r="AX517" s="76" t="b">
        <v>0</v>
      </c>
      <c r="AY517" s="76"/>
      <c r="AZ517" s="76"/>
      <c r="BA517" s="76" t="b">
        <v>0</v>
      </c>
      <c r="BB517" s="76" t="b">
        <v>1</v>
      </c>
      <c r="BC517" s="76" t="b">
        <v>1</v>
      </c>
      <c r="BD517" s="76" t="b">
        <v>0</v>
      </c>
      <c r="BE517" s="76" t="b">
        <v>0</v>
      </c>
      <c r="BF517" s="76" t="b">
        <v>0</v>
      </c>
      <c r="BG517" s="76" t="b">
        <v>0</v>
      </c>
      <c r="BH517" s="82" t="str">
        <f>HYPERLINK("https://pbs.twimg.com/profile_banners/1061388891025010691/1656950219")</f>
        <v>https://pbs.twimg.com/profile_banners/1061388891025010691/1656950219</v>
      </c>
      <c r="BI517" s="76"/>
      <c r="BJ517" s="76" t="s">
        <v>14450</v>
      </c>
      <c r="BK517" s="76" t="b">
        <v>0</v>
      </c>
      <c r="BL517" s="76"/>
      <c r="BM517" s="76" t="s">
        <v>66</v>
      </c>
      <c r="BN517" s="76" t="s">
        <v>14452</v>
      </c>
      <c r="BO517" s="82" t="str">
        <f>HYPERLINK("https://twitter.com/guiterrengui")</f>
        <v>https://twitter.com/guiterrengui</v>
      </c>
      <c r="BP517" s="2"/>
    </row>
    <row r="518" spans="1:68" x14ac:dyDescent="0.25">
      <c r="A518" s="62" t="s">
        <v>661</v>
      </c>
      <c r="B518" s="63"/>
      <c r="C518" s="63"/>
      <c r="D518" s="64"/>
      <c r="E518" s="66"/>
      <c r="F518" s="103" t="str">
        <f>HYPERLINK("https://pbs.twimg.com/profile_images/1639328422286458882/3QSBlHGY_normal.png")</f>
        <v>https://pbs.twimg.com/profile_images/1639328422286458882/3QSBlHGY_normal.png</v>
      </c>
      <c r="G518" s="63"/>
      <c r="H518" s="67"/>
      <c r="I518" s="68"/>
      <c r="J518" s="68"/>
      <c r="K518" s="67" t="s">
        <v>14967</v>
      </c>
      <c r="L518" s="71"/>
      <c r="M518" s="72"/>
      <c r="N518" s="72"/>
      <c r="O518" s="73"/>
      <c r="P518" s="74"/>
      <c r="Q518" s="74"/>
      <c r="R518" s="87"/>
      <c r="S518" s="87"/>
      <c r="T518" s="87"/>
      <c r="U518" s="87"/>
      <c r="V518" s="48"/>
      <c r="W518" s="48"/>
      <c r="X518" s="48"/>
      <c r="Y518" s="48"/>
      <c r="Z518" s="47"/>
      <c r="AA518" s="69">
        <v>518</v>
      </c>
      <c r="AB518" s="69"/>
      <c r="AC518" s="70"/>
      <c r="AD518" s="76" t="s">
        <v>12248</v>
      </c>
      <c r="AE518" s="80" t="s">
        <v>12735</v>
      </c>
      <c r="AF518" s="76">
        <v>46</v>
      </c>
      <c r="AG518" s="76">
        <v>21</v>
      </c>
      <c r="AH518" s="76">
        <v>47</v>
      </c>
      <c r="AI518" s="76">
        <v>0</v>
      </c>
      <c r="AJ518" s="76">
        <v>4</v>
      </c>
      <c r="AK518" s="76">
        <v>39</v>
      </c>
      <c r="AL518" s="76" t="b">
        <v>0</v>
      </c>
      <c r="AM518" s="78">
        <v>42030.843842592592</v>
      </c>
      <c r="AN518" s="76" t="s">
        <v>13121</v>
      </c>
      <c r="AO518" s="76" t="s">
        <v>13693</v>
      </c>
      <c r="AP518" s="82" t="str">
        <f>HYPERLINK("https://t.co/DcRoboqaMY")</f>
        <v>https://t.co/DcRoboqaMY</v>
      </c>
      <c r="AQ518" s="82" t="str">
        <f>HYPERLINK("https://www.ogmantuberias.com/")</f>
        <v>https://www.ogmantuberias.com/</v>
      </c>
      <c r="AR518" s="76" t="s">
        <v>14221</v>
      </c>
      <c r="AS518" s="76"/>
      <c r="AT518" s="76"/>
      <c r="AU518" s="76"/>
      <c r="AV518" s="76"/>
      <c r="AW518" s="82" t="str">
        <f>HYPERLINK("https://t.co/DcRoboqaMY")</f>
        <v>https://t.co/DcRoboqaMY</v>
      </c>
      <c r="AX518" s="76" t="b">
        <v>0</v>
      </c>
      <c r="AY518" s="76"/>
      <c r="AZ518" s="76"/>
      <c r="BA518" s="76" t="b">
        <v>1</v>
      </c>
      <c r="BB518" s="76" t="b">
        <v>1</v>
      </c>
      <c r="BC518" s="76" t="b">
        <v>1</v>
      </c>
      <c r="BD518" s="76" t="b">
        <v>0</v>
      </c>
      <c r="BE518" s="76" t="b">
        <v>0</v>
      </c>
      <c r="BF518" s="76" t="b">
        <v>0</v>
      </c>
      <c r="BG518" s="76" t="b">
        <v>0</v>
      </c>
      <c r="BH518" s="82" t="str">
        <f>HYPERLINK("https://pbs.twimg.com/profile_banners/3000254967/1681753636")</f>
        <v>https://pbs.twimg.com/profile_banners/3000254967/1681753636</v>
      </c>
      <c r="BI518" s="76"/>
      <c r="BJ518" s="76" t="s">
        <v>14450</v>
      </c>
      <c r="BK518" s="76" t="b">
        <v>0</v>
      </c>
      <c r="BL518" s="76"/>
      <c r="BM518" s="76" t="s">
        <v>66</v>
      </c>
      <c r="BN518" s="76" t="s">
        <v>14452</v>
      </c>
      <c r="BO518" s="82" t="str">
        <f>HYPERLINK("https://twitter.com/ogmantuberias")</f>
        <v>https://twitter.com/ogmantuberias</v>
      </c>
      <c r="BP518" s="2"/>
    </row>
    <row r="519" spans="1:68" x14ac:dyDescent="0.25">
      <c r="A519" s="62" t="s">
        <v>662</v>
      </c>
      <c r="B519" s="63"/>
      <c r="C519" s="63"/>
      <c r="D519" s="64"/>
      <c r="E519" s="66"/>
      <c r="F519" s="103" t="str">
        <f>HYPERLINK("https://pbs.twimg.com/profile_images/1702107901676896256/wBaL95gY_normal.jpg")</f>
        <v>https://pbs.twimg.com/profile_images/1702107901676896256/wBaL95gY_normal.jpg</v>
      </c>
      <c r="G519" s="63"/>
      <c r="H519" s="67"/>
      <c r="I519" s="68"/>
      <c r="J519" s="68"/>
      <c r="K519" s="67" t="s">
        <v>14968</v>
      </c>
      <c r="L519" s="71"/>
      <c r="M519" s="72"/>
      <c r="N519" s="72"/>
      <c r="O519" s="73"/>
      <c r="P519" s="74"/>
      <c r="Q519" s="74"/>
      <c r="R519" s="87"/>
      <c r="S519" s="87"/>
      <c r="T519" s="87"/>
      <c r="U519" s="87"/>
      <c r="V519" s="48"/>
      <c r="W519" s="48"/>
      <c r="X519" s="48"/>
      <c r="Y519" s="48"/>
      <c r="Z519" s="47"/>
      <c r="AA519" s="69">
        <v>519</v>
      </c>
      <c r="AB519" s="69"/>
      <c r="AC519" s="70"/>
      <c r="AD519" s="76" t="s">
        <v>12249</v>
      </c>
      <c r="AE519" s="80" t="s">
        <v>11626</v>
      </c>
      <c r="AF519" s="76">
        <v>2052</v>
      </c>
      <c r="AG519" s="76">
        <v>4274</v>
      </c>
      <c r="AH519" s="76">
        <v>66136</v>
      </c>
      <c r="AI519" s="76">
        <v>9</v>
      </c>
      <c r="AJ519" s="76">
        <v>60222</v>
      </c>
      <c r="AK519" s="76">
        <v>14562</v>
      </c>
      <c r="AL519" s="76" t="b">
        <v>0</v>
      </c>
      <c r="AM519" s="78">
        <v>42507.54755787037</v>
      </c>
      <c r="AN519" s="76" t="s">
        <v>13122</v>
      </c>
      <c r="AO519" s="76" t="s">
        <v>13694</v>
      </c>
      <c r="AP519" s="82" t="str">
        <f>HYPERLINK("https://t.co/5oXfky5n4M")</f>
        <v>https://t.co/5oXfky5n4M</v>
      </c>
      <c r="AQ519" s="82" t="str">
        <f>HYPERLINK("http://gdorazio.blogspot.com.ar")</f>
        <v>http://gdorazio.blogspot.com.ar</v>
      </c>
      <c r="AR519" s="76" t="s">
        <v>14222</v>
      </c>
      <c r="AS519" s="76"/>
      <c r="AT519" s="76"/>
      <c r="AU519" s="76"/>
      <c r="AV519" s="76"/>
      <c r="AW519" s="82" t="str">
        <f>HYPERLINK("https://t.co/5oXfky5n4M")</f>
        <v>https://t.co/5oXfky5n4M</v>
      </c>
      <c r="AX519" s="76" t="b">
        <v>0</v>
      </c>
      <c r="AY519" s="76"/>
      <c r="AZ519" s="76"/>
      <c r="BA519" s="76" t="b">
        <v>0</v>
      </c>
      <c r="BB519" s="76" t="b">
        <v>1</v>
      </c>
      <c r="BC519" s="76" t="b">
        <v>1</v>
      </c>
      <c r="BD519" s="76" t="b">
        <v>0</v>
      </c>
      <c r="BE519" s="76" t="b">
        <v>1</v>
      </c>
      <c r="BF519" s="76" t="b">
        <v>0</v>
      </c>
      <c r="BG519" s="76" t="b">
        <v>0</v>
      </c>
      <c r="BH519" s="82" t="str">
        <f>HYPERLINK("https://pbs.twimg.com/profile_banners/732558409019600897/1694649054")</f>
        <v>https://pbs.twimg.com/profile_banners/732558409019600897/1694649054</v>
      </c>
      <c r="BI519" s="76"/>
      <c r="BJ519" s="76" t="s">
        <v>14450</v>
      </c>
      <c r="BK519" s="76" t="b">
        <v>0</v>
      </c>
      <c r="BL519" s="76"/>
      <c r="BM519" s="76" t="s">
        <v>66</v>
      </c>
      <c r="BN519" s="76" t="s">
        <v>14452</v>
      </c>
      <c r="BO519" s="82" t="str">
        <f>HYPERLINK("https://twitter.com/gustavodorazio")</f>
        <v>https://twitter.com/gustavodorazio</v>
      </c>
      <c r="BP519" s="2"/>
    </row>
    <row r="520" spans="1:68" x14ac:dyDescent="0.25">
      <c r="A520" s="62" t="s">
        <v>663</v>
      </c>
      <c r="B520" s="63"/>
      <c r="C520" s="63"/>
      <c r="D520" s="64"/>
      <c r="E520" s="66"/>
      <c r="F520" s="103" t="str">
        <f>HYPERLINK("https://pbs.twimg.com/profile_images/1484254664728223745/y1WEOO-y_normal.jpg")</f>
        <v>https://pbs.twimg.com/profile_images/1484254664728223745/y1WEOO-y_normal.jpg</v>
      </c>
      <c r="G520" s="63"/>
      <c r="H520" s="67"/>
      <c r="I520" s="68"/>
      <c r="J520" s="68"/>
      <c r="K520" s="67" t="s">
        <v>14969</v>
      </c>
      <c r="L520" s="71"/>
      <c r="M520" s="72"/>
      <c r="N520" s="72"/>
      <c r="O520" s="73"/>
      <c r="P520" s="74"/>
      <c r="Q520" s="74"/>
      <c r="R520" s="87"/>
      <c r="S520" s="87"/>
      <c r="T520" s="87"/>
      <c r="U520" s="87"/>
      <c r="V520" s="48"/>
      <c r="W520" s="48"/>
      <c r="X520" s="48"/>
      <c r="Y520" s="48"/>
      <c r="Z520" s="47"/>
      <c r="AA520" s="69">
        <v>520</v>
      </c>
      <c r="AB520" s="69"/>
      <c r="AC520" s="70"/>
      <c r="AD520" s="76" t="s">
        <v>12250</v>
      </c>
      <c r="AE520" s="80" t="s">
        <v>12736</v>
      </c>
      <c r="AF520" s="76">
        <v>1779</v>
      </c>
      <c r="AG520" s="76">
        <v>206</v>
      </c>
      <c r="AH520" s="76">
        <v>3098</v>
      </c>
      <c r="AI520" s="76">
        <v>9</v>
      </c>
      <c r="AJ520" s="76">
        <v>73</v>
      </c>
      <c r="AK520" s="76">
        <v>1350</v>
      </c>
      <c r="AL520" s="76" t="b">
        <v>0</v>
      </c>
      <c r="AM520" s="78">
        <v>40100.820196759261</v>
      </c>
      <c r="AN520" s="76" t="s">
        <v>7863</v>
      </c>
      <c r="AO520" s="76" t="s">
        <v>13695</v>
      </c>
      <c r="AP520" s="82" t="str">
        <f>HYPERLINK("https://t.co/eDXm49YOD9")</f>
        <v>https://t.co/eDXm49YOD9</v>
      </c>
      <c r="AQ520" s="82" t="str">
        <f>HYPERLINK("http://www.truckvan.com.br")</f>
        <v>http://www.truckvan.com.br</v>
      </c>
      <c r="AR520" s="76" t="s">
        <v>14223</v>
      </c>
      <c r="AS520" s="76"/>
      <c r="AT520" s="76"/>
      <c r="AU520" s="76"/>
      <c r="AV520" s="76"/>
      <c r="AW520" s="82" t="str">
        <f>HYPERLINK("https://t.co/eDXm49YOD9")</f>
        <v>https://t.co/eDXm49YOD9</v>
      </c>
      <c r="AX520" s="76" t="b">
        <v>0</v>
      </c>
      <c r="AY520" s="76"/>
      <c r="AZ520" s="76"/>
      <c r="BA520" s="76" t="b">
        <v>0</v>
      </c>
      <c r="BB520" s="76" t="b">
        <v>1</v>
      </c>
      <c r="BC520" s="76" t="b">
        <v>0</v>
      </c>
      <c r="BD520" s="76" t="b">
        <v>0</v>
      </c>
      <c r="BE520" s="76" t="b">
        <v>0</v>
      </c>
      <c r="BF520" s="76" t="b">
        <v>0</v>
      </c>
      <c r="BG520" s="76" t="b">
        <v>0</v>
      </c>
      <c r="BH520" s="82" t="str">
        <f>HYPERLINK("https://pbs.twimg.com/profile_banners/82439468/1481214779")</f>
        <v>https://pbs.twimg.com/profile_banners/82439468/1481214779</v>
      </c>
      <c r="BI520" s="76"/>
      <c r="BJ520" s="76" t="s">
        <v>14450</v>
      </c>
      <c r="BK520" s="76" t="b">
        <v>0</v>
      </c>
      <c r="BL520" s="76"/>
      <c r="BM520" s="76" t="s">
        <v>66</v>
      </c>
      <c r="BN520" s="76" t="s">
        <v>14452</v>
      </c>
      <c r="BO520" s="82" t="str">
        <f>HYPERLINK("https://twitter.com/truckvan")</f>
        <v>https://twitter.com/truckvan</v>
      </c>
      <c r="BP520" s="2"/>
    </row>
    <row r="521" spans="1:68" x14ac:dyDescent="0.25">
      <c r="A521" s="62" t="s">
        <v>664</v>
      </c>
      <c r="B521" s="63"/>
      <c r="C521" s="63"/>
      <c r="D521" s="64"/>
      <c r="E521" s="66"/>
      <c r="F521" s="103" t="str">
        <f>HYPERLINK("https://pbs.twimg.com/profile_images/1646522858506428416/qE73UmQ__normal.jpg")</f>
        <v>https://pbs.twimg.com/profile_images/1646522858506428416/qE73UmQ__normal.jpg</v>
      </c>
      <c r="G521" s="63"/>
      <c r="H521" s="67"/>
      <c r="I521" s="68"/>
      <c r="J521" s="68"/>
      <c r="K521" s="67" t="s">
        <v>14970</v>
      </c>
      <c r="L521" s="71"/>
      <c r="M521" s="72"/>
      <c r="N521" s="72"/>
      <c r="O521" s="73"/>
      <c r="P521" s="74"/>
      <c r="Q521" s="74"/>
      <c r="R521" s="87"/>
      <c r="S521" s="87"/>
      <c r="T521" s="87"/>
      <c r="U521" s="87"/>
      <c r="V521" s="48"/>
      <c r="W521" s="48"/>
      <c r="X521" s="48"/>
      <c r="Y521" s="48"/>
      <c r="Z521" s="47"/>
      <c r="AA521" s="69">
        <v>521</v>
      </c>
      <c r="AB521" s="69"/>
      <c r="AC521" s="70"/>
      <c r="AD521" s="76" t="s">
        <v>12251</v>
      </c>
      <c r="AE521" s="80" t="s">
        <v>11627</v>
      </c>
      <c r="AF521" s="76">
        <v>0</v>
      </c>
      <c r="AG521" s="76">
        <v>2</v>
      </c>
      <c r="AH521" s="76">
        <v>25180</v>
      </c>
      <c r="AI521" s="76">
        <v>0</v>
      </c>
      <c r="AJ521" s="76">
        <v>5</v>
      </c>
      <c r="AK521" s="76">
        <v>24109</v>
      </c>
      <c r="AL521" s="76" t="b">
        <v>0</v>
      </c>
      <c r="AM521" s="78">
        <v>44613.100023148145</v>
      </c>
      <c r="AN521" s="76" t="s">
        <v>13123</v>
      </c>
      <c r="AO521" s="76" t="s">
        <v>13696</v>
      </c>
      <c r="AP521" s="76"/>
      <c r="AQ521" s="76"/>
      <c r="AR521" s="76"/>
      <c r="AS521" s="82" t="str">
        <f>HYPERLINK("https://t.co/khoB3UsfQX")</f>
        <v>https://t.co/khoB3UsfQX</v>
      </c>
      <c r="AT521" s="82" t="str">
        <f>HYPERLINK("http://Amazon.com")</f>
        <v>http://Amazon.com</v>
      </c>
      <c r="AU521" s="76" t="s">
        <v>14435</v>
      </c>
      <c r="AV521" s="76"/>
      <c r="AW521" s="76"/>
      <c r="AX521" s="76" t="b">
        <v>0</v>
      </c>
      <c r="AY521" s="76"/>
      <c r="AZ521" s="76"/>
      <c r="BA521" s="76" t="b">
        <v>0</v>
      </c>
      <c r="BB521" s="76" t="b">
        <v>1</v>
      </c>
      <c r="BC521" s="76" t="b">
        <v>1</v>
      </c>
      <c r="BD521" s="76" t="b">
        <v>0</v>
      </c>
      <c r="BE521" s="76" t="b">
        <v>0</v>
      </c>
      <c r="BF521" s="76" t="b">
        <v>0</v>
      </c>
      <c r="BG521" s="76" t="b">
        <v>0</v>
      </c>
      <c r="BH521" s="76"/>
      <c r="BI521" s="76"/>
      <c r="BJ521" s="76" t="s">
        <v>14450</v>
      </c>
      <c r="BK521" s="76" t="b">
        <v>0</v>
      </c>
      <c r="BL521" s="76"/>
      <c r="BM521" s="76" t="s">
        <v>66</v>
      </c>
      <c r="BN521" s="76" t="s">
        <v>14452</v>
      </c>
      <c r="BO521" s="82" t="str">
        <f>HYPERLINK("https://twitter.com/robertm07526169")</f>
        <v>https://twitter.com/robertm07526169</v>
      </c>
      <c r="BP521" s="2"/>
    </row>
    <row r="522" spans="1:68" x14ac:dyDescent="0.25">
      <c r="A522" s="62" t="s">
        <v>665</v>
      </c>
      <c r="B522" s="63"/>
      <c r="C522" s="63"/>
      <c r="D522" s="64"/>
      <c r="E522" s="66"/>
      <c r="F522" s="103" t="str">
        <f>HYPERLINK("https://pbs.twimg.com/profile_images/1580935343716671488/Kl1_urhB_normal.jpg")</f>
        <v>https://pbs.twimg.com/profile_images/1580935343716671488/Kl1_urhB_normal.jpg</v>
      </c>
      <c r="G522" s="63"/>
      <c r="H522" s="67"/>
      <c r="I522" s="68"/>
      <c r="J522" s="68"/>
      <c r="K522" s="67" t="s">
        <v>14971</v>
      </c>
      <c r="L522" s="71"/>
      <c r="M522" s="72"/>
      <c r="N522" s="72"/>
      <c r="O522" s="73"/>
      <c r="P522" s="74"/>
      <c r="Q522" s="74"/>
      <c r="R522" s="87"/>
      <c r="S522" s="87"/>
      <c r="T522" s="87"/>
      <c r="U522" s="87"/>
      <c r="V522" s="48"/>
      <c r="W522" s="48"/>
      <c r="X522" s="48"/>
      <c r="Y522" s="48"/>
      <c r="Z522" s="47"/>
      <c r="AA522" s="69">
        <v>522</v>
      </c>
      <c r="AB522" s="69"/>
      <c r="AC522" s="70"/>
      <c r="AD522" s="76" t="s">
        <v>12252</v>
      </c>
      <c r="AE522" s="80" t="s">
        <v>11628</v>
      </c>
      <c r="AF522" s="76">
        <v>32</v>
      </c>
      <c r="AG522" s="76">
        <v>72</v>
      </c>
      <c r="AH522" s="76">
        <v>1835</v>
      </c>
      <c r="AI522" s="76">
        <v>0</v>
      </c>
      <c r="AJ522" s="76">
        <v>5</v>
      </c>
      <c r="AK522" s="76">
        <v>1743</v>
      </c>
      <c r="AL522" s="76" t="b">
        <v>0</v>
      </c>
      <c r="AM522" s="78">
        <v>44848.62164351852</v>
      </c>
      <c r="AN522" s="76" t="s">
        <v>13124</v>
      </c>
      <c r="AO522" s="76" t="s">
        <v>13697</v>
      </c>
      <c r="AP522" s="82" t="str">
        <f>HYPERLINK("https://t.co/40Crkp0gc6")</f>
        <v>https://t.co/40Crkp0gc6</v>
      </c>
      <c r="AQ522" s="82" t="str">
        <f>HYPERLINK("http://www.analisisbrokers.com")</f>
        <v>http://www.analisisbrokers.com</v>
      </c>
      <c r="AR522" s="76" t="s">
        <v>14224</v>
      </c>
      <c r="AS522" s="76"/>
      <c r="AT522" s="76"/>
      <c r="AU522" s="76"/>
      <c r="AV522" s="76"/>
      <c r="AW522" s="82" t="str">
        <f>HYPERLINK("https://t.co/40Crkp0gc6")</f>
        <v>https://t.co/40Crkp0gc6</v>
      </c>
      <c r="AX522" s="76" t="b">
        <v>0</v>
      </c>
      <c r="AY522" s="76"/>
      <c r="AZ522" s="76"/>
      <c r="BA522" s="76" t="b">
        <v>0</v>
      </c>
      <c r="BB522" s="76" t="b">
        <v>1</v>
      </c>
      <c r="BC522" s="76" t="b">
        <v>1</v>
      </c>
      <c r="BD522" s="76" t="b">
        <v>0</v>
      </c>
      <c r="BE522" s="76" t="b">
        <v>0</v>
      </c>
      <c r="BF522" s="76" t="b">
        <v>0</v>
      </c>
      <c r="BG522" s="76" t="b">
        <v>0</v>
      </c>
      <c r="BH522" s="82" t="str">
        <f>HYPERLINK("https://pbs.twimg.com/profile_banners/1580935215979134978/1665759685")</f>
        <v>https://pbs.twimg.com/profile_banners/1580935215979134978/1665759685</v>
      </c>
      <c r="BI522" s="76"/>
      <c r="BJ522" s="76" t="s">
        <v>14450</v>
      </c>
      <c r="BK522" s="76" t="b">
        <v>0</v>
      </c>
      <c r="BL522" s="76"/>
      <c r="BM522" s="76" t="s">
        <v>66</v>
      </c>
      <c r="BN522" s="76" t="s">
        <v>14452</v>
      </c>
      <c r="BO522" s="82" t="str">
        <f>HYPERLINK("https://twitter.com/brokersanalisis")</f>
        <v>https://twitter.com/brokersanalisis</v>
      </c>
      <c r="BP522" s="2"/>
    </row>
    <row r="523" spans="1:68" x14ac:dyDescent="0.25">
      <c r="A523" s="62" t="s">
        <v>666</v>
      </c>
      <c r="B523" s="63"/>
      <c r="C523" s="63"/>
      <c r="D523" s="64"/>
      <c r="E523" s="66"/>
      <c r="F523" s="103" t="str">
        <f>HYPERLINK("https://pbs.twimg.com/profile_images/715143606022045696/GUDz9AeC_normal.jpg")</f>
        <v>https://pbs.twimg.com/profile_images/715143606022045696/GUDz9AeC_normal.jpg</v>
      </c>
      <c r="G523" s="63"/>
      <c r="H523" s="67"/>
      <c r="I523" s="68"/>
      <c r="J523" s="68"/>
      <c r="K523" s="67" t="s">
        <v>14972</v>
      </c>
      <c r="L523" s="71"/>
      <c r="M523" s="72"/>
      <c r="N523" s="72"/>
      <c r="O523" s="73"/>
      <c r="P523" s="74"/>
      <c r="Q523" s="74"/>
      <c r="R523" s="87"/>
      <c r="S523" s="87"/>
      <c r="T523" s="87"/>
      <c r="U523" s="87"/>
      <c r="V523" s="48"/>
      <c r="W523" s="48"/>
      <c r="X523" s="48"/>
      <c r="Y523" s="48"/>
      <c r="Z523" s="47"/>
      <c r="AA523" s="69">
        <v>523</v>
      </c>
      <c r="AB523" s="69"/>
      <c r="AC523" s="70"/>
      <c r="AD523" s="76" t="s">
        <v>12253</v>
      </c>
      <c r="AE523" s="80" t="s">
        <v>11629</v>
      </c>
      <c r="AF523" s="76">
        <v>257</v>
      </c>
      <c r="AG523" s="76">
        <v>130</v>
      </c>
      <c r="AH523" s="76">
        <v>274</v>
      </c>
      <c r="AI523" s="76">
        <v>0</v>
      </c>
      <c r="AJ523" s="76">
        <v>53</v>
      </c>
      <c r="AK523" s="76">
        <v>145</v>
      </c>
      <c r="AL523" s="76" t="b">
        <v>0</v>
      </c>
      <c r="AM523" s="78">
        <v>42459.481932870367</v>
      </c>
      <c r="AN523" s="76" t="s">
        <v>13125</v>
      </c>
      <c r="AO523" s="76" t="s">
        <v>13698</v>
      </c>
      <c r="AP523" s="82" t="str">
        <f>HYPERLINK("https://t.co/vYje32lbBE")</f>
        <v>https://t.co/vYje32lbBE</v>
      </c>
      <c r="AQ523" s="82" t="str">
        <f>HYPERLINK("http://www.aravanlabs.com.uy")</f>
        <v>http://www.aravanlabs.com.uy</v>
      </c>
      <c r="AR523" s="76" t="s">
        <v>14225</v>
      </c>
      <c r="AS523" s="76"/>
      <c r="AT523" s="76"/>
      <c r="AU523" s="76"/>
      <c r="AV523" s="76">
        <v>1.45843184838061E+18</v>
      </c>
      <c r="AW523" s="82" t="str">
        <f>HYPERLINK("https://t.co/vYje32lbBE")</f>
        <v>https://t.co/vYje32lbBE</v>
      </c>
      <c r="AX523" s="76" t="b">
        <v>0</v>
      </c>
      <c r="AY523" s="76"/>
      <c r="AZ523" s="76"/>
      <c r="BA523" s="76" t="b">
        <v>0</v>
      </c>
      <c r="BB523" s="76" t="b">
        <v>1</v>
      </c>
      <c r="BC523" s="76" t="b">
        <v>1</v>
      </c>
      <c r="BD523" s="76" t="b">
        <v>0</v>
      </c>
      <c r="BE523" s="76" t="b">
        <v>1</v>
      </c>
      <c r="BF523" s="76" t="b">
        <v>0</v>
      </c>
      <c r="BG523" s="76" t="b">
        <v>0</v>
      </c>
      <c r="BH523" s="82" t="str">
        <f>HYPERLINK("https://pbs.twimg.com/profile_banners/715140008869556225/1614692865")</f>
        <v>https://pbs.twimg.com/profile_banners/715140008869556225/1614692865</v>
      </c>
      <c r="BI523" s="76"/>
      <c r="BJ523" s="76" t="s">
        <v>14450</v>
      </c>
      <c r="BK523" s="76" t="b">
        <v>0</v>
      </c>
      <c r="BL523" s="76"/>
      <c r="BM523" s="76" t="s">
        <v>66</v>
      </c>
      <c r="BN523" s="76" t="s">
        <v>14452</v>
      </c>
      <c r="BO523" s="82" t="str">
        <f>HYPERLINK("https://twitter.com/aravanlabs1")</f>
        <v>https://twitter.com/aravanlabs1</v>
      </c>
      <c r="BP523" s="2"/>
    </row>
    <row r="524" spans="1:68" x14ac:dyDescent="0.25">
      <c r="A524" s="62" t="s">
        <v>667</v>
      </c>
      <c r="B524" s="63"/>
      <c r="C524" s="63"/>
      <c r="D524" s="64"/>
      <c r="E524" s="66"/>
      <c r="F524" s="103" t="str">
        <f>HYPERLINK("https://pbs.twimg.com/profile_images/1478333292411764743/Mu6sHqth_normal.jpg")</f>
        <v>https://pbs.twimg.com/profile_images/1478333292411764743/Mu6sHqth_normal.jpg</v>
      </c>
      <c r="G524" s="63"/>
      <c r="H524" s="67"/>
      <c r="I524" s="68"/>
      <c r="J524" s="68"/>
      <c r="K524" s="67" t="s">
        <v>14973</v>
      </c>
      <c r="L524" s="71"/>
      <c r="M524" s="72"/>
      <c r="N524" s="72"/>
      <c r="O524" s="73"/>
      <c r="P524" s="74"/>
      <c r="Q524" s="74"/>
      <c r="R524" s="87"/>
      <c r="S524" s="87"/>
      <c r="T524" s="87"/>
      <c r="U524" s="87"/>
      <c r="V524" s="48"/>
      <c r="W524" s="48"/>
      <c r="X524" s="48"/>
      <c r="Y524" s="48"/>
      <c r="Z524" s="47"/>
      <c r="AA524" s="69">
        <v>524</v>
      </c>
      <c r="AB524" s="69"/>
      <c r="AC524" s="70"/>
      <c r="AD524" s="76" t="s">
        <v>12254</v>
      </c>
      <c r="AE524" s="80" t="s">
        <v>11630</v>
      </c>
      <c r="AF524" s="76">
        <v>86</v>
      </c>
      <c r="AG524" s="76">
        <v>305</v>
      </c>
      <c r="AH524" s="76">
        <v>711</v>
      </c>
      <c r="AI524" s="76">
        <v>4</v>
      </c>
      <c r="AJ524" s="76">
        <v>1095</v>
      </c>
      <c r="AK524" s="76">
        <v>478</v>
      </c>
      <c r="AL524" s="76" t="b">
        <v>0</v>
      </c>
      <c r="AM524" s="78">
        <v>43552.499976851854</v>
      </c>
      <c r="AN524" s="76" t="s">
        <v>13126</v>
      </c>
      <c r="AO524" s="76" t="s">
        <v>13699</v>
      </c>
      <c r="AP524" s="82" t="str">
        <f>HYPERLINK("https://t.co/kLUQfTW5PG")</f>
        <v>https://t.co/kLUQfTW5PG</v>
      </c>
      <c r="AQ524" s="82" t="str">
        <f>HYPERLINK("http://www.blogmarket.org")</f>
        <v>http://www.blogmarket.org</v>
      </c>
      <c r="AR524" s="76" t="s">
        <v>4315</v>
      </c>
      <c r="AS524" s="76"/>
      <c r="AT524" s="76"/>
      <c r="AU524" s="76"/>
      <c r="AV524" s="76"/>
      <c r="AW524" s="82" t="str">
        <f>HYPERLINK("https://t.co/kLUQfTW5PG")</f>
        <v>https://t.co/kLUQfTW5PG</v>
      </c>
      <c r="AX524" s="76" t="b">
        <v>0</v>
      </c>
      <c r="AY524" s="76"/>
      <c r="AZ524" s="76"/>
      <c r="BA524" s="76" t="b">
        <v>0</v>
      </c>
      <c r="BB524" s="76" t="b">
        <v>1</v>
      </c>
      <c r="BC524" s="76" t="b">
        <v>1</v>
      </c>
      <c r="BD524" s="76" t="b">
        <v>0</v>
      </c>
      <c r="BE524" s="76" t="b">
        <v>0</v>
      </c>
      <c r="BF524" s="76" t="b">
        <v>0</v>
      </c>
      <c r="BG524" s="76" t="b">
        <v>0</v>
      </c>
      <c r="BH524" s="82" t="str">
        <f>HYPERLINK("https://pbs.twimg.com/profile_banners/1111236485238398977/1587820235")</f>
        <v>https://pbs.twimg.com/profile_banners/1111236485238398977/1587820235</v>
      </c>
      <c r="BI524" s="76"/>
      <c r="BJ524" s="76" t="s">
        <v>14450</v>
      </c>
      <c r="BK524" s="76" t="b">
        <v>0</v>
      </c>
      <c r="BL524" s="76"/>
      <c r="BM524" s="76" t="s">
        <v>66</v>
      </c>
      <c r="BN524" s="76" t="s">
        <v>14452</v>
      </c>
      <c r="BO524" s="82" t="str">
        <f>HYPERLINK("https://twitter.com/infoblogmarket")</f>
        <v>https://twitter.com/infoblogmarket</v>
      </c>
      <c r="BP524" s="2"/>
    </row>
    <row r="525" spans="1:68" x14ac:dyDescent="0.25">
      <c r="A525" s="62" t="s">
        <v>668</v>
      </c>
      <c r="B525" s="63"/>
      <c r="C525" s="63"/>
      <c r="D525" s="64"/>
      <c r="E525" s="66"/>
      <c r="F525" s="103" t="str">
        <f>HYPERLINK("https://pbs.twimg.com/profile_images/1647721276541206531/gTmBTSU3_normal.jpg")</f>
        <v>https://pbs.twimg.com/profile_images/1647721276541206531/gTmBTSU3_normal.jpg</v>
      </c>
      <c r="G525" s="63"/>
      <c r="H525" s="67"/>
      <c r="I525" s="68"/>
      <c r="J525" s="68"/>
      <c r="K525" s="67" t="s">
        <v>14974</v>
      </c>
      <c r="L525" s="71"/>
      <c r="M525" s="72"/>
      <c r="N525" s="72"/>
      <c r="O525" s="73"/>
      <c r="P525" s="74"/>
      <c r="Q525" s="74"/>
      <c r="R525" s="87"/>
      <c r="S525" s="87"/>
      <c r="T525" s="87"/>
      <c r="U525" s="87"/>
      <c r="V525" s="48"/>
      <c r="W525" s="48"/>
      <c r="X525" s="48"/>
      <c r="Y525" s="48"/>
      <c r="Z525" s="47"/>
      <c r="AA525" s="69">
        <v>525</v>
      </c>
      <c r="AB525" s="69"/>
      <c r="AC525" s="70"/>
      <c r="AD525" s="76" t="s">
        <v>12255</v>
      </c>
      <c r="AE525" s="80" t="s">
        <v>12737</v>
      </c>
      <c r="AF525" s="76">
        <v>115</v>
      </c>
      <c r="AG525" s="76">
        <v>193</v>
      </c>
      <c r="AH525" s="76">
        <v>23</v>
      </c>
      <c r="AI525" s="76">
        <v>0</v>
      </c>
      <c r="AJ525" s="76">
        <v>8</v>
      </c>
      <c r="AK525" s="76">
        <v>16</v>
      </c>
      <c r="AL525" s="76" t="b">
        <v>0</v>
      </c>
      <c r="AM525" s="78">
        <v>41797.037800925929</v>
      </c>
      <c r="AN525" s="76" t="s">
        <v>7763</v>
      </c>
      <c r="AO525" s="76" t="s">
        <v>13700</v>
      </c>
      <c r="AP525" s="82" t="str">
        <f>HYPERLINK("https://t.co/fQHN8o06RS")</f>
        <v>https://t.co/fQHN8o06RS</v>
      </c>
      <c r="AQ525" s="82" t="str">
        <f>HYPERLINK("https://www.apsd.com.br/")</f>
        <v>https://www.apsd.com.br/</v>
      </c>
      <c r="AR525" s="76" t="s">
        <v>14226</v>
      </c>
      <c r="AS525" s="76"/>
      <c r="AT525" s="76"/>
      <c r="AU525" s="76"/>
      <c r="AV525" s="76"/>
      <c r="AW525" s="82" t="str">
        <f>HYPERLINK("https://t.co/fQHN8o06RS")</f>
        <v>https://t.co/fQHN8o06RS</v>
      </c>
      <c r="AX525" s="76" t="b">
        <v>0</v>
      </c>
      <c r="AY525" s="76"/>
      <c r="AZ525" s="76"/>
      <c r="BA525" s="76" t="b">
        <v>0</v>
      </c>
      <c r="BB525" s="76" t="b">
        <v>1</v>
      </c>
      <c r="BC525" s="76" t="b">
        <v>0</v>
      </c>
      <c r="BD525" s="76" t="b">
        <v>0</v>
      </c>
      <c r="BE525" s="76" t="b">
        <v>0</v>
      </c>
      <c r="BF525" s="76" t="b">
        <v>0</v>
      </c>
      <c r="BG525" s="76" t="b">
        <v>0</v>
      </c>
      <c r="BH525" s="82" t="str">
        <f>HYPERLINK("https://pbs.twimg.com/profile_banners/2551290295/1678899782")</f>
        <v>https://pbs.twimg.com/profile_banners/2551290295/1678899782</v>
      </c>
      <c r="BI525" s="76"/>
      <c r="BJ525" s="76" t="s">
        <v>14450</v>
      </c>
      <c r="BK525" s="76" t="b">
        <v>0</v>
      </c>
      <c r="BL525" s="76"/>
      <c r="BM525" s="76" t="s">
        <v>66</v>
      </c>
      <c r="BN525" s="76" t="s">
        <v>14452</v>
      </c>
      <c r="BO525" s="82" t="str">
        <f>HYPERLINK("https://twitter.com/apsddesign")</f>
        <v>https://twitter.com/apsddesign</v>
      </c>
      <c r="BP525" s="2"/>
    </row>
    <row r="526" spans="1:68" x14ac:dyDescent="0.25">
      <c r="A526" s="62" t="s">
        <v>669</v>
      </c>
      <c r="B526" s="63"/>
      <c r="C526" s="63"/>
      <c r="D526" s="64"/>
      <c r="E526" s="66"/>
      <c r="F526" s="103" t="str">
        <f>HYPERLINK("https://pbs.twimg.com/profile_images/1594679736109760513/mw2eW8HL_normal.jpg")</f>
        <v>https://pbs.twimg.com/profile_images/1594679736109760513/mw2eW8HL_normal.jpg</v>
      </c>
      <c r="G526" s="63"/>
      <c r="H526" s="67"/>
      <c r="I526" s="68"/>
      <c r="J526" s="68"/>
      <c r="K526" s="67" t="s">
        <v>14975</v>
      </c>
      <c r="L526" s="71"/>
      <c r="M526" s="72"/>
      <c r="N526" s="72"/>
      <c r="O526" s="73"/>
      <c r="P526" s="74"/>
      <c r="Q526" s="74"/>
      <c r="R526" s="87"/>
      <c r="S526" s="87"/>
      <c r="T526" s="87"/>
      <c r="U526" s="87"/>
      <c r="V526" s="48"/>
      <c r="W526" s="48"/>
      <c r="X526" s="48"/>
      <c r="Y526" s="48"/>
      <c r="Z526" s="47"/>
      <c r="AA526" s="69">
        <v>526</v>
      </c>
      <c r="AB526" s="69"/>
      <c r="AC526" s="70"/>
      <c r="AD526" s="76" t="s">
        <v>12256</v>
      </c>
      <c r="AE526" s="80" t="s">
        <v>12738</v>
      </c>
      <c r="AF526" s="76">
        <v>96</v>
      </c>
      <c r="AG526" s="76">
        <v>272</v>
      </c>
      <c r="AH526" s="76">
        <v>886</v>
      </c>
      <c r="AI526" s="76">
        <v>0</v>
      </c>
      <c r="AJ526" s="76">
        <v>818</v>
      </c>
      <c r="AK526" s="76">
        <v>113</v>
      </c>
      <c r="AL526" s="76" t="b">
        <v>0</v>
      </c>
      <c r="AM526" s="78">
        <v>40783.935995370368</v>
      </c>
      <c r="AN526" s="76" t="s">
        <v>12912</v>
      </c>
      <c r="AO526" s="76" t="s">
        <v>13701</v>
      </c>
      <c r="AP526" s="76"/>
      <c r="AQ526" s="76"/>
      <c r="AR526" s="76"/>
      <c r="AS526" s="76"/>
      <c r="AT526" s="76"/>
      <c r="AU526" s="76"/>
      <c r="AV526" s="76">
        <v>1.39315483415774E+18</v>
      </c>
      <c r="AW526" s="76"/>
      <c r="AX526" s="76" t="b">
        <v>0</v>
      </c>
      <c r="AY526" s="76"/>
      <c r="AZ526" s="76"/>
      <c r="BA526" s="76" t="b">
        <v>0</v>
      </c>
      <c r="BB526" s="76" t="b">
        <v>1</v>
      </c>
      <c r="BC526" s="76" t="b">
        <v>1</v>
      </c>
      <c r="BD526" s="76" t="b">
        <v>0</v>
      </c>
      <c r="BE526" s="76" t="b">
        <v>0</v>
      </c>
      <c r="BF526" s="76" t="b">
        <v>0</v>
      </c>
      <c r="BG526" s="76" t="b">
        <v>0</v>
      </c>
      <c r="BH526" s="82" t="str">
        <f>HYPERLINK("https://pbs.twimg.com/profile_banners/363917446/1441143258")</f>
        <v>https://pbs.twimg.com/profile_banners/363917446/1441143258</v>
      </c>
      <c r="BI526" s="76"/>
      <c r="BJ526" s="76" t="s">
        <v>14450</v>
      </c>
      <c r="BK526" s="76" t="b">
        <v>0</v>
      </c>
      <c r="BL526" s="76"/>
      <c r="BM526" s="76" t="s">
        <v>66</v>
      </c>
      <c r="BN526" s="76" t="s">
        <v>14452</v>
      </c>
      <c r="BO526" s="82" t="str">
        <f>HYPERLINK("https://twitter.com/pollodbienpegao")</f>
        <v>https://twitter.com/pollodbienpegao</v>
      </c>
      <c r="BP526" s="2"/>
    </row>
    <row r="527" spans="1:68" x14ac:dyDescent="0.25">
      <c r="A527" s="62" t="s">
        <v>670</v>
      </c>
      <c r="B527" s="63"/>
      <c r="C527" s="63"/>
      <c r="D527" s="64"/>
      <c r="E527" s="66"/>
      <c r="F527" s="103" t="str">
        <f>HYPERLINK("https://pbs.twimg.com/profile_images/1669691295089008640/4BJaah67_normal.jpg")</f>
        <v>https://pbs.twimg.com/profile_images/1669691295089008640/4BJaah67_normal.jpg</v>
      </c>
      <c r="G527" s="63"/>
      <c r="H527" s="67"/>
      <c r="I527" s="68"/>
      <c r="J527" s="68"/>
      <c r="K527" s="67" t="s">
        <v>14976</v>
      </c>
      <c r="L527" s="71"/>
      <c r="M527" s="72"/>
      <c r="N527" s="72"/>
      <c r="O527" s="73"/>
      <c r="P527" s="74"/>
      <c r="Q527" s="74"/>
      <c r="R527" s="87"/>
      <c r="S527" s="87"/>
      <c r="T527" s="87"/>
      <c r="U527" s="87"/>
      <c r="V527" s="48"/>
      <c r="W527" s="48"/>
      <c r="X527" s="48"/>
      <c r="Y527" s="48"/>
      <c r="Z527" s="47"/>
      <c r="AA527" s="69">
        <v>527</v>
      </c>
      <c r="AB527" s="69"/>
      <c r="AC527" s="70"/>
      <c r="AD527" s="76" t="s">
        <v>12257</v>
      </c>
      <c r="AE527" s="80" t="s">
        <v>11631</v>
      </c>
      <c r="AF527" s="76">
        <v>0</v>
      </c>
      <c r="AG527" s="76">
        <v>2</v>
      </c>
      <c r="AH527" s="76">
        <v>40</v>
      </c>
      <c r="AI527" s="76">
        <v>0</v>
      </c>
      <c r="AJ527" s="76">
        <v>16</v>
      </c>
      <c r="AK527" s="76">
        <v>0</v>
      </c>
      <c r="AL527" s="76" t="b">
        <v>0</v>
      </c>
      <c r="AM527" s="78">
        <v>45091.518009259256</v>
      </c>
      <c r="AN527" s="76"/>
      <c r="AO527" s="76" t="s">
        <v>13702</v>
      </c>
      <c r="AP527" s="82" t="str">
        <f>HYPERLINK("https://t.co/rV0WheMGKm")</f>
        <v>https://t.co/rV0WheMGKm</v>
      </c>
      <c r="AQ527" s="82" t="str">
        <f>HYPERLINK("https://localapp.com/lang_pt_br/")</f>
        <v>https://localapp.com/lang_pt_br/</v>
      </c>
      <c r="AR527" s="76" t="s">
        <v>14227</v>
      </c>
      <c r="AS527" s="76"/>
      <c r="AT527" s="76"/>
      <c r="AU527" s="76"/>
      <c r="AV527" s="76">
        <v>1.6766656440523599E+18</v>
      </c>
      <c r="AW527" s="82" t="str">
        <f>HYPERLINK("https://t.co/rV0WheMGKm")</f>
        <v>https://t.co/rV0WheMGKm</v>
      </c>
      <c r="AX527" s="76" t="b">
        <v>0</v>
      </c>
      <c r="AY527" s="76"/>
      <c r="AZ527" s="76"/>
      <c r="BA527" s="76" t="b">
        <v>0</v>
      </c>
      <c r="BB527" s="76" t="b">
        <v>1</v>
      </c>
      <c r="BC527" s="76" t="b">
        <v>1</v>
      </c>
      <c r="BD527" s="76" t="b">
        <v>0</v>
      </c>
      <c r="BE527" s="76" t="b">
        <v>0</v>
      </c>
      <c r="BF527" s="76" t="b">
        <v>0</v>
      </c>
      <c r="BG527" s="76" t="b">
        <v>0</v>
      </c>
      <c r="BH527" s="76"/>
      <c r="BI527" s="76"/>
      <c r="BJ527" s="76" t="s">
        <v>14450</v>
      </c>
      <c r="BK527" s="76" t="b">
        <v>0</v>
      </c>
      <c r="BL527" s="76"/>
      <c r="BM527" s="76" t="s">
        <v>66</v>
      </c>
      <c r="BN527" s="76" t="s">
        <v>14452</v>
      </c>
      <c r="BO527" s="82" t="str">
        <f>HYPERLINK("https://twitter.com/localappbr")</f>
        <v>https://twitter.com/localappbr</v>
      </c>
      <c r="BP527" s="2"/>
    </row>
    <row r="528" spans="1:68" x14ac:dyDescent="0.25">
      <c r="A528" s="62" t="s">
        <v>671</v>
      </c>
      <c r="B528" s="63"/>
      <c r="C528" s="63"/>
      <c r="D528" s="64"/>
      <c r="E528" s="66"/>
      <c r="F528" s="103" t="str">
        <f>HYPERLINK("https://pbs.twimg.com/profile_images/1654152308224057345/lUeTWMSo_normal.jpg")</f>
        <v>https://pbs.twimg.com/profile_images/1654152308224057345/lUeTWMSo_normal.jpg</v>
      </c>
      <c r="G528" s="63"/>
      <c r="H528" s="67"/>
      <c r="I528" s="68"/>
      <c r="J528" s="68"/>
      <c r="K528" s="67" t="s">
        <v>14977</v>
      </c>
      <c r="L528" s="71"/>
      <c r="M528" s="72"/>
      <c r="N528" s="72"/>
      <c r="O528" s="73"/>
      <c r="P528" s="74"/>
      <c r="Q528" s="74"/>
      <c r="R528" s="87"/>
      <c r="S528" s="87"/>
      <c r="T528" s="87"/>
      <c r="U528" s="87"/>
      <c r="V528" s="48"/>
      <c r="W528" s="48"/>
      <c r="X528" s="48"/>
      <c r="Y528" s="48"/>
      <c r="Z528" s="47"/>
      <c r="AA528" s="69">
        <v>528</v>
      </c>
      <c r="AB528" s="69"/>
      <c r="AC528" s="70"/>
      <c r="AD528" s="76" t="s">
        <v>12258</v>
      </c>
      <c r="AE528" s="80" t="s">
        <v>11632</v>
      </c>
      <c r="AF528" s="76">
        <v>1</v>
      </c>
      <c r="AG528" s="76">
        <v>1</v>
      </c>
      <c r="AH528" s="76">
        <v>25</v>
      </c>
      <c r="AI528" s="76">
        <v>0</v>
      </c>
      <c r="AJ528" s="76">
        <v>0</v>
      </c>
      <c r="AK528" s="76">
        <v>21</v>
      </c>
      <c r="AL528" s="76" t="b">
        <v>0</v>
      </c>
      <c r="AM528" s="78">
        <v>45050.66064814815</v>
      </c>
      <c r="AN528" s="76" t="s">
        <v>7809</v>
      </c>
      <c r="AO528" s="76" t="s">
        <v>13703</v>
      </c>
      <c r="AP528" s="82" t="str">
        <f>HYPERLINK("https://t.co/X52dOAKzFN")</f>
        <v>https://t.co/X52dOAKzFN</v>
      </c>
      <c r="AQ528" s="82" t="str">
        <f>HYPERLINK("https://linktr.ee/mitoraiam")</f>
        <v>https://linktr.ee/mitoraiam</v>
      </c>
      <c r="AR528" s="76" t="s">
        <v>14228</v>
      </c>
      <c r="AS528" s="76"/>
      <c r="AT528" s="76"/>
      <c r="AU528" s="76"/>
      <c r="AV528" s="76"/>
      <c r="AW528" s="82" t="str">
        <f>HYPERLINK("https://t.co/X52dOAKzFN")</f>
        <v>https://t.co/X52dOAKzFN</v>
      </c>
      <c r="AX528" s="76" t="b">
        <v>0</v>
      </c>
      <c r="AY528" s="76"/>
      <c r="AZ528" s="76"/>
      <c r="BA528" s="76" t="b">
        <v>0</v>
      </c>
      <c r="BB528" s="76" t="b">
        <v>1</v>
      </c>
      <c r="BC528" s="76" t="b">
        <v>1</v>
      </c>
      <c r="BD528" s="76" t="b">
        <v>0</v>
      </c>
      <c r="BE528" s="76" t="b">
        <v>0</v>
      </c>
      <c r="BF528" s="76" t="b">
        <v>0</v>
      </c>
      <c r="BG528" s="76" t="b">
        <v>0</v>
      </c>
      <c r="BH528" s="82" t="str">
        <f>HYPERLINK("https://pbs.twimg.com/profile_banners/1654151662468988928/1683215643")</f>
        <v>https://pbs.twimg.com/profile_banners/1654151662468988928/1683215643</v>
      </c>
      <c r="BI528" s="76"/>
      <c r="BJ528" s="76" t="s">
        <v>14450</v>
      </c>
      <c r="BK528" s="76" t="b">
        <v>0</v>
      </c>
      <c r="BL528" s="76"/>
      <c r="BM528" s="76" t="s">
        <v>66</v>
      </c>
      <c r="BN528" s="76" t="s">
        <v>14452</v>
      </c>
      <c r="BO528" s="82" t="str">
        <f>HYPERLINK("https://twitter.com/mitoraiam")</f>
        <v>https://twitter.com/mitoraiam</v>
      </c>
      <c r="BP528" s="2"/>
    </row>
    <row r="529" spans="1:68" x14ac:dyDescent="0.25">
      <c r="A529" s="62" t="s">
        <v>672</v>
      </c>
      <c r="B529" s="63"/>
      <c r="C529" s="63"/>
      <c r="D529" s="64"/>
      <c r="E529" s="66"/>
      <c r="F529" s="103" t="str">
        <f>HYPERLINK("https://pbs.twimg.com/profile_images/1648318002310332416/g3rtzHA9_normal.png")</f>
        <v>https://pbs.twimg.com/profile_images/1648318002310332416/g3rtzHA9_normal.png</v>
      </c>
      <c r="G529" s="63"/>
      <c r="H529" s="67"/>
      <c r="I529" s="68"/>
      <c r="J529" s="68"/>
      <c r="K529" s="67" t="s">
        <v>14978</v>
      </c>
      <c r="L529" s="71"/>
      <c r="M529" s="72"/>
      <c r="N529" s="72"/>
      <c r="O529" s="73"/>
      <c r="P529" s="74"/>
      <c r="Q529" s="74"/>
      <c r="R529" s="87"/>
      <c r="S529" s="87"/>
      <c r="T529" s="87"/>
      <c r="U529" s="87"/>
      <c r="V529" s="48"/>
      <c r="W529" s="48"/>
      <c r="X529" s="48"/>
      <c r="Y529" s="48"/>
      <c r="Z529" s="47"/>
      <c r="AA529" s="69">
        <v>529</v>
      </c>
      <c r="AB529" s="69"/>
      <c r="AC529" s="70"/>
      <c r="AD529" s="76" t="s">
        <v>12259</v>
      </c>
      <c r="AE529" s="80" t="s">
        <v>12739</v>
      </c>
      <c r="AF529" s="76">
        <v>1534</v>
      </c>
      <c r="AG529" s="76">
        <v>1468</v>
      </c>
      <c r="AH529" s="76">
        <v>22454</v>
      </c>
      <c r="AI529" s="76">
        <v>18</v>
      </c>
      <c r="AJ529" s="76">
        <v>77</v>
      </c>
      <c r="AK529" s="76">
        <v>352</v>
      </c>
      <c r="AL529" s="76" t="b">
        <v>0</v>
      </c>
      <c r="AM529" s="78">
        <v>40038.661087962966</v>
      </c>
      <c r="AN529" s="76"/>
      <c r="AO529" s="76"/>
      <c r="AP529" s="76"/>
      <c r="AQ529" s="76"/>
      <c r="AR529" s="76"/>
      <c r="AS529" s="76"/>
      <c r="AT529" s="76"/>
      <c r="AU529" s="76"/>
      <c r="AV529" s="76"/>
      <c r="AW529" s="76"/>
      <c r="AX529" s="76" t="b">
        <v>0</v>
      </c>
      <c r="AY529" s="76"/>
      <c r="AZ529" s="76"/>
      <c r="BA529" s="76" t="b">
        <v>0</v>
      </c>
      <c r="BB529" s="76" t="b">
        <v>1</v>
      </c>
      <c r="BC529" s="76" t="b">
        <v>0</v>
      </c>
      <c r="BD529" s="76" t="b">
        <v>0</v>
      </c>
      <c r="BE529" s="76" t="b">
        <v>0</v>
      </c>
      <c r="BF529" s="76" t="b">
        <v>0</v>
      </c>
      <c r="BG529" s="76" t="b">
        <v>0</v>
      </c>
      <c r="BH529" s="76"/>
      <c r="BI529" s="76"/>
      <c r="BJ529" s="76" t="s">
        <v>14450</v>
      </c>
      <c r="BK529" s="76" t="b">
        <v>0</v>
      </c>
      <c r="BL529" s="76"/>
      <c r="BM529" s="76" t="s">
        <v>66</v>
      </c>
      <c r="BN529" s="76" t="s">
        <v>14452</v>
      </c>
      <c r="BO529" s="82" t="str">
        <f>HYPERLINK("https://twitter.com/melodionisio")</f>
        <v>https://twitter.com/melodionisio</v>
      </c>
      <c r="BP529" s="2"/>
    </row>
    <row r="530" spans="1:68" x14ac:dyDescent="0.25">
      <c r="A530" s="62" t="s">
        <v>673</v>
      </c>
      <c r="B530" s="63"/>
      <c r="C530" s="63"/>
      <c r="D530" s="64"/>
      <c r="E530" s="66"/>
      <c r="F530" s="103" t="str">
        <f>HYPERLINK("https://pbs.twimg.com/profile_images/1618934977311264768/48M7r9no_normal.jpg")</f>
        <v>https://pbs.twimg.com/profile_images/1618934977311264768/48M7r9no_normal.jpg</v>
      </c>
      <c r="G530" s="63"/>
      <c r="H530" s="67"/>
      <c r="I530" s="68"/>
      <c r="J530" s="68"/>
      <c r="K530" s="67" t="s">
        <v>14979</v>
      </c>
      <c r="L530" s="71"/>
      <c r="M530" s="72"/>
      <c r="N530" s="72"/>
      <c r="O530" s="73"/>
      <c r="P530" s="74"/>
      <c r="Q530" s="74"/>
      <c r="R530" s="87"/>
      <c r="S530" s="87"/>
      <c r="T530" s="87"/>
      <c r="U530" s="87"/>
      <c r="V530" s="48"/>
      <c r="W530" s="48"/>
      <c r="X530" s="48"/>
      <c r="Y530" s="48"/>
      <c r="Z530" s="47"/>
      <c r="AA530" s="69">
        <v>530</v>
      </c>
      <c r="AB530" s="69"/>
      <c r="AC530" s="70"/>
      <c r="AD530" s="76" t="s">
        <v>12260</v>
      </c>
      <c r="AE530" s="80" t="s">
        <v>11633</v>
      </c>
      <c r="AF530" s="76">
        <v>331</v>
      </c>
      <c r="AG530" s="76">
        <v>145</v>
      </c>
      <c r="AH530" s="76">
        <v>1843</v>
      </c>
      <c r="AI530" s="76">
        <v>1</v>
      </c>
      <c r="AJ530" s="76">
        <v>675</v>
      </c>
      <c r="AK530" s="76">
        <v>1290</v>
      </c>
      <c r="AL530" s="76" t="b">
        <v>0</v>
      </c>
      <c r="AM530" s="78">
        <v>44953.479872685188</v>
      </c>
      <c r="AN530" s="76" t="s">
        <v>7873</v>
      </c>
      <c r="AO530" s="76" t="s">
        <v>13704</v>
      </c>
      <c r="AP530" s="82" t="str">
        <f>HYPERLINK("https://t.co/vBsxntu7V1")</f>
        <v>https://t.co/vBsxntu7V1</v>
      </c>
      <c r="AQ530" s="82" t="str">
        <f>HYPERLINK("https://plantillascv.es/")</f>
        <v>https://plantillascv.es/</v>
      </c>
      <c r="AR530" s="76" t="s">
        <v>4316</v>
      </c>
      <c r="AS530" s="76"/>
      <c r="AT530" s="76"/>
      <c r="AU530" s="76"/>
      <c r="AV530" s="76">
        <v>1.67592673348721E+18</v>
      </c>
      <c r="AW530" s="82" t="str">
        <f>HYPERLINK("https://t.co/vBsxntu7V1")</f>
        <v>https://t.co/vBsxntu7V1</v>
      </c>
      <c r="AX530" s="76" t="b">
        <v>0</v>
      </c>
      <c r="AY530" s="76"/>
      <c r="AZ530" s="76"/>
      <c r="BA530" s="76" t="b">
        <v>0</v>
      </c>
      <c r="BB530" s="76" t="b">
        <v>1</v>
      </c>
      <c r="BC530" s="76" t="b">
        <v>1</v>
      </c>
      <c r="BD530" s="76" t="b">
        <v>0</v>
      </c>
      <c r="BE530" s="76" t="b">
        <v>0</v>
      </c>
      <c r="BF530" s="76" t="b">
        <v>0</v>
      </c>
      <c r="BG530" s="76" t="b">
        <v>0</v>
      </c>
      <c r="BH530" s="82" t="str">
        <f>HYPERLINK("https://pbs.twimg.com/profile_banners/1618934535244193795/1674820305")</f>
        <v>https://pbs.twimg.com/profile_banners/1618934535244193795/1674820305</v>
      </c>
      <c r="BI530" s="76"/>
      <c r="BJ530" s="76" t="s">
        <v>14450</v>
      </c>
      <c r="BK530" s="76" t="b">
        <v>0</v>
      </c>
      <c r="BL530" s="76"/>
      <c r="BM530" s="76" t="s">
        <v>66</v>
      </c>
      <c r="BN530" s="76" t="s">
        <v>14452</v>
      </c>
      <c r="BO530" s="82" t="str">
        <f>HYPERLINK("https://twitter.com/cvplantillas")</f>
        <v>https://twitter.com/cvplantillas</v>
      </c>
      <c r="BP530" s="2"/>
    </row>
    <row r="531" spans="1:68" x14ac:dyDescent="0.25">
      <c r="A531" s="62" t="s">
        <v>674</v>
      </c>
      <c r="B531" s="63"/>
      <c r="C531" s="63"/>
      <c r="D531" s="64"/>
      <c r="E531" s="66"/>
      <c r="F531" s="103" t="str">
        <f>HYPERLINK("https://pbs.twimg.com/profile_images/672838201887875072/tVF5Lxjd_normal.jpg")</f>
        <v>https://pbs.twimg.com/profile_images/672838201887875072/tVF5Lxjd_normal.jpg</v>
      </c>
      <c r="G531" s="63"/>
      <c r="H531" s="67"/>
      <c r="I531" s="68"/>
      <c r="J531" s="68"/>
      <c r="K531" s="67" t="s">
        <v>14980</v>
      </c>
      <c r="L531" s="71"/>
      <c r="M531" s="72"/>
      <c r="N531" s="72"/>
      <c r="O531" s="73"/>
      <c r="P531" s="74"/>
      <c r="Q531" s="74"/>
      <c r="R531" s="87"/>
      <c r="S531" s="87"/>
      <c r="T531" s="87"/>
      <c r="U531" s="87"/>
      <c r="V531" s="48"/>
      <c r="W531" s="48"/>
      <c r="X531" s="48"/>
      <c r="Y531" s="48"/>
      <c r="Z531" s="47"/>
      <c r="AA531" s="69">
        <v>531</v>
      </c>
      <c r="AB531" s="69"/>
      <c r="AC531" s="70"/>
      <c r="AD531" s="76" t="s">
        <v>12261</v>
      </c>
      <c r="AE531" s="80" t="s">
        <v>12740</v>
      </c>
      <c r="AF531" s="76">
        <v>733</v>
      </c>
      <c r="AG531" s="76">
        <v>978</v>
      </c>
      <c r="AH531" s="76">
        <v>10021</v>
      </c>
      <c r="AI531" s="76">
        <v>186</v>
      </c>
      <c r="AJ531" s="76">
        <v>11338</v>
      </c>
      <c r="AK531" s="76">
        <v>384</v>
      </c>
      <c r="AL531" s="76" t="b">
        <v>0</v>
      </c>
      <c r="AM531" s="78">
        <v>42315.715810185182</v>
      </c>
      <c r="AN531" s="76" t="s">
        <v>13127</v>
      </c>
      <c r="AO531" s="76" t="s">
        <v>13705</v>
      </c>
      <c r="AP531" s="82" t="str">
        <f>HYPERLINK("https://t.co/LvGSweIilc")</f>
        <v>https://t.co/LvGSweIilc</v>
      </c>
      <c r="AQ531" s="82" t="str">
        <f>HYPERLINK("https://plantillascv.es/")</f>
        <v>https://plantillascv.es/</v>
      </c>
      <c r="AR531" s="76" t="s">
        <v>4316</v>
      </c>
      <c r="AS531" s="76"/>
      <c r="AT531" s="76"/>
      <c r="AU531" s="76"/>
      <c r="AV531" s="76">
        <v>1.6185664849213E+18</v>
      </c>
      <c r="AW531" s="82" t="str">
        <f>HYPERLINK("https://t.co/LvGSweIilc")</f>
        <v>https://t.co/LvGSweIilc</v>
      </c>
      <c r="AX531" s="76" t="b">
        <v>0</v>
      </c>
      <c r="AY531" s="76"/>
      <c r="AZ531" s="76"/>
      <c r="BA531" s="76" t="b">
        <v>0</v>
      </c>
      <c r="BB531" s="76" t="b">
        <v>1</v>
      </c>
      <c r="BC531" s="76" t="b">
        <v>1</v>
      </c>
      <c r="BD531" s="76" t="b">
        <v>0</v>
      </c>
      <c r="BE531" s="76" t="b">
        <v>1</v>
      </c>
      <c r="BF531" s="76" t="b">
        <v>0</v>
      </c>
      <c r="BG531" s="76" t="b">
        <v>0</v>
      </c>
      <c r="BH531" s="82" t="str">
        <f>HYPERLINK("https://pbs.twimg.com/profile_banners/4135683418/1559928744")</f>
        <v>https://pbs.twimg.com/profile_banners/4135683418/1559928744</v>
      </c>
      <c r="BI531" s="76"/>
      <c r="BJ531" s="76" t="s">
        <v>14450</v>
      </c>
      <c r="BK531" s="76" t="b">
        <v>0</v>
      </c>
      <c r="BL531" s="76"/>
      <c r="BM531" s="76" t="s">
        <v>66</v>
      </c>
      <c r="BN531" s="76" t="s">
        <v>14452</v>
      </c>
      <c r="BO531" s="82" t="str">
        <f>HYPERLINK("https://twitter.com/luismanolos315")</f>
        <v>https://twitter.com/luismanolos315</v>
      </c>
      <c r="BP531" s="2"/>
    </row>
    <row r="532" spans="1:68" x14ac:dyDescent="0.25">
      <c r="A532" s="62" t="s">
        <v>675</v>
      </c>
      <c r="B532" s="63"/>
      <c r="C532" s="63"/>
      <c r="D532" s="64"/>
      <c r="E532" s="66"/>
      <c r="F532" s="103" t="str">
        <f>HYPERLINK("https://pbs.twimg.com/profile_images/1658509948760752132/Bl2FV94j_normal.jpg")</f>
        <v>https://pbs.twimg.com/profile_images/1658509948760752132/Bl2FV94j_normal.jpg</v>
      </c>
      <c r="G532" s="63"/>
      <c r="H532" s="67"/>
      <c r="I532" s="68"/>
      <c r="J532" s="68"/>
      <c r="K532" s="67" t="s">
        <v>14981</v>
      </c>
      <c r="L532" s="71"/>
      <c r="M532" s="72"/>
      <c r="N532" s="72"/>
      <c r="O532" s="73"/>
      <c r="P532" s="74"/>
      <c r="Q532" s="74"/>
      <c r="R532" s="87"/>
      <c r="S532" s="87"/>
      <c r="T532" s="87"/>
      <c r="U532" s="87"/>
      <c r="V532" s="48"/>
      <c r="W532" s="48"/>
      <c r="X532" s="48"/>
      <c r="Y532" s="48"/>
      <c r="Z532" s="47"/>
      <c r="AA532" s="69">
        <v>532</v>
      </c>
      <c r="AB532" s="69"/>
      <c r="AC532" s="70"/>
      <c r="AD532" s="76" t="s">
        <v>12262</v>
      </c>
      <c r="AE532" s="80" t="s">
        <v>11634</v>
      </c>
      <c r="AF532" s="76">
        <v>5287</v>
      </c>
      <c r="AG532" s="76">
        <v>28</v>
      </c>
      <c r="AH532" s="76">
        <v>1742</v>
      </c>
      <c r="AI532" s="76">
        <v>7</v>
      </c>
      <c r="AJ532" s="76">
        <v>1243</v>
      </c>
      <c r="AK532" s="76">
        <v>1428</v>
      </c>
      <c r="AL532" s="76" t="b">
        <v>0</v>
      </c>
      <c r="AM532" s="78">
        <v>44862.635034722225</v>
      </c>
      <c r="AN532" s="76" t="s">
        <v>13128</v>
      </c>
      <c r="AO532" s="76" t="s">
        <v>13706</v>
      </c>
      <c r="AP532" s="82" t="str">
        <f>HYPERLINK("https://t.co/q6UHUX21eM")</f>
        <v>https://t.co/q6UHUX21eM</v>
      </c>
      <c r="AQ532" s="82" t="str">
        <f>HYPERLINK("https://www.guardiacivil.es/es/institucional/normas_uso_de_twitter.html")</f>
        <v>https://www.guardiacivil.es/es/institucional/normas_uso_de_twitter.html</v>
      </c>
      <c r="AR532" s="76" t="s">
        <v>14229</v>
      </c>
      <c r="AS532" s="76"/>
      <c r="AT532" s="76"/>
      <c r="AU532" s="76"/>
      <c r="AV532" s="76">
        <v>1.7056698834117601E+18</v>
      </c>
      <c r="AW532" s="82" t="str">
        <f>HYPERLINK("https://t.co/q6UHUX21eM")</f>
        <v>https://t.co/q6UHUX21eM</v>
      </c>
      <c r="AX532" s="76" t="b">
        <v>1</v>
      </c>
      <c r="AY532" s="76"/>
      <c r="AZ532" s="76"/>
      <c r="BA532" s="76" t="b">
        <v>0</v>
      </c>
      <c r="BB532" s="76" t="b">
        <v>1</v>
      </c>
      <c r="BC532" s="76" t="b">
        <v>1</v>
      </c>
      <c r="BD532" s="76" t="b">
        <v>0</v>
      </c>
      <c r="BE532" s="76" t="b">
        <v>0</v>
      </c>
      <c r="BF532" s="76" t="b">
        <v>0</v>
      </c>
      <c r="BG532" s="76" t="b">
        <v>0</v>
      </c>
      <c r="BH532" s="82" t="str">
        <f>HYPERLINK("https://pbs.twimg.com/profile_banners/1586013445924814849/1666976670")</f>
        <v>https://pbs.twimg.com/profile_banners/1586013445924814849/1666976670</v>
      </c>
      <c r="BI532" s="76"/>
      <c r="BJ532" s="76" t="s">
        <v>14450</v>
      </c>
      <c r="BK532" s="76" t="b">
        <v>0</v>
      </c>
      <c r="BL532" s="76"/>
      <c r="BM532" s="76" t="s">
        <v>66</v>
      </c>
      <c r="BN532" s="76" t="s">
        <v>14452</v>
      </c>
      <c r="BO532" s="82" t="str">
        <f>HYPERLINK("https://twitter.com/navarragc")</f>
        <v>https://twitter.com/navarragc</v>
      </c>
      <c r="BP532" s="2"/>
    </row>
    <row r="533" spans="1:68" x14ac:dyDescent="0.25">
      <c r="A533" s="62" t="s">
        <v>676</v>
      </c>
      <c r="B533" s="63"/>
      <c r="C533" s="63"/>
      <c r="D533" s="64"/>
      <c r="E533" s="66"/>
      <c r="F533" s="103" t="str">
        <f>HYPERLINK("https://pbs.twimg.com/profile_images/1674425473257046017/DOwXD2Pm_normal.jpg")</f>
        <v>https://pbs.twimg.com/profile_images/1674425473257046017/DOwXD2Pm_normal.jpg</v>
      </c>
      <c r="G533" s="63"/>
      <c r="H533" s="67"/>
      <c r="I533" s="68"/>
      <c r="J533" s="68"/>
      <c r="K533" s="67" t="s">
        <v>14982</v>
      </c>
      <c r="L533" s="71"/>
      <c r="M533" s="72"/>
      <c r="N533" s="72"/>
      <c r="O533" s="73"/>
      <c r="P533" s="74"/>
      <c r="Q533" s="74"/>
      <c r="R533" s="87"/>
      <c r="S533" s="87"/>
      <c r="T533" s="87"/>
      <c r="U533" s="87"/>
      <c r="V533" s="48"/>
      <c r="W533" s="48"/>
      <c r="X533" s="48"/>
      <c r="Y533" s="48"/>
      <c r="Z533" s="47"/>
      <c r="AA533" s="69">
        <v>533</v>
      </c>
      <c r="AB533" s="69"/>
      <c r="AC533" s="70"/>
      <c r="AD533" s="76" t="s">
        <v>12263</v>
      </c>
      <c r="AE533" s="80" t="s">
        <v>11635</v>
      </c>
      <c r="AF533" s="76">
        <v>34</v>
      </c>
      <c r="AG533" s="76">
        <v>66</v>
      </c>
      <c r="AH533" s="76">
        <v>1027</v>
      </c>
      <c r="AI533" s="76">
        <v>0</v>
      </c>
      <c r="AJ533" s="76">
        <v>530</v>
      </c>
      <c r="AK533" s="76">
        <v>682</v>
      </c>
      <c r="AL533" s="76" t="b">
        <v>0</v>
      </c>
      <c r="AM533" s="78">
        <v>44510.425879629627</v>
      </c>
      <c r="AN533" s="76" t="s">
        <v>7791</v>
      </c>
      <c r="AO533" s="76" t="s">
        <v>13707</v>
      </c>
      <c r="AP533" s="82" t="str">
        <f>HYPERLINK("https://t.co/oCB7e9MVKb")</f>
        <v>https://t.co/oCB7e9MVKb</v>
      </c>
      <c r="AQ533" s="82" t="str">
        <f>HYPERLINK("http://storlabs.net")</f>
        <v>http://storlabs.net</v>
      </c>
      <c r="AR533" s="76" t="s">
        <v>14230</v>
      </c>
      <c r="AS533" s="76"/>
      <c r="AT533" s="76"/>
      <c r="AU533" s="76"/>
      <c r="AV533" s="76"/>
      <c r="AW533" s="82" t="str">
        <f>HYPERLINK("https://t.co/oCB7e9MVKb")</f>
        <v>https://t.co/oCB7e9MVKb</v>
      </c>
      <c r="AX533" s="76" t="b">
        <v>0</v>
      </c>
      <c r="AY533" s="76"/>
      <c r="AZ533" s="76"/>
      <c r="BA533" s="76" t="b">
        <v>0</v>
      </c>
      <c r="BB533" s="76" t="b">
        <v>1</v>
      </c>
      <c r="BC533" s="76" t="b">
        <v>1</v>
      </c>
      <c r="BD533" s="76" t="b">
        <v>0</v>
      </c>
      <c r="BE533" s="76" t="b">
        <v>1</v>
      </c>
      <c r="BF533" s="76" t="b">
        <v>0</v>
      </c>
      <c r="BG533" s="76" t="b">
        <v>0</v>
      </c>
      <c r="BH533" s="82" t="str">
        <f>HYPERLINK("https://pbs.twimg.com/profile_banners/1458377152169132040/1664034753")</f>
        <v>https://pbs.twimg.com/profile_banners/1458377152169132040/1664034753</v>
      </c>
      <c r="BI533" s="76"/>
      <c r="BJ533" s="76" t="s">
        <v>14450</v>
      </c>
      <c r="BK533" s="76" t="b">
        <v>0</v>
      </c>
      <c r="BL533" s="76"/>
      <c r="BM533" s="76" t="s">
        <v>66</v>
      </c>
      <c r="BN533" s="76" t="s">
        <v>14452</v>
      </c>
      <c r="BO533" s="82" t="str">
        <f>HYPERLINK("https://twitter.com/storlabsmkt")</f>
        <v>https://twitter.com/storlabsmkt</v>
      </c>
      <c r="BP533" s="2"/>
    </row>
    <row r="534" spans="1:68" x14ac:dyDescent="0.25">
      <c r="A534" s="62" t="s">
        <v>677</v>
      </c>
      <c r="B534" s="63"/>
      <c r="C534" s="63"/>
      <c r="D534" s="64"/>
      <c r="E534" s="66"/>
      <c r="F534" s="103" t="str">
        <f>HYPERLINK("https://pbs.twimg.com/profile_images/1300141427989643265/3VNF4jpA_normal.jpg")</f>
        <v>https://pbs.twimg.com/profile_images/1300141427989643265/3VNF4jpA_normal.jpg</v>
      </c>
      <c r="G534" s="63"/>
      <c r="H534" s="67"/>
      <c r="I534" s="68"/>
      <c r="J534" s="68"/>
      <c r="K534" s="67" t="s">
        <v>14983</v>
      </c>
      <c r="L534" s="71"/>
      <c r="M534" s="72"/>
      <c r="N534" s="72"/>
      <c r="O534" s="73"/>
      <c r="P534" s="74"/>
      <c r="Q534" s="74"/>
      <c r="R534" s="87"/>
      <c r="S534" s="87"/>
      <c r="T534" s="87"/>
      <c r="U534" s="87"/>
      <c r="V534" s="48"/>
      <c r="W534" s="48"/>
      <c r="X534" s="48"/>
      <c r="Y534" s="48"/>
      <c r="Z534" s="47"/>
      <c r="AA534" s="69">
        <v>534</v>
      </c>
      <c r="AB534" s="69"/>
      <c r="AC534" s="70"/>
      <c r="AD534" s="76" t="s">
        <v>12264</v>
      </c>
      <c r="AE534" s="80" t="s">
        <v>11636</v>
      </c>
      <c r="AF534" s="76">
        <v>119</v>
      </c>
      <c r="AG534" s="76">
        <v>275</v>
      </c>
      <c r="AH534" s="76">
        <v>45663</v>
      </c>
      <c r="AI534" s="76">
        <v>0</v>
      </c>
      <c r="AJ534" s="76">
        <v>17260</v>
      </c>
      <c r="AK534" s="76">
        <v>395</v>
      </c>
      <c r="AL534" s="76" t="b">
        <v>0</v>
      </c>
      <c r="AM534" s="78">
        <v>43348.956226851849</v>
      </c>
      <c r="AN534" s="76"/>
      <c r="AO534" s="76" t="s">
        <v>13708</v>
      </c>
      <c r="AP534" s="76"/>
      <c r="AQ534" s="76"/>
      <c r="AR534" s="76"/>
      <c r="AS534" s="76"/>
      <c r="AT534" s="76"/>
      <c r="AU534" s="76"/>
      <c r="AV534" s="76"/>
      <c r="AW534" s="76"/>
      <c r="AX534" s="76" t="b">
        <v>0</v>
      </c>
      <c r="AY534" s="76"/>
      <c r="AZ534" s="76"/>
      <c r="BA534" s="76" t="b">
        <v>0</v>
      </c>
      <c r="BB534" s="76" t="b">
        <v>0</v>
      </c>
      <c r="BC534" s="76" t="b">
        <v>1</v>
      </c>
      <c r="BD534" s="76" t="b">
        <v>0</v>
      </c>
      <c r="BE534" s="76" t="b">
        <v>0</v>
      </c>
      <c r="BF534" s="76" t="b">
        <v>0</v>
      </c>
      <c r="BG534" s="76" t="b">
        <v>0</v>
      </c>
      <c r="BH534" s="76"/>
      <c r="BI534" s="76"/>
      <c r="BJ534" s="76" t="s">
        <v>14450</v>
      </c>
      <c r="BK534" s="76" t="b">
        <v>0</v>
      </c>
      <c r="BL534" s="76"/>
      <c r="BM534" s="76" t="s">
        <v>66</v>
      </c>
      <c r="BN534" s="76" t="s">
        <v>14452</v>
      </c>
      <c r="BO534" s="82" t="str">
        <f>HYPERLINK("https://twitter.com/floraida17")</f>
        <v>https://twitter.com/floraida17</v>
      </c>
      <c r="BP534" s="2"/>
    </row>
    <row r="535" spans="1:68" x14ac:dyDescent="0.25">
      <c r="A535" s="62" t="s">
        <v>944</v>
      </c>
      <c r="B535" s="63"/>
      <c r="C535" s="63"/>
      <c r="D535" s="64"/>
      <c r="E535" s="66"/>
      <c r="F535" s="103" t="str">
        <f>HYPERLINK("https://pbs.twimg.com/profile_images/1680619449362141185/xwEgF6Fd_normal.jpg")</f>
        <v>https://pbs.twimg.com/profile_images/1680619449362141185/xwEgF6Fd_normal.jpg</v>
      </c>
      <c r="G535" s="63"/>
      <c r="H535" s="67"/>
      <c r="I535" s="68"/>
      <c r="J535" s="68"/>
      <c r="K535" s="67" t="s">
        <v>14984</v>
      </c>
      <c r="L535" s="71"/>
      <c r="M535" s="72"/>
      <c r="N535" s="72"/>
      <c r="O535" s="73"/>
      <c r="P535" s="74"/>
      <c r="Q535" s="74"/>
      <c r="R535" s="87"/>
      <c r="S535" s="87"/>
      <c r="T535" s="87"/>
      <c r="U535" s="87"/>
      <c r="V535" s="48"/>
      <c r="W535" s="48"/>
      <c r="X535" s="48"/>
      <c r="Y535" s="48"/>
      <c r="Z535" s="47"/>
      <c r="AA535" s="69">
        <v>535</v>
      </c>
      <c r="AB535" s="69"/>
      <c r="AC535" s="70"/>
      <c r="AD535" s="76" t="s">
        <v>12265</v>
      </c>
      <c r="AE535" s="80" t="s">
        <v>12741</v>
      </c>
      <c r="AF535" s="76">
        <v>18624</v>
      </c>
      <c r="AG535" s="76">
        <v>80</v>
      </c>
      <c r="AH535" s="76">
        <v>13930</v>
      </c>
      <c r="AI535" s="76">
        <v>46</v>
      </c>
      <c r="AJ535" s="76">
        <v>1146</v>
      </c>
      <c r="AK535" s="76">
        <v>2248</v>
      </c>
      <c r="AL535" s="76" t="b">
        <v>0</v>
      </c>
      <c r="AM535" s="78">
        <v>40122.437881944446</v>
      </c>
      <c r="AN535" s="76" t="s">
        <v>13129</v>
      </c>
      <c r="AO535" s="76" t="s">
        <v>13709</v>
      </c>
      <c r="AP535" s="82" t="str">
        <f>HYPERLINK("https://t.co/dHZvlXtr9a")</f>
        <v>https://t.co/dHZvlXtr9a</v>
      </c>
      <c r="AQ535" s="82" t="str">
        <f>HYPERLINK("https://www.facebook.com/danielalvarezroj")</f>
        <v>https://www.facebook.com/danielalvarezroj</v>
      </c>
      <c r="AR535" s="76" t="s">
        <v>14231</v>
      </c>
      <c r="AS535" s="76"/>
      <c r="AT535" s="76"/>
      <c r="AU535" s="76"/>
      <c r="AV535" s="76">
        <v>1.2058791734217101E+18</v>
      </c>
      <c r="AW535" s="82" t="str">
        <f>HYPERLINK("https://t.co/dHZvlXtr9a")</f>
        <v>https://t.co/dHZvlXtr9a</v>
      </c>
      <c r="AX535" s="76" t="b">
        <v>0</v>
      </c>
      <c r="AY535" s="76"/>
      <c r="AZ535" s="76"/>
      <c r="BA535" s="76" t="b">
        <v>1</v>
      </c>
      <c r="BB535" s="76" t="b">
        <v>1</v>
      </c>
      <c r="BC535" s="76" t="b">
        <v>0</v>
      </c>
      <c r="BD535" s="76" t="b">
        <v>0</v>
      </c>
      <c r="BE535" s="76" t="b">
        <v>1</v>
      </c>
      <c r="BF535" s="76" t="b">
        <v>0</v>
      </c>
      <c r="BG535" s="76" t="b">
        <v>0</v>
      </c>
      <c r="BH535" s="82" t="str">
        <f>HYPERLINK("https://pbs.twimg.com/profile_banners/87658476/1687741593")</f>
        <v>https://pbs.twimg.com/profile_banners/87658476/1687741593</v>
      </c>
      <c r="BI535" s="76"/>
      <c r="BJ535" s="76" t="s">
        <v>14450</v>
      </c>
      <c r="BK535" s="76" t="b">
        <v>0</v>
      </c>
      <c r="BL535" s="76"/>
      <c r="BM535" s="76" t="s">
        <v>65</v>
      </c>
      <c r="BN535" s="76" t="s">
        <v>14452</v>
      </c>
      <c r="BO535" s="82" t="str">
        <f>HYPERLINK("https://twitter.com/danielalvarezro")</f>
        <v>https://twitter.com/danielalvarezro</v>
      </c>
      <c r="BP535" s="2"/>
    </row>
    <row r="536" spans="1:68" x14ac:dyDescent="0.25">
      <c r="A536" s="62" t="s">
        <v>945</v>
      </c>
      <c r="B536" s="63"/>
      <c r="C536" s="63"/>
      <c r="D536" s="64"/>
      <c r="E536" s="66"/>
      <c r="F536" s="103" t="str">
        <f>HYPERLINK("https://pbs.twimg.com/profile_images/1075876459263262720/AEouPHeB_normal.jpg")</f>
        <v>https://pbs.twimg.com/profile_images/1075876459263262720/AEouPHeB_normal.jpg</v>
      </c>
      <c r="G536" s="63"/>
      <c r="H536" s="67"/>
      <c r="I536" s="68"/>
      <c r="J536" s="68"/>
      <c r="K536" s="67" t="s">
        <v>14985</v>
      </c>
      <c r="L536" s="71"/>
      <c r="M536" s="72"/>
      <c r="N536" s="72"/>
      <c r="O536" s="73"/>
      <c r="P536" s="74"/>
      <c r="Q536" s="74"/>
      <c r="R536" s="87"/>
      <c r="S536" s="87"/>
      <c r="T536" s="87"/>
      <c r="U536" s="87"/>
      <c r="V536" s="48"/>
      <c r="W536" s="48"/>
      <c r="X536" s="48"/>
      <c r="Y536" s="48"/>
      <c r="Z536" s="47"/>
      <c r="AA536" s="69">
        <v>536</v>
      </c>
      <c r="AB536" s="69"/>
      <c r="AC536" s="70"/>
      <c r="AD536" s="76" t="s">
        <v>12266</v>
      </c>
      <c r="AE536" s="80" t="s">
        <v>11348</v>
      </c>
      <c r="AF536" s="76">
        <v>1135827</v>
      </c>
      <c r="AG536" s="76">
        <v>87542</v>
      </c>
      <c r="AH536" s="76">
        <v>933746</v>
      </c>
      <c r="AI536" s="76">
        <v>2842</v>
      </c>
      <c r="AJ536" s="76">
        <v>36273</v>
      </c>
      <c r="AK536" s="76">
        <v>484134</v>
      </c>
      <c r="AL536" s="76" t="b">
        <v>0</v>
      </c>
      <c r="AM536" s="78">
        <v>40512.59474537037</v>
      </c>
      <c r="AN536" s="76" t="s">
        <v>7769</v>
      </c>
      <c r="AO536" s="76" t="s">
        <v>13710</v>
      </c>
      <c r="AP536" s="76"/>
      <c r="AQ536" s="76"/>
      <c r="AR536" s="76"/>
      <c r="AS536" s="76"/>
      <c r="AT536" s="76"/>
      <c r="AU536" s="76"/>
      <c r="AV536" s="76">
        <v>1.70712285114733E+18</v>
      </c>
      <c r="AW536" s="76"/>
      <c r="AX536" s="76" t="b">
        <v>1</v>
      </c>
      <c r="AY536" s="76"/>
      <c r="AZ536" s="76"/>
      <c r="BA536" s="76" t="b">
        <v>1</v>
      </c>
      <c r="BB536" s="76" t="b">
        <v>0</v>
      </c>
      <c r="BC536" s="76" t="b">
        <v>0</v>
      </c>
      <c r="BD536" s="76" t="b">
        <v>0</v>
      </c>
      <c r="BE536" s="76" t="b">
        <v>1</v>
      </c>
      <c r="BF536" s="76" t="b">
        <v>0</v>
      </c>
      <c r="BG536" s="76" t="b">
        <v>0</v>
      </c>
      <c r="BH536" s="82" t="str">
        <f>HYPERLINK("https://pbs.twimg.com/profile_banners/221378668/1662394167")</f>
        <v>https://pbs.twimg.com/profile_banners/221378668/1662394167</v>
      </c>
      <c r="BI536" s="76"/>
      <c r="BJ536" s="76" t="s">
        <v>14451</v>
      </c>
      <c r="BK536" s="76" t="b">
        <v>0</v>
      </c>
      <c r="BL536" s="76"/>
      <c r="BM536" s="76" t="s">
        <v>65</v>
      </c>
      <c r="BN536" s="76" t="s">
        <v>14452</v>
      </c>
      <c r="BO536" s="82" t="str">
        <f>HYPERLINK("https://twitter.com/reporteya")</f>
        <v>https://twitter.com/reporteya</v>
      </c>
      <c r="BP536" s="2"/>
    </row>
    <row r="537" spans="1:68" x14ac:dyDescent="0.25">
      <c r="A537" s="62" t="s">
        <v>678</v>
      </c>
      <c r="B537" s="63"/>
      <c r="C537" s="63"/>
      <c r="D537" s="64"/>
      <c r="E537" s="66"/>
      <c r="F537" s="103" t="str">
        <f>HYPERLINK("https://pbs.twimg.com/profile_images/1617640504367382530/XQlAAO5R_normal.jpg")</f>
        <v>https://pbs.twimg.com/profile_images/1617640504367382530/XQlAAO5R_normal.jpg</v>
      </c>
      <c r="G537" s="63"/>
      <c r="H537" s="67"/>
      <c r="I537" s="68"/>
      <c r="J537" s="68"/>
      <c r="K537" s="67" t="s">
        <v>14986</v>
      </c>
      <c r="L537" s="71"/>
      <c r="M537" s="72"/>
      <c r="N537" s="72"/>
      <c r="O537" s="73"/>
      <c r="P537" s="74"/>
      <c r="Q537" s="74"/>
      <c r="R537" s="87"/>
      <c r="S537" s="87"/>
      <c r="T537" s="87"/>
      <c r="U537" s="87"/>
      <c r="V537" s="48"/>
      <c r="W537" s="48"/>
      <c r="X537" s="48"/>
      <c r="Y537" s="48"/>
      <c r="Z537" s="47"/>
      <c r="AA537" s="69">
        <v>537</v>
      </c>
      <c r="AB537" s="69"/>
      <c r="AC537" s="70"/>
      <c r="AD537" s="76" t="s">
        <v>12267</v>
      </c>
      <c r="AE537" s="80" t="s">
        <v>12742</v>
      </c>
      <c r="AF537" s="76">
        <v>91156</v>
      </c>
      <c r="AG537" s="76">
        <v>1073</v>
      </c>
      <c r="AH537" s="76">
        <v>43081</v>
      </c>
      <c r="AI537" s="76">
        <v>256</v>
      </c>
      <c r="AJ537" s="76">
        <v>35240</v>
      </c>
      <c r="AK537" s="76">
        <v>5383</v>
      </c>
      <c r="AL537" s="76" t="b">
        <v>0</v>
      </c>
      <c r="AM537" s="78">
        <v>40709.663171296299</v>
      </c>
      <c r="AN537" s="76" t="s">
        <v>12872</v>
      </c>
      <c r="AO537" s="76" t="s">
        <v>13711</v>
      </c>
      <c r="AP537" s="82" t="str">
        <f>HYPERLINK("https://t.co/c2I6OCIB0c")</f>
        <v>https://t.co/c2I6OCIB0c</v>
      </c>
      <c r="AQ537" s="82" t="str">
        <f>HYPERLINK("https://heliosherrera.mx")</f>
        <v>https://heliosherrera.mx</v>
      </c>
      <c r="AR537" s="76" t="s">
        <v>14232</v>
      </c>
      <c r="AS537" s="82" t="str">
        <f>HYPERLINK("https://t.co/bp4ALaY3Sy")</f>
        <v>https://t.co/bp4ALaY3Sy</v>
      </c>
      <c r="AT537" s="82" t="str">
        <f>HYPERLINK("http://bit.ly/3jopaYv")</f>
        <v>http://bit.ly/3jopaYv</v>
      </c>
      <c r="AU537" s="76" t="s">
        <v>14436</v>
      </c>
      <c r="AV537" s="76"/>
      <c r="AW537" s="82" t="str">
        <f>HYPERLINK("https://t.co/c2I6OCIB0c")</f>
        <v>https://t.co/c2I6OCIB0c</v>
      </c>
      <c r="AX537" s="76" t="b">
        <v>1</v>
      </c>
      <c r="AY537" s="76"/>
      <c r="AZ537" s="76"/>
      <c r="BA537" s="76" t="b">
        <v>1</v>
      </c>
      <c r="BB537" s="76" t="b">
        <v>1</v>
      </c>
      <c r="BC537" s="76" t="b">
        <v>0</v>
      </c>
      <c r="BD537" s="76" t="b">
        <v>0</v>
      </c>
      <c r="BE537" s="76" t="b">
        <v>1</v>
      </c>
      <c r="BF537" s="76" t="b">
        <v>0</v>
      </c>
      <c r="BG537" s="76" t="b">
        <v>0</v>
      </c>
      <c r="BH537" s="82" t="str">
        <f>HYPERLINK("https://pbs.twimg.com/profile_banners/317860109/1673033673")</f>
        <v>https://pbs.twimg.com/profile_banners/317860109/1673033673</v>
      </c>
      <c r="BI537" s="76"/>
      <c r="BJ537" s="76" t="s">
        <v>14450</v>
      </c>
      <c r="BK537" s="76" t="b">
        <v>0</v>
      </c>
      <c r="BL537" s="76"/>
      <c r="BM537" s="76" t="s">
        <v>66</v>
      </c>
      <c r="BN537" s="76" t="s">
        <v>14452</v>
      </c>
      <c r="BO537" s="82" t="str">
        <f>HYPERLINK("https://twitter.com/helios_herrera")</f>
        <v>https://twitter.com/helios_herrera</v>
      </c>
      <c r="BP537" s="2"/>
    </row>
    <row r="538" spans="1:68" x14ac:dyDescent="0.25">
      <c r="A538" s="62" t="s">
        <v>679</v>
      </c>
      <c r="B538" s="63"/>
      <c r="C538" s="63"/>
      <c r="D538" s="64"/>
      <c r="E538" s="66"/>
      <c r="F538" s="103" t="str">
        <f>HYPERLINK("https://pbs.twimg.com/profile_images/1606253838306009088/VOjVKYmJ_normal.png")</f>
        <v>https://pbs.twimg.com/profile_images/1606253838306009088/VOjVKYmJ_normal.png</v>
      </c>
      <c r="G538" s="63"/>
      <c r="H538" s="67"/>
      <c r="I538" s="68"/>
      <c r="J538" s="68"/>
      <c r="K538" s="67" t="s">
        <v>14987</v>
      </c>
      <c r="L538" s="71"/>
      <c r="M538" s="72"/>
      <c r="N538" s="72"/>
      <c r="O538" s="73"/>
      <c r="P538" s="74"/>
      <c r="Q538" s="74"/>
      <c r="R538" s="87"/>
      <c r="S538" s="87"/>
      <c r="T538" s="87"/>
      <c r="U538" s="87"/>
      <c r="V538" s="48"/>
      <c r="W538" s="48"/>
      <c r="X538" s="48"/>
      <c r="Y538" s="48"/>
      <c r="Z538" s="47"/>
      <c r="AA538" s="69">
        <v>538</v>
      </c>
      <c r="AB538" s="69"/>
      <c r="AC538" s="70"/>
      <c r="AD538" s="76" t="s">
        <v>12268</v>
      </c>
      <c r="AE538" s="80" t="s">
        <v>12743</v>
      </c>
      <c r="AF538" s="76">
        <v>3972</v>
      </c>
      <c r="AG538" s="76">
        <v>688</v>
      </c>
      <c r="AH538" s="76">
        <v>6940</v>
      </c>
      <c r="AI538" s="76">
        <v>87</v>
      </c>
      <c r="AJ538" s="76">
        <v>3842</v>
      </c>
      <c r="AK538" s="76">
        <v>3072</v>
      </c>
      <c r="AL538" s="76" t="b">
        <v>0</v>
      </c>
      <c r="AM538" s="78">
        <v>41823.289363425924</v>
      </c>
      <c r="AN538" s="76" t="s">
        <v>13130</v>
      </c>
      <c r="AO538" s="76" t="s">
        <v>13712</v>
      </c>
      <c r="AP538" s="82" t="str">
        <f>HYPERLINK("https://t.co/6qPMRZcmuA")</f>
        <v>https://t.co/6qPMRZcmuA</v>
      </c>
      <c r="AQ538" s="82" t="str">
        <f>HYPERLINK("http://agroalimentarias-andalucia.coop")</f>
        <v>http://agroalimentarias-andalucia.coop</v>
      </c>
      <c r="AR538" s="76" t="s">
        <v>14233</v>
      </c>
      <c r="AS538" s="76"/>
      <c r="AT538" s="76"/>
      <c r="AU538" s="76"/>
      <c r="AV538" s="76"/>
      <c r="AW538" s="82" t="str">
        <f>HYPERLINK("https://t.co/6qPMRZcmuA")</f>
        <v>https://t.co/6qPMRZcmuA</v>
      </c>
      <c r="AX538" s="76" t="b">
        <v>0</v>
      </c>
      <c r="AY538" s="76"/>
      <c r="AZ538" s="76"/>
      <c r="BA538" s="76" t="b">
        <v>0</v>
      </c>
      <c r="BB538" s="76" t="b">
        <v>1</v>
      </c>
      <c r="BC538" s="76" t="b">
        <v>0</v>
      </c>
      <c r="BD538" s="76" t="b">
        <v>0</v>
      </c>
      <c r="BE538" s="76" t="b">
        <v>1</v>
      </c>
      <c r="BF538" s="76" t="b">
        <v>0</v>
      </c>
      <c r="BG538" s="76" t="b">
        <v>0</v>
      </c>
      <c r="BH538" s="82" t="str">
        <f>HYPERLINK("https://pbs.twimg.com/profile_banners/2601201715/1678356757")</f>
        <v>https://pbs.twimg.com/profile_banners/2601201715/1678356757</v>
      </c>
      <c r="BI538" s="76"/>
      <c r="BJ538" s="76" t="s">
        <v>14450</v>
      </c>
      <c r="BK538" s="76" t="b">
        <v>0</v>
      </c>
      <c r="BL538" s="76"/>
      <c r="BM538" s="76" t="s">
        <v>66</v>
      </c>
      <c r="BN538" s="76" t="s">
        <v>14452</v>
      </c>
      <c r="BO538" s="82" t="str">
        <f>HYPERLINK("https://twitter.com/coopsagroand")</f>
        <v>https://twitter.com/coopsagroand</v>
      </c>
      <c r="BP538" s="2"/>
    </row>
    <row r="539" spans="1:68" x14ac:dyDescent="0.25">
      <c r="A539" s="62" t="s">
        <v>680</v>
      </c>
      <c r="B539" s="63"/>
      <c r="C539" s="63"/>
      <c r="D539" s="64"/>
      <c r="E539" s="66"/>
      <c r="F539" s="103" t="str">
        <f>HYPERLINK("https://pbs.twimg.com/profile_images/1594743252166508544/L6bU2q6a_normal.jpg")</f>
        <v>https://pbs.twimg.com/profile_images/1594743252166508544/L6bU2q6a_normal.jpg</v>
      </c>
      <c r="G539" s="63"/>
      <c r="H539" s="67"/>
      <c r="I539" s="68"/>
      <c r="J539" s="68"/>
      <c r="K539" s="67" t="s">
        <v>14988</v>
      </c>
      <c r="L539" s="71"/>
      <c r="M539" s="72"/>
      <c r="N539" s="72"/>
      <c r="O539" s="73"/>
      <c r="P539" s="74"/>
      <c r="Q539" s="74"/>
      <c r="R539" s="87"/>
      <c r="S539" s="87"/>
      <c r="T539" s="87"/>
      <c r="U539" s="87"/>
      <c r="V539" s="48"/>
      <c r="W539" s="48"/>
      <c r="X539" s="48"/>
      <c r="Y539" s="48"/>
      <c r="Z539" s="47"/>
      <c r="AA539" s="69">
        <v>539</v>
      </c>
      <c r="AB539" s="69"/>
      <c r="AC539" s="70"/>
      <c r="AD539" s="76" t="s">
        <v>12269</v>
      </c>
      <c r="AE539" s="80" t="s">
        <v>12744</v>
      </c>
      <c r="AF539" s="76">
        <v>19</v>
      </c>
      <c r="AG539" s="76">
        <v>289</v>
      </c>
      <c r="AH539" s="76">
        <v>198</v>
      </c>
      <c r="AI539" s="76">
        <v>0</v>
      </c>
      <c r="AJ539" s="76">
        <v>13</v>
      </c>
      <c r="AK539" s="76">
        <v>4</v>
      </c>
      <c r="AL539" s="76" t="b">
        <v>0</v>
      </c>
      <c r="AM539" s="78">
        <v>41512.032222222224</v>
      </c>
      <c r="AN539" s="76" t="s">
        <v>13131</v>
      </c>
      <c r="AO539" s="76" t="s">
        <v>13713</v>
      </c>
      <c r="AP539" s="76"/>
      <c r="AQ539" s="76"/>
      <c r="AR539" s="76"/>
      <c r="AS539" s="76"/>
      <c r="AT539" s="76"/>
      <c r="AU539" s="76"/>
      <c r="AV539" s="76"/>
      <c r="AW539" s="76"/>
      <c r="AX539" s="76" t="b">
        <v>0</v>
      </c>
      <c r="AY539" s="76"/>
      <c r="AZ539" s="76"/>
      <c r="BA539" s="76" t="b">
        <v>1</v>
      </c>
      <c r="BB539" s="76" t="b">
        <v>1</v>
      </c>
      <c r="BC539" s="76" t="b">
        <v>1</v>
      </c>
      <c r="BD539" s="76" t="b">
        <v>0</v>
      </c>
      <c r="BE539" s="76" t="b">
        <v>0</v>
      </c>
      <c r="BF539" s="76" t="b">
        <v>0</v>
      </c>
      <c r="BG539" s="76" t="b">
        <v>0</v>
      </c>
      <c r="BH539" s="82" t="str">
        <f>HYPERLINK("https://pbs.twimg.com/profile_banners/1700572831/1669051396")</f>
        <v>https://pbs.twimg.com/profile_banners/1700572831/1669051396</v>
      </c>
      <c r="BI539" s="76"/>
      <c r="BJ539" s="76" t="s">
        <v>14450</v>
      </c>
      <c r="BK539" s="76" t="b">
        <v>0</v>
      </c>
      <c r="BL539" s="76"/>
      <c r="BM539" s="76" t="s">
        <v>66</v>
      </c>
      <c r="BN539" s="76" t="s">
        <v>14452</v>
      </c>
      <c r="BO539" s="82" t="str">
        <f>HYPERLINK("https://twitter.com/leandroneuhaus")</f>
        <v>https://twitter.com/leandroneuhaus</v>
      </c>
      <c r="BP539" s="2"/>
    </row>
    <row r="540" spans="1:68" x14ac:dyDescent="0.25">
      <c r="A540" s="62" t="s">
        <v>681</v>
      </c>
      <c r="B540" s="63"/>
      <c r="C540" s="63"/>
      <c r="D540" s="64"/>
      <c r="E540" s="66"/>
      <c r="F540" s="103" t="str">
        <f>HYPERLINK("https://pbs.twimg.com/profile_images/1565323876657238017/Dh2OfdkD_normal.jpg")</f>
        <v>https://pbs.twimg.com/profile_images/1565323876657238017/Dh2OfdkD_normal.jpg</v>
      </c>
      <c r="G540" s="63"/>
      <c r="H540" s="67"/>
      <c r="I540" s="68"/>
      <c r="J540" s="68"/>
      <c r="K540" s="67" t="s">
        <v>14989</v>
      </c>
      <c r="L540" s="71"/>
      <c r="M540" s="72"/>
      <c r="N540" s="72"/>
      <c r="O540" s="73"/>
      <c r="P540" s="74"/>
      <c r="Q540" s="74"/>
      <c r="R540" s="87"/>
      <c r="S540" s="87"/>
      <c r="T540" s="87"/>
      <c r="U540" s="87"/>
      <c r="V540" s="48"/>
      <c r="W540" s="48"/>
      <c r="X540" s="48"/>
      <c r="Y540" s="48"/>
      <c r="Z540" s="47"/>
      <c r="AA540" s="69">
        <v>540</v>
      </c>
      <c r="AB540" s="69"/>
      <c r="AC540" s="70"/>
      <c r="AD540" s="76" t="s">
        <v>12270</v>
      </c>
      <c r="AE540" s="80" t="s">
        <v>12745</v>
      </c>
      <c r="AF540" s="76">
        <v>230</v>
      </c>
      <c r="AG540" s="76">
        <v>59</v>
      </c>
      <c r="AH540" s="76">
        <v>6504</v>
      </c>
      <c r="AI540" s="76">
        <v>0</v>
      </c>
      <c r="AJ540" s="76">
        <v>5</v>
      </c>
      <c r="AK540" s="76">
        <v>33</v>
      </c>
      <c r="AL540" s="76" t="b">
        <v>0</v>
      </c>
      <c r="AM540" s="78">
        <v>40423.504826388889</v>
      </c>
      <c r="AN540" s="76" t="s">
        <v>13132</v>
      </c>
      <c r="AO540" s="76" t="s">
        <v>13714</v>
      </c>
      <c r="AP540" s="82" t="str">
        <f>HYPERLINK("https://t.co/VPOub1Z1tJ")</f>
        <v>https://t.co/VPOub1Z1tJ</v>
      </c>
      <c r="AQ540" s="82" t="str">
        <f>HYPERLINK("http://www.gruponewcompany.com.br")</f>
        <v>http://www.gruponewcompany.com.br</v>
      </c>
      <c r="AR540" s="76" t="s">
        <v>14234</v>
      </c>
      <c r="AS540" s="76"/>
      <c r="AT540" s="76"/>
      <c r="AU540" s="76"/>
      <c r="AV540" s="76"/>
      <c r="AW540" s="82" t="str">
        <f>HYPERLINK("https://t.co/VPOub1Z1tJ")</f>
        <v>https://t.co/VPOub1Z1tJ</v>
      </c>
      <c r="AX540" s="76" t="b">
        <v>0</v>
      </c>
      <c r="AY540" s="76"/>
      <c r="AZ540" s="76"/>
      <c r="BA540" s="76" t="b">
        <v>1</v>
      </c>
      <c r="BB540" s="76" t="b">
        <v>1</v>
      </c>
      <c r="BC540" s="76" t="b">
        <v>0</v>
      </c>
      <c r="BD540" s="76" t="b">
        <v>0</v>
      </c>
      <c r="BE540" s="76" t="b">
        <v>0</v>
      </c>
      <c r="BF540" s="76" t="b">
        <v>0</v>
      </c>
      <c r="BG540" s="76" t="b">
        <v>0</v>
      </c>
      <c r="BH540" s="82" t="str">
        <f>HYPERLINK("https://pbs.twimg.com/profile_banners/186023611/1662037270")</f>
        <v>https://pbs.twimg.com/profile_banners/186023611/1662037270</v>
      </c>
      <c r="BI540" s="76"/>
      <c r="BJ540" s="76" t="s">
        <v>14450</v>
      </c>
      <c r="BK540" s="76" t="b">
        <v>0</v>
      </c>
      <c r="BL540" s="76"/>
      <c r="BM540" s="76" t="s">
        <v>66</v>
      </c>
      <c r="BN540" s="76" t="s">
        <v>14452</v>
      </c>
      <c r="BO540" s="82" t="str">
        <f>HYPERLINK("https://twitter.com/gruponewcompany")</f>
        <v>https://twitter.com/gruponewcompany</v>
      </c>
      <c r="BP540" s="2"/>
    </row>
    <row r="541" spans="1:68" x14ac:dyDescent="0.25">
      <c r="A541" s="62" t="s">
        <v>682</v>
      </c>
      <c r="B541" s="63"/>
      <c r="C541" s="63"/>
      <c r="D541" s="64"/>
      <c r="E541" s="66"/>
      <c r="F541" s="103" t="str">
        <f>HYPERLINK("https://pbs.twimg.com/profile_images/1666534162994536450/M2Jsq680_normal.jpg")</f>
        <v>https://pbs.twimg.com/profile_images/1666534162994536450/M2Jsq680_normal.jpg</v>
      </c>
      <c r="G541" s="63"/>
      <c r="H541" s="67"/>
      <c r="I541" s="68"/>
      <c r="J541" s="68"/>
      <c r="K541" s="67" t="s">
        <v>14990</v>
      </c>
      <c r="L541" s="71"/>
      <c r="M541" s="72"/>
      <c r="N541" s="72"/>
      <c r="O541" s="73"/>
      <c r="P541" s="74"/>
      <c r="Q541" s="74"/>
      <c r="R541" s="87"/>
      <c r="S541" s="87"/>
      <c r="T541" s="87"/>
      <c r="U541" s="87"/>
      <c r="V541" s="48"/>
      <c r="W541" s="48"/>
      <c r="X541" s="48"/>
      <c r="Y541" s="48"/>
      <c r="Z541" s="47"/>
      <c r="AA541" s="69">
        <v>541</v>
      </c>
      <c r="AB541" s="69"/>
      <c r="AC541" s="70"/>
      <c r="AD541" s="76" t="s">
        <v>12271</v>
      </c>
      <c r="AE541" s="80" t="s">
        <v>12746</v>
      </c>
      <c r="AF541" s="76">
        <v>6399</v>
      </c>
      <c r="AG541" s="76">
        <v>1188</v>
      </c>
      <c r="AH541" s="76">
        <v>1509</v>
      </c>
      <c r="AI541" s="76">
        <v>15</v>
      </c>
      <c r="AJ541" s="76">
        <v>177</v>
      </c>
      <c r="AK541" s="76">
        <v>168</v>
      </c>
      <c r="AL541" s="76" t="b">
        <v>0</v>
      </c>
      <c r="AM541" s="78">
        <v>41890.70480324074</v>
      </c>
      <c r="AN541" s="76" t="s">
        <v>12898</v>
      </c>
      <c r="AO541" s="76" t="s">
        <v>13715</v>
      </c>
      <c r="AP541" s="82" t="str">
        <f>HYPERLINK("https://t.co/Z2ngKriucU")</f>
        <v>https://t.co/Z2ngKriucU</v>
      </c>
      <c r="AQ541" s="82" t="str">
        <f>HYPERLINK("http://www.paulaocampob.com")</f>
        <v>http://www.paulaocampob.com</v>
      </c>
      <c r="AR541" s="76" t="s">
        <v>14235</v>
      </c>
      <c r="AS541" s="76"/>
      <c r="AT541" s="76"/>
      <c r="AU541" s="76"/>
      <c r="AV541" s="76"/>
      <c r="AW541" s="82" t="str">
        <f>HYPERLINK("https://t.co/Z2ngKriucU")</f>
        <v>https://t.co/Z2ngKriucU</v>
      </c>
      <c r="AX541" s="76" t="b">
        <v>0</v>
      </c>
      <c r="AY541" s="76"/>
      <c r="AZ541" s="76"/>
      <c r="BA541" s="76" t="b">
        <v>0</v>
      </c>
      <c r="BB541" s="76" t="b">
        <v>1</v>
      </c>
      <c r="BC541" s="76" t="b">
        <v>0</v>
      </c>
      <c r="BD541" s="76" t="b">
        <v>0</v>
      </c>
      <c r="BE541" s="76" t="b">
        <v>0</v>
      </c>
      <c r="BF541" s="76" t="b">
        <v>0</v>
      </c>
      <c r="BG541" s="76" t="b">
        <v>0</v>
      </c>
      <c r="BH541" s="82" t="str">
        <f>HYPERLINK("https://pbs.twimg.com/profile_banners/2798288803/1589904845")</f>
        <v>https://pbs.twimg.com/profile_banners/2798288803/1589904845</v>
      </c>
      <c r="BI541" s="76"/>
      <c r="BJ541" s="76" t="s">
        <v>14450</v>
      </c>
      <c r="BK541" s="76" t="b">
        <v>0</v>
      </c>
      <c r="BL541" s="76"/>
      <c r="BM541" s="76" t="s">
        <v>66</v>
      </c>
      <c r="BN541" s="76" t="s">
        <v>14452</v>
      </c>
      <c r="BO541" s="82" t="str">
        <f>HYPERLINK("https://twitter.com/paulaokmpo")</f>
        <v>https://twitter.com/paulaokmpo</v>
      </c>
      <c r="BP541" s="2"/>
    </row>
    <row r="542" spans="1:68" x14ac:dyDescent="0.25">
      <c r="A542" s="62" t="s">
        <v>683</v>
      </c>
      <c r="B542" s="63"/>
      <c r="C542" s="63"/>
      <c r="D542" s="64"/>
      <c r="E542" s="66"/>
      <c r="F542" s="103" t="str">
        <f>HYPERLINK("https://pbs.twimg.com/profile_images/1650671632627769345/lMrZOXZw_normal.jpg")</f>
        <v>https://pbs.twimg.com/profile_images/1650671632627769345/lMrZOXZw_normal.jpg</v>
      </c>
      <c r="G542" s="63"/>
      <c r="H542" s="67"/>
      <c r="I542" s="68"/>
      <c r="J542" s="68"/>
      <c r="K542" s="67" t="s">
        <v>14991</v>
      </c>
      <c r="L542" s="71"/>
      <c r="M542" s="72"/>
      <c r="N542" s="72"/>
      <c r="O542" s="73"/>
      <c r="P542" s="74"/>
      <c r="Q542" s="74"/>
      <c r="R542" s="87"/>
      <c r="S542" s="87"/>
      <c r="T542" s="87"/>
      <c r="U542" s="87"/>
      <c r="V542" s="48"/>
      <c r="W542" s="48"/>
      <c r="X542" s="48"/>
      <c r="Y542" s="48"/>
      <c r="Z542" s="47"/>
      <c r="AA542" s="69">
        <v>542</v>
      </c>
      <c r="AB542" s="69"/>
      <c r="AC542" s="70"/>
      <c r="AD542" s="76" t="s">
        <v>12272</v>
      </c>
      <c r="AE542" s="80" t="s">
        <v>12747</v>
      </c>
      <c r="AF542" s="76">
        <v>3</v>
      </c>
      <c r="AG542" s="76">
        <v>16</v>
      </c>
      <c r="AH542" s="76">
        <v>1</v>
      </c>
      <c r="AI542" s="76">
        <v>0</v>
      </c>
      <c r="AJ542" s="76">
        <v>6</v>
      </c>
      <c r="AK542" s="76">
        <v>1</v>
      </c>
      <c r="AL542" s="76" t="b">
        <v>0</v>
      </c>
      <c r="AM542" s="78">
        <v>41206.629155092596</v>
      </c>
      <c r="AN542" s="76" t="s">
        <v>13133</v>
      </c>
      <c r="AO542" s="76" t="s">
        <v>13716</v>
      </c>
      <c r="AP542" s="82" t="str">
        <f>HYPERLINK("https://t.co/bd1lnBf0yh")</f>
        <v>https://t.co/bd1lnBf0yh</v>
      </c>
      <c r="AQ542" s="82" t="str">
        <f>HYPERLINK("https://dznprojectmedia.com/")</f>
        <v>https://dznprojectmedia.com/</v>
      </c>
      <c r="AR542" s="76" t="s">
        <v>4217</v>
      </c>
      <c r="AS542" s="76"/>
      <c r="AT542" s="76"/>
      <c r="AU542" s="76"/>
      <c r="AV542" s="76"/>
      <c r="AW542" s="82" t="str">
        <f>HYPERLINK("https://t.co/bd1lnBf0yh")</f>
        <v>https://t.co/bd1lnBf0yh</v>
      </c>
      <c r="AX542" s="76" t="b">
        <v>0</v>
      </c>
      <c r="AY542" s="76"/>
      <c r="AZ542" s="76"/>
      <c r="BA542" s="76" t="b">
        <v>0</v>
      </c>
      <c r="BB542" s="76" t="b">
        <v>1</v>
      </c>
      <c r="BC542" s="76" t="b">
        <v>0</v>
      </c>
      <c r="BD542" s="76" t="b">
        <v>0</v>
      </c>
      <c r="BE542" s="76" t="b">
        <v>0</v>
      </c>
      <c r="BF542" s="76" t="b">
        <v>0</v>
      </c>
      <c r="BG542" s="76" t="b">
        <v>0</v>
      </c>
      <c r="BH542" s="82" t="str">
        <f>HYPERLINK("https://pbs.twimg.com/profile_banners/902006257/1682385761")</f>
        <v>https://pbs.twimg.com/profile_banners/902006257/1682385761</v>
      </c>
      <c r="BI542" s="76"/>
      <c r="BJ542" s="76" t="s">
        <v>14450</v>
      </c>
      <c r="BK542" s="76" t="b">
        <v>0</v>
      </c>
      <c r="BL542" s="76"/>
      <c r="BM542" s="76" t="s">
        <v>66</v>
      </c>
      <c r="BN542" s="76" t="s">
        <v>14452</v>
      </c>
      <c r="BO542" s="82" t="str">
        <f>HYPERLINK("https://twitter.com/luzawesllei")</f>
        <v>https://twitter.com/luzawesllei</v>
      </c>
      <c r="BP542" s="2"/>
    </row>
    <row r="543" spans="1:68" x14ac:dyDescent="0.25">
      <c r="A543" s="62" t="s">
        <v>684</v>
      </c>
      <c r="B543" s="63"/>
      <c r="C543" s="63"/>
      <c r="D543" s="64"/>
      <c r="E543" s="66"/>
      <c r="F543" s="103" t="str">
        <f>HYPERLINK("https://pbs.twimg.com/profile_images/1601615759922315265/z4y-H1we_normal.jpg")</f>
        <v>https://pbs.twimg.com/profile_images/1601615759922315265/z4y-H1we_normal.jpg</v>
      </c>
      <c r="G543" s="63"/>
      <c r="H543" s="67"/>
      <c r="I543" s="68"/>
      <c r="J543" s="68"/>
      <c r="K543" s="67" t="s">
        <v>14992</v>
      </c>
      <c r="L543" s="71"/>
      <c r="M543" s="72"/>
      <c r="N543" s="72"/>
      <c r="O543" s="73"/>
      <c r="P543" s="74"/>
      <c r="Q543" s="74"/>
      <c r="R543" s="87"/>
      <c r="S543" s="87"/>
      <c r="T543" s="87"/>
      <c r="U543" s="87"/>
      <c r="V543" s="48"/>
      <c r="W543" s="48"/>
      <c r="X543" s="48"/>
      <c r="Y543" s="48"/>
      <c r="Z543" s="47"/>
      <c r="AA543" s="69">
        <v>543</v>
      </c>
      <c r="AB543" s="69"/>
      <c r="AC543" s="70"/>
      <c r="AD543" s="76" t="s">
        <v>12273</v>
      </c>
      <c r="AE543" s="80" t="s">
        <v>11637</v>
      </c>
      <c r="AF543" s="76">
        <v>16</v>
      </c>
      <c r="AG543" s="76">
        <v>163</v>
      </c>
      <c r="AH543" s="76">
        <v>694</v>
      </c>
      <c r="AI543" s="76">
        <v>0</v>
      </c>
      <c r="AJ543" s="76">
        <v>648</v>
      </c>
      <c r="AK543" s="76">
        <v>337</v>
      </c>
      <c r="AL543" s="76" t="b">
        <v>0</v>
      </c>
      <c r="AM543" s="78">
        <v>44730.708553240744</v>
      </c>
      <c r="AN543" s="76" t="s">
        <v>13134</v>
      </c>
      <c r="AO543" s="76" t="s">
        <v>13717</v>
      </c>
      <c r="AP543" s="82" t="str">
        <f>HYPERLINK("https://t.co/BnMmrq2qo3")</f>
        <v>https://t.co/BnMmrq2qo3</v>
      </c>
      <c r="AQ543" s="82" t="str">
        <f>HYPERLINK("https://linktr.ee/kikemultiple")</f>
        <v>https://linktr.ee/kikemultiple</v>
      </c>
      <c r="AR543" s="76" t="s">
        <v>14236</v>
      </c>
      <c r="AS543" s="76"/>
      <c r="AT543" s="76"/>
      <c r="AU543" s="76"/>
      <c r="AV543" s="76"/>
      <c r="AW543" s="82" t="str">
        <f>HYPERLINK("https://t.co/BnMmrq2qo3")</f>
        <v>https://t.co/BnMmrq2qo3</v>
      </c>
      <c r="AX543" s="76" t="b">
        <v>0</v>
      </c>
      <c r="AY543" s="76"/>
      <c r="AZ543" s="76"/>
      <c r="BA543" s="76" t="b">
        <v>1</v>
      </c>
      <c r="BB543" s="76" t="b">
        <v>1</v>
      </c>
      <c r="BC543" s="76" t="b">
        <v>1</v>
      </c>
      <c r="BD543" s="76" t="b">
        <v>0</v>
      </c>
      <c r="BE543" s="76" t="b">
        <v>0</v>
      </c>
      <c r="BF543" s="76" t="b">
        <v>0</v>
      </c>
      <c r="BG543" s="76" t="b">
        <v>1</v>
      </c>
      <c r="BH543" s="82" t="str">
        <f>HYPERLINK("https://pbs.twimg.com/profile_banners/1538204743817912320/1655834729")</f>
        <v>https://pbs.twimg.com/profile_banners/1538204743817912320/1655834729</v>
      </c>
      <c r="BI543" s="76"/>
      <c r="BJ543" s="76" t="s">
        <v>14450</v>
      </c>
      <c r="BK543" s="76" t="b">
        <v>0</v>
      </c>
      <c r="BL543" s="76"/>
      <c r="BM543" s="76" t="s">
        <v>66</v>
      </c>
      <c r="BN543" s="76" t="s">
        <v>14452</v>
      </c>
      <c r="BO543" s="82" t="str">
        <f>HYPERLINK("https://twitter.com/kikemultiple")</f>
        <v>https://twitter.com/kikemultiple</v>
      </c>
      <c r="BP543" s="2"/>
    </row>
    <row r="544" spans="1:68" x14ac:dyDescent="0.25">
      <c r="A544" s="62" t="s">
        <v>685</v>
      </c>
      <c r="B544" s="63"/>
      <c r="C544" s="63"/>
      <c r="D544" s="64"/>
      <c r="E544" s="66"/>
      <c r="F544" s="103" t="str">
        <f>HYPERLINK("https://pbs.twimg.com/profile_images/1555199034104713222/Tq8ODp1t_normal.jpg")</f>
        <v>https://pbs.twimg.com/profile_images/1555199034104713222/Tq8ODp1t_normal.jpg</v>
      </c>
      <c r="G544" s="63"/>
      <c r="H544" s="67"/>
      <c r="I544" s="68"/>
      <c r="J544" s="68"/>
      <c r="K544" s="67" t="s">
        <v>14993</v>
      </c>
      <c r="L544" s="71"/>
      <c r="M544" s="72"/>
      <c r="N544" s="72"/>
      <c r="O544" s="73"/>
      <c r="P544" s="74"/>
      <c r="Q544" s="74"/>
      <c r="R544" s="87"/>
      <c r="S544" s="87"/>
      <c r="T544" s="87"/>
      <c r="U544" s="87"/>
      <c r="V544" s="48"/>
      <c r="W544" s="48"/>
      <c r="X544" s="48"/>
      <c r="Y544" s="48"/>
      <c r="Z544" s="47"/>
      <c r="AA544" s="69">
        <v>544</v>
      </c>
      <c r="AB544" s="69"/>
      <c r="AC544" s="70"/>
      <c r="AD544" s="76" t="s">
        <v>12274</v>
      </c>
      <c r="AE544" s="80" t="s">
        <v>11638</v>
      </c>
      <c r="AF544" s="76">
        <v>52</v>
      </c>
      <c r="AG544" s="76">
        <v>266</v>
      </c>
      <c r="AH544" s="76">
        <v>2292</v>
      </c>
      <c r="AI544" s="76">
        <v>0</v>
      </c>
      <c r="AJ544" s="76">
        <v>4399</v>
      </c>
      <c r="AK544" s="76">
        <v>689</v>
      </c>
      <c r="AL544" s="76" t="b">
        <v>0</v>
      </c>
      <c r="AM544" s="78">
        <v>44724.869340277779</v>
      </c>
      <c r="AN544" s="76" t="s">
        <v>7809</v>
      </c>
      <c r="AO544" s="76" t="s">
        <v>13718</v>
      </c>
      <c r="AP544" s="82" t="str">
        <f>HYPERLINK("https://t.co/chjRqTcGUH")</f>
        <v>https://t.co/chjRqTcGUH</v>
      </c>
      <c r="AQ544" s="82" t="str">
        <f>HYPERLINK("http://www.clubecnbrasil.org.br/https://linktr.ee/clubecnbrasil")</f>
        <v>http://www.clubecnbrasil.org.br/https://linktr.ee/clubecnbrasil</v>
      </c>
      <c r="AR544" s="76" t="s">
        <v>14237</v>
      </c>
      <c r="AS544" s="76"/>
      <c r="AT544" s="76"/>
      <c r="AU544" s="76"/>
      <c r="AV544" s="76"/>
      <c r="AW544" s="82" t="str">
        <f>HYPERLINK("https://t.co/chjRqTcGUH")</f>
        <v>https://t.co/chjRqTcGUH</v>
      </c>
      <c r="AX544" s="76" t="b">
        <v>0</v>
      </c>
      <c r="AY544" s="76"/>
      <c r="AZ544" s="76"/>
      <c r="BA544" s="76" t="b">
        <v>0</v>
      </c>
      <c r="BB544" s="76" t="b">
        <v>1</v>
      </c>
      <c r="BC544" s="76" t="b">
        <v>1</v>
      </c>
      <c r="BD544" s="76" t="b">
        <v>0</v>
      </c>
      <c r="BE544" s="76" t="b">
        <v>0</v>
      </c>
      <c r="BF544" s="76" t="b">
        <v>0</v>
      </c>
      <c r="BG544" s="76" t="b">
        <v>0</v>
      </c>
      <c r="BH544" s="82" t="str">
        <f>HYPERLINK("https://pbs.twimg.com/profile_banners/1536088753730895872/1666516960")</f>
        <v>https://pbs.twimg.com/profile_banners/1536088753730895872/1666516960</v>
      </c>
      <c r="BI544" s="76"/>
      <c r="BJ544" s="76" t="s">
        <v>14450</v>
      </c>
      <c r="BK544" s="76" t="b">
        <v>0</v>
      </c>
      <c r="BL544" s="76"/>
      <c r="BM544" s="76" t="s">
        <v>66</v>
      </c>
      <c r="BN544" s="76" t="s">
        <v>14452</v>
      </c>
      <c r="BO544" s="82" t="str">
        <f>HYPERLINK("https://twitter.com/alextri49052227")</f>
        <v>https://twitter.com/alextri49052227</v>
      </c>
      <c r="BP544" s="2"/>
    </row>
    <row r="545" spans="1:68" x14ac:dyDescent="0.25">
      <c r="A545" s="62" t="s">
        <v>686</v>
      </c>
      <c r="B545" s="63"/>
      <c r="C545" s="63"/>
      <c r="D545" s="64"/>
      <c r="E545" s="66"/>
      <c r="F545" s="103" t="str">
        <f>HYPERLINK("https://pbs.twimg.com/profile_images/1605243935873536001/Gvbq9YNA_normal.jpg")</f>
        <v>https://pbs.twimg.com/profile_images/1605243935873536001/Gvbq9YNA_normal.jpg</v>
      </c>
      <c r="G545" s="63"/>
      <c r="H545" s="67"/>
      <c r="I545" s="68"/>
      <c r="J545" s="68"/>
      <c r="K545" s="67" t="s">
        <v>14994</v>
      </c>
      <c r="L545" s="71"/>
      <c r="M545" s="72"/>
      <c r="N545" s="72"/>
      <c r="O545" s="73"/>
      <c r="P545" s="74"/>
      <c r="Q545" s="74"/>
      <c r="R545" s="87"/>
      <c r="S545" s="87"/>
      <c r="T545" s="87"/>
      <c r="U545" s="87"/>
      <c r="V545" s="48"/>
      <c r="W545" s="48"/>
      <c r="X545" s="48"/>
      <c r="Y545" s="48"/>
      <c r="Z545" s="47"/>
      <c r="AA545" s="69">
        <v>545</v>
      </c>
      <c r="AB545" s="69"/>
      <c r="AC545" s="70"/>
      <c r="AD545" s="76" t="s">
        <v>12275</v>
      </c>
      <c r="AE545" s="80" t="s">
        <v>12748</v>
      </c>
      <c r="AF545" s="76">
        <v>960</v>
      </c>
      <c r="AG545" s="76">
        <v>1320</v>
      </c>
      <c r="AH545" s="76">
        <v>25446</v>
      </c>
      <c r="AI545" s="76">
        <v>9</v>
      </c>
      <c r="AJ545" s="76">
        <v>3116</v>
      </c>
      <c r="AK545" s="76">
        <v>21140</v>
      </c>
      <c r="AL545" s="76" t="b">
        <v>0</v>
      </c>
      <c r="AM545" s="78">
        <v>42384.105497685188</v>
      </c>
      <c r="AN545" s="76" t="s">
        <v>12922</v>
      </c>
      <c r="AO545" s="76" t="s">
        <v>13719</v>
      </c>
      <c r="AP545" s="82" t="str">
        <f>HYPERLINK("https://t.co/AYpBXdTsxD")</f>
        <v>https://t.co/AYpBXdTsxD</v>
      </c>
      <c r="AQ545" s="82" t="str">
        <f>HYPERLINK("http://www.cursorinformativo.com")</f>
        <v>http://www.cursorinformativo.com</v>
      </c>
      <c r="AR545" s="76" t="s">
        <v>14238</v>
      </c>
      <c r="AS545" s="76"/>
      <c r="AT545" s="76"/>
      <c r="AU545" s="76"/>
      <c r="AV545" s="76"/>
      <c r="AW545" s="82" t="str">
        <f>HYPERLINK("https://t.co/AYpBXdTsxD")</f>
        <v>https://t.co/AYpBXdTsxD</v>
      </c>
      <c r="AX545" s="76" t="b">
        <v>0</v>
      </c>
      <c r="AY545" s="76"/>
      <c r="AZ545" s="76"/>
      <c r="BA545" s="76" t="b">
        <v>0</v>
      </c>
      <c r="BB545" s="76" t="b">
        <v>1</v>
      </c>
      <c r="BC545" s="76" t="b">
        <v>0</v>
      </c>
      <c r="BD545" s="76" t="b">
        <v>0</v>
      </c>
      <c r="BE545" s="76" t="b">
        <v>1</v>
      </c>
      <c r="BF545" s="76" t="b">
        <v>0</v>
      </c>
      <c r="BG545" s="76" t="b">
        <v>0</v>
      </c>
      <c r="BH545" s="82" t="str">
        <f>HYPERLINK("https://pbs.twimg.com/profile_banners/4760763774/1671555033")</f>
        <v>https://pbs.twimg.com/profile_banners/4760763774/1671555033</v>
      </c>
      <c r="BI545" s="76"/>
      <c r="BJ545" s="76" t="s">
        <v>14450</v>
      </c>
      <c r="BK545" s="76" t="b">
        <v>0</v>
      </c>
      <c r="BL545" s="76"/>
      <c r="BM545" s="76" t="s">
        <v>66</v>
      </c>
      <c r="BN545" s="76" t="s">
        <v>14452</v>
      </c>
      <c r="BO545" s="82" t="str">
        <f>HYPERLINK("https://twitter.com/cursorinformat1")</f>
        <v>https://twitter.com/cursorinformat1</v>
      </c>
      <c r="BP545" s="2"/>
    </row>
    <row r="546" spans="1:68" x14ac:dyDescent="0.25">
      <c r="A546" s="62" t="s">
        <v>687</v>
      </c>
      <c r="B546" s="63"/>
      <c r="C546" s="63"/>
      <c r="D546" s="64"/>
      <c r="E546" s="66"/>
      <c r="F546" s="103" t="str">
        <f>HYPERLINK("https://pbs.twimg.com/profile_images/1594074714858815489/-MYKtMIM_normal.jpg")</f>
        <v>https://pbs.twimg.com/profile_images/1594074714858815489/-MYKtMIM_normal.jpg</v>
      </c>
      <c r="G546" s="63"/>
      <c r="H546" s="67"/>
      <c r="I546" s="68"/>
      <c r="J546" s="68"/>
      <c r="K546" s="67" t="s">
        <v>14995</v>
      </c>
      <c r="L546" s="71"/>
      <c r="M546" s="72"/>
      <c r="N546" s="72"/>
      <c r="O546" s="73"/>
      <c r="P546" s="74"/>
      <c r="Q546" s="74"/>
      <c r="R546" s="87"/>
      <c r="S546" s="87"/>
      <c r="T546" s="87"/>
      <c r="U546" s="87"/>
      <c r="V546" s="48"/>
      <c r="W546" s="48"/>
      <c r="X546" s="48"/>
      <c r="Y546" s="48"/>
      <c r="Z546" s="47"/>
      <c r="AA546" s="69">
        <v>546</v>
      </c>
      <c r="AB546" s="69"/>
      <c r="AC546" s="70"/>
      <c r="AD546" s="76" t="s">
        <v>12276</v>
      </c>
      <c r="AE546" s="80" t="s">
        <v>11639</v>
      </c>
      <c r="AF546" s="76">
        <v>44</v>
      </c>
      <c r="AG546" s="76">
        <v>0</v>
      </c>
      <c r="AH546" s="76">
        <v>284</v>
      </c>
      <c r="AI546" s="76">
        <v>0</v>
      </c>
      <c r="AJ546" s="76">
        <v>1</v>
      </c>
      <c r="AK546" s="76">
        <v>283</v>
      </c>
      <c r="AL546" s="76" t="b">
        <v>0</v>
      </c>
      <c r="AM546" s="78">
        <v>44714.053900462961</v>
      </c>
      <c r="AN546" s="76"/>
      <c r="AO546" s="76" t="s">
        <v>13720</v>
      </c>
      <c r="AP546" s="82" t="str">
        <f>HYPERLINK("https://t.co/B67taWk0Cg")</f>
        <v>https://t.co/B67taWk0Cg</v>
      </c>
      <c r="AQ546" s="82" t="str">
        <f>HYPERLINK("https://resultadocomtrafego.com.br/")</f>
        <v>https://resultadocomtrafego.com.br/</v>
      </c>
      <c r="AR546" s="76" t="s">
        <v>14239</v>
      </c>
      <c r="AS546" s="82" t="str">
        <f>HYPERLINK("https://t.co/4vMqLCJbou")</f>
        <v>https://t.co/4vMqLCJbou</v>
      </c>
      <c r="AT546" s="82" t="str">
        <f>HYPERLINK("http://resultadocomtrafego.com.br/linktree")</f>
        <v>http://resultadocomtrafego.com.br/linktree</v>
      </c>
      <c r="AU546" s="76" t="s">
        <v>14437</v>
      </c>
      <c r="AV546" s="76"/>
      <c r="AW546" s="82" t="str">
        <f>HYPERLINK("https://t.co/B67taWk0Cg")</f>
        <v>https://t.co/B67taWk0Cg</v>
      </c>
      <c r="AX546" s="76" t="b">
        <v>0</v>
      </c>
      <c r="AY546" s="76"/>
      <c r="AZ546" s="76"/>
      <c r="BA546" s="76" t="b">
        <v>0</v>
      </c>
      <c r="BB546" s="76" t="b">
        <v>1</v>
      </c>
      <c r="BC546" s="76" t="b">
        <v>1</v>
      </c>
      <c r="BD546" s="76" t="b">
        <v>0</v>
      </c>
      <c r="BE546" s="76" t="b">
        <v>0</v>
      </c>
      <c r="BF546" s="76" t="b">
        <v>0</v>
      </c>
      <c r="BG546" s="76" t="b">
        <v>0</v>
      </c>
      <c r="BH546" s="82" t="str">
        <f>HYPERLINK("https://pbs.twimg.com/profile_banners/1532169407463669763/1668721981")</f>
        <v>https://pbs.twimg.com/profile_banners/1532169407463669763/1668721981</v>
      </c>
      <c r="BI546" s="76"/>
      <c r="BJ546" s="76" t="s">
        <v>14450</v>
      </c>
      <c r="BK546" s="76" t="b">
        <v>0</v>
      </c>
      <c r="BL546" s="76"/>
      <c r="BM546" s="76" t="s">
        <v>66</v>
      </c>
      <c r="BN546" s="76" t="s">
        <v>14452</v>
      </c>
      <c r="BO546" s="82" t="str">
        <f>HYPERLINK("https://twitter.com/resultadocomads")</f>
        <v>https://twitter.com/resultadocomads</v>
      </c>
      <c r="BP546" s="2"/>
    </row>
    <row r="547" spans="1:68" x14ac:dyDescent="0.25">
      <c r="A547" s="62" t="s">
        <v>688</v>
      </c>
      <c r="B547" s="63"/>
      <c r="C547" s="63"/>
      <c r="D547" s="64"/>
      <c r="E547" s="66"/>
      <c r="F547" s="103" t="str">
        <f>HYPERLINK("https://pbs.twimg.com/profile_images/1659195406994251784/vzhf3sD9_normal.jpg")</f>
        <v>https://pbs.twimg.com/profile_images/1659195406994251784/vzhf3sD9_normal.jpg</v>
      </c>
      <c r="G547" s="63"/>
      <c r="H547" s="67"/>
      <c r="I547" s="68"/>
      <c r="J547" s="68"/>
      <c r="K547" s="67" t="s">
        <v>14996</v>
      </c>
      <c r="L547" s="71"/>
      <c r="M547" s="72"/>
      <c r="N547" s="72"/>
      <c r="O547" s="73"/>
      <c r="P547" s="74"/>
      <c r="Q547" s="74"/>
      <c r="R547" s="87"/>
      <c r="S547" s="87"/>
      <c r="T547" s="87"/>
      <c r="U547" s="87"/>
      <c r="V547" s="48"/>
      <c r="W547" s="48"/>
      <c r="X547" s="48"/>
      <c r="Y547" s="48"/>
      <c r="Z547" s="47"/>
      <c r="AA547" s="69">
        <v>547</v>
      </c>
      <c r="AB547" s="69"/>
      <c r="AC547" s="70"/>
      <c r="AD547" s="76" t="s">
        <v>12277</v>
      </c>
      <c r="AE547" s="80" t="s">
        <v>11640</v>
      </c>
      <c r="AF547" s="76">
        <v>252</v>
      </c>
      <c r="AG547" s="76">
        <v>322</v>
      </c>
      <c r="AH547" s="76">
        <v>121</v>
      </c>
      <c r="AI547" s="76">
        <v>0</v>
      </c>
      <c r="AJ547" s="76">
        <v>28</v>
      </c>
      <c r="AK547" s="76">
        <v>88</v>
      </c>
      <c r="AL547" s="76" t="b">
        <v>0</v>
      </c>
      <c r="AM547" s="78">
        <v>44979.756516203706</v>
      </c>
      <c r="AN547" s="76" t="s">
        <v>7809</v>
      </c>
      <c r="AO547" s="76" t="s">
        <v>13721</v>
      </c>
      <c r="AP547" s="76"/>
      <c r="AQ547" s="76"/>
      <c r="AR547" s="76"/>
      <c r="AS547" s="76"/>
      <c r="AT547" s="76"/>
      <c r="AU547" s="76"/>
      <c r="AV547" s="76"/>
      <c r="AW547" s="76"/>
      <c r="AX547" s="76" t="b">
        <v>0</v>
      </c>
      <c r="AY547" s="76"/>
      <c r="AZ547" s="76"/>
      <c r="BA547" s="76" t="b">
        <v>0</v>
      </c>
      <c r="BB547" s="76" t="b">
        <v>1</v>
      </c>
      <c r="BC547" s="76" t="b">
        <v>1</v>
      </c>
      <c r="BD547" s="76" t="b">
        <v>0</v>
      </c>
      <c r="BE547" s="76" t="b">
        <v>0</v>
      </c>
      <c r="BF547" s="76" t="b">
        <v>0</v>
      </c>
      <c r="BG547" s="76" t="b">
        <v>0</v>
      </c>
      <c r="BH547" s="82" t="str">
        <f>HYPERLINK("https://pbs.twimg.com/profile_banners/1628456864462565377/1677089547")</f>
        <v>https://pbs.twimg.com/profile_banners/1628456864462565377/1677089547</v>
      </c>
      <c r="BI547" s="76"/>
      <c r="BJ547" s="76" t="s">
        <v>14450</v>
      </c>
      <c r="BK547" s="76" t="b">
        <v>0</v>
      </c>
      <c r="BL547" s="76"/>
      <c r="BM547" s="76" t="s">
        <v>66</v>
      </c>
      <c r="BN547" s="76" t="s">
        <v>14452</v>
      </c>
      <c r="BO547" s="82" t="str">
        <f>HYPERLINK("https://twitter.com/lucashondarj021")</f>
        <v>https://twitter.com/lucashondarj021</v>
      </c>
      <c r="BP547" s="2"/>
    </row>
    <row r="548" spans="1:68" x14ac:dyDescent="0.25">
      <c r="A548" s="62" t="s">
        <v>946</v>
      </c>
      <c r="B548" s="63"/>
      <c r="C548" s="63"/>
      <c r="D548" s="64"/>
      <c r="E548" s="66"/>
      <c r="F548" s="103" t="str">
        <f>HYPERLINK("https://pbs.twimg.com/profile_images/1473762862665506832/vElz4fMX_normal.jpg")</f>
        <v>https://pbs.twimg.com/profile_images/1473762862665506832/vElz4fMX_normal.jpg</v>
      </c>
      <c r="G548" s="63"/>
      <c r="H548" s="67"/>
      <c r="I548" s="68"/>
      <c r="J548" s="68"/>
      <c r="K548" s="67" t="s">
        <v>14997</v>
      </c>
      <c r="L548" s="71"/>
      <c r="M548" s="72"/>
      <c r="N548" s="72"/>
      <c r="O548" s="73"/>
      <c r="P548" s="74"/>
      <c r="Q548" s="74"/>
      <c r="R548" s="87"/>
      <c r="S548" s="87"/>
      <c r="T548" s="87"/>
      <c r="U548" s="87"/>
      <c r="V548" s="48"/>
      <c r="W548" s="48"/>
      <c r="X548" s="48"/>
      <c r="Y548" s="48"/>
      <c r="Z548" s="47"/>
      <c r="AA548" s="69">
        <v>548</v>
      </c>
      <c r="AB548" s="69"/>
      <c r="AC548" s="70"/>
      <c r="AD548" s="76" t="s">
        <v>12278</v>
      </c>
      <c r="AE548" s="80" t="s">
        <v>12749</v>
      </c>
      <c r="AF548" s="76">
        <v>3683</v>
      </c>
      <c r="AG548" s="76">
        <v>1301</v>
      </c>
      <c r="AH548" s="76">
        <v>12937</v>
      </c>
      <c r="AI548" s="76">
        <v>193</v>
      </c>
      <c r="AJ548" s="76">
        <v>16258</v>
      </c>
      <c r="AK548" s="76">
        <v>1151</v>
      </c>
      <c r="AL548" s="76" t="b">
        <v>0</v>
      </c>
      <c r="AM548" s="78">
        <v>39531.29724537037</v>
      </c>
      <c r="AN548" s="76" t="s">
        <v>13135</v>
      </c>
      <c r="AO548" s="76" t="s">
        <v>13722</v>
      </c>
      <c r="AP548" s="76"/>
      <c r="AQ548" s="76"/>
      <c r="AR548" s="76"/>
      <c r="AS548" s="76"/>
      <c r="AT548" s="76"/>
      <c r="AU548" s="76"/>
      <c r="AV548" s="76"/>
      <c r="AW548" s="76"/>
      <c r="AX548" s="76" t="b">
        <v>0</v>
      </c>
      <c r="AY548" s="76"/>
      <c r="AZ548" s="76"/>
      <c r="BA548" s="76" t="b">
        <v>1</v>
      </c>
      <c r="BB548" s="76" t="b">
        <v>0</v>
      </c>
      <c r="BC548" s="76" t="b">
        <v>0</v>
      </c>
      <c r="BD548" s="76" t="b">
        <v>0</v>
      </c>
      <c r="BE548" s="76" t="b">
        <v>0</v>
      </c>
      <c r="BF548" s="76" t="b">
        <v>0</v>
      </c>
      <c r="BG548" s="76" t="b">
        <v>0</v>
      </c>
      <c r="BH548" s="82" t="str">
        <f>HYPERLINK("https://pbs.twimg.com/profile_banners/14206050/1536256928")</f>
        <v>https://pbs.twimg.com/profile_banners/14206050/1536256928</v>
      </c>
      <c r="BI548" s="76"/>
      <c r="BJ548" s="76" t="s">
        <v>14451</v>
      </c>
      <c r="BK548" s="76" t="b">
        <v>0</v>
      </c>
      <c r="BL548" s="76"/>
      <c r="BM548" s="76" t="s">
        <v>65</v>
      </c>
      <c r="BN548" s="76" t="s">
        <v>14452</v>
      </c>
      <c r="BO548" s="82" t="str">
        <f>HYPERLINK("https://twitter.com/samuel")</f>
        <v>https://twitter.com/samuel</v>
      </c>
      <c r="BP548" s="2"/>
    </row>
    <row r="549" spans="1:68" x14ac:dyDescent="0.25">
      <c r="A549" s="62" t="s">
        <v>689</v>
      </c>
      <c r="B549" s="63"/>
      <c r="C549" s="63"/>
      <c r="D549" s="64"/>
      <c r="E549" s="66"/>
      <c r="F549" s="103" t="str">
        <f>HYPERLINK("https://pbs.twimg.com/profile_images/1470389669556858884/csTgrOwu_normal.jpg")</f>
        <v>https://pbs.twimg.com/profile_images/1470389669556858884/csTgrOwu_normal.jpg</v>
      </c>
      <c r="G549" s="63"/>
      <c r="H549" s="67"/>
      <c r="I549" s="68"/>
      <c r="J549" s="68"/>
      <c r="K549" s="67" t="s">
        <v>14998</v>
      </c>
      <c r="L549" s="71"/>
      <c r="M549" s="72"/>
      <c r="N549" s="72"/>
      <c r="O549" s="73"/>
      <c r="P549" s="74"/>
      <c r="Q549" s="74"/>
      <c r="R549" s="87"/>
      <c r="S549" s="87"/>
      <c r="T549" s="87"/>
      <c r="U549" s="87"/>
      <c r="V549" s="48"/>
      <c r="W549" s="48"/>
      <c r="X549" s="48"/>
      <c r="Y549" s="48"/>
      <c r="Z549" s="47"/>
      <c r="AA549" s="69">
        <v>549</v>
      </c>
      <c r="AB549" s="69"/>
      <c r="AC549" s="70"/>
      <c r="AD549" s="76" t="s">
        <v>12279</v>
      </c>
      <c r="AE549" s="80" t="s">
        <v>12750</v>
      </c>
      <c r="AF549" s="76">
        <v>259</v>
      </c>
      <c r="AG549" s="76">
        <v>17</v>
      </c>
      <c r="AH549" s="76">
        <v>1089</v>
      </c>
      <c r="AI549" s="76">
        <v>0</v>
      </c>
      <c r="AJ549" s="76">
        <v>3</v>
      </c>
      <c r="AK549" s="76">
        <v>626</v>
      </c>
      <c r="AL549" s="76" t="b">
        <v>0</v>
      </c>
      <c r="AM549" s="78">
        <v>41031.646585648145</v>
      </c>
      <c r="AN549" s="76" t="s">
        <v>7881</v>
      </c>
      <c r="AO549" s="76" t="s">
        <v>13723</v>
      </c>
      <c r="AP549" s="82" t="str">
        <f>HYPERLINK("https://t.co/5uqvOthDz7")</f>
        <v>https://t.co/5uqvOthDz7</v>
      </c>
      <c r="AQ549" s="82" t="str">
        <f>HYPERLINK("http://www.personale.com.br")</f>
        <v>http://www.personale.com.br</v>
      </c>
      <c r="AR549" s="76" t="s">
        <v>14240</v>
      </c>
      <c r="AS549" s="76"/>
      <c r="AT549" s="76"/>
      <c r="AU549" s="76"/>
      <c r="AV549" s="76"/>
      <c r="AW549" s="82" t="str">
        <f>HYPERLINK("https://t.co/5uqvOthDz7")</f>
        <v>https://t.co/5uqvOthDz7</v>
      </c>
      <c r="AX549" s="76" t="b">
        <v>0</v>
      </c>
      <c r="AY549" s="76"/>
      <c r="AZ549" s="76"/>
      <c r="BA549" s="76" t="b">
        <v>0</v>
      </c>
      <c r="BB549" s="76" t="b">
        <v>1</v>
      </c>
      <c r="BC549" s="76" t="b">
        <v>1</v>
      </c>
      <c r="BD549" s="76" t="b">
        <v>0</v>
      </c>
      <c r="BE549" s="76" t="b">
        <v>0</v>
      </c>
      <c r="BF549" s="76" t="b">
        <v>0</v>
      </c>
      <c r="BG549" s="76" t="b">
        <v>0</v>
      </c>
      <c r="BH549" s="82" t="str">
        <f>HYPERLINK("https://pbs.twimg.com/profile_banners/569194306/1588786874")</f>
        <v>https://pbs.twimg.com/profile_banners/569194306/1588786874</v>
      </c>
      <c r="BI549" s="76"/>
      <c r="BJ549" s="76" t="s">
        <v>14450</v>
      </c>
      <c r="BK549" s="76" t="b">
        <v>0</v>
      </c>
      <c r="BL549" s="76"/>
      <c r="BM549" s="76" t="s">
        <v>66</v>
      </c>
      <c r="BN549" s="76" t="s">
        <v>14452</v>
      </c>
      <c r="BO549" s="82" t="str">
        <f>HYPERLINK("https://twitter.com/grupopersonale")</f>
        <v>https://twitter.com/grupopersonale</v>
      </c>
      <c r="BP549" s="2"/>
    </row>
    <row r="550" spans="1:68" x14ac:dyDescent="0.25">
      <c r="A550" s="62" t="s">
        <v>690</v>
      </c>
      <c r="B550" s="63"/>
      <c r="C550" s="63"/>
      <c r="D550" s="64"/>
      <c r="E550" s="66"/>
      <c r="F550" s="103" t="str">
        <f>HYPERLINK("https://pbs.twimg.com/profile_images/1549819308548804608/_IskDLKR_normal.jpg")</f>
        <v>https://pbs.twimg.com/profile_images/1549819308548804608/_IskDLKR_normal.jpg</v>
      </c>
      <c r="G550" s="63"/>
      <c r="H550" s="67"/>
      <c r="I550" s="68"/>
      <c r="J550" s="68"/>
      <c r="K550" s="67" t="s">
        <v>14999</v>
      </c>
      <c r="L550" s="71"/>
      <c r="M550" s="72"/>
      <c r="N550" s="72"/>
      <c r="O550" s="73"/>
      <c r="P550" s="74"/>
      <c r="Q550" s="74"/>
      <c r="R550" s="87"/>
      <c r="S550" s="87"/>
      <c r="T550" s="87"/>
      <c r="U550" s="87"/>
      <c r="V550" s="48"/>
      <c r="W550" s="48"/>
      <c r="X550" s="48"/>
      <c r="Y550" s="48"/>
      <c r="Z550" s="47"/>
      <c r="AA550" s="69">
        <v>550</v>
      </c>
      <c r="AB550" s="69"/>
      <c r="AC550" s="70"/>
      <c r="AD550" s="76" t="s">
        <v>12280</v>
      </c>
      <c r="AE550" s="80" t="s">
        <v>12751</v>
      </c>
      <c r="AF550" s="76">
        <v>962</v>
      </c>
      <c r="AG550" s="76">
        <v>1285</v>
      </c>
      <c r="AH550" s="76">
        <v>24098</v>
      </c>
      <c r="AI550" s="76">
        <v>18</v>
      </c>
      <c r="AJ550" s="76">
        <v>30640</v>
      </c>
      <c r="AK550" s="76">
        <v>1491</v>
      </c>
      <c r="AL550" s="76" t="b">
        <v>0</v>
      </c>
      <c r="AM550" s="78">
        <v>40003.56759259259</v>
      </c>
      <c r="AN550" s="76" t="s">
        <v>13136</v>
      </c>
      <c r="AO550" s="76" t="s">
        <v>13724</v>
      </c>
      <c r="AP550" s="76"/>
      <c r="AQ550" s="76"/>
      <c r="AR550" s="76"/>
      <c r="AS550" s="76"/>
      <c r="AT550" s="76"/>
      <c r="AU550" s="76"/>
      <c r="AV550" s="76">
        <v>1.1414400381416399E+18</v>
      </c>
      <c r="AW550" s="76"/>
      <c r="AX550" s="76" t="b">
        <v>0</v>
      </c>
      <c r="AY550" s="76"/>
      <c r="AZ550" s="76"/>
      <c r="BA550" s="76" t="b">
        <v>0</v>
      </c>
      <c r="BB550" s="76" t="b">
        <v>1</v>
      </c>
      <c r="BC550" s="76" t="b">
        <v>0</v>
      </c>
      <c r="BD550" s="76" t="b">
        <v>0</v>
      </c>
      <c r="BE550" s="76" t="b">
        <v>1</v>
      </c>
      <c r="BF550" s="76" t="b">
        <v>0</v>
      </c>
      <c r="BG550" s="76" t="b">
        <v>0</v>
      </c>
      <c r="BH550" s="82" t="str">
        <f>HYPERLINK("https://pbs.twimg.com/profile_banners/55236645/1658226229")</f>
        <v>https://pbs.twimg.com/profile_banners/55236645/1658226229</v>
      </c>
      <c r="BI550" s="76"/>
      <c r="BJ550" s="76" t="s">
        <v>14450</v>
      </c>
      <c r="BK550" s="76" t="b">
        <v>0</v>
      </c>
      <c r="BL550" s="76"/>
      <c r="BM550" s="76" t="s">
        <v>66</v>
      </c>
      <c r="BN550" s="76" t="s">
        <v>14452</v>
      </c>
      <c r="BO550" s="82" t="str">
        <f>HYPERLINK("https://twitter.com/stephengroberio")</f>
        <v>https://twitter.com/stephengroberio</v>
      </c>
      <c r="BP550" s="2"/>
    </row>
    <row r="551" spans="1:68" x14ac:dyDescent="0.25">
      <c r="A551" s="62" t="s">
        <v>691</v>
      </c>
      <c r="B551" s="63"/>
      <c r="C551" s="63"/>
      <c r="D551" s="64"/>
      <c r="E551" s="66"/>
      <c r="F551" s="103" t="str">
        <f>HYPERLINK("https://pbs.twimg.com/profile_images/1652481613337329664/j4wiVWyr_normal.jpg")</f>
        <v>https://pbs.twimg.com/profile_images/1652481613337329664/j4wiVWyr_normal.jpg</v>
      </c>
      <c r="G551" s="63"/>
      <c r="H551" s="67"/>
      <c r="I551" s="68"/>
      <c r="J551" s="68"/>
      <c r="K551" s="67" t="s">
        <v>15000</v>
      </c>
      <c r="L551" s="71"/>
      <c r="M551" s="72"/>
      <c r="N551" s="72"/>
      <c r="O551" s="73"/>
      <c r="P551" s="74"/>
      <c r="Q551" s="74"/>
      <c r="R551" s="87"/>
      <c r="S551" s="87"/>
      <c r="T551" s="87"/>
      <c r="U551" s="87"/>
      <c r="V551" s="48"/>
      <c r="W551" s="48"/>
      <c r="X551" s="48"/>
      <c r="Y551" s="48"/>
      <c r="Z551" s="47"/>
      <c r="AA551" s="69">
        <v>551</v>
      </c>
      <c r="AB551" s="69"/>
      <c r="AC551" s="70"/>
      <c r="AD551" s="76" t="s">
        <v>12281</v>
      </c>
      <c r="AE551" s="80" t="s">
        <v>11349</v>
      </c>
      <c r="AF551" s="76">
        <v>7</v>
      </c>
      <c r="AG551" s="76">
        <v>0</v>
      </c>
      <c r="AH551" s="76">
        <v>44</v>
      </c>
      <c r="AI551" s="76">
        <v>0</v>
      </c>
      <c r="AJ551" s="76">
        <v>0</v>
      </c>
      <c r="AK551" s="76">
        <v>4</v>
      </c>
      <c r="AL551" s="76" t="b">
        <v>0</v>
      </c>
      <c r="AM551" s="78">
        <v>45005.855740740742</v>
      </c>
      <c r="AN551" s="76" t="s">
        <v>7791</v>
      </c>
      <c r="AO551" s="76" t="s">
        <v>13725</v>
      </c>
      <c r="AP551" s="82" t="str">
        <f>HYPERLINK("https://t.co/puJJiFxOo1")</f>
        <v>https://t.co/puJJiFxOo1</v>
      </c>
      <c r="AQ551" s="82" t="str">
        <f>HYPERLINK("https://instagram.com/loganlyne?igshid=YmMyMTA2M2Y=")</f>
        <v>https://instagram.com/loganlyne?igshid=YmMyMTA2M2Y=</v>
      </c>
      <c r="AR551" s="76" t="s">
        <v>14241</v>
      </c>
      <c r="AS551" s="76"/>
      <c r="AT551" s="76"/>
      <c r="AU551" s="76"/>
      <c r="AV551" s="76"/>
      <c r="AW551" s="82" t="str">
        <f>HYPERLINK("https://t.co/puJJiFxOo1")</f>
        <v>https://t.co/puJJiFxOo1</v>
      </c>
      <c r="AX551" s="76" t="b">
        <v>0</v>
      </c>
      <c r="AY551" s="76"/>
      <c r="AZ551" s="76"/>
      <c r="BA551" s="76" t="b">
        <v>0</v>
      </c>
      <c r="BB551" s="76" t="b">
        <v>1</v>
      </c>
      <c r="BC551" s="76" t="b">
        <v>1</v>
      </c>
      <c r="BD551" s="76" t="b">
        <v>0</v>
      </c>
      <c r="BE551" s="76" t="b">
        <v>1</v>
      </c>
      <c r="BF551" s="76" t="b">
        <v>0</v>
      </c>
      <c r="BG551" s="76" t="b">
        <v>0</v>
      </c>
      <c r="BH551" s="76"/>
      <c r="BI551" s="76"/>
      <c r="BJ551" s="76" t="s">
        <v>14450</v>
      </c>
      <c r="BK551" s="76" t="b">
        <v>0</v>
      </c>
      <c r="BL551" s="76"/>
      <c r="BM551" s="76" t="s">
        <v>66</v>
      </c>
      <c r="BN551" s="76" t="s">
        <v>14452</v>
      </c>
      <c r="BO551" s="82" t="str">
        <f>HYPERLINK("https://twitter.com/loganlyne")</f>
        <v>https://twitter.com/loganlyne</v>
      </c>
      <c r="BP551" s="2"/>
    </row>
    <row r="552" spans="1:68" x14ac:dyDescent="0.25">
      <c r="A552" s="62" t="s">
        <v>692</v>
      </c>
      <c r="B552" s="63"/>
      <c r="C552" s="63"/>
      <c r="D552" s="64"/>
      <c r="E552" s="66"/>
      <c r="F552" s="103" t="str">
        <f>HYPERLINK("https://pbs.twimg.com/profile_images/1649933661570048005/7g1_HtpH_normal.jpg")</f>
        <v>https://pbs.twimg.com/profile_images/1649933661570048005/7g1_HtpH_normal.jpg</v>
      </c>
      <c r="G552" s="63"/>
      <c r="H552" s="67"/>
      <c r="I552" s="68"/>
      <c r="J552" s="68"/>
      <c r="K552" s="67" t="s">
        <v>15001</v>
      </c>
      <c r="L552" s="71"/>
      <c r="M552" s="72"/>
      <c r="N552" s="72"/>
      <c r="O552" s="73"/>
      <c r="P552" s="74"/>
      <c r="Q552" s="74"/>
      <c r="R552" s="87"/>
      <c r="S552" s="87"/>
      <c r="T552" s="87"/>
      <c r="U552" s="87"/>
      <c r="V552" s="48"/>
      <c r="W552" s="48"/>
      <c r="X552" s="48"/>
      <c r="Y552" s="48"/>
      <c r="Z552" s="47"/>
      <c r="AA552" s="69">
        <v>552</v>
      </c>
      <c r="AB552" s="69"/>
      <c r="AC552" s="70"/>
      <c r="AD552" s="76" t="s">
        <v>12282</v>
      </c>
      <c r="AE552" s="80" t="s">
        <v>11641</v>
      </c>
      <c r="AF552" s="76">
        <v>8</v>
      </c>
      <c r="AG552" s="76">
        <v>13</v>
      </c>
      <c r="AH552" s="76">
        <v>209</v>
      </c>
      <c r="AI552" s="76">
        <v>0</v>
      </c>
      <c r="AJ552" s="76">
        <v>12</v>
      </c>
      <c r="AK552" s="76">
        <v>32</v>
      </c>
      <c r="AL552" s="76" t="b">
        <v>0</v>
      </c>
      <c r="AM552" s="78">
        <v>42979.826215277775</v>
      </c>
      <c r="AN552" s="76" t="s">
        <v>13137</v>
      </c>
      <c r="AO552" s="76" t="s">
        <v>13726</v>
      </c>
      <c r="AP552" s="82" t="str">
        <f>HYPERLINK("https://t.co/j85gPVb4Ij")</f>
        <v>https://t.co/j85gPVb4Ij</v>
      </c>
      <c r="AQ552" s="82" t="str">
        <f>HYPERLINK("http://www.carmensanchezhomes.com")</f>
        <v>http://www.carmensanchezhomes.com</v>
      </c>
      <c r="AR552" s="76" t="s">
        <v>14242</v>
      </c>
      <c r="AS552" s="76"/>
      <c r="AT552" s="76"/>
      <c r="AU552" s="76"/>
      <c r="AV552" s="76"/>
      <c r="AW552" s="82" t="str">
        <f>HYPERLINK("https://t.co/j85gPVb4Ij")</f>
        <v>https://t.co/j85gPVb4Ij</v>
      </c>
      <c r="AX552" s="76" t="b">
        <v>0</v>
      </c>
      <c r="AY552" s="76"/>
      <c r="AZ552" s="76"/>
      <c r="BA552" s="76" t="b">
        <v>0</v>
      </c>
      <c r="BB552" s="76" t="b">
        <v>1</v>
      </c>
      <c r="BC552" s="76" t="b">
        <v>1</v>
      </c>
      <c r="BD552" s="76" t="b">
        <v>0</v>
      </c>
      <c r="BE552" s="76" t="b">
        <v>1</v>
      </c>
      <c r="BF552" s="76" t="b">
        <v>0</v>
      </c>
      <c r="BG552" s="76" t="b">
        <v>0</v>
      </c>
      <c r="BH552" s="82" t="str">
        <f>HYPERLINK("https://pbs.twimg.com/profile_banners/903706463960477698/1504883942")</f>
        <v>https://pbs.twimg.com/profile_banners/903706463960477698/1504883942</v>
      </c>
      <c r="BI552" s="76"/>
      <c r="BJ552" s="76" t="s">
        <v>14450</v>
      </c>
      <c r="BK552" s="76" t="b">
        <v>0</v>
      </c>
      <c r="BL552" s="76"/>
      <c r="BM552" s="76" t="s">
        <v>66</v>
      </c>
      <c r="BN552" s="76" t="s">
        <v>14452</v>
      </c>
      <c r="BO552" s="82" t="str">
        <f>HYPERLINK("https://twitter.com/carmenrealtorfl")</f>
        <v>https://twitter.com/carmenrealtorfl</v>
      </c>
      <c r="BP552" s="2"/>
    </row>
    <row r="553" spans="1:68" x14ac:dyDescent="0.25">
      <c r="A553" s="62" t="s">
        <v>693</v>
      </c>
      <c r="B553" s="63"/>
      <c r="C553" s="63"/>
      <c r="D553" s="64"/>
      <c r="E553" s="66"/>
      <c r="F553" s="103" t="str">
        <f>HYPERLINK("https://pbs.twimg.com/profile_images/957615634619228160/WKhphGak_normal.jpg")</f>
        <v>https://pbs.twimg.com/profile_images/957615634619228160/WKhphGak_normal.jpg</v>
      </c>
      <c r="G553" s="63"/>
      <c r="H553" s="67"/>
      <c r="I553" s="68"/>
      <c r="J553" s="68"/>
      <c r="K553" s="67" t="s">
        <v>15002</v>
      </c>
      <c r="L553" s="71"/>
      <c r="M553" s="72"/>
      <c r="N553" s="72"/>
      <c r="O553" s="73"/>
      <c r="P553" s="74"/>
      <c r="Q553" s="74"/>
      <c r="R553" s="87"/>
      <c r="S553" s="87"/>
      <c r="T553" s="87"/>
      <c r="U553" s="87"/>
      <c r="V553" s="48"/>
      <c r="W553" s="48"/>
      <c r="X553" s="48"/>
      <c r="Y553" s="48"/>
      <c r="Z553" s="47"/>
      <c r="AA553" s="69">
        <v>553</v>
      </c>
      <c r="AB553" s="69"/>
      <c r="AC553" s="70"/>
      <c r="AD553" s="76" t="s">
        <v>12283</v>
      </c>
      <c r="AE553" s="80" t="s">
        <v>12752</v>
      </c>
      <c r="AF553" s="76">
        <v>41452</v>
      </c>
      <c r="AG553" s="76">
        <v>16998</v>
      </c>
      <c r="AH553" s="76">
        <v>175486</v>
      </c>
      <c r="AI553" s="76">
        <v>108</v>
      </c>
      <c r="AJ553" s="76">
        <v>44727</v>
      </c>
      <c r="AK553" s="76">
        <v>146098</v>
      </c>
      <c r="AL553" s="76" t="b">
        <v>0</v>
      </c>
      <c r="AM553" s="78">
        <v>41770.403993055559</v>
      </c>
      <c r="AN553" s="76" t="s">
        <v>13138</v>
      </c>
      <c r="AO553" s="76" t="s">
        <v>13607</v>
      </c>
      <c r="AP553" s="82" t="str">
        <f>HYPERLINK("https://t.co/KVN37F8Tdz")</f>
        <v>https://t.co/KVN37F8Tdz</v>
      </c>
      <c r="AQ553" s="82" t="str">
        <f>HYPERLINK("https://cholloterapia.com")</f>
        <v>https://cholloterapia.com</v>
      </c>
      <c r="AR553" s="76" t="s">
        <v>14243</v>
      </c>
      <c r="AS553" s="76"/>
      <c r="AT553" s="76"/>
      <c r="AU553" s="76"/>
      <c r="AV553" s="76">
        <v>1.69410008395071E+18</v>
      </c>
      <c r="AW553" s="82" t="str">
        <f>HYPERLINK("https://t.co/KVN37F8Tdz")</f>
        <v>https://t.co/KVN37F8Tdz</v>
      </c>
      <c r="AX553" s="76" t="b">
        <v>0</v>
      </c>
      <c r="AY553" s="76"/>
      <c r="AZ553" s="76"/>
      <c r="BA553" s="76" t="b">
        <v>1</v>
      </c>
      <c r="BB553" s="76" t="b">
        <v>0</v>
      </c>
      <c r="BC553" s="76" t="b">
        <v>0</v>
      </c>
      <c r="BD553" s="76" t="b">
        <v>0</v>
      </c>
      <c r="BE553" s="76" t="b">
        <v>0</v>
      </c>
      <c r="BF553" s="76" t="b">
        <v>0</v>
      </c>
      <c r="BG553" s="76" t="b">
        <v>0</v>
      </c>
      <c r="BH553" s="82" t="str">
        <f>HYPERLINK("https://pbs.twimg.com/profile_banners/2540707132/1608025000")</f>
        <v>https://pbs.twimg.com/profile_banners/2540707132/1608025000</v>
      </c>
      <c r="BI553" s="76"/>
      <c r="BJ553" s="76" t="s">
        <v>14450</v>
      </c>
      <c r="BK553" s="76" t="b">
        <v>0</v>
      </c>
      <c r="BL553" s="76"/>
      <c r="BM553" s="76" t="s">
        <v>66</v>
      </c>
      <c r="BN553" s="76" t="s">
        <v>14452</v>
      </c>
      <c r="BO553" s="82" t="str">
        <f>HYPERLINK("https://twitter.com/cholloterapia")</f>
        <v>https://twitter.com/cholloterapia</v>
      </c>
      <c r="BP553" s="2"/>
    </row>
    <row r="554" spans="1:68" x14ac:dyDescent="0.25">
      <c r="A554" s="62" t="s">
        <v>694</v>
      </c>
      <c r="B554" s="63"/>
      <c r="C554" s="63"/>
      <c r="D554" s="64"/>
      <c r="E554" s="66"/>
      <c r="F554" s="103" t="str">
        <f>HYPERLINK("https://pbs.twimg.com/profile_images/1387961753418481666/AkjT8l0U_normal.jpg")</f>
        <v>https://pbs.twimg.com/profile_images/1387961753418481666/AkjT8l0U_normal.jpg</v>
      </c>
      <c r="G554" s="63"/>
      <c r="H554" s="67"/>
      <c r="I554" s="68"/>
      <c r="J554" s="68"/>
      <c r="K554" s="67" t="s">
        <v>15003</v>
      </c>
      <c r="L554" s="71"/>
      <c r="M554" s="72"/>
      <c r="N554" s="72"/>
      <c r="O554" s="73"/>
      <c r="P554" s="74"/>
      <c r="Q554" s="74"/>
      <c r="R554" s="87"/>
      <c r="S554" s="87"/>
      <c r="T554" s="87"/>
      <c r="U554" s="87"/>
      <c r="V554" s="48"/>
      <c r="W554" s="48"/>
      <c r="X554" s="48"/>
      <c r="Y554" s="48"/>
      <c r="Z554" s="47"/>
      <c r="AA554" s="69">
        <v>554</v>
      </c>
      <c r="AB554" s="69"/>
      <c r="AC554" s="70"/>
      <c r="AD554" s="76" t="s">
        <v>12284</v>
      </c>
      <c r="AE554" s="80" t="s">
        <v>12753</v>
      </c>
      <c r="AF554" s="76">
        <v>40</v>
      </c>
      <c r="AG554" s="76">
        <v>151</v>
      </c>
      <c r="AH554" s="76">
        <v>4963</v>
      </c>
      <c r="AI554" s="76">
        <v>1</v>
      </c>
      <c r="AJ554" s="76">
        <v>628</v>
      </c>
      <c r="AK554" s="76">
        <v>625</v>
      </c>
      <c r="AL554" s="76" t="b">
        <v>0</v>
      </c>
      <c r="AM554" s="78">
        <v>40696.829004629632</v>
      </c>
      <c r="AN554" s="76" t="s">
        <v>13139</v>
      </c>
      <c r="AO554" s="76" t="s">
        <v>13727</v>
      </c>
      <c r="AP554" s="76"/>
      <c r="AQ554" s="76"/>
      <c r="AR554" s="76"/>
      <c r="AS554" s="82" t="str">
        <f>HYPERLINK("https://t.co/I5OvYUQrm7")</f>
        <v>https://t.co/I5OvYUQrm7</v>
      </c>
      <c r="AT554" s="82" t="str">
        <f>HYPERLINK("http://wa.me/5516996262108")</f>
        <v>http://wa.me/5516996262108</v>
      </c>
      <c r="AU554" s="76" t="s">
        <v>14438</v>
      </c>
      <c r="AV554" s="76"/>
      <c r="AW554" s="76"/>
      <c r="AX554" s="76" t="b">
        <v>0</v>
      </c>
      <c r="AY554" s="76"/>
      <c r="AZ554" s="76"/>
      <c r="BA554" s="76" t="b">
        <v>1</v>
      </c>
      <c r="BB554" s="76" t="b">
        <v>1</v>
      </c>
      <c r="BC554" s="76" t="b">
        <v>1</v>
      </c>
      <c r="BD554" s="76" t="b">
        <v>0</v>
      </c>
      <c r="BE554" s="76" t="b">
        <v>0</v>
      </c>
      <c r="BF554" s="76" t="b">
        <v>0</v>
      </c>
      <c r="BG554" s="76" t="b">
        <v>0</v>
      </c>
      <c r="BH554" s="82" t="str">
        <f>HYPERLINK("https://pbs.twimg.com/profile_banners/309857122/1595622369")</f>
        <v>https://pbs.twimg.com/profile_banners/309857122/1595622369</v>
      </c>
      <c r="BI554" s="76"/>
      <c r="BJ554" s="76" t="s">
        <v>14450</v>
      </c>
      <c r="BK554" s="76" t="b">
        <v>0</v>
      </c>
      <c r="BL554" s="76"/>
      <c r="BM554" s="76" t="s">
        <v>66</v>
      </c>
      <c r="BN554" s="76" t="s">
        <v>14452</v>
      </c>
      <c r="BO554" s="82" t="str">
        <f>HYPERLINK("https://twitter.com/prlusevero")</f>
        <v>https://twitter.com/prlusevero</v>
      </c>
      <c r="BP554" s="2"/>
    </row>
    <row r="555" spans="1:68" x14ac:dyDescent="0.25">
      <c r="A555" s="62" t="s">
        <v>695</v>
      </c>
      <c r="B555" s="63"/>
      <c r="C555" s="63"/>
      <c r="D555" s="64"/>
      <c r="E555" s="66"/>
      <c r="F555" s="103" t="str">
        <f>HYPERLINK("https://pbs.twimg.com/profile_images/1463723412178841604/aRmhHORA_normal.jpg")</f>
        <v>https://pbs.twimg.com/profile_images/1463723412178841604/aRmhHORA_normal.jpg</v>
      </c>
      <c r="G555" s="63"/>
      <c r="H555" s="67"/>
      <c r="I555" s="68"/>
      <c r="J555" s="68"/>
      <c r="K555" s="67" t="s">
        <v>15004</v>
      </c>
      <c r="L555" s="71"/>
      <c r="M555" s="72"/>
      <c r="N555" s="72"/>
      <c r="O555" s="73"/>
      <c r="P555" s="74"/>
      <c r="Q555" s="74"/>
      <c r="R555" s="87"/>
      <c r="S555" s="87"/>
      <c r="T555" s="87"/>
      <c r="U555" s="87"/>
      <c r="V555" s="48"/>
      <c r="W555" s="48"/>
      <c r="X555" s="48"/>
      <c r="Y555" s="48"/>
      <c r="Z555" s="47"/>
      <c r="AA555" s="69">
        <v>555</v>
      </c>
      <c r="AB555" s="69"/>
      <c r="AC555" s="70"/>
      <c r="AD555" s="76" t="s">
        <v>695</v>
      </c>
      <c r="AE555" s="80" t="s">
        <v>12754</v>
      </c>
      <c r="AF555" s="76">
        <v>289</v>
      </c>
      <c r="AG555" s="76">
        <v>949</v>
      </c>
      <c r="AH555" s="76">
        <v>1160</v>
      </c>
      <c r="AI555" s="76">
        <v>2</v>
      </c>
      <c r="AJ555" s="76">
        <v>35</v>
      </c>
      <c r="AK555" s="76">
        <v>976</v>
      </c>
      <c r="AL555" s="76" t="b">
        <v>0</v>
      </c>
      <c r="AM555" s="78">
        <v>40632.864861111113</v>
      </c>
      <c r="AN555" s="76" t="s">
        <v>13140</v>
      </c>
      <c r="AO555" s="76" t="s">
        <v>13728</v>
      </c>
      <c r="AP555" s="82" t="str">
        <f>HYPERLINK("https://t.co/mLaQyh8bIu")</f>
        <v>https://t.co/mLaQyh8bIu</v>
      </c>
      <c r="AQ555" s="82" t="str">
        <f>HYPERLINK("http://www.dpersonas.com")</f>
        <v>http://www.dpersonas.com</v>
      </c>
      <c r="AR555" s="76" t="s">
        <v>4319</v>
      </c>
      <c r="AS555" s="82" t="str">
        <f>HYPERLINK("https://t.co/WZUXPDM7zK")</f>
        <v>https://t.co/WZUXPDM7zK</v>
      </c>
      <c r="AT555" s="82" t="str">
        <f>HYPERLINK("http://youtu.be/_c22Uvic-wY")</f>
        <v>http://youtu.be/_c22Uvic-wY</v>
      </c>
      <c r="AU555" s="76" t="s">
        <v>14439</v>
      </c>
      <c r="AV555" s="76"/>
      <c r="AW555" s="82" t="str">
        <f>HYPERLINK("https://t.co/mLaQyh8bIu")</f>
        <v>https://t.co/mLaQyh8bIu</v>
      </c>
      <c r="AX555" s="76" t="b">
        <v>0</v>
      </c>
      <c r="AY555" s="76"/>
      <c r="AZ555" s="76"/>
      <c r="BA555" s="76" t="b">
        <v>0</v>
      </c>
      <c r="BB555" s="76" t="b">
        <v>1</v>
      </c>
      <c r="BC555" s="76" t="b">
        <v>0</v>
      </c>
      <c r="BD555" s="76" t="b">
        <v>0</v>
      </c>
      <c r="BE555" s="76" t="b">
        <v>0</v>
      </c>
      <c r="BF555" s="76" t="b">
        <v>0</v>
      </c>
      <c r="BG555" s="76" t="b">
        <v>0</v>
      </c>
      <c r="BH555" s="82" t="str">
        <f>HYPERLINK("https://pbs.twimg.com/profile_banners/274675704/1655224548")</f>
        <v>https://pbs.twimg.com/profile_banners/274675704/1655224548</v>
      </c>
      <c r="BI555" s="76"/>
      <c r="BJ555" s="76" t="s">
        <v>14450</v>
      </c>
      <c r="BK555" s="76" t="b">
        <v>0</v>
      </c>
      <c r="BL555" s="76"/>
      <c r="BM555" s="76" t="s">
        <v>66</v>
      </c>
      <c r="BN555" s="76" t="s">
        <v>14452</v>
      </c>
      <c r="BO555" s="82" t="str">
        <f>HYPERLINK("https://twitter.com/dpersonas")</f>
        <v>https://twitter.com/dpersonas</v>
      </c>
      <c r="BP555" s="2"/>
    </row>
    <row r="556" spans="1:68" x14ac:dyDescent="0.25">
      <c r="A556" s="62" t="s">
        <v>696</v>
      </c>
      <c r="B556" s="63"/>
      <c r="C556" s="63"/>
      <c r="D556" s="64"/>
      <c r="E556" s="66"/>
      <c r="F556" s="103" t="str">
        <f>HYPERLINK("https://pbs.twimg.com/profile_images/812059895294001152/4wnGGoFh_normal.jpg")</f>
        <v>https://pbs.twimg.com/profile_images/812059895294001152/4wnGGoFh_normal.jpg</v>
      </c>
      <c r="G556" s="63"/>
      <c r="H556" s="67"/>
      <c r="I556" s="68"/>
      <c r="J556" s="68"/>
      <c r="K556" s="67" t="s">
        <v>15005</v>
      </c>
      <c r="L556" s="71"/>
      <c r="M556" s="72"/>
      <c r="N556" s="72"/>
      <c r="O556" s="73"/>
      <c r="P556" s="74"/>
      <c r="Q556" s="74"/>
      <c r="R556" s="87"/>
      <c r="S556" s="87"/>
      <c r="T556" s="87"/>
      <c r="U556" s="87"/>
      <c r="V556" s="48"/>
      <c r="W556" s="48"/>
      <c r="X556" s="48"/>
      <c r="Y556" s="48"/>
      <c r="Z556" s="47"/>
      <c r="AA556" s="69">
        <v>556</v>
      </c>
      <c r="AB556" s="69"/>
      <c r="AC556" s="70"/>
      <c r="AD556" s="76" t="s">
        <v>12285</v>
      </c>
      <c r="AE556" s="80" t="s">
        <v>11642</v>
      </c>
      <c r="AF556" s="76">
        <v>15</v>
      </c>
      <c r="AG556" s="76">
        <v>53</v>
      </c>
      <c r="AH556" s="76">
        <v>56</v>
      </c>
      <c r="AI556" s="76">
        <v>0</v>
      </c>
      <c r="AJ556" s="76">
        <v>5</v>
      </c>
      <c r="AK556" s="76">
        <v>44</v>
      </c>
      <c r="AL556" s="76" t="b">
        <v>0</v>
      </c>
      <c r="AM556" s="78">
        <v>42604.261273148149</v>
      </c>
      <c r="AN556" s="76" t="s">
        <v>12920</v>
      </c>
      <c r="AO556" s="76" t="s">
        <v>13729</v>
      </c>
      <c r="AP556" s="82" t="str">
        <f>HYPERLINK("https://t.co/V4dPuFF429")</f>
        <v>https://t.co/V4dPuFF429</v>
      </c>
      <c r="AQ556" s="82" t="str">
        <f>HYPERLINK("http://www.netma.com.ar")</f>
        <v>http://www.netma.com.ar</v>
      </c>
      <c r="AR556" s="76" t="s">
        <v>14244</v>
      </c>
      <c r="AS556" s="76"/>
      <c r="AT556" s="76"/>
      <c r="AU556" s="76"/>
      <c r="AV556" s="76"/>
      <c r="AW556" s="82" t="str">
        <f>HYPERLINK("https://t.co/V4dPuFF429")</f>
        <v>https://t.co/V4dPuFF429</v>
      </c>
      <c r="AX556" s="76" t="b">
        <v>0</v>
      </c>
      <c r="AY556" s="76"/>
      <c r="AZ556" s="76"/>
      <c r="BA556" s="76" t="b">
        <v>0</v>
      </c>
      <c r="BB556" s="76" t="b">
        <v>1</v>
      </c>
      <c r="BC556" s="76" t="b">
        <v>0</v>
      </c>
      <c r="BD556" s="76" t="b">
        <v>0</v>
      </c>
      <c r="BE556" s="76" t="b">
        <v>0</v>
      </c>
      <c r="BF556" s="76" t="b">
        <v>0</v>
      </c>
      <c r="BG556" s="76" t="b">
        <v>0</v>
      </c>
      <c r="BH556" s="82" t="str">
        <f>HYPERLINK("https://pbs.twimg.com/profile_banners/767606282727649280/1483467434")</f>
        <v>https://pbs.twimg.com/profile_banners/767606282727649280/1483467434</v>
      </c>
      <c r="BI556" s="76"/>
      <c r="BJ556" s="76" t="s">
        <v>14450</v>
      </c>
      <c r="BK556" s="76" t="b">
        <v>0</v>
      </c>
      <c r="BL556" s="76"/>
      <c r="BM556" s="76" t="s">
        <v>66</v>
      </c>
      <c r="BN556" s="76" t="s">
        <v>14452</v>
      </c>
      <c r="BO556" s="82" t="str">
        <f>HYPERLINK("https://twitter.com/latinnetma")</f>
        <v>https://twitter.com/latinnetma</v>
      </c>
      <c r="BP556" s="2"/>
    </row>
    <row r="557" spans="1:68" x14ac:dyDescent="0.25">
      <c r="A557" s="62" t="s">
        <v>697</v>
      </c>
      <c r="B557" s="63"/>
      <c r="C557" s="63"/>
      <c r="D557" s="64"/>
      <c r="E557" s="66"/>
      <c r="F557" s="103" t="str">
        <f>HYPERLINK("https://pbs.twimg.com/profile_images/1582044101771513857/rj9FsKKc_normal.jpg")</f>
        <v>https://pbs.twimg.com/profile_images/1582044101771513857/rj9FsKKc_normal.jpg</v>
      </c>
      <c r="G557" s="63"/>
      <c r="H557" s="67"/>
      <c r="I557" s="68"/>
      <c r="J557" s="68"/>
      <c r="K557" s="67" t="s">
        <v>15006</v>
      </c>
      <c r="L557" s="71"/>
      <c r="M557" s="72"/>
      <c r="N557" s="72"/>
      <c r="O557" s="73"/>
      <c r="P557" s="74"/>
      <c r="Q557" s="74"/>
      <c r="R557" s="87"/>
      <c r="S557" s="87"/>
      <c r="T557" s="87"/>
      <c r="U557" s="87"/>
      <c r="V557" s="48"/>
      <c r="W557" s="48"/>
      <c r="X557" s="48"/>
      <c r="Y557" s="48"/>
      <c r="Z557" s="47"/>
      <c r="AA557" s="69">
        <v>557</v>
      </c>
      <c r="AB557" s="69"/>
      <c r="AC557" s="70"/>
      <c r="AD557" s="76" t="s">
        <v>12286</v>
      </c>
      <c r="AE557" s="80" t="s">
        <v>12755</v>
      </c>
      <c r="AF557" s="76">
        <v>699</v>
      </c>
      <c r="AG557" s="76">
        <v>2303</v>
      </c>
      <c r="AH557" s="76">
        <v>6716</v>
      </c>
      <c r="AI557" s="76">
        <v>19</v>
      </c>
      <c r="AJ557" s="76">
        <v>731</v>
      </c>
      <c r="AK557" s="76">
        <v>562</v>
      </c>
      <c r="AL557" s="76" t="b">
        <v>0</v>
      </c>
      <c r="AM557" s="78">
        <v>40098.153495370374</v>
      </c>
      <c r="AN557" s="76" t="s">
        <v>7792</v>
      </c>
      <c r="AO557" s="76" t="s">
        <v>13730</v>
      </c>
      <c r="AP557" s="76"/>
      <c r="AQ557" s="76"/>
      <c r="AR557" s="76"/>
      <c r="AS557" s="76"/>
      <c r="AT557" s="76"/>
      <c r="AU557" s="76"/>
      <c r="AV557" s="76"/>
      <c r="AW557" s="76"/>
      <c r="AX557" s="76" t="b">
        <v>0</v>
      </c>
      <c r="AY557" s="76"/>
      <c r="AZ557" s="76"/>
      <c r="BA557" s="76" t="b">
        <v>0</v>
      </c>
      <c r="BB557" s="76" t="b">
        <v>0</v>
      </c>
      <c r="BC557" s="76" t="b">
        <v>0</v>
      </c>
      <c r="BD557" s="76" t="b">
        <v>0</v>
      </c>
      <c r="BE557" s="76" t="b">
        <v>0</v>
      </c>
      <c r="BF557" s="76" t="b">
        <v>0</v>
      </c>
      <c r="BG557" s="76" t="b">
        <v>0</v>
      </c>
      <c r="BH557" s="82" t="str">
        <f>HYPERLINK("https://pbs.twimg.com/profile_banners/81754478/1683212709")</f>
        <v>https://pbs.twimg.com/profile_banners/81754478/1683212709</v>
      </c>
      <c r="BI557" s="76"/>
      <c r="BJ557" s="76" t="s">
        <v>14450</v>
      </c>
      <c r="BK557" s="76" t="b">
        <v>0</v>
      </c>
      <c r="BL557" s="76"/>
      <c r="BM557" s="76" t="s">
        <v>66</v>
      </c>
      <c r="BN557" s="76" t="s">
        <v>14452</v>
      </c>
      <c r="BO557" s="82" t="str">
        <f>HYPERLINK("https://twitter.com/hectorianlogic")</f>
        <v>https://twitter.com/hectorianlogic</v>
      </c>
      <c r="BP557" s="2"/>
    </row>
    <row r="558" spans="1:68" x14ac:dyDescent="0.25">
      <c r="A558" s="62" t="s">
        <v>698</v>
      </c>
      <c r="B558" s="63"/>
      <c r="C558" s="63"/>
      <c r="D558" s="64"/>
      <c r="E558" s="66"/>
      <c r="F558" s="103" t="str">
        <f>HYPERLINK("https://pbs.twimg.com/profile_images/1625167421165240321/4YAk5zva_normal.jpg")</f>
        <v>https://pbs.twimg.com/profile_images/1625167421165240321/4YAk5zva_normal.jpg</v>
      </c>
      <c r="G558" s="63"/>
      <c r="H558" s="67"/>
      <c r="I558" s="68"/>
      <c r="J558" s="68"/>
      <c r="K558" s="67" t="s">
        <v>15007</v>
      </c>
      <c r="L558" s="71"/>
      <c r="M558" s="72"/>
      <c r="N558" s="72"/>
      <c r="O558" s="73"/>
      <c r="P558" s="74"/>
      <c r="Q558" s="74"/>
      <c r="R558" s="87"/>
      <c r="S558" s="87"/>
      <c r="T558" s="87"/>
      <c r="U558" s="87"/>
      <c r="V558" s="48"/>
      <c r="W558" s="48"/>
      <c r="X558" s="48"/>
      <c r="Y558" s="48"/>
      <c r="Z558" s="47"/>
      <c r="AA558" s="69">
        <v>558</v>
      </c>
      <c r="AB558" s="69"/>
      <c r="AC558" s="70"/>
      <c r="AD558" s="76" t="s">
        <v>12287</v>
      </c>
      <c r="AE558" s="80" t="s">
        <v>11643</v>
      </c>
      <c r="AF558" s="76">
        <v>7</v>
      </c>
      <c r="AG558" s="76">
        <v>2</v>
      </c>
      <c r="AH558" s="76">
        <v>1110</v>
      </c>
      <c r="AI558" s="76">
        <v>0</v>
      </c>
      <c r="AJ558" s="76">
        <v>1</v>
      </c>
      <c r="AK558" s="76">
        <v>1108</v>
      </c>
      <c r="AL558" s="76" t="b">
        <v>0</v>
      </c>
      <c r="AM558" s="78">
        <v>44970.678993055553</v>
      </c>
      <c r="AN558" s="76"/>
      <c r="AO558" s="76" t="s">
        <v>13731</v>
      </c>
      <c r="AP558" s="76"/>
      <c r="AQ558" s="76"/>
      <c r="AR558" s="76"/>
      <c r="AS558" s="82" t="str">
        <f>HYPERLINK("https://t.co/0jw2FNlqnU")</f>
        <v>https://t.co/0jw2FNlqnU</v>
      </c>
      <c r="AT558" s="82" t="str">
        <f>HYPERLINK("http://bit.ly/Info369")</f>
        <v>http://bit.ly/Info369</v>
      </c>
      <c r="AU558" s="76" t="s">
        <v>14440</v>
      </c>
      <c r="AV558" s="76"/>
      <c r="AW558" s="76"/>
      <c r="AX558" s="76" t="b">
        <v>0</v>
      </c>
      <c r="AY558" s="76"/>
      <c r="AZ558" s="76"/>
      <c r="BA558" s="76" t="b">
        <v>0</v>
      </c>
      <c r="BB558" s="76" t="b">
        <v>1</v>
      </c>
      <c r="BC558" s="76" t="b">
        <v>1</v>
      </c>
      <c r="BD558" s="76" t="b">
        <v>0</v>
      </c>
      <c r="BE558" s="76" t="b">
        <v>0</v>
      </c>
      <c r="BF558" s="76" t="b">
        <v>0</v>
      </c>
      <c r="BG558" s="76" t="b">
        <v>0</v>
      </c>
      <c r="BH558" s="82" t="str">
        <f>HYPERLINK("https://pbs.twimg.com/profile_banners/1625166633982369793/1685362801")</f>
        <v>https://pbs.twimg.com/profile_banners/1625166633982369793/1685362801</v>
      </c>
      <c r="BI558" s="76"/>
      <c r="BJ558" s="76" t="s">
        <v>14450</v>
      </c>
      <c r="BK558" s="76" t="b">
        <v>0</v>
      </c>
      <c r="BL558" s="76"/>
      <c r="BM558" s="76" t="s">
        <v>66</v>
      </c>
      <c r="BN558" s="76" t="s">
        <v>14452</v>
      </c>
      <c r="BO558" s="82" t="str">
        <f>HYPERLINK("https://twitter.com/rogervelayarce3")</f>
        <v>https://twitter.com/rogervelayarce3</v>
      </c>
      <c r="BP558" s="2"/>
    </row>
    <row r="559" spans="1:68" x14ac:dyDescent="0.25">
      <c r="A559" s="62" t="s">
        <v>699</v>
      </c>
      <c r="B559" s="63"/>
      <c r="C559" s="63"/>
      <c r="D559" s="64"/>
      <c r="E559" s="66"/>
      <c r="F559" s="103" t="str">
        <f>HYPERLINK("https://pbs.twimg.com/profile_images/570580031596797952/kBp64qP2_normal.jpeg")</f>
        <v>https://pbs.twimg.com/profile_images/570580031596797952/kBp64qP2_normal.jpeg</v>
      </c>
      <c r="G559" s="63"/>
      <c r="H559" s="67"/>
      <c r="I559" s="68"/>
      <c r="J559" s="68"/>
      <c r="K559" s="67" t="s">
        <v>15008</v>
      </c>
      <c r="L559" s="71"/>
      <c r="M559" s="72"/>
      <c r="N559" s="72"/>
      <c r="O559" s="73"/>
      <c r="P559" s="74"/>
      <c r="Q559" s="74"/>
      <c r="R559" s="87"/>
      <c r="S559" s="87"/>
      <c r="T559" s="87"/>
      <c r="U559" s="87"/>
      <c r="V559" s="48"/>
      <c r="W559" s="48"/>
      <c r="X559" s="48"/>
      <c r="Y559" s="48"/>
      <c r="Z559" s="47"/>
      <c r="AA559" s="69">
        <v>559</v>
      </c>
      <c r="AB559" s="69"/>
      <c r="AC559" s="70"/>
      <c r="AD559" s="76" t="s">
        <v>12288</v>
      </c>
      <c r="AE559" s="80" t="s">
        <v>12756</v>
      </c>
      <c r="AF559" s="76">
        <v>53</v>
      </c>
      <c r="AG559" s="76">
        <v>6</v>
      </c>
      <c r="AH559" s="76">
        <v>488</v>
      </c>
      <c r="AI559" s="76">
        <v>0</v>
      </c>
      <c r="AJ559" s="76">
        <v>1</v>
      </c>
      <c r="AK559" s="76">
        <v>457</v>
      </c>
      <c r="AL559" s="76" t="b">
        <v>0</v>
      </c>
      <c r="AM559" s="78">
        <v>42060.569444444445</v>
      </c>
      <c r="AN559" s="76" t="s">
        <v>13141</v>
      </c>
      <c r="AO559" s="76" t="s">
        <v>13732</v>
      </c>
      <c r="AP559" s="82" t="str">
        <f>HYPERLINK("https://t.co/hOG7rUfy17")</f>
        <v>https://t.co/hOG7rUfy17</v>
      </c>
      <c r="AQ559" s="82" t="str">
        <f>HYPERLINK("http://www.vincenzo.com.ar")</f>
        <v>http://www.vincenzo.com.ar</v>
      </c>
      <c r="AR559" s="76" t="s">
        <v>14245</v>
      </c>
      <c r="AS559" s="76"/>
      <c r="AT559" s="76"/>
      <c r="AU559" s="76"/>
      <c r="AV559" s="76"/>
      <c r="AW559" s="82" t="str">
        <f>HYPERLINK("https://t.co/hOG7rUfy17")</f>
        <v>https://t.co/hOG7rUfy17</v>
      </c>
      <c r="AX559" s="76" t="b">
        <v>0</v>
      </c>
      <c r="AY559" s="76"/>
      <c r="AZ559" s="76"/>
      <c r="BA559" s="76" t="b">
        <v>1</v>
      </c>
      <c r="BB559" s="76" t="b">
        <v>1</v>
      </c>
      <c r="BC559" s="76" t="b">
        <v>1</v>
      </c>
      <c r="BD559" s="76" t="b">
        <v>0</v>
      </c>
      <c r="BE559" s="76" t="b">
        <v>0</v>
      </c>
      <c r="BF559" s="76" t="b">
        <v>0</v>
      </c>
      <c r="BG559" s="76" t="b">
        <v>0</v>
      </c>
      <c r="BH559" s="82" t="str">
        <f>HYPERLINK("https://pbs.twimg.com/profile_banners/3062049106/1544199737")</f>
        <v>https://pbs.twimg.com/profile_banners/3062049106/1544199737</v>
      </c>
      <c r="BI559" s="76"/>
      <c r="BJ559" s="76" t="s">
        <v>14450</v>
      </c>
      <c r="BK559" s="76" t="b">
        <v>0</v>
      </c>
      <c r="BL559" s="76"/>
      <c r="BM559" s="76" t="s">
        <v>66</v>
      </c>
      <c r="BN559" s="76" t="s">
        <v>14452</v>
      </c>
      <c r="BO559" s="82" t="str">
        <f>HYPERLINK("https://twitter.com/_vincenzocoll")</f>
        <v>https://twitter.com/_vincenzocoll</v>
      </c>
      <c r="BP559" s="2"/>
    </row>
    <row r="560" spans="1:68" x14ac:dyDescent="0.25">
      <c r="A560" s="62" t="s">
        <v>700</v>
      </c>
      <c r="B560" s="63"/>
      <c r="C560" s="63"/>
      <c r="D560" s="64"/>
      <c r="E560" s="66"/>
      <c r="F560" s="103" t="str">
        <f>HYPERLINK("https://pbs.twimg.com/profile_images/1557035992145690626/ihQCnUf6_normal.jpg")</f>
        <v>https://pbs.twimg.com/profile_images/1557035992145690626/ihQCnUf6_normal.jpg</v>
      </c>
      <c r="G560" s="63"/>
      <c r="H560" s="67"/>
      <c r="I560" s="68"/>
      <c r="J560" s="68"/>
      <c r="K560" s="67" t="s">
        <v>15009</v>
      </c>
      <c r="L560" s="71"/>
      <c r="M560" s="72"/>
      <c r="N560" s="72"/>
      <c r="O560" s="73"/>
      <c r="P560" s="74"/>
      <c r="Q560" s="74"/>
      <c r="R560" s="87"/>
      <c r="S560" s="87"/>
      <c r="T560" s="87"/>
      <c r="U560" s="87"/>
      <c r="V560" s="48"/>
      <c r="W560" s="48"/>
      <c r="X560" s="48"/>
      <c r="Y560" s="48"/>
      <c r="Z560" s="47"/>
      <c r="AA560" s="69">
        <v>560</v>
      </c>
      <c r="AB560" s="69"/>
      <c r="AC560" s="70"/>
      <c r="AD560" s="76" t="s">
        <v>12289</v>
      </c>
      <c r="AE560" s="80" t="s">
        <v>12757</v>
      </c>
      <c r="AF560" s="76">
        <v>79319</v>
      </c>
      <c r="AG560" s="76">
        <v>3718</v>
      </c>
      <c r="AH560" s="76">
        <v>14885</v>
      </c>
      <c r="AI560" s="76">
        <v>125</v>
      </c>
      <c r="AJ560" s="76">
        <v>19456</v>
      </c>
      <c r="AK560" s="76">
        <v>1353</v>
      </c>
      <c r="AL560" s="76" t="b">
        <v>0</v>
      </c>
      <c r="AM560" s="78">
        <v>40347.858240740738</v>
      </c>
      <c r="AN560" s="76" t="s">
        <v>13142</v>
      </c>
      <c r="AO560" s="76" t="s">
        <v>13733</v>
      </c>
      <c r="AP560" s="76"/>
      <c r="AQ560" s="76"/>
      <c r="AR560" s="76"/>
      <c r="AS560" s="76"/>
      <c r="AT560" s="76"/>
      <c r="AU560" s="76"/>
      <c r="AV560" s="76">
        <v>1.50337729805727E+18</v>
      </c>
      <c r="AW560" s="76"/>
      <c r="AX560" s="76" t="b">
        <v>0</v>
      </c>
      <c r="AY560" s="76"/>
      <c r="AZ560" s="76"/>
      <c r="BA560" s="76" t="b">
        <v>1</v>
      </c>
      <c r="BB560" s="76" t="b">
        <v>1</v>
      </c>
      <c r="BC560" s="76" t="b">
        <v>0</v>
      </c>
      <c r="BD560" s="76" t="b">
        <v>0</v>
      </c>
      <c r="BE560" s="76" t="b">
        <v>1</v>
      </c>
      <c r="BF560" s="76" t="b">
        <v>0</v>
      </c>
      <c r="BG560" s="76" t="b">
        <v>0</v>
      </c>
      <c r="BH560" s="82" t="str">
        <f>HYPERLINK("https://pbs.twimg.com/profile_banners/157084932/1647314800")</f>
        <v>https://pbs.twimg.com/profile_banners/157084932/1647314800</v>
      </c>
      <c r="BI560" s="76"/>
      <c r="BJ560" s="76" t="s">
        <v>14450</v>
      </c>
      <c r="BK560" s="76" t="b">
        <v>0</v>
      </c>
      <c r="BL560" s="76"/>
      <c r="BM560" s="76" t="s">
        <v>66</v>
      </c>
      <c r="BN560" s="76" t="s">
        <v>14452</v>
      </c>
      <c r="BO560" s="82" t="str">
        <f>HYPERLINK("https://twitter.com/luiserolave")</f>
        <v>https://twitter.com/luiserolave</v>
      </c>
      <c r="BP560" s="2"/>
    </row>
    <row r="561" spans="1:68" x14ac:dyDescent="0.25">
      <c r="A561" s="62" t="s">
        <v>947</v>
      </c>
      <c r="B561" s="63"/>
      <c r="C561" s="63"/>
      <c r="D561" s="64"/>
      <c r="E561" s="66"/>
      <c r="F561" s="103" t="str">
        <f>HYPERLINK("https://pbs.twimg.com/profile_images/1326267734234189824/eM2dAklo_normal.jpg")</f>
        <v>https://pbs.twimg.com/profile_images/1326267734234189824/eM2dAklo_normal.jpg</v>
      </c>
      <c r="G561" s="63"/>
      <c r="H561" s="67"/>
      <c r="I561" s="68"/>
      <c r="J561" s="68"/>
      <c r="K561" s="67" t="s">
        <v>15010</v>
      </c>
      <c r="L561" s="71"/>
      <c r="M561" s="72"/>
      <c r="N561" s="72"/>
      <c r="O561" s="73"/>
      <c r="P561" s="74"/>
      <c r="Q561" s="74"/>
      <c r="R561" s="87"/>
      <c r="S561" s="87"/>
      <c r="T561" s="87"/>
      <c r="U561" s="87"/>
      <c r="V561" s="48"/>
      <c r="W561" s="48"/>
      <c r="X561" s="48"/>
      <c r="Y561" s="48"/>
      <c r="Z561" s="47"/>
      <c r="AA561" s="69">
        <v>561</v>
      </c>
      <c r="AB561" s="69"/>
      <c r="AC561" s="70"/>
      <c r="AD561" s="76" t="s">
        <v>12290</v>
      </c>
      <c r="AE561" s="80" t="s">
        <v>12758</v>
      </c>
      <c r="AF561" s="76">
        <v>209997</v>
      </c>
      <c r="AG561" s="76">
        <v>185</v>
      </c>
      <c r="AH561" s="76">
        <v>12428</v>
      </c>
      <c r="AI561" s="76">
        <v>415</v>
      </c>
      <c r="AJ561" s="76">
        <v>545</v>
      </c>
      <c r="AK561" s="76">
        <v>6240</v>
      </c>
      <c r="AL561" s="76" t="b">
        <v>0</v>
      </c>
      <c r="AM561" s="78">
        <v>40435.717268518521</v>
      </c>
      <c r="AN561" s="76" t="s">
        <v>13143</v>
      </c>
      <c r="AO561" s="76" t="s">
        <v>13734</v>
      </c>
      <c r="AP561" s="82" t="str">
        <f>HYPERLINK("https://t.co/N7KScC6KZB")</f>
        <v>https://t.co/N7KScC6KZB</v>
      </c>
      <c r="AQ561" s="82" t="str">
        <f>HYPERLINK("http://www.consejodeestado.gov.co")</f>
        <v>http://www.consejodeestado.gov.co</v>
      </c>
      <c r="AR561" s="76" t="s">
        <v>14246</v>
      </c>
      <c r="AS561" s="76"/>
      <c r="AT561" s="76"/>
      <c r="AU561" s="76"/>
      <c r="AV561" s="76"/>
      <c r="AW561" s="82" t="str">
        <f>HYPERLINK("https://t.co/N7KScC6KZB")</f>
        <v>https://t.co/N7KScC6KZB</v>
      </c>
      <c r="AX561" s="76" t="b">
        <v>0</v>
      </c>
      <c r="AY561" s="76"/>
      <c r="AZ561" s="76"/>
      <c r="BA561" s="76" t="b">
        <v>0</v>
      </c>
      <c r="BB561" s="76" t="b">
        <v>0</v>
      </c>
      <c r="BC561" s="76" t="b">
        <v>0</v>
      </c>
      <c r="BD561" s="76" t="b">
        <v>0</v>
      </c>
      <c r="BE561" s="76" t="b">
        <v>1</v>
      </c>
      <c r="BF561" s="76" t="b">
        <v>0</v>
      </c>
      <c r="BG561" s="76" t="b">
        <v>0</v>
      </c>
      <c r="BH561" s="82" t="str">
        <f>HYPERLINK("https://pbs.twimg.com/profile_banners/190713465/1675873706")</f>
        <v>https://pbs.twimg.com/profile_banners/190713465/1675873706</v>
      </c>
      <c r="BI561" s="76"/>
      <c r="BJ561" s="76" t="s">
        <v>14450</v>
      </c>
      <c r="BK561" s="76" t="b">
        <v>0</v>
      </c>
      <c r="BL561" s="76"/>
      <c r="BM561" s="76" t="s">
        <v>65</v>
      </c>
      <c r="BN561" s="76" t="s">
        <v>14452</v>
      </c>
      <c r="BO561" s="82" t="str">
        <f>HYPERLINK("https://twitter.com/consejodeestado")</f>
        <v>https://twitter.com/consejodeestado</v>
      </c>
      <c r="BP561" s="2"/>
    </row>
    <row r="562" spans="1:68" x14ac:dyDescent="0.25">
      <c r="A562" s="62" t="s">
        <v>701</v>
      </c>
      <c r="B562" s="63"/>
      <c r="C562" s="63"/>
      <c r="D562" s="64"/>
      <c r="E562" s="66"/>
      <c r="F562" s="103" t="str">
        <f>HYPERLINK("https://pbs.twimg.com/profile_images/2220799735/logo_perfil_normal.jpg")</f>
        <v>https://pbs.twimg.com/profile_images/2220799735/logo_perfil_normal.jpg</v>
      </c>
      <c r="G562" s="63"/>
      <c r="H562" s="67"/>
      <c r="I562" s="68"/>
      <c r="J562" s="68"/>
      <c r="K562" s="67" t="s">
        <v>15011</v>
      </c>
      <c r="L562" s="71"/>
      <c r="M562" s="72"/>
      <c r="N562" s="72"/>
      <c r="O562" s="73"/>
      <c r="P562" s="74"/>
      <c r="Q562" s="74"/>
      <c r="R562" s="87"/>
      <c r="S562" s="87"/>
      <c r="T562" s="87"/>
      <c r="U562" s="87"/>
      <c r="V562" s="48"/>
      <c r="W562" s="48"/>
      <c r="X562" s="48"/>
      <c r="Y562" s="48"/>
      <c r="Z562" s="47"/>
      <c r="AA562" s="69">
        <v>562</v>
      </c>
      <c r="AB562" s="69"/>
      <c r="AC562" s="70"/>
      <c r="AD562" s="76" t="s">
        <v>12291</v>
      </c>
      <c r="AE562" s="80" t="s">
        <v>12759</v>
      </c>
      <c r="AF562" s="76">
        <v>491</v>
      </c>
      <c r="AG562" s="76">
        <v>776</v>
      </c>
      <c r="AH562" s="76">
        <v>695</v>
      </c>
      <c r="AI562" s="76">
        <v>1</v>
      </c>
      <c r="AJ562" s="76">
        <v>0</v>
      </c>
      <c r="AK562" s="76">
        <v>115</v>
      </c>
      <c r="AL562" s="76" t="b">
        <v>0</v>
      </c>
      <c r="AM562" s="78">
        <v>41044.611979166664</v>
      </c>
      <c r="AN562" s="76" t="s">
        <v>7881</v>
      </c>
      <c r="AO562" s="76" t="s">
        <v>13735</v>
      </c>
      <c r="AP562" s="82" t="str">
        <f>HYPERLINK("http://t.co/PsGdIiWY")</f>
        <v>http://t.co/PsGdIiWY</v>
      </c>
      <c r="AQ562" s="82" t="str">
        <f>HYPERLINK("http://www.topip.com.br/")</f>
        <v>http://www.topip.com.br/</v>
      </c>
      <c r="AR562" s="76" t="s">
        <v>14247</v>
      </c>
      <c r="AS562" s="76"/>
      <c r="AT562" s="76"/>
      <c r="AU562" s="76"/>
      <c r="AV562" s="76"/>
      <c r="AW562" s="82" t="str">
        <f>HYPERLINK("http://t.co/PsGdIiWY")</f>
        <v>http://t.co/PsGdIiWY</v>
      </c>
      <c r="AX562" s="76" t="b">
        <v>0</v>
      </c>
      <c r="AY562" s="76"/>
      <c r="AZ562" s="76"/>
      <c r="BA562" s="76" t="b">
        <v>0</v>
      </c>
      <c r="BB562" s="76" t="b">
        <v>1</v>
      </c>
      <c r="BC562" s="76" t="b">
        <v>0</v>
      </c>
      <c r="BD562" s="76" t="b">
        <v>0</v>
      </c>
      <c r="BE562" s="76" t="b">
        <v>0</v>
      </c>
      <c r="BF562" s="76" t="b">
        <v>0</v>
      </c>
      <c r="BG562" s="76" t="b">
        <v>0</v>
      </c>
      <c r="BH562" s="76"/>
      <c r="BI562" s="76"/>
      <c r="BJ562" s="76" t="s">
        <v>14450</v>
      </c>
      <c r="BK562" s="76" t="b">
        <v>0</v>
      </c>
      <c r="BL562" s="76"/>
      <c r="BM562" s="76" t="s">
        <v>66</v>
      </c>
      <c r="BN562" s="76" t="s">
        <v>14452</v>
      </c>
      <c r="BO562" s="82" t="str">
        <f>HYPERLINK("https://twitter.com/topipcomputador")</f>
        <v>https://twitter.com/topipcomputador</v>
      </c>
      <c r="BP562" s="2"/>
    </row>
    <row r="563" spans="1:68" x14ac:dyDescent="0.25">
      <c r="A563" s="62" t="s">
        <v>702</v>
      </c>
      <c r="B563" s="63"/>
      <c r="C563" s="63"/>
      <c r="D563" s="64"/>
      <c r="E563" s="66"/>
      <c r="F563" s="103" t="str">
        <f>HYPERLINK("https://pbs.twimg.com/profile_images/1648753807117910017/nSubEm7s_normal.jpg")</f>
        <v>https://pbs.twimg.com/profile_images/1648753807117910017/nSubEm7s_normal.jpg</v>
      </c>
      <c r="G563" s="63"/>
      <c r="H563" s="67"/>
      <c r="I563" s="68"/>
      <c r="J563" s="68"/>
      <c r="K563" s="67" t="s">
        <v>15012</v>
      </c>
      <c r="L563" s="71"/>
      <c r="M563" s="72"/>
      <c r="N563" s="72"/>
      <c r="O563" s="73"/>
      <c r="P563" s="74"/>
      <c r="Q563" s="74"/>
      <c r="R563" s="87"/>
      <c r="S563" s="87"/>
      <c r="T563" s="87"/>
      <c r="U563" s="87"/>
      <c r="V563" s="48"/>
      <c r="W563" s="48"/>
      <c r="X563" s="48"/>
      <c r="Y563" s="48"/>
      <c r="Z563" s="47"/>
      <c r="AA563" s="69">
        <v>563</v>
      </c>
      <c r="AB563" s="69"/>
      <c r="AC563" s="70"/>
      <c r="AD563" s="76" t="s">
        <v>12292</v>
      </c>
      <c r="AE563" s="80" t="s">
        <v>11350</v>
      </c>
      <c r="AF563" s="76">
        <v>54</v>
      </c>
      <c r="AG563" s="76">
        <v>71</v>
      </c>
      <c r="AH563" s="76">
        <v>2113</v>
      </c>
      <c r="AI563" s="76">
        <v>1</v>
      </c>
      <c r="AJ563" s="76">
        <v>11</v>
      </c>
      <c r="AK563" s="76">
        <v>869</v>
      </c>
      <c r="AL563" s="76" t="b">
        <v>0</v>
      </c>
      <c r="AM563" s="78">
        <v>41286.90865740741</v>
      </c>
      <c r="AN563" s="76" t="s">
        <v>7767</v>
      </c>
      <c r="AO563" s="76" t="s">
        <v>13736</v>
      </c>
      <c r="AP563" s="82" t="str">
        <f>HYPERLINK("https://t.co/ZiH9am060r")</f>
        <v>https://t.co/ZiH9am060r</v>
      </c>
      <c r="AQ563" s="82" t="str">
        <f>HYPERLINK("https://coachbetygalvan.mx/")</f>
        <v>https://coachbetygalvan.mx/</v>
      </c>
      <c r="AR563" s="76" t="s">
        <v>14248</v>
      </c>
      <c r="AS563" s="76"/>
      <c r="AT563" s="76"/>
      <c r="AU563" s="76"/>
      <c r="AV563" s="76"/>
      <c r="AW563" s="82" t="str">
        <f>HYPERLINK("https://t.co/ZiH9am060r")</f>
        <v>https://t.co/ZiH9am060r</v>
      </c>
      <c r="AX563" s="76" t="b">
        <v>0</v>
      </c>
      <c r="AY563" s="76"/>
      <c r="AZ563" s="76"/>
      <c r="BA563" s="76" t="b">
        <v>0</v>
      </c>
      <c r="BB563" s="76" t="b">
        <v>1</v>
      </c>
      <c r="BC563" s="76" t="b">
        <v>1</v>
      </c>
      <c r="BD563" s="76" t="b">
        <v>0</v>
      </c>
      <c r="BE563" s="76" t="b">
        <v>1</v>
      </c>
      <c r="BF563" s="76" t="b">
        <v>0</v>
      </c>
      <c r="BG563" s="76" t="b">
        <v>0</v>
      </c>
      <c r="BH563" s="82" t="str">
        <f>HYPERLINK("https://pbs.twimg.com/profile_banners/1084210986/1681238489")</f>
        <v>https://pbs.twimg.com/profile_banners/1084210986/1681238489</v>
      </c>
      <c r="BI563" s="76"/>
      <c r="BJ563" s="76" t="s">
        <v>14450</v>
      </c>
      <c r="BK563" s="76" t="b">
        <v>0</v>
      </c>
      <c r="BL563" s="76"/>
      <c r="BM563" s="76" t="s">
        <v>66</v>
      </c>
      <c r="BN563" s="76" t="s">
        <v>14452</v>
      </c>
      <c r="BO563" s="82" t="str">
        <f>HYPERLINK("https://twitter.com/galvngmez")</f>
        <v>https://twitter.com/galvngmez</v>
      </c>
      <c r="BP563" s="2"/>
    </row>
    <row r="564" spans="1:68" x14ac:dyDescent="0.25">
      <c r="A564" s="62" t="s">
        <v>703</v>
      </c>
      <c r="B564" s="63"/>
      <c r="C564" s="63"/>
      <c r="D564" s="64"/>
      <c r="E564" s="66"/>
      <c r="F564" s="103" t="str">
        <f>HYPERLINK("https://pbs.twimg.com/profile_images/1027274499559907328/EMkfH7mp_normal.jpg")</f>
        <v>https://pbs.twimg.com/profile_images/1027274499559907328/EMkfH7mp_normal.jpg</v>
      </c>
      <c r="G564" s="63"/>
      <c r="H564" s="67"/>
      <c r="I564" s="68"/>
      <c r="J564" s="68"/>
      <c r="K564" s="67" t="s">
        <v>15013</v>
      </c>
      <c r="L564" s="71"/>
      <c r="M564" s="72"/>
      <c r="N564" s="72"/>
      <c r="O564" s="73"/>
      <c r="P564" s="74"/>
      <c r="Q564" s="74"/>
      <c r="R564" s="87"/>
      <c r="S564" s="87"/>
      <c r="T564" s="87"/>
      <c r="U564" s="87"/>
      <c r="V564" s="48"/>
      <c r="W564" s="48"/>
      <c r="X564" s="48"/>
      <c r="Y564" s="48"/>
      <c r="Z564" s="47"/>
      <c r="AA564" s="69">
        <v>564</v>
      </c>
      <c r="AB564" s="69"/>
      <c r="AC564" s="70"/>
      <c r="AD564" s="76" t="s">
        <v>12293</v>
      </c>
      <c r="AE564" s="80" t="s">
        <v>12760</v>
      </c>
      <c r="AF564" s="76">
        <v>840</v>
      </c>
      <c r="AG564" s="76">
        <v>70</v>
      </c>
      <c r="AH564" s="76">
        <v>16981</v>
      </c>
      <c r="AI564" s="76">
        <v>39</v>
      </c>
      <c r="AJ564" s="76">
        <v>253</v>
      </c>
      <c r="AK564" s="76">
        <v>3954</v>
      </c>
      <c r="AL564" s="76" t="b">
        <v>0</v>
      </c>
      <c r="AM564" s="78">
        <v>40009.99759259259</v>
      </c>
      <c r="AN564" s="76" t="s">
        <v>13144</v>
      </c>
      <c r="AO564" s="76" t="s">
        <v>13737</v>
      </c>
      <c r="AP564" s="82" t="str">
        <f>HYPERLINK("https://t.co/HKPb5xgS6x")</f>
        <v>https://t.co/HKPb5xgS6x</v>
      </c>
      <c r="AQ564" s="82" t="str">
        <f>HYPERLINK("http://www.crecesmx.com")</f>
        <v>http://www.crecesmx.com</v>
      </c>
      <c r="AR564" s="76" t="s">
        <v>14249</v>
      </c>
      <c r="AS564" s="76"/>
      <c r="AT564" s="76"/>
      <c r="AU564" s="76"/>
      <c r="AV564" s="76">
        <v>1.70454115271886E+18</v>
      </c>
      <c r="AW564" s="82" t="str">
        <f>HYPERLINK("https://t.co/HKPb5xgS6x")</f>
        <v>https://t.co/HKPb5xgS6x</v>
      </c>
      <c r="AX564" s="76" t="b">
        <v>0</v>
      </c>
      <c r="AY564" s="76"/>
      <c r="AZ564" s="76"/>
      <c r="BA564" s="76" t="b">
        <v>0</v>
      </c>
      <c r="BB564" s="76" t="b">
        <v>1</v>
      </c>
      <c r="BC564" s="76" t="b">
        <v>0</v>
      </c>
      <c r="BD564" s="76" t="b">
        <v>0</v>
      </c>
      <c r="BE564" s="76" t="b">
        <v>0</v>
      </c>
      <c r="BF564" s="76" t="b">
        <v>0</v>
      </c>
      <c r="BG564" s="76" t="b">
        <v>0</v>
      </c>
      <c r="BH564" s="82" t="str">
        <f>HYPERLINK("https://pbs.twimg.com/profile_banners/57179740/1689184076")</f>
        <v>https://pbs.twimg.com/profile_banners/57179740/1689184076</v>
      </c>
      <c r="BI564" s="76"/>
      <c r="BJ564" s="76" t="s">
        <v>14450</v>
      </c>
      <c r="BK564" s="76" t="b">
        <v>0</v>
      </c>
      <c r="BL564" s="76"/>
      <c r="BM564" s="76" t="s">
        <v>66</v>
      </c>
      <c r="BN564" s="76" t="s">
        <v>14452</v>
      </c>
      <c r="BO564" s="82" t="str">
        <f>HYPERLINK("https://twitter.com/creces")</f>
        <v>https://twitter.com/creces</v>
      </c>
      <c r="BP564" s="2"/>
    </row>
    <row r="565" spans="1:68" x14ac:dyDescent="0.25">
      <c r="A565" s="62" t="s">
        <v>704</v>
      </c>
      <c r="B565" s="63"/>
      <c r="C565" s="63"/>
      <c r="D565" s="64"/>
      <c r="E565" s="66"/>
      <c r="F565" s="103" t="str">
        <f>HYPERLINK("https://pbs.twimg.com/profile_images/1635081480404627456/bWCc0MtL_normal.jpg")</f>
        <v>https://pbs.twimg.com/profile_images/1635081480404627456/bWCc0MtL_normal.jpg</v>
      </c>
      <c r="G565" s="63"/>
      <c r="H565" s="67"/>
      <c r="I565" s="68"/>
      <c r="J565" s="68"/>
      <c r="K565" s="67" t="s">
        <v>15014</v>
      </c>
      <c r="L565" s="71"/>
      <c r="M565" s="72"/>
      <c r="N565" s="72"/>
      <c r="O565" s="73"/>
      <c r="P565" s="74"/>
      <c r="Q565" s="74"/>
      <c r="R565" s="87"/>
      <c r="S565" s="87"/>
      <c r="T565" s="87"/>
      <c r="U565" s="87"/>
      <c r="V565" s="48"/>
      <c r="W565" s="48"/>
      <c r="X565" s="48"/>
      <c r="Y565" s="48"/>
      <c r="Z565" s="47"/>
      <c r="AA565" s="69">
        <v>565</v>
      </c>
      <c r="AB565" s="69"/>
      <c r="AC565" s="70"/>
      <c r="AD565" s="76" t="s">
        <v>12294</v>
      </c>
      <c r="AE565" s="80" t="s">
        <v>12761</v>
      </c>
      <c r="AF565" s="76">
        <v>183</v>
      </c>
      <c r="AG565" s="76">
        <v>1280</v>
      </c>
      <c r="AH565" s="76">
        <v>140</v>
      </c>
      <c r="AI565" s="76">
        <v>1</v>
      </c>
      <c r="AJ565" s="76">
        <v>151</v>
      </c>
      <c r="AK565" s="76">
        <v>7</v>
      </c>
      <c r="AL565" s="76" t="b">
        <v>0</v>
      </c>
      <c r="AM565" s="78">
        <v>40529.977094907408</v>
      </c>
      <c r="AN565" s="76" t="s">
        <v>13145</v>
      </c>
      <c r="AO565" s="76"/>
      <c r="AP565" s="76"/>
      <c r="AQ565" s="76"/>
      <c r="AR565" s="76"/>
      <c r="AS565" s="76"/>
      <c r="AT565" s="76"/>
      <c r="AU565" s="76"/>
      <c r="AV565" s="76"/>
      <c r="AW565" s="76"/>
      <c r="AX565" s="76" t="b">
        <v>0</v>
      </c>
      <c r="AY565" s="76"/>
      <c r="AZ565" s="76"/>
      <c r="BA565" s="76" t="b">
        <v>0</v>
      </c>
      <c r="BB565" s="76" t="b">
        <v>1</v>
      </c>
      <c r="BC565" s="76" t="b">
        <v>0</v>
      </c>
      <c r="BD565" s="76" t="b">
        <v>0</v>
      </c>
      <c r="BE565" s="76" t="b">
        <v>1</v>
      </c>
      <c r="BF565" s="76" t="b">
        <v>0</v>
      </c>
      <c r="BG565" s="76" t="b">
        <v>0</v>
      </c>
      <c r="BH565" s="76"/>
      <c r="BI565" s="76"/>
      <c r="BJ565" s="76" t="s">
        <v>14450</v>
      </c>
      <c r="BK565" s="76" t="b">
        <v>0</v>
      </c>
      <c r="BL565" s="76"/>
      <c r="BM565" s="76" t="s">
        <v>66</v>
      </c>
      <c r="BN565" s="76" t="s">
        <v>14452</v>
      </c>
      <c r="BO565" s="82" t="str">
        <f>HYPERLINK("https://twitter.com/krinavalencia")</f>
        <v>https://twitter.com/krinavalencia</v>
      </c>
      <c r="BP565" s="2"/>
    </row>
    <row r="566" spans="1:68" x14ac:dyDescent="0.25">
      <c r="A566" s="62" t="s">
        <v>705</v>
      </c>
      <c r="B566" s="63"/>
      <c r="C566" s="63"/>
      <c r="D566" s="64"/>
      <c r="E566" s="66"/>
      <c r="F566" s="103" t="str">
        <f>HYPERLINK("https://pbs.twimg.com/profile_images/1577231190683275264/qfeQ6NeY_normal.jpg")</f>
        <v>https://pbs.twimg.com/profile_images/1577231190683275264/qfeQ6NeY_normal.jpg</v>
      </c>
      <c r="G566" s="63"/>
      <c r="H566" s="67"/>
      <c r="I566" s="68"/>
      <c r="J566" s="68"/>
      <c r="K566" s="67" t="s">
        <v>15015</v>
      </c>
      <c r="L566" s="71"/>
      <c r="M566" s="72"/>
      <c r="N566" s="72"/>
      <c r="O566" s="73"/>
      <c r="P566" s="74"/>
      <c r="Q566" s="74"/>
      <c r="R566" s="87"/>
      <c r="S566" s="87"/>
      <c r="T566" s="87"/>
      <c r="U566" s="87"/>
      <c r="V566" s="48"/>
      <c r="W566" s="48"/>
      <c r="X566" s="48"/>
      <c r="Y566" s="48"/>
      <c r="Z566" s="47"/>
      <c r="AA566" s="69">
        <v>566</v>
      </c>
      <c r="AB566" s="69"/>
      <c r="AC566" s="70"/>
      <c r="AD566" s="76" t="s">
        <v>12295</v>
      </c>
      <c r="AE566" s="80" t="s">
        <v>12762</v>
      </c>
      <c r="AF566" s="76">
        <v>1778</v>
      </c>
      <c r="AG566" s="76">
        <v>1498</v>
      </c>
      <c r="AH566" s="76">
        <v>5851</v>
      </c>
      <c r="AI566" s="76">
        <v>84</v>
      </c>
      <c r="AJ566" s="76">
        <v>1967</v>
      </c>
      <c r="AK566" s="76">
        <v>3696</v>
      </c>
      <c r="AL566" s="76" t="b">
        <v>0</v>
      </c>
      <c r="AM566" s="78">
        <v>40675.411793981482</v>
      </c>
      <c r="AN566" s="76" t="s">
        <v>12888</v>
      </c>
      <c r="AO566" s="76" t="s">
        <v>13738</v>
      </c>
      <c r="AP566" s="82" t="str">
        <f>HYPERLINK("https://t.co/WzSzo2ayCS")</f>
        <v>https://t.co/WzSzo2ayCS</v>
      </c>
      <c r="AQ566" s="82" t="str">
        <f>HYPERLINK("http://www.salesland.net")</f>
        <v>http://www.salesland.net</v>
      </c>
      <c r="AR566" s="76" t="s">
        <v>14250</v>
      </c>
      <c r="AS566" s="76"/>
      <c r="AT566" s="76"/>
      <c r="AU566" s="76"/>
      <c r="AV566" s="76"/>
      <c r="AW566" s="82" t="str">
        <f>HYPERLINK("https://t.co/WzSzo2ayCS")</f>
        <v>https://t.co/WzSzo2ayCS</v>
      </c>
      <c r="AX566" s="76" t="b">
        <v>0</v>
      </c>
      <c r="AY566" s="76"/>
      <c r="AZ566" s="76"/>
      <c r="BA566" s="76" t="b">
        <v>1</v>
      </c>
      <c r="BB566" s="76" t="b">
        <v>1</v>
      </c>
      <c r="BC566" s="76" t="b">
        <v>0</v>
      </c>
      <c r="BD566" s="76" t="b">
        <v>0</v>
      </c>
      <c r="BE566" s="76" t="b">
        <v>0</v>
      </c>
      <c r="BF566" s="76" t="b">
        <v>0</v>
      </c>
      <c r="BG566" s="76" t="b">
        <v>0</v>
      </c>
      <c r="BH566" s="82" t="str">
        <f>HYPERLINK("https://pbs.twimg.com/profile_banners/297322947/1664876262")</f>
        <v>https://pbs.twimg.com/profile_banners/297322947/1664876262</v>
      </c>
      <c r="BI566" s="76"/>
      <c r="BJ566" s="76" t="s">
        <v>14450</v>
      </c>
      <c r="BK566" s="76" t="b">
        <v>0</v>
      </c>
      <c r="BL566" s="76"/>
      <c r="BM566" s="76" t="s">
        <v>66</v>
      </c>
      <c r="BN566" s="76" t="s">
        <v>14452</v>
      </c>
      <c r="BO566" s="82" t="str">
        <f>HYPERLINK("https://twitter.com/gruposalesland")</f>
        <v>https://twitter.com/gruposalesland</v>
      </c>
      <c r="BP566" s="2"/>
    </row>
    <row r="567" spans="1:68" x14ac:dyDescent="0.25">
      <c r="A567" s="62" t="s">
        <v>706</v>
      </c>
      <c r="B567" s="63"/>
      <c r="C567" s="63"/>
      <c r="D567" s="64"/>
      <c r="E567" s="66"/>
      <c r="F567" s="103" t="str">
        <f>HYPERLINK("https://pbs.twimg.com/profile_images/1467053536433295360/hq18pAQs_normal.jpg")</f>
        <v>https://pbs.twimg.com/profile_images/1467053536433295360/hq18pAQs_normal.jpg</v>
      </c>
      <c r="G567" s="63"/>
      <c r="H567" s="67"/>
      <c r="I567" s="68"/>
      <c r="J567" s="68"/>
      <c r="K567" s="67" t="s">
        <v>15016</v>
      </c>
      <c r="L567" s="71"/>
      <c r="M567" s="72"/>
      <c r="N567" s="72"/>
      <c r="O567" s="73"/>
      <c r="P567" s="74"/>
      <c r="Q567" s="74"/>
      <c r="R567" s="87"/>
      <c r="S567" s="87"/>
      <c r="T567" s="87"/>
      <c r="U567" s="87"/>
      <c r="V567" s="48"/>
      <c r="W567" s="48"/>
      <c r="X567" s="48"/>
      <c r="Y567" s="48"/>
      <c r="Z567" s="47"/>
      <c r="AA567" s="69">
        <v>567</v>
      </c>
      <c r="AB567" s="69"/>
      <c r="AC567" s="70"/>
      <c r="AD567" s="76" t="s">
        <v>12296</v>
      </c>
      <c r="AE567" s="80" t="s">
        <v>12763</v>
      </c>
      <c r="AF567" s="76">
        <v>237</v>
      </c>
      <c r="AG567" s="76">
        <v>113</v>
      </c>
      <c r="AH567" s="76">
        <v>4839</v>
      </c>
      <c r="AI567" s="76">
        <v>0</v>
      </c>
      <c r="AJ567" s="76">
        <v>1661</v>
      </c>
      <c r="AK567" s="76">
        <v>62</v>
      </c>
      <c r="AL567" s="76" t="b">
        <v>0</v>
      </c>
      <c r="AM567" s="78">
        <v>40623.610277777778</v>
      </c>
      <c r="AN567" s="76"/>
      <c r="AO567" s="76" t="s">
        <v>13739</v>
      </c>
      <c r="AP567" s="82" t="str">
        <f>HYPERLINK("https://t.co/3UfKiMuaD0")</f>
        <v>https://t.co/3UfKiMuaD0</v>
      </c>
      <c r="AQ567" s="82" t="str">
        <f>HYPERLINK("http://www.prestigeforhome.pt")</f>
        <v>http://www.prestigeforhome.pt</v>
      </c>
      <c r="AR567" s="76" t="s">
        <v>14251</v>
      </c>
      <c r="AS567" s="76"/>
      <c r="AT567" s="76"/>
      <c r="AU567" s="76"/>
      <c r="AV567" s="76"/>
      <c r="AW567" s="82" t="str">
        <f>HYPERLINK("https://t.co/3UfKiMuaD0")</f>
        <v>https://t.co/3UfKiMuaD0</v>
      </c>
      <c r="AX567" s="76" t="b">
        <v>0</v>
      </c>
      <c r="AY567" s="76"/>
      <c r="AZ567" s="76"/>
      <c r="BA567" s="76" t="b">
        <v>0</v>
      </c>
      <c r="BB567" s="76" t="b">
        <v>0</v>
      </c>
      <c r="BC567" s="76" t="b">
        <v>1</v>
      </c>
      <c r="BD567" s="76" t="b">
        <v>0</v>
      </c>
      <c r="BE567" s="76" t="b">
        <v>0</v>
      </c>
      <c r="BF567" s="76" t="b">
        <v>0</v>
      </c>
      <c r="BG567" s="76" t="b">
        <v>0</v>
      </c>
      <c r="BH567" s="76"/>
      <c r="BI567" s="76"/>
      <c r="BJ567" s="76" t="s">
        <v>14450</v>
      </c>
      <c r="BK567" s="76" t="b">
        <v>0</v>
      </c>
      <c r="BL567" s="76"/>
      <c r="BM567" s="76" t="s">
        <v>66</v>
      </c>
      <c r="BN567" s="76" t="s">
        <v>14452</v>
      </c>
      <c r="BO567" s="82" t="str">
        <f>HYPERLINK("https://twitter.com/joaoserpasantos")</f>
        <v>https://twitter.com/joaoserpasantos</v>
      </c>
      <c r="BP567" s="2"/>
    </row>
    <row r="568" spans="1:68" x14ac:dyDescent="0.25">
      <c r="A568" s="62" t="s">
        <v>707</v>
      </c>
      <c r="B568" s="63"/>
      <c r="C568" s="63"/>
      <c r="D568" s="64"/>
      <c r="E568" s="66"/>
      <c r="F568" s="103" t="str">
        <f>HYPERLINK("https://pbs.twimg.com/profile_images/1673538815326134272/9L_MkerA_normal.jpg")</f>
        <v>https://pbs.twimg.com/profile_images/1673538815326134272/9L_MkerA_normal.jpg</v>
      </c>
      <c r="G568" s="63"/>
      <c r="H568" s="67"/>
      <c r="I568" s="68"/>
      <c r="J568" s="68"/>
      <c r="K568" s="67" t="s">
        <v>15017</v>
      </c>
      <c r="L568" s="71"/>
      <c r="M568" s="72"/>
      <c r="N568" s="72"/>
      <c r="O568" s="73"/>
      <c r="P568" s="74"/>
      <c r="Q568" s="74"/>
      <c r="R568" s="87"/>
      <c r="S568" s="87"/>
      <c r="T568" s="87"/>
      <c r="U568" s="87"/>
      <c r="V568" s="48"/>
      <c r="W568" s="48"/>
      <c r="X568" s="48"/>
      <c r="Y568" s="48"/>
      <c r="Z568" s="47"/>
      <c r="AA568" s="69">
        <v>568</v>
      </c>
      <c r="AB568" s="69"/>
      <c r="AC568" s="70"/>
      <c r="AD568" s="76" t="s">
        <v>12297</v>
      </c>
      <c r="AE568" s="80" t="s">
        <v>11644</v>
      </c>
      <c r="AF568" s="76">
        <v>4</v>
      </c>
      <c r="AG568" s="76">
        <v>25</v>
      </c>
      <c r="AH568" s="76">
        <v>50</v>
      </c>
      <c r="AI568" s="76">
        <v>0</v>
      </c>
      <c r="AJ568" s="76">
        <v>14</v>
      </c>
      <c r="AK568" s="76">
        <v>11</v>
      </c>
      <c r="AL568" s="76" t="b">
        <v>0</v>
      </c>
      <c r="AM568" s="78">
        <v>44329.480254629627</v>
      </c>
      <c r="AN568" s="76"/>
      <c r="AO568" s="76" t="s">
        <v>13740</v>
      </c>
      <c r="AP568" s="76"/>
      <c r="AQ568" s="76"/>
      <c r="AR568" s="76"/>
      <c r="AS568" s="76"/>
      <c r="AT568" s="76"/>
      <c r="AU568" s="76"/>
      <c r="AV568" s="76"/>
      <c r="AW568" s="76"/>
      <c r="AX568" s="76" t="b">
        <v>0</v>
      </c>
      <c r="AY568" s="76"/>
      <c r="AZ568" s="76"/>
      <c r="BA568" s="76" t="b">
        <v>0</v>
      </c>
      <c r="BB568" s="76" t="b">
        <v>1</v>
      </c>
      <c r="BC568" s="76" t="b">
        <v>1</v>
      </c>
      <c r="BD568" s="76" t="b">
        <v>0</v>
      </c>
      <c r="BE568" s="76" t="b">
        <v>0</v>
      </c>
      <c r="BF568" s="76" t="b">
        <v>0</v>
      </c>
      <c r="BG568" s="76" t="b">
        <v>0</v>
      </c>
      <c r="BH568" s="82" t="str">
        <f>HYPERLINK("https://pbs.twimg.com/profile_banners/1392804629574991876/1687837732")</f>
        <v>https://pbs.twimg.com/profile_banners/1392804629574991876/1687837732</v>
      </c>
      <c r="BI568" s="76"/>
      <c r="BJ568" s="76" t="s">
        <v>14450</v>
      </c>
      <c r="BK568" s="76" t="b">
        <v>0</v>
      </c>
      <c r="BL568" s="76"/>
      <c r="BM568" s="76" t="s">
        <v>66</v>
      </c>
      <c r="BN568" s="76" t="s">
        <v>14452</v>
      </c>
      <c r="BO568" s="82" t="str">
        <f>HYPERLINK("https://twitter.com/francocomprebem")</f>
        <v>https://twitter.com/francocomprebem</v>
      </c>
      <c r="BP568" s="2"/>
    </row>
    <row r="569" spans="1:68" x14ac:dyDescent="0.25">
      <c r="A569" s="62" t="s">
        <v>708</v>
      </c>
      <c r="B569" s="63"/>
      <c r="C569" s="63"/>
      <c r="D569" s="64"/>
      <c r="E569" s="66"/>
      <c r="F569" s="103" t="str">
        <f>HYPERLINK("https://pbs.twimg.com/profile_images/1706423027515146240/Wxz2DV_r_normal.jpg")</f>
        <v>https://pbs.twimg.com/profile_images/1706423027515146240/Wxz2DV_r_normal.jpg</v>
      </c>
      <c r="G569" s="63"/>
      <c r="H569" s="67"/>
      <c r="I569" s="68"/>
      <c r="J569" s="68"/>
      <c r="K569" s="67" t="s">
        <v>15018</v>
      </c>
      <c r="L569" s="71"/>
      <c r="M569" s="72"/>
      <c r="N569" s="72"/>
      <c r="O569" s="73"/>
      <c r="P569" s="74"/>
      <c r="Q569" s="74"/>
      <c r="R569" s="87"/>
      <c r="S569" s="87"/>
      <c r="T569" s="87"/>
      <c r="U569" s="87"/>
      <c r="V569" s="48"/>
      <c r="W569" s="48"/>
      <c r="X569" s="48"/>
      <c r="Y569" s="48"/>
      <c r="Z569" s="47"/>
      <c r="AA569" s="69">
        <v>569</v>
      </c>
      <c r="AB569" s="69"/>
      <c r="AC569" s="70"/>
      <c r="AD569" s="76" t="s">
        <v>12298</v>
      </c>
      <c r="AE569" s="80" t="s">
        <v>12764</v>
      </c>
      <c r="AF569" s="76">
        <v>469</v>
      </c>
      <c r="AG569" s="76">
        <v>699</v>
      </c>
      <c r="AH569" s="76">
        <v>3573</v>
      </c>
      <c r="AI569" s="76">
        <v>21</v>
      </c>
      <c r="AJ569" s="76">
        <v>13597</v>
      </c>
      <c r="AK569" s="76">
        <v>2689</v>
      </c>
      <c r="AL569" s="76" t="b">
        <v>0</v>
      </c>
      <c r="AM569" s="78">
        <v>42212.767106481479</v>
      </c>
      <c r="AN569" s="76"/>
      <c r="AO569" s="76" t="s">
        <v>13741</v>
      </c>
      <c r="AP569" s="82" t="str">
        <f>HYPERLINK("https://t.co/fPLiEKfU4t")</f>
        <v>https://t.co/fPLiEKfU4t</v>
      </c>
      <c r="AQ569" s="82" t="str">
        <f>HYPERLINK("http://www.midnightatelier.com")</f>
        <v>http://www.midnightatelier.com</v>
      </c>
      <c r="AR569" s="76" t="s">
        <v>14252</v>
      </c>
      <c r="AS569" s="76"/>
      <c r="AT569" s="76"/>
      <c r="AU569" s="76"/>
      <c r="AV569" s="76"/>
      <c r="AW569" s="82" t="str">
        <f>HYPERLINK("https://t.co/fPLiEKfU4t")</f>
        <v>https://t.co/fPLiEKfU4t</v>
      </c>
      <c r="AX569" s="76" t="b">
        <v>0</v>
      </c>
      <c r="AY569" s="76"/>
      <c r="AZ569" s="76"/>
      <c r="BA569" s="76" t="b">
        <v>1</v>
      </c>
      <c r="BB569" s="76" t="b">
        <v>1</v>
      </c>
      <c r="BC569" s="76" t="b">
        <v>1</v>
      </c>
      <c r="BD569" s="76" t="b">
        <v>0</v>
      </c>
      <c r="BE569" s="76" t="b">
        <v>1</v>
      </c>
      <c r="BF569" s="76" t="b">
        <v>0</v>
      </c>
      <c r="BG569" s="76" t="b">
        <v>0</v>
      </c>
      <c r="BH569" s="82" t="str">
        <f>HYPERLINK("https://pbs.twimg.com/profile_banners/3298292592/1693928496")</f>
        <v>https://pbs.twimg.com/profile_banners/3298292592/1693928496</v>
      </c>
      <c r="BI569" s="76"/>
      <c r="BJ569" s="76" t="s">
        <v>14450</v>
      </c>
      <c r="BK569" s="76" t="b">
        <v>0</v>
      </c>
      <c r="BL569" s="76"/>
      <c r="BM569" s="76" t="s">
        <v>66</v>
      </c>
      <c r="BN569" s="76" t="s">
        <v>14452</v>
      </c>
      <c r="BO569" s="82" t="str">
        <f>HYPERLINK("https://twitter.com/ateliermidnight")</f>
        <v>https://twitter.com/ateliermidnight</v>
      </c>
      <c r="BP569" s="2"/>
    </row>
    <row r="570" spans="1:68" x14ac:dyDescent="0.25">
      <c r="A570" s="62" t="s">
        <v>948</v>
      </c>
      <c r="B570" s="63"/>
      <c r="C570" s="63"/>
      <c r="D570" s="64"/>
      <c r="E570" s="66"/>
      <c r="F570" s="103" t="str">
        <f>HYPERLINK("https://pbs.twimg.com/profile_images/575636517/usk_plain_normal.jpg")</f>
        <v>https://pbs.twimg.com/profile_images/575636517/usk_plain_normal.jpg</v>
      </c>
      <c r="G570" s="63"/>
      <c r="H570" s="67"/>
      <c r="I570" s="68"/>
      <c r="J570" s="68"/>
      <c r="K570" s="67" t="s">
        <v>15019</v>
      </c>
      <c r="L570" s="71"/>
      <c r="M570" s="72"/>
      <c r="N570" s="72"/>
      <c r="O570" s="73"/>
      <c r="P570" s="74"/>
      <c r="Q570" s="74"/>
      <c r="R570" s="87"/>
      <c r="S570" s="87"/>
      <c r="T570" s="87"/>
      <c r="U570" s="87"/>
      <c r="V570" s="48"/>
      <c r="W570" s="48"/>
      <c r="X570" s="48"/>
      <c r="Y570" s="48"/>
      <c r="Z570" s="47"/>
      <c r="AA570" s="69">
        <v>570</v>
      </c>
      <c r="AB570" s="69"/>
      <c r="AC570" s="70"/>
      <c r="AD570" s="76" t="s">
        <v>948</v>
      </c>
      <c r="AE570" s="80" t="s">
        <v>12765</v>
      </c>
      <c r="AF570" s="76">
        <v>14633</v>
      </c>
      <c r="AG570" s="76">
        <v>4002</v>
      </c>
      <c r="AH570" s="76">
        <v>11500</v>
      </c>
      <c r="AI570" s="76">
        <v>642</v>
      </c>
      <c r="AJ570" s="76">
        <v>8570</v>
      </c>
      <c r="AK570" s="76">
        <v>3817</v>
      </c>
      <c r="AL570" s="76" t="b">
        <v>0</v>
      </c>
      <c r="AM570" s="78">
        <v>39827.750925925924</v>
      </c>
      <c r="AN570" s="76"/>
      <c r="AO570" s="76" t="s">
        <v>13742</v>
      </c>
      <c r="AP570" s="82" t="str">
        <f>HYPERLINK("https://t.co/l1RpZkD660")</f>
        <v>https://t.co/l1RpZkD660</v>
      </c>
      <c r="AQ570" s="82" t="str">
        <f>HYPERLINK("http://www.urbansketchers.org")</f>
        <v>http://www.urbansketchers.org</v>
      </c>
      <c r="AR570" s="76" t="s">
        <v>14253</v>
      </c>
      <c r="AS570" s="76"/>
      <c r="AT570" s="76"/>
      <c r="AU570" s="76"/>
      <c r="AV570" s="76">
        <v>1.62670707475426E+18</v>
      </c>
      <c r="AW570" s="82" t="str">
        <f>HYPERLINK("https://t.co/l1RpZkD660")</f>
        <v>https://t.co/l1RpZkD660</v>
      </c>
      <c r="AX570" s="76" t="b">
        <v>0</v>
      </c>
      <c r="AY570" s="76"/>
      <c r="AZ570" s="76"/>
      <c r="BA570" s="76" t="b">
        <v>0</v>
      </c>
      <c r="BB570" s="76" t="b">
        <v>1</v>
      </c>
      <c r="BC570" s="76" t="b">
        <v>0</v>
      </c>
      <c r="BD570" s="76" t="b">
        <v>0</v>
      </c>
      <c r="BE570" s="76" t="b">
        <v>1</v>
      </c>
      <c r="BF570" s="76" t="b">
        <v>0</v>
      </c>
      <c r="BG570" s="76" t="b">
        <v>0</v>
      </c>
      <c r="BH570" s="82" t="str">
        <f>HYPERLINK("https://pbs.twimg.com/profile_banners/18986818/1693540633")</f>
        <v>https://pbs.twimg.com/profile_banners/18986818/1693540633</v>
      </c>
      <c r="BI570" s="76"/>
      <c r="BJ570" s="76" t="s">
        <v>14450</v>
      </c>
      <c r="BK570" s="76" t="b">
        <v>0</v>
      </c>
      <c r="BL570" s="76"/>
      <c r="BM570" s="76" t="s">
        <v>65</v>
      </c>
      <c r="BN570" s="76" t="s">
        <v>14452</v>
      </c>
      <c r="BO570" s="82" t="str">
        <f>HYPERLINK("https://twitter.com/urbansketchers")</f>
        <v>https://twitter.com/urbansketchers</v>
      </c>
      <c r="BP570" s="2"/>
    </row>
    <row r="571" spans="1:68" x14ac:dyDescent="0.25">
      <c r="A571" s="62" t="s">
        <v>709</v>
      </c>
      <c r="B571" s="63"/>
      <c r="C571" s="63"/>
      <c r="D571" s="64"/>
      <c r="E571" s="66"/>
      <c r="F571" s="103" t="str">
        <f>HYPERLINK("https://pbs.twimg.com/profile_images/1440351820321198080/U89d8HIn_normal.jpg")</f>
        <v>https://pbs.twimg.com/profile_images/1440351820321198080/U89d8HIn_normal.jpg</v>
      </c>
      <c r="G571" s="63"/>
      <c r="H571" s="67"/>
      <c r="I571" s="68"/>
      <c r="J571" s="68"/>
      <c r="K571" s="67" t="s">
        <v>15020</v>
      </c>
      <c r="L571" s="71"/>
      <c r="M571" s="72"/>
      <c r="N571" s="72"/>
      <c r="O571" s="73"/>
      <c r="P571" s="74"/>
      <c r="Q571" s="74"/>
      <c r="R571" s="87"/>
      <c r="S571" s="87"/>
      <c r="T571" s="87"/>
      <c r="U571" s="87"/>
      <c r="V571" s="48"/>
      <c r="W571" s="48"/>
      <c r="X571" s="48"/>
      <c r="Y571" s="48"/>
      <c r="Z571" s="47"/>
      <c r="AA571" s="69">
        <v>571</v>
      </c>
      <c r="AB571" s="69"/>
      <c r="AC571" s="70"/>
      <c r="AD571" s="76" t="s">
        <v>12299</v>
      </c>
      <c r="AE571" s="80" t="s">
        <v>11645</v>
      </c>
      <c r="AF571" s="76">
        <v>436</v>
      </c>
      <c r="AG571" s="76">
        <v>3005</v>
      </c>
      <c r="AH571" s="76">
        <v>12389</v>
      </c>
      <c r="AI571" s="76">
        <v>10</v>
      </c>
      <c r="AJ571" s="76">
        <v>3714</v>
      </c>
      <c r="AK571" s="76">
        <v>21</v>
      </c>
      <c r="AL571" s="76" t="b">
        <v>0</v>
      </c>
      <c r="AM571" s="78">
        <v>44432.909120370372</v>
      </c>
      <c r="AN571" s="76"/>
      <c r="AO571" s="76" t="s">
        <v>13743</v>
      </c>
      <c r="AP571" s="76"/>
      <c r="AQ571" s="76"/>
      <c r="AR571" s="76"/>
      <c r="AS571" s="76"/>
      <c r="AT571" s="76"/>
      <c r="AU571" s="76"/>
      <c r="AV571" s="76"/>
      <c r="AW571" s="76"/>
      <c r="AX571" s="76" t="b">
        <v>0</v>
      </c>
      <c r="AY571" s="76"/>
      <c r="AZ571" s="76"/>
      <c r="BA571" s="76" t="b">
        <v>0</v>
      </c>
      <c r="BB571" s="76" t="b">
        <v>1</v>
      </c>
      <c r="BC571" s="76" t="b">
        <v>1</v>
      </c>
      <c r="BD571" s="76" t="b">
        <v>0</v>
      </c>
      <c r="BE571" s="76" t="b">
        <v>0</v>
      </c>
      <c r="BF571" s="76" t="b">
        <v>0</v>
      </c>
      <c r="BG571" s="76" t="b">
        <v>0</v>
      </c>
      <c r="BH571" s="82" t="str">
        <f>HYPERLINK("https://pbs.twimg.com/profile_banners/1430286028879843333/1632241610")</f>
        <v>https://pbs.twimg.com/profile_banners/1430286028879843333/1632241610</v>
      </c>
      <c r="BI571" s="76"/>
      <c r="BJ571" s="76" t="s">
        <v>14450</v>
      </c>
      <c r="BK571" s="76" t="b">
        <v>0</v>
      </c>
      <c r="BL571" s="76"/>
      <c r="BM571" s="76" t="s">
        <v>66</v>
      </c>
      <c r="BN571" s="76" t="s">
        <v>14452</v>
      </c>
      <c r="BO571" s="82" t="str">
        <f>HYPERLINK("https://twitter.com/oscarhbp1")</f>
        <v>https://twitter.com/oscarhbp1</v>
      </c>
      <c r="BP571" s="2"/>
    </row>
    <row r="572" spans="1:68" x14ac:dyDescent="0.25">
      <c r="A572" s="62" t="s">
        <v>710</v>
      </c>
      <c r="B572" s="63"/>
      <c r="C572" s="63"/>
      <c r="D572" s="64"/>
      <c r="E572" s="66"/>
      <c r="F572" s="103" t="str">
        <f>HYPERLINK("https://pbs.twimg.com/profile_images/1671547009453441024/iCkhMY58_normal.png")</f>
        <v>https://pbs.twimg.com/profile_images/1671547009453441024/iCkhMY58_normal.png</v>
      </c>
      <c r="G572" s="63"/>
      <c r="H572" s="67"/>
      <c r="I572" s="68"/>
      <c r="J572" s="68"/>
      <c r="K572" s="67" t="s">
        <v>15021</v>
      </c>
      <c r="L572" s="71"/>
      <c r="M572" s="72"/>
      <c r="N572" s="72"/>
      <c r="O572" s="73"/>
      <c r="P572" s="74"/>
      <c r="Q572" s="74"/>
      <c r="R572" s="87"/>
      <c r="S572" s="87"/>
      <c r="T572" s="87"/>
      <c r="U572" s="87"/>
      <c r="V572" s="48"/>
      <c r="W572" s="48"/>
      <c r="X572" s="48"/>
      <c r="Y572" s="48"/>
      <c r="Z572" s="47"/>
      <c r="AA572" s="69">
        <v>572</v>
      </c>
      <c r="AB572" s="69"/>
      <c r="AC572" s="70"/>
      <c r="AD572" s="76" t="s">
        <v>12300</v>
      </c>
      <c r="AE572" s="80" t="s">
        <v>11646</v>
      </c>
      <c r="AF572" s="76">
        <v>3</v>
      </c>
      <c r="AG572" s="76">
        <v>45</v>
      </c>
      <c r="AH572" s="76">
        <v>13</v>
      </c>
      <c r="AI572" s="76">
        <v>0</v>
      </c>
      <c r="AJ572" s="76">
        <v>8</v>
      </c>
      <c r="AK572" s="76">
        <v>9</v>
      </c>
      <c r="AL572" s="76" t="b">
        <v>0</v>
      </c>
      <c r="AM572" s="78">
        <v>45098.662465277775</v>
      </c>
      <c r="AN572" s="76" t="s">
        <v>12902</v>
      </c>
      <c r="AO572" s="76" t="s">
        <v>13744</v>
      </c>
      <c r="AP572" s="76"/>
      <c r="AQ572" s="76"/>
      <c r="AR572" s="76"/>
      <c r="AS572" s="76"/>
      <c r="AT572" s="76"/>
      <c r="AU572" s="76"/>
      <c r="AV572" s="76"/>
      <c r="AW572" s="76"/>
      <c r="AX572" s="76" t="b">
        <v>0</v>
      </c>
      <c r="AY572" s="76"/>
      <c r="AZ572" s="76"/>
      <c r="BA572" s="76" t="b">
        <v>0</v>
      </c>
      <c r="BB572" s="76" t="b">
        <v>1</v>
      </c>
      <c r="BC572" s="76" t="b">
        <v>1</v>
      </c>
      <c r="BD572" s="76" t="b">
        <v>0</v>
      </c>
      <c r="BE572" s="76" t="b">
        <v>0</v>
      </c>
      <c r="BF572" s="76" t="b">
        <v>0</v>
      </c>
      <c r="BG572" s="76" t="b">
        <v>0</v>
      </c>
      <c r="BH572" s="76"/>
      <c r="BI572" s="76"/>
      <c r="BJ572" s="76" t="s">
        <v>14450</v>
      </c>
      <c r="BK572" s="76" t="b">
        <v>0</v>
      </c>
      <c r="BL572" s="76"/>
      <c r="BM572" s="76" t="s">
        <v>66</v>
      </c>
      <c r="BN572" s="76" t="s">
        <v>14452</v>
      </c>
      <c r="BO572" s="82" t="str">
        <f>HYPERLINK("https://twitter.com/araareclut67717")</f>
        <v>https://twitter.com/araareclut67717</v>
      </c>
      <c r="BP572" s="2"/>
    </row>
    <row r="573" spans="1:68" x14ac:dyDescent="0.25">
      <c r="A573" s="62" t="s">
        <v>711</v>
      </c>
      <c r="B573" s="63"/>
      <c r="C573" s="63"/>
      <c r="D573" s="64"/>
      <c r="E573" s="66"/>
      <c r="F573" s="103" t="str">
        <f>HYPERLINK("https://pbs.twimg.com/profile_images/1679903383489064976/kXbAWue6_normal.jpg")</f>
        <v>https://pbs.twimg.com/profile_images/1679903383489064976/kXbAWue6_normal.jpg</v>
      </c>
      <c r="G573" s="63"/>
      <c r="H573" s="67"/>
      <c r="I573" s="68"/>
      <c r="J573" s="68"/>
      <c r="K573" s="67" t="s">
        <v>15022</v>
      </c>
      <c r="L573" s="71"/>
      <c r="M573" s="72"/>
      <c r="N573" s="72"/>
      <c r="O573" s="73"/>
      <c r="P573" s="74"/>
      <c r="Q573" s="74"/>
      <c r="R573" s="87"/>
      <c r="S573" s="87"/>
      <c r="T573" s="87"/>
      <c r="U573" s="87"/>
      <c r="V573" s="48"/>
      <c r="W573" s="48"/>
      <c r="X573" s="48"/>
      <c r="Y573" s="48"/>
      <c r="Z573" s="47"/>
      <c r="AA573" s="69">
        <v>573</v>
      </c>
      <c r="AB573" s="69"/>
      <c r="AC573" s="70"/>
      <c r="AD573" s="76" t="s">
        <v>12301</v>
      </c>
      <c r="AE573" s="80" t="s">
        <v>11647</v>
      </c>
      <c r="AF573" s="76">
        <v>1</v>
      </c>
      <c r="AG573" s="76">
        <v>4</v>
      </c>
      <c r="AH573" s="76">
        <v>3</v>
      </c>
      <c r="AI573" s="76">
        <v>0</v>
      </c>
      <c r="AJ573" s="76">
        <v>1</v>
      </c>
      <c r="AK573" s="76">
        <v>3</v>
      </c>
      <c r="AL573" s="76" t="b">
        <v>0</v>
      </c>
      <c r="AM573" s="78">
        <v>45121.718124999999</v>
      </c>
      <c r="AN573" s="76"/>
      <c r="AO573" s="76"/>
      <c r="AP573" s="76"/>
      <c r="AQ573" s="76"/>
      <c r="AR573" s="76"/>
      <c r="AS573" s="76"/>
      <c r="AT573" s="76"/>
      <c r="AU573" s="76"/>
      <c r="AV573" s="76"/>
      <c r="AW573" s="76"/>
      <c r="AX573" s="76" t="b">
        <v>0</v>
      </c>
      <c r="AY573" s="76"/>
      <c r="AZ573" s="76"/>
      <c r="BA573" s="76" t="b">
        <v>0</v>
      </c>
      <c r="BB573" s="76" t="b">
        <v>1</v>
      </c>
      <c r="BC573" s="76" t="b">
        <v>1</v>
      </c>
      <c r="BD573" s="76" t="b">
        <v>0</v>
      </c>
      <c r="BE573" s="76" t="b">
        <v>0</v>
      </c>
      <c r="BF573" s="76" t="b">
        <v>0</v>
      </c>
      <c r="BG573" s="76" t="b">
        <v>0</v>
      </c>
      <c r="BH573" s="82" t="str">
        <f>HYPERLINK("https://pbs.twimg.com/profile_banners/1679901994067144719/1689355153")</f>
        <v>https://pbs.twimg.com/profile_banners/1679901994067144719/1689355153</v>
      </c>
      <c r="BI573" s="76"/>
      <c r="BJ573" s="76" t="s">
        <v>14450</v>
      </c>
      <c r="BK573" s="76" t="b">
        <v>0</v>
      </c>
      <c r="BL573" s="76"/>
      <c r="BM573" s="76" t="s">
        <v>66</v>
      </c>
      <c r="BN573" s="76" t="s">
        <v>14452</v>
      </c>
      <c r="BO573" s="82" t="str">
        <f>HYPERLINK("https://twitter.com/fsimilaresnorte")</f>
        <v>https://twitter.com/fsimilaresnorte</v>
      </c>
      <c r="BP573" s="2"/>
    </row>
    <row r="574" spans="1:68" x14ac:dyDescent="0.25">
      <c r="A574" s="62" t="s">
        <v>712</v>
      </c>
      <c r="B574" s="63"/>
      <c r="C574" s="63"/>
      <c r="D574" s="64"/>
      <c r="E574" s="66"/>
      <c r="F574" s="103" t="str">
        <f>HYPERLINK("https://pbs.twimg.com/profile_images/1406304529956671495/zFU3lw5W_normal.jpg")</f>
        <v>https://pbs.twimg.com/profile_images/1406304529956671495/zFU3lw5W_normal.jpg</v>
      </c>
      <c r="G574" s="63"/>
      <c r="H574" s="67"/>
      <c r="I574" s="68"/>
      <c r="J574" s="68"/>
      <c r="K574" s="67" t="s">
        <v>15023</v>
      </c>
      <c r="L574" s="71"/>
      <c r="M574" s="72"/>
      <c r="N574" s="72"/>
      <c r="O574" s="73"/>
      <c r="P574" s="74"/>
      <c r="Q574" s="74"/>
      <c r="R574" s="87"/>
      <c r="S574" s="87"/>
      <c r="T574" s="87"/>
      <c r="U574" s="87"/>
      <c r="V574" s="48"/>
      <c r="W574" s="48"/>
      <c r="X574" s="48"/>
      <c r="Y574" s="48"/>
      <c r="Z574" s="47"/>
      <c r="AA574" s="69">
        <v>574</v>
      </c>
      <c r="AB574" s="69"/>
      <c r="AC574" s="70"/>
      <c r="AD574" s="76" t="s">
        <v>12302</v>
      </c>
      <c r="AE574" s="80" t="s">
        <v>12766</v>
      </c>
      <c r="AF574" s="76">
        <v>154</v>
      </c>
      <c r="AG574" s="76">
        <v>69</v>
      </c>
      <c r="AH574" s="76">
        <v>556</v>
      </c>
      <c r="AI574" s="76">
        <v>1</v>
      </c>
      <c r="AJ574" s="76">
        <v>276</v>
      </c>
      <c r="AK574" s="76">
        <v>395</v>
      </c>
      <c r="AL574" s="76" t="b">
        <v>0</v>
      </c>
      <c r="AM574" s="78">
        <v>41682.465520833335</v>
      </c>
      <c r="AN574" s="76" t="s">
        <v>7791</v>
      </c>
      <c r="AO574" s="76" t="s">
        <v>13745</v>
      </c>
      <c r="AP574" s="82" t="str">
        <f>HYPERLINK("https://t.co/UFp4dw4vYh")</f>
        <v>https://t.co/UFp4dw4vYh</v>
      </c>
      <c r="AQ574" s="82" t="str">
        <f>HYPERLINK("http://www.erikpenna.com.br")</f>
        <v>http://www.erikpenna.com.br</v>
      </c>
      <c r="AR574" s="76" t="s">
        <v>14254</v>
      </c>
      <c r="AS574" s="82" t="str">
        <f>HYPERLINK("https://t.co/UFp4dw4vYh")</f>
        <v>https://t.co/UFp4dw4vYh</v>
      </c>
      <c r="AT574" s="82" t="str">
        <f>HYPERLINK("http://www.erikpenna.com.br")</f>
        <v>http://www.erikpenna.com.br</v>
      </c>
      <c r="AU574" s="76" t="s">
        <v>14254</v>
      </c>
      <c r="AV574" s="76"/>
      <c r="AW574" s="82" t="str">
        <f>HYPERLINK("https://t.co/UFp4dw4vYh")</f>
        <v>https://t.co/UFp4dw4vYh</v>
      </c>
      <c r="AX574" s="76" t="b">
        <v>0</v>
      </c>
      <c r="AY574" s="76"/>
      <c r="AZ574" s="76"/>
      <c r="BA574" s="76" t="b">
        <v>0</v>
      </c>
      <c r="BB574" s="76" t="b">
        <v>1</v>
      </c>
      <c r="BC574" s="76" t="b">
        <v>0</v>
      </c>
      <c r="BD574" s="76" t="b">
        <v>0</v>
      </c>
      <c r="BE574" s="76" t="b">
        <v>0</v>
      </c>
      <c r="BF574" s="76" t="b">
        <v>0</v>
      </c>
      <c r="BG574" s="76" t="b">
        <v>0</v>
      </c>
      <c r="BH574" s="82" t="str">
        <f>HYPERLINK("https://pbs.twimg.com/profile_banners/2340159666/1624124108")</f>
        <v>https://pbs.twimg.com/profile_banners/2340159666/1624124108</v>
      </c>
      <c r="BI574" s="76"/>
      <c r="BJ574" s="76" t="s">
        <v>14450</v>
      </c>
      <c r="BK574" s="76" t="b">
        <v>0</v>
      </c>
      <c r="BL574" s="76"/>
      <c r="BM574" s="76" t="s">
        <v>66</v>
      </c>
      <c r="BN574" s="76" t="s">
        <v>14452</v>
      </c>
      <c r="BO574" s="82" t="str">
        <f>HYPERLINK("https://twitter.com/erikpenna")</f>
        <v>https://twitter.com/erikpenna</v>
      </c>
      <c r="BP574" s="2"/>
    </row>
    <row r="575" spans="1:68" x14ac:dyDescent="0.25">
      <c r="A575" s="62" t="s">
        <v>713</v>
      </c>
      <c r="B575" s="63"/>
      <c r="C575" s="63"/>
      <c r="D575" s="64"/>
      <c r="E575" s="66"/>
      <c r="F575" s="103" t="str">
        <f>HYPERLINK("https://pbs.twimg.com/profile_images/1525850979287056389/mTDu-Atb_normal.jpg")</f>
        <v>https://pbs.twimg.com/profile_images/1525850979287056389/mTDu-Atb_normal.jpg</v>
      </c>
      <c r="G575" s="63"/>
      <c r="H575" s="67"/>
      <c r="I575" s="68"/>
      <c r="J575" s="68"/>
      <c r="K575" s="67" t="s">
        <v>15024</v>
      </c>
      <c r="L575" s="71"/>
      <c r="M575" s="72"/>
      <c r="N575" s="72"/>
      <c r="O575" s="73"/>
      <c r="P575" s="74"/>
      <c r="Q575" s="74"/>
      <c r="R575" s="87"/>
      <c r="S575" s="87"/>
      <c r="T575" s="87"/>
      <c r="U575" s="87"/>
      <c r="V575" s="48"/>
      <c r="W575" s="48"/>
      <c r="X575" s="48"/>
      <c r="Y575" s="48"/>
      <c r="Z575" s="47"/>
      <c r="AA575" s="69">
        <v>575</v>
      </c>
      <c r="AB575" s="69"/>
      <c r="AC575" s="70"/>
      <c r="AD575" s="76" t="s">
        <v>12303</v>
      </c>
      <c r="AE575" s="80" t="s">
        <v>12767</v>
      </c>
      <c r="AF575" s="76">
        <v>212</v>
      </c>
      <c r="AG575" s="76">
        <v>597</v>
      </c>
      <c r="AH575" s="76">
        <v>4004</v>
      </c>
      <c r="AI575" s="76">
        <v>4</v>
      </c>
      <c r="AJ575" s="76">
        <v>365</v>
      </c>
      <c r="AK575" s="76">
        <v>2882</v>
      </c>
      <c r="AL575" s="76" t="b">
        <v>0</v>
      </c>
      <c r="AM575" s="78">
        <v>41807.30609953704</v>
      </c>
      <c r="AN575" s="76" t="s">
        <v>12963</v>
      </c>
      <c r="AO575" s="76" t="s">
        <v>13746</v>
      </c>
      <c r="AP575" s="82" t="str">
        <f>HYPERLINK("https://t.co/AZI1mv0p5D")</f>
        <v>https://t.co/AZI1mv0p5D</v>
      </c>
      <c r="AQ575" s="82" t="str">
        <f>HYPERLINK("https://carlosgonzalezcopywriter.com/")</f>
        <v>https://carlosgonzalezcopywriter.com/</v>
      </c>
      <c r="AR575" s="76" t="s">
        <v>14255</v>
      </c>
      <c r="AS575" s="76"/>
      <c r="AT575" s="76"/>
      <c r="AU575" s="76"/>
      <c r="AV575" s="76"/>
      <c r="AW575" s="82" t="str">
        <f>HYPERLINK("https://t.co/AZI1mv0p5D")</f>
        <v>https://t.co/AZI1mv0p5D</v>
      </c>
      <c r="AX575" s="76" t="b">
        <v>0</v>
      </c>
      <c r="AY575" s="76"/>
      <c r="AZ575" s="76"/>
      <c r="BA575" s="76" t="b">
        <v>0</v>
      </c>
      <c r="BB575" s="76" t="b">
        <v>1</v>
      </c>
      <c r="BC575" s="76" t="b">
        <v>0</v>
      </c>
      <c r="BD575" s="76" t="b">
        <v>0</v>
      </c>
      <c r="BE575" s="76" t="b">
        <v>1</v>
      </c>
      <c r="BF575" s="76" t="b">
        <v>0</v>
      </c>
      <c r="BG575" s="76" t="b">
        <v>0</v>
      </c>
      <c r="BH575" s="82" t="str">
        <f>HYPERLINK("https://pbs.twimg.com/profile_banners/2572443301/1605327852")</f>
        <v>https://pbs.twimg.com/profile_banners/2572443301/1605327852</v>
      </c>
      <c r="BI575" s="76"/>
      <c r="BJ575" s="76" t="s">
        <v>14450</v>
      </c>
      <c r="BK575" s="76" t="b">
        <v>0</v>
      </c>
      <c r="BL575" s="76"/>
      <c r="BM575" s="76" t="s">
        <v>66</v>
      </c>
      <c r="BN575" s="76" t="s">
        <v>14452</v>
      </c>
      <c r="BO575" s="82" t="str">
        <f>HYPERLINK("https://twitter.com/cgcopywriter")</f>
        <v>https://twitter.com/cgcopywriter</v>
      </c>
      <c r="BP575" s="2"/>
    </row>
    <row r="576" spans="1:68" x14ac:dyDescent="0.25">
      <c r="A576" s="62" t="s">
        <v>714</v>
      </c>
      <c r="B576" s="63"/>
      <c r="C576" s="63"/>
      <c r="D576" s="64"/>
      <c r="E576" s="66"/>
      <c r="F576" s="103" t="str">
        <f>HYPERLINK("https://pbs.twimg.com/profile_images/1426240335118848006/ujZeyBR-_normal.jpg")</f>
        <v>https://pbs.twimg.com/profile_images/1426240335118848006/ujZeyBR-_normal.jpg</v>
      </c>
      <c r="G576" s="63"/>
      <c r="H576" s="67"/>
      <c r="I576" s="68"/>
      <c r="J576" s="68"/>
      <c r="K576" s="67" t="s">
        <v>15025</v>
      </c>
      <c r="L576" s="71"/>
      <c r="M576" s="72"/>
      <c r="N576" s="72"/>
      <c r="O576" s="73"/>
      <c r="P576" s="74"/>
      <c r="Q576" s="74"/>
      <c r="R576" s="87"/>
      <c r="S576" s="87"/>
      <c r="T576" s="87"/>
      <c r="U576" s="87"/>
      <c r="V576" s="48"/>
      <c r="W576" s="48"/>
      <c r="X576" s="48"/>
      <c r="Y576" s="48"/>
      <c r="Z576" s="47"/>
      <c r="AA576" s="69">
        <v>576</v>
      </c>
      <c r="AB576" s="69"/>
      <c r="AC576" s="70"/>
      <c r="AD576" s="76" t="s">
        <v>12304</v>
      </c>
      <c r="AE576" s="80" t="s">
        <v>12768</v>
      </c>
      <c r="AF576" s="76">
        <v>3628</v>
      </c>
      <c r="AG576" s="76">
        <v>1912</v>
      </c>
      <c r="AH576" s="76">
        <v>2714</v>
      </c>
      <c r="AI576" s="76">
        <v>0</v>
      </c>
      <c r="AJ576" s="76">
        <v>20</v>
      </c>
      <c r="AK576" s="76">
        <v>1890</v>
      </c>
      <c r="AL576" s="76" t="b">
        <v>0</v>
      </c>
      <c r="AM576" s="78">
        <v>42242.600648148145</v>
      </c>
      <c r="AN576" s="76" t="s">
        <v>7767</v>
      </c>
      <c r="AO576" s="76" t="s">
        <v>13747</v>
      </c>
      <c r="AP576" s="82" t="str">
        <f>HYPERLINK("https://t.co/bl2PeC3HTw")</f>
        <v>https://t.co/bl2PeC3HTw</v>
      </c>
      <c r="AQ576" s="82" t="str">
        <f>HYPERLINK("https://www.facebook.com/QualityAssistMx")</f>
        <v>https://www.facebook.com/QualityAssistMx</v>
      </c>
      <c r="AR576" s="76" t="s">
        <v>14256</v>
      </c>
      <c r="AS576" s="76"/>
      <c r="AT576" s="76"/>
      <c r="AU576" s="76"/>
      <c r="AV576" s="76"/>
      <c r="AW576" s="82" t="str">
        <f>HYPERLINK("https://t.co/bl2PeC3HTw")</f>
        <v>https://t.co/bl2PeC3HTw</v>
      </c>
      <c r="AX576" s="76" t="b">
        <v>0</v>
      </c>
      <c r="AY576" s="76"/>
      <c r="AZ576" s="76"/>
      <c r="BA576" s="76" t="b">
        <v>1</v>
      </c>
      <c r="BB576" s="76" t="b">
        <v>0</v>
      </c>
      <c r="BC576" s="76" t="b">
        <v>0</v>
      </c>
      <c r="BD576" s="76" t="b">
        <v>0</v>
      </c>
      <c r="BE576" s="76" t="b">
        <v>1</v>
      </c>
      <c r="BF576" s="76" t="b">
        <v>0</v>
      </c>
      <c r="BG576" s="76" t="b">
        <v>1</v>
      </c>
      <c r="BH576" s="82" t="str">
        <f>HYPERLINK("https://pbs.twimg.com/profile_banners/3349230734/1637213295")</f>
        <v>https://pbs.twimg.com/profile_banners/3349230734/1637213295</v>
      </c>
      <c r="BI576" s="76"/>
      <c r="BJ576" s="76" t="s">
        <v>14450</v>
      </c>
      <c r="BK576" s="76" t="b">
        <v>0</v>
      </c>
      <c r="BL576" s="76"/>
      <c r="BM576" s="76" t="s">
        <v>66</v>
      </c>
      <c r="BN576" s="76" t="s">
        <v>14452</v>
      </c>
      <c r="BO576" s="82" t="str">
        <f>HYPERLINK("https://twitter.com/qualityassist_")</f>
        <v>https://twitter.com/qualityassist_</v>
      </c>
      <c r="BP576" s="2"/>
    </row>
    <row r="577" spans="1:68" x14ac:dyDescent="0.25">
      <c r="A577" s="62" t="s">
        <v>715</v>
      </c>
      <c r="B577" s="63"/>
      <c r="C577" s="63"/>
      <c r="D577" s="64"/>
      <c r="E577" s="66"/>
      <c r="F577" s="103" t="str">
        <f>HYPERLINK("https://pbs.twimg.com/profile_images/1702540508365529088/lM92xR9y_normal.jpg")</f>
        <v>https://pbs.twimg.com/profile_images/1702540508365529088/lM92xR9y_normal.jpg</v>
      </c>
      <c r="G577" s="63"/>
      <c r="H577" s="67"/>
      <c r="I577" s="68"/>
      <c r="J577" s="68"/>
      <c r="K577" s="67" t="s">
        <v>15026</v>
      </c>
      <c r="L577" s="71"/>
      <c r="M577" s="72"/>
      <c r="N577" s="72"/>
      <c r="O577" s="73"/>
      <c r="P577" s="74"/>
      <c r="Q577" s="74"/>
      <c r="R577" s="87"/>
      <c r="S577" s="87"/>
      <c r="T577" s="87"/>
      <c r="U577" s="87"/>
      <c r="V577" s="48"/>
      <c r="W577" s="48"/>
      <c r="X577" s="48"/>
      <c r="Y577" s="48"/>
      <c r="Z577" s="47"/>
      <c r="AA577" s="69">
        <v>577</v>
      </c>
      <c r="AB577" s="69"/>
      <c r="AC577" s="70"/>
      <c r="AD577" s="76" t="s">
        <v>12305</v>
      </c>
      <c r="AE577" s="80" t="s">
        <v>12769</v>
      </c>
      <c r="AF577" s="76">
        <v>206</v>
      </c>
      <c r="AG577" s="76">
        <v>554</v>
      </c>
      <c r="AH577" s="76">
        <v>1784</v>
      </c>
      <c r="AI577" s="76">
        <v>1</v>
      </c>
      <c r="AJ577" s="76">
        <v>5498</v>
      </c>
      <c r="AK577" s="76">
        <v>204</v>
      </c>
      <c r="AL577" s="76" t="b">
        <v>0</v>
      </c>
      <c r="AM577" s="78">
        <v>40307.612627314818</v>
      </c>
      <c r="AN577" s="76" t="s">
        <v>13146</v>
      </c>
      <c r="AO577" s="76" t="s">
        <v>13748</v>
      </c>
      <c r="AP577" s="82" t="str">
        <f>HYPERLINK("https://t.co/yz6223FKXz")</f>
        <v>https://t.co/yz6223FKXz</v>
      </c>
      <c r="AQ577" s="82" t="str">
        <f>HYPERLINK("https://www.instagram.com/joaonatas/")</f>
        <v>https://www.instagram.com/joaonatas/</v>
      </c>
      <c r="AR577" s="76" t="s">
        <v>14257</v>
      </c>
      <c r="AS577" s="76"/>
      <c r="AT577" s="76"/>
      <c r="AU577" s="76"/>
      <c r="AV577" s="76"/>
      <c r="AW577" s="82" t="str">
        <f>HYPERLINK("https://t.co/yz6223FKXz")</f>
        <v>https://t.co/yz6223FKXz</v>
      </c>
      <c r="AX577" s="76" t="b">
        <v>0</v>
      </c>
      <c r="AY577" s="76"/>
      <c r="AZ577" s="76"/>
      <c r="BA577" s="76" t="b">
        <v>1</v>
      </c>
      <c r="BB577" s="76" t="b">
        <v>1</v>
      </c>
      <c r="BC577" s="76" t="b">
        <v>0</v>
      </c>
      <c r="BD577" s="76" t="b">
        <v>0</v>
      </c>
      <c r="BE577" s="76" t="b">
        <v>1</v>
      </c>
      <c r="BF577" s="76" t="b">
        <v>0</v>
      </c>
      <c r="BG577" s="76" t="b">
        <v>0</v>
      </c>
      <c r="BH577" s="82" t="str">
        <f>HYPERLINK("https://pbs.twimg.com/profile_banners/141961556/1672209377")</f>
        <v>https://pbs.twimg.com/profile_banners/141961556/1672209377</v>
      </c>
      <c r="BI577" s="76"/>
      <c r="BJ577" s="76" t="s">
        <v>14450</v>
      </c>
      <c r="BK577" s="76" t="b">
        <v>0</v>
      </c>
      <c r="BL577" s="76"/>
      <c r="BM577" s="76" t="s">
        <v>66</v>
      </c>
      <c r="BN577" s="76" t="s">
        <v>14452</v>
      </c>
      <c r="BO577" s="82" t="str">
        <f>HYPERLINK("https://twitter.com/joaonatas")</f>
        <v>https://twitter.com/joaonatas</v>
      </c>
      <c r="BP577" s="2"/>
    </row>
    <row r="578" spans="1:68" x14ac:dyDescent="0.25">
      <c r="A578" s="62" t="s">
        <v>716</v>
      </c>
      <c r="B578" s="63"/>
      <c r="C578" s="63"/>
      <c r="D578" s="64"/>
      <c r="E578" s="66"/>
      <c r="F578" s="103" t="str">
        <f>HYPERLINK("https://pbs.twimg.com/profile_images/1607479553139654657/oN_jyc9j_normal.jpg")</f>
        <v>https://pbs.twimg.com/profile_images/1607479553139654657/oN_jyc9j_normal.jpg</v>
      </c>
      <c r="G578" s="63"/>
      <c r="H578" s="67"/>
      <c r="I578" s="68"/>
      <c r="J578" s="68"/>
      <c r="K578" s="67" t="s">
        <v>15027</v>
      </c>
      <c r="L578" s="71"/>
      <c r="M578" s="72"/>
      <c r="N578" s="72"/>
      <c r="O578" s="73"/>
      <c r="P578" s="74"/>
      <c r="Q578" s="74"/>
      <c r="R578" s="87"/>
      <c r="S578" s="87"/>
      <c r="T578" s="87"/>
      <c r="U578" s="87"/>
      <c r="V578" s="48"/>
      <c r="W578" s="48"/>
      <c r="X578" s="48"/>
      <c r="Y578" s="48"/>
      <c r="Z578" s="47"/>
      <c r="AA578" s="69">
        <v>578</v>
      </c>
      <c r="AB578" s="69"/>
      <c r="AC578" s="70"/>
      <c r="AD578" s="76" t="s">
        <v>12306</v>
      </c>
      <c r="AE578" s="80" t="s">
        <v>12770</v>
      </c>
      <c r="AF578" s="76">
        <v>234</v>
      </c>
      <c r="AG578" s="76">
        <v>898</v>
      </c>
      <c r="AH578" s="76">
        <v>12968</v>
      </c>
      <c r="AI578" s="76">
        <v>20</v>
      </c>
      <c r="AJ578" s="76">
        <v>1657</v>
      </c>
      <c r="AK578" s="76">
        <v>1487</v>
      </c>
      <c r="AL578" s="76" t="b">
        <v>0</v>
      </c>
      <c r="AM578" s="78">
        <v>41188.581990740742</v>
      </c>
      <c r="AN578" s="76" t="s">
        <v>13147</v>
      </c>
      <c r="AO578" s="76" t="s">
        <v>13749</v>
      </c>
      <c r="AP578" s="82" t="str">
        <f>HYPERLINK("https://t.co/HLhnepv9Qa")</f>
        <v>https://t.co/HLhnepv9Qa</v>
      </c>
      <c r="AQ578" s="82" t="str">
        <f>HYPERLINK("http://agoradelpensamiento.com/")</f>
        <v>http://agoradelpensamiento.com/</v>
      </c>
      <c r="AR578" s="76" t="s">
        <v>4325</v>
      </c>
      <c r="AS578" s="76"/>
      <c r="AT578" s="76"/>
      <c r="AU578" s="76"/>
      <c r="AV578" s="76"/>
      <c r="AW578" s="82" t="str">
        <f>HYPERLINK("https://t.co/HLhnepv9Qa")</f>
        <v>https://t.co/HLhnepv9Qa</v>
      </c>
      <c r="AX578" s="76" t="b">
        <v>0</v>
      </c>
      <c r="AY578" s="76"/>
      <c r="AZ578" s="76"/>
      <c r="BA578" s="76" t="b">
        <v>1</v>
      </c>
      <c r="BB578" s="76" t="b">
        <v>0</v>
      </c>
      <c r="BC578" s="76" t="b">
        <v>1</v>
      </c>
      <c r="BD578" s="76" t="b">
        <v>0</v>
      </c>
      <c r="BE578" s="76" t="b">
        <v>0</v>
      </c>
      <c r="BF578" s="76" t="b">
        <v>0</v>
      </c>
      <c r="BG578" s="76" t="b">
        <v>0</v>
      </c>
      <c r="BH578" s="82" t="str">
        <f>HYPERLINK("https://pbs.twimg.com/profile_banners/864724308/1694338410")</f>
        <v>https://pbs.twimg.com/profile_banners/864724308/1694338410</v>
      </c>
      <c r="BI578" s="76"/>
      <c r="BJ578" s="76" t="s">
        <v>14450</v>
      </c>
      <c r="BK578" s="76" t="b">
        <v>0</v>
      </c>
      <c r="BL578" s="76"/>
      <c r="BM578" s="76" t="s">
        <v>66</v>
      </c>
      <c r="BN578" s="76" t="s">
        <v>14452</v>
      </c>
      <c r="BO578" s="82" t="str">
        <f>HYPERLINK("https://twitter.com/lorenteandia")</f>
        <v>https://twitter.com/lorenteandia</v>
      </c>
      <c r="BP578" s="2"/>
    </row>
    <row r="579" spans="1:68" x14ac:dyDescent="0.25">
      <c r="A579" s="62" t="s">
        <v>717</v>
      </c>
      <c r="B579" s="63"/>
      <c r="C579" s="63"/>
      <c r="D579" s="64"/>
      <c r="E579" s="66"/>
      <c r="F579" s="103" t="str">
        <f>HYPERLINK("https://pbs.twimg.com/profile_images/1675917434589691905/R8au-uFZ_normal.jpg")</f>
        <v>https://pbs.twimg.com/profile_images/1675917434589691905/R8au-uFZ_normal.jpg</v>
      </c>
      <c r="G579" s="63"/>
      <c r="H579" s="67"/>
      <c r="I579" s="68"/>
      <c r="J579" s="68"/>
      <c r="K579" s="67" t="s">
        <v>15028</v>
      </c>
      <c r="L579" s="71"/>
      <c r="M579" s="72"/>
      <c r="N579" s="72"/>
      <c r="O579" s="73"/>
      <c r="P579" s="74"/>
      <c r="Q579" s="74"/>
      <c r="R579" s="87"/>
      <c r="S579" s="87"/>
      <c r="T579" s="87"/>
      <c r="U579" s="87"/>
      <c r="V579" s="48"/>
      <c r="W579" s="48"/>
      <c r="X579" s="48"/>
      <c r="Y579" s="48"/>
      <c r="Z579" s="47"/>
      <c r="AA579" s="69">
        <v>579</v>
      </c>
      <c r="AB579" s="69"/>
      <c r="AC579" s="70"/>
      <c r="AD579" s="76" t="s">
        <v>12307</v>
      </c>
      <c r="AE579" s="80" t="s">
        <v>12771</v>
      </c>
      <c r="AF579" s="76">
        <v>314</v>
      </c>
      <c r="AG579" s="76">
        <v>891</v>
      </c>
      <c r="AH579" s="76">
        <v>6355</v>
      </c>
      <c r="AI579" s="76">
        <v>1</v>
      </c>
      <c r="AJ579" s="76">
        <v>7</v>
      </c>
      <c r="AK579" s="76">
        <v>5656</v>
      </c>
      <c r="AL579" s="76" t="b">
        <v>0</v>
      </c>
      <c r="AM579" s="78">
        <v>41770.904675925929</v>
      </c>
      <c r="AN579" s="76" t="s">
        <v>13148</v>
      </c>
      <c r="AO579" s="76" t="s">
        <v>13750</v>
      </c>
      <c r="AP579" s="82" t="str">
        <f>HYPERLINK("https://t.co/PBu1k02atz")</f>
        <v>https://t.co/PBu1k02atz</v>
      </c>
      <c r="AQ579" s="82" t="str">
        <f>HYPERLINK("http://www.asistenciamedicolegal.com")</f>
        <v>http://www.asistenciamedicolegal.com</v>
      </c>
      <c r="AR579" s="76" t="s">
        <v>14258</v>
      </c>
      <c r="AS579" s="76"/>
      <c r="AT579" s="76"/>
      <c r="AU579" s="76"/>
      <c r="AV579" s="76"/>
      <c r="AW579" s="82" t="str">
        <f>HYPERLINK("https://t.co/PBu1k02atz")</f>
        <v>https://t.co/PBu1k02atz</v>
      </c>
      <c r="AX579" s="76" t="b">
        <v>0</v>
      </c>
      <c r="AY579" s="76"/>
      <c r="AZ579" s="76"/>
      <c r="BA579" s="76" t="b">
        <v>0</v>
      </c>
      <c r="BB579" s="76" t="b">
        <v>0</v>
      </c>
      <c r="BC579" s="76" t="b">
        <v>0</v>
      </c>
      <c r="BD579" s="76" t="b">
        <v>0</v>
      </c>
      <c r="BE579" s="76" t="b">
        <v>0</v>
      </c>
      <c r="BF579" s="76" t="b">
        <v>0</v>
      </c>
      <c r="BG579" s="76" t="b">
        <v>0</v>
      </c>
      <c r="BH579" s="82" t="str">
        <f>HYPERLINK("https://pbs.twimg.com/profile_banners/2490429660/1673290883")</f>
        <v>https://pbs.twimg.com/profile_banners/2490429660/1673290883</v>
      </c>
      <c r="BI579" s="76"/>
      <c r="BJ579" s="76" t="s">
        <v>14450</v>
      </c>
      <c r="BK579" s="76" t="b">
        <v>0</v>
      </c>
      <c r="BL579" s="76"/>
      <c r="BM579" s="76" t="s">
        <v>66</v>
      </c>
      <c r="BN579" s="76" t="s">
        <v>14452</v>
      </c>
      <c r="BO579" s="82" t="str">
        <f>HYPERLINK("https://twitter.com/asismedl")</f>
        <v>https://twitter.com/asismedl</v>
      </c>
      <c r="BP579" s="2"/>
    </row>
    <row r="580" spans="1:68" x14ac:dyDescent="0.25">
      <c r="A580" s="62" t="s">
        <v>718</v>
      </c>
      <c r="B580" s="63"/>
      <c r="C580" s="63"/>
      <c r="D580" s="64"/>
      <c r="E580" s="66"/>
      <c r="F580" s="103" t="str">
        <f>HYPERLINK("https://pbs.twimg.com/profile_images/698141102180843520/w8CVeyt8_normal.jpg")</f>
        <v>https://pbs.twimg.com/profile_images/698141102180843520/w8CVeyt8_normal.jpg</v>
      </c>
      <c r="G580" s="63"/>
      <c r="H580" s="67"/>
      <c r="I580" s="68"/>
      <c r="J580" s="68"/>
      <c r="K580" s="67" t="s">
        <v>15029</v>
      </c>
      <c r="L580" s="71"/>
      <c r="M580" s="72"/>
      <c r="N580" s="72"/>
      <c r="O580" s="73"/>
      <c r="P580" s="74"/>
      <c r="Q580" s="74"/>
      <c r="R580" s="87"/>
      <c r="S580" s="87"/>
      <c r="T580" s="87"/>
      <c r="U580" s="87"/>
      <c r="V580" s="48"/>
      <c r="W580" s="48"/>
      <c r="X580" s="48"/>
      <c r="Y580" s="48"/>
      <c r="Z580" s="47"/>
      <c r="AA580" s="69">
        <v>580</v>
      </c>
      <c r="AB580" s="69"/>
      <c r="AC580" s="70"/>
      <c r="AD580" s="76" t="s">
        <v>12308</v>
      </c>
      <c r="AE580" s="80" t="s">
        <v>12772</v>
      </c>
      <c r="AF580" s="76">
        <v>2920</v>
      </c>
      <c r="AG580" s="76">
        <v>210</v>
      </c>
      <c r="AH580" s="76">
        <v>13317</v>
      </c>
      <c r="AI580" s="76">
        <v>55</v>
      </c>
      <c r="AJ580" s="76">
        <v>15</v>
      </c>
      <c r="AK580" s="76">
        <v>7821</v>
      </c>
      <c r="AL580" s="76" t="b">
        <v>0</v>
      </c>
      <c r="AM580" s="78">
        <v>40042.771319444444</v>
      </c>
      <c r="AN580" s="76"/>
      <c r="AO580" s="76" t="s">
        <v>13751</v>
      </c>
      <c r="AP580" s="82" t="str">
        <f>HYPERLINK("http://t.co/Gmv42MG91c")</f>
        <v>http://t.co/Gmv42MG91c</v>
      </c>
      <c r="AQ580" s="82" t="str">
        <f>HYPERLINK("http://www.saneamentobasico.com.br")</f>
        <v>http://www.saneamentobasico.com.br</v>
      </c>
      <c r="AR580" s="76" t="s">
        <v>14259</v>
      </c>
      <c r="AS580" s="76"/>
      <c r="AT580" s="76"/>
      <c r="AU580" s="76"/>
      <c r="AV580" s="76"/>
      <c r="AW580" s="82" t="str">
        <f>HYPERLINK("http://t.co/Gmv42MG91c")</f>
        <v>http://t.co/Gmv42MG91c</v>
      </c>
      <c r="AX580" s="76" t="b">
        <v>0</v>
      </c>
      <c r="AY580" s="76"/>
      <c r="AZ580" s="76"/>
      <c r="BA580" s="76" t="b">
        <v>0</v>
      </c>
      <c r="BB580" s="76" t="b">
        <v>1</v>
      </c>
      <c r="BC580" s="76" t="b">
        <v>0</v>
      </c>
      <c r="BD580" s="76" t="b">
        <v>0</v>
      </c>
      <c r="BE580" s="76" t="b">
        <v>0</v>
      </c>
      <c r="BF580" s="76" t="b">
        <v>0</v>
      </c>
      <c r="BG580" s="76" t="b">
        <v>0</v>
      </c>
      <c r="BH580" s="82" t="str">
        <f>HYPERLINK("https://pbs.twimg.com/profile_banners/66441568/1455284850")</f>
        <v>https://pbs.twimg.com/profile_banners/66441568/1455284850</v>
      </c>
      <c r="BI580" s="76"/>
      <c r="BJ580" s="76" t="s">
        <v>14450</v>
      </c>
      <c r="BK580" s="76" t="b">
        <v>0</v>
      </c>
      <c r="BL580" s="76"/>
      <c r="BM580" s="76" t="s">
        <v>66</v>
      </c>
      <c r="BN580" s="76" t="s">
        <v>14452</v>
      </c>
      <c r="BO580" s="82" t="str">
        <f>HYPERLINK("https://twitter.com/sb_osite")</f>
        <v>https://twitter.com/sb_osite</v>
      </c>
      <c r="BP580" s="2"/>
    </row>
    <row r="581" spans="1:68" x14ac:dyDescent="0.25">
      <c r="A581" s="62" t="s">
        <v>719</v>
      </c>
      <c r="B581" s="63"/>
      <c r="C581" s="63"/>
      <c r="D581" s="64"/>
      <c r="E581" s="66"/>
      <c r="F581" s="103" t="str">
        <f>HYPERLINK("https://pbs.twimg.com/profile_images/1554001992053309442/XLJkyqc0_normal.jpg")</f>
        <v>https://pbs.twimg.com/profile_images/1554001992053309442/XLJkyqc0_normal.jpg</v>
      </c>
      <c r="G581" s="63"/>
      <c r="H581" s="67"/>
      <c r="I581" s="68"/>
      <c r="J581" s="68"/>
      <c r="K581" s="67" t="s">
        <v>15030</v>
      </c>
      <c r="L581" s="71"/>
      <c r="M581" s="72"/>
      <c r="N581" s="72"/>
      <c r="O581" s="73"/>
      <c r="P581" s="74"/>
      <c r="Q581" s="74"/>
      <c r="R581" s="87"/>
      <c r="S581" s="87"/>
      <c r="T581" s="87"/>
      <c r="U581" s="87"/>
      <c r="V581" s="48"/>
      <c r="W581" s="48"/>
      <c r="X581" s="48"/>
      <c r="Y581" s="48"/>
      <c r="Z581" s="47"/>
      <c r="AA581" s="69">
        <v>581</v>
      </c>
      <c r="AB581" s="69"/>
      <c r="AC581" s="70"/>
      <c r="AD581" s="76" t="s">
        <v>12309</v>
      </c>
      <c r="AE581" s="80" t="s">
        <v>12773</v>
      </c>
      <c r="AF581" s="76">
        <v>4162</v>
      </c>
      <c r="AG581" s="76">
        <v>2945</v>
      </c>
      <c r="AH581" s="76">
        <v>49403</v>
      </c>
      <c r="AI581" s="76">
        <v>527</v>
      </c>
      <c r="AJ581" s="76">
        <v>50606</v>
      </c>
      <c r="AK581" s="76">
        <v>4444</v>
      </c>
      <c r="AL581" s="76" t="b">
        <v>0</v>
      </c>
      <c r="AM581" s="78">
        <v>40377.595578703702</v>
      </c>
      <c r="AN581" s="76" t="s">
        <v>13149</v>
      </c>
      <c r="AO581" s="76" t="s">
        <v>13752</v>
      </c>
      <c r="AP581" s="76"/>
      <c r="AQ581" s="76"/>
      <c r="AR581" s="76"/>
      <c r="AS581" s="76"/>
      <c r="AT581" s="76"/>
      <c r="AU581" s="76"/>
      <c r="AV581" s="76">
        <v>1.69035243458803E+18</v>
      </c>
      <c r="AW581" s="76"/>
      <c r="AX581" s="76" t="b">
        <v>0</v>
      </c>
      <c r="AY581" s="76"/>
      <c r="AZ581" s="76"/>
      <c r="BA581" s="76" t="b">
        <v>1</v>
      </c>
      <c r="BB581" s="76" t="b">
        <v>1</v>
      </c>
      <c r="BC581" s="76" t="b">
        <v>0</v>
      </c>
      <c r="BD581" s="76" t="b">
        <v>0</v>
      </c>
      <c r="BE581" s="76" t="b">
        <v>1</v>
      </c>
      <c r="BF581" s="76" t="b">
        <v>0</v>
      </c>
      <c r="BG581" s="76" t="b">
        <v>0</v>
      </c>
      <c r="BH581" s="82" t="str">
        <f>HYPERLINK("https://pbs.twimg.com/profile_banners/168141341/1659337898")</f>
        <v>https://pbs.twimg.com/profile_banners/168141341/1659337898</v>
      </c>
      <c r="BI581" s="76"/>
      <c r="BJ581" s="76" t="s">
        <v>14450</v>
      </c>
      <c r="BK581" s="76" t="b">
        <v>0</v>
      </c>
      <c r="BL581" s="76"/>
      <c r="BM581" s="76" t="s">
        <v>66</v>
      </c>
      <c r="BN581" s="76" t="s">
        <v>14452</v>
      </c>
      <c r="BO581" s="82" t="str">
        <f>HYPERLINK("https://twitter.com/rafapm_marbella")</f>
        <v>https://twitter.com/rafapm_marbella</v>
      </c>
      <c r="BP581" s="2"/>
    </row>
    <row r="582" spans="1:68" x14ac:dyDescent="0.25">
      <c r="A582" s="62" t="s">
        <v>949</v>
      </c>
      <c r="B582" s="63"/>
      <c r="C582" s="63"/>
      <c r="D582" s="64"/>
      <c r="E582" s="66"/>
      <c r="F582" s="103" t="str">
        <f>HYPERLINK("https://pbs.twimg.com/profile_images/1234931009986142211/Ud7RtB2Y_normal.jpg")</f>
        <v>https://pbs.twimg.com/profile_images/1234931009986142211/Ud7RtB2Y_normal.jpg</v>
      </c>
      <c r="G582" s="63"/>
      <c r="H582" s="67"/>
      <c r="I582" s="68"/>
      <c r="J582" s="68"/>
      <c r="K582" s="67" t="s">
        <v>15031</v>
      </c>
      <c r="L582" s="71"/>
      <c r="M582" s="72"/>
      <c r="N582" s="72"/>
      <c r="O582" s="73"/>
      <c r="P582" s="74"/>
      <c r="Q582" s="74"/>
      <c r="R582" s="87"/>
      <c r="S582" s="87"/>
      <c r="T582" s="87"/>
      <c r="U582" s="87"/>
      <c r="V582" s="48"/>
      <c r="W582" s="48"/>
      <c r="X582" s="48"/>
      <c r="Y582" s="48"/>
      <c r="Z582" s="47"/>
      <c r="AA582" s="69">
        <v>582</v>
      </c>
      <c r="AB582" s="69"/>
      <c r="AC582" s="70"/>
      <c r="AD582" s="76" t="s">
        <v>12310</v>
      </c>
      <c r="AE582" s="80" t="s">
        <v>12774</v>
      </c>
      <c r="AF582" s="76">
        <v>20500</v>
      </c>
      <c r="AG582" s="76">
        <v>286</v>
      </c>
      <c r="AH582" s="76">
        <v>101193</v>
      </c>
      <c r="AI582" s="76">
        <v>448</v>
      </c>
      <c r="AJ582" s="76">
        <v>5331</v>
      </c>
      <c r="AK582" s="76">
        <v>16052</v>
      </c>
      <c r="AL582" s="76" t="b">
        <v>0</v>
      </c>
      <c r="AM582" s="78">
        <v>42423.703090277777</v>
      </c>
      <c r="AN582" s="76" t="s">
        <v>13150</v>
      </c>
      <c r="AO582" s="76" t="s">
        <v>13753</v>
      </c>
      <c r="AP582" s="82" t="str">
        <f>HYPERLINK("https://t.co/7liuHgrRqf")</f>
        <v>https://t.co/7liuHgrRqf</v>
      </c>
      <c r="AQ582" s="82" t="str">
        <f>HYPERLINK("https://www.businessinsider.es")</f>
        <v>https://www.businessinsider.es</v>
      </c>
      <c r="AR582" s="76" t="s">
        <v>4352</v>
      </c>
      <c r="AS582" s="76"/>
      <c r="AT582" s="76"/>
      <c r="AU582" s="76"/>
      <c r="AV582" s="76">
        <v>1.70727393537554E+18</v>
      </c>
      <c r="AW582" s="82" t="str">
        <f>HYPERLINK("https://t.co/7liuHgrRqf")</f>
        <v>https://t.co/7liuHgrRqf</v>
      </c>
      <c r="AX582" s="76" t="b">
        <v>1</v>
      </c>
      <c r="AY582" s="76"/>
      <c r="AZ582" s="76"/>
      <c r="BA582" s="76" t="b">
        <v>0</v>
      </c>
      <c r="BB582" s="76" t="b">
        <v>1</v>
      </c>
      <c r="BC582" s="76" t="b">
        <v>1</v>
      </c>
      <c r="BD582" s="76" t="b">
        <v>0</v>
      </c>
      <c r="BE582" s="76" t="b">
        <v>1</v>
      </c>
      <c r="BF582" s="76" t="b">
        <v>0</v>
      </c>
      <c r="BG582" s="76" t="b">
        <v>0</v>
      </c>
      <c r="BH582" s="82" t="str">
        <f>HYPERLINK("https://pbs.twimg.com/profile_banners/702174188405178368/1583758542")</f>
        <v>https://pbs.twimg.com/profile_banners/702174188405178368/1583758542</v>
      </c>
      <c r="BI582" s="76"/>
      <c r="BJ582" s="76" t="s">
        <v>14450</v>
      </c>
      <c r="BK582" s="76" t="b">
        <v>0</v>
      </c>
      <c r="BL582" s="76"/>
      <c r="BM582" s="76" t="s">
        <v>65</v>
      </c>
      <c r="BN582" s="76" t="s">
        <v>14452</v>
      </c>
      <c r="BO582" s="82" t="str">
        <f>HYPERLINK("https://twitter.com/biespana")</f>
        <v>https://twitter.com/biespana</v>
      </c>
      <c r="BP582" s="2"/>
    </row>
    <row r="583" spans="1:68" x14ac:dyDescent="0.25">
      <c r="A583" s="62" t="s">
        <v>720</v>
      </c>
      <c r="B583" s="63"/>
      <c r="C583" s="63"/>
      <c r="D583" s="64"/>
      <c r="E583" s="66"/>
      <c r="F583" s="103" t="str">
        <f>HYPERLINK("https://pbs.twimg.com/profile_images/1078298983498432512/XI0LCGW8_normal.jpg")</f>
        <v>https://pbs.twimg.com/profile_images/1078298983498432512/XI0LCGW8_normal.jpg</v>
      </c>
      <c r="G583" s="63"/>
      <c r="H583" s="67"/>
      <c r="I583" s="68"/>
      <c r="J583" s="68"/>
      <c r="K583" s="67" t="s">
        <v>15032</v>
      </c>
      <c r="L583" s="71"/>
      <c r="M583" s="72"/>
      <c r="N583" s="72"/>
      <c r="O583" s="73"/>
      <c r="P583" s="74"/>
      <c r="Q583" s="74"/>
      <c r="R583" s="87"/>
      <c r="S583" s="87"/>
      <c r="T583" s="87"/>
      <c r="U583" s="87"/>
      <c r="V583" s="48"/>
      <c r="W583" s="48"/>
      <c r="X583" s="48"/>
      <c r="Y583" s="48"/>
      <c r="Z583" s="47"/>
      <c r="AA583" s="69">
        <v>583</v>
      </c>
      <c r="AB583" s="69"/>
      <c r="AC583" s="70"/>
      <c r="AD583" s="76" t="s">
        <v>12311</v>
      </c>
      <c r="AE583" s="80" t="s">
        <v>12775</v>
      </c>
      <c r="AF583" s="76">
        <v>1184627</v>
      </c>
      <c r="AG583" s="76">
        <v>372</v>
      </c>
      <c r="AH583" s="76">
        <v>357355</v>
      </c>
      <c r="AI583" s="76">
        <v>1704</v>
      </c>
      <c r="AJ583" s="76">
        <v>6234</v>
      </c>
      <c r="AK583" s="76">
        <v>115083</v>
      </c>
      <c r="AL583" s="76" t="b">
        <v>0</v>
      </c>
      <c r="AM583" s="78">
        <v>40070.02548611111</v>
      </c>
      <c r="AN583" s="76" t="s">
        <v>12902</v>
      </c>
      <c r="AO583" s="76" t="s">
        <v>13754</v>
      </c>
      <c r="AP583" s="82" t="str">
        <f>HYPERLINK("https://t.co/H6CpBNDSCG")</f>
        <v>https://t.co/H6CpBNDSCG</v>
      </c>
      <c r="AQ583" s="82" t="str">
        <f>HYPERLINK("http://www.chapintv.com/programa/telediario")</f>
        <v>http://www.chapintv.com/programa/telediario</v>
      </c>
      <c r="AR583" s="76" t="s">
        <v>14260</v>
      </c>
      <c r="AS583" s="76"/>
      <c r="AT583" s="76"/>
      <c r="AU583" s="76"/>
      <c r="AV583" s="76"/>
      <c r="AW583" s="82" t="str">
        <f>HYPERLINK("https://t.co/H6CpBNDSCG")</f>
        <v>https://t.co/H6CpBNDSCG</v>
      </c>
      <c r="AX583" s="76" t="b">
        <v>1</v>
      </c>
      <c r="AY583" s="76"/>
      <c r="AZ583" s="76"/>
      <c r="BA583" s="76" t="b">
        <v>0</v>
      </c>
      <c r="BB583" s="76" t="b">
        <v>1</v>
      </c>
      <c r="BC583" s="76" t="b">
        <v>0</v>
      </c>
      <c r="BD583" s="76" t="b">
        <v>0</v>
      </c>
      <c r="BE583" s="76" t="b">
        <v>1</v>
      </c>
      <c r="BF583" s="76" t="b">
        <v>0</v>
      </c>
      <c r="BG583" s="76" t="b">
        <v>0</v>
      </c>
      <c r="BH583" s="82" t="str">
        <f>HYPERLINK("https://pbs.twimg.com/profile_banners/74015550/1545921471")</f>
        <v>https://pbs.twimg.com/profile_banners/74015550/1545921471</v>
      </c>
      <c r="BI583" s="76"/>
      <c r="BJ583" s="76" t="s">
        <v>14450</v>
      </c>
      <c r="BK583" s="76" t="b">
        <v>0</v>
      </c>
      <c r="BL583" s="76"/>
      <c r="BM583" s="76" t="s">
        <v>66</v>
      </c>
      <c r="BN583" s="76" t="s">
        <v>14452</v>
      </c>
      <c r="BO583" s="82" t="str">
        <f>HYPERLINK("https://twitter.com/telediariogt")</f>
        <v>https://twitter.com/telediariogt</v>
      </c>
      <c r="BP583" s="2"/>
    </row>
    <row r="584" spans="1:68" x14ac:dyDescent="0.25">
      <c r="A584" s="62" t="s">
        <v>721</v>
      </c>
      <c r="B584" s="63"/>
      <c r="C584" s="63"/>
      <c r="D584" s="64"/>
      <c r="E584" s="66"/>
      <c r="F584" s="103" t="str">
        <f>HYPERLINK("https://pbs.twimg.com/profile_images/1544259782063915008/NWLSKqiw_normal.jpg")</f>
        <v>https://pbs.twimg.com/profile_images/1544259782063915008/NWLSKqiw_normal.jpg</v>
      </c>
      <c r="G584" s="63"/>
      <c r="H584" s="67"/>
      <c r="I584" s="68"/>
      <c r="J584" s="68"/>
      <c r="K584" s="67" t="s">
        <v>15033</v>
      </c>
      <c r="L584" s="71"/>
      <c r="M584" s="72"/>
      <c r="N584" s="72"/>
      <c r="O584" s="73"/>
      <c r="P584" s="74"/>
      <c r="Q584" s="74"/>
      <c r="R584" s="87"/>
      <c r="S584" s="87"/>
      <c r="T584" s="87"/>
      <c r="U584" s="87"/>
      <c r="V584" s="48"/>
      <c r="W584" s="48"/>
      <c r="X584" s="48"/>
      <c r="Y584" s="48"/>
      <c r="Z584" s="47"/>
      <c r="AA584" s="69">
        <v>584</v>
      </c>
      <c r="AB584" s="69"/>
      <c r="AC584" s="70"/>
      <c r="AD584" s="76" t="s">
        <v>12312</v>
      </c>
      <c r="AE584" s="80" t="s">
        <v>12776</v>
      </c>
      <c r="AF584" s="76">
        <v>38</v>
      </c>
      <c r="AG584" s="76">
        <v>27</v>
      </c>
      <c r="AH584" s="76">
        <v>65</v>
      </c>
      <c r="AI584" s="76">
        <v>0</v>
      </c>
      <c r="AJ584" s="76">
        <v>14</v>
      </c>
      <c r="AK584" s="76">
        <v>18</v>
      </c>
      <c r="AL584" s="76" t="b">
        <v>0</v>
      </c>
      <c r="AM584" s="78">
        <v>40009.714456018519</v>
      </c>
      <c r="AN584" s="76" t="s">
        <v>13151</v>
      </c>
      <c r="AO584" s="76" t="s">
        <v>13755</v>
      </c>
      <c r="AP584" s="82" t="str">
        <f>HYPERLINK("https://t.co/S7cMHWLq0V")</f>
        <v>https://t.co/S7cMHWLq0V</v>
      </c>
      <c r="AQ584" s="82" t="str">
        <f>HYPERLINK("https://everest.la")</f>
        <v>https://everest.la</v>
      </c>
      <c r="AR584" s="76" t="s">
        <v>14261</v>
      </c>
      <c r="AS584" s="76"/>
      <c r="AT584" s="76"/>
      <c r="AU584" s="76"/>
      <c r="AV584" s="76"/>
      <c r="AW584" s="82" t="str">
        <f>HYPERLINK("https://t.co/S7cMHWLq0V")</f>
        <v>https://t.co/S7cMHWLq0V</v>
      </c>
      <c r="AX584" s="76" t="b">
        <v>0</v>
      </c>
      <c r="AY584" s="76"/>
      <c r="AZ584" s="76"/>
      <c r="BA584" s="76" t="b">
        <v>0</v>
      </c>
      <c r="BB584" s="76" t="b">
        <v>1</v>
      </c>
      <c r="BC584" s="76" t="b">
        <v>0</v>
      </c>
      <c r="BD584" s="76" t="b">
        <v>0</v>
      </c>
      <c r="BE584" s="76" t="b">
        <v>0</v>
      </c>
      <c r="BF584" s="76" t="b">
        <v>0</v>
      </c>
      <c r="BG584" s="76" t="b">
        <v>0</v>
      </c>
      <c r="BH584" s="82" t="str">
        <f>HYPERLINK("https://pbs.twimg.com/profile_banners/57072817/1497878242")</f>
        <v>https://pbs.twimg.com/profile_banners/57072817/1497878242</v>
      </c>
      <c r="BI584" s="76"/>
      <c r="BJ584" s="76" t="s">
        <v>14450</v>
      </c>
      <c r="BK584" s="76" t="b">
        <v>0</v>
      </c>
      <c r="BL584" s="76"/>
      <c r="BM584" s="76" t="s">
        <v>66</v>
      </c>
      <c r="BN584" s="76" t="s">
        <v>14452</v>
      </c>
      <c r="BO584" s="82" t="str">
        <f>HYPERLINK("https://twitter.com/cyromello")</f>
        <v>https://twitter.com/cyromello</v>
      </c>
      <c r="BP584" s="2"/>
    </row>
    <row r="585" spans="1:68" x14ac:dyDescent="0.25">
      <c r="A585" s="62" t="s">
        <v>722</v>
      </c>
      <c r="B585" s="63"/>
      <c r="C585" s="63"/>
      <c r="D585" s="64"/>
      <c r="E585" s="66"/>
      <c r="F585" s="103" t="str">
        <f>HYPERLINK("https://pbs.twimg.com/profile_images/801995774913548288/XVqQegnz_normal.jpg")</f>
        <v>https://pbs.twimg.com/profile_images/801995774913548288/XVqQegnz_normal.jpg</v>
      </c>
      <c r="G585" s="63"/>
      <c r="H585" s="67"/>
      <c r="I585" s="68"/>
      <c r="J585" s="68"/>
      <c r="K585" s="67" t="s">
        <v>15034</v>
      </c>
      <c r="L585" s="71"/>
      <c r="M585" s="72"/>
      <c r="N585" s="72"/>
      <c r="O585" s="73"/>
      <c r="P585" s="74"/>
      <c r="Q585" s="74"/>
      <c r="R585" s="87"/>
      <c r="S585" s="87"/>
      <c r="T585" s="87"/>
      <c r="U585" s="87"/>
      <c r="V585" s="48"/>
      <c r="W585" s="48"/>
      <c r="X585" s="48"/>
      <c r="Y585" s="48"/>
      <c r="Z585" s="47"/>
      <c r="AA585" s="69">
        <v>585</v>
      </c>
      <c r="AB585" s="69"/>
      <c r="AC585" s="70"/>
      <c r="AD585" s="76" t="s">
        <v>12313</v>
      </c>
      <c r="AE585" s="80" t="s">
        <v>12777</v>
      </c>
      <c r="AF585" s="76">
        <v>1045</v>
      </c>
      <c r="AG585" s="76">
        <v>1092</v>
      </c>
      <c r="AH585" s="76">
        <v>3753</v>
      </c>
      <c r="AI585" s="76">
        <v>52</v>
      </c>
      <c r="AJ585" s="76">
        <v>4346</v>
      </c>
      <c r="AK585" s="76">
        <v>276</v>
      </c>
      <c r="AL585" s="76" t="b">
        <v>0</v>
      </c>
      <c r="AM585" s="78">
        <v>40756.666608796295</v>
      </c>
      <c r="AN585" s="76"/>
      <c r="AO585" s="76" t="s">
        <v>13756</v>
      </c>
      <c r="AP585" s="76"/>
      <c r="AQ585" s="76"/>
      <c r="AR585" s="76"/>
      <c r="AS585" s="76"/>
      <c r="AT585" s="76"/>
      <c r="AU585" s="76"/>
      <c r="AV585" s="76"/>
      <c r="AW585" s="76"/>
      <c r="AX585" s="76" t="b">
        <v>0</v>
      </c>
      <c r="AY585" s="76"/>
      <c r="AZ585" s="76"/>
      <c r="BA585" s="76" t="b">
        <v>0</v>
      </c>
      <c r="BB585" s="76" t="b">
        <v>1</v>
      </c>
      <c r="BC585" s="76" t="b">
        <v>1</v>
      </c>
      <c r="BD585" s="76" t="b">
        <v>0</v>
      </c>
      <c r="BE585" s="76" t="b">
        <v>1</v>
      </c>
      <c r="BF585" s="76" t="b">
        <v>0</v>
      </c>
      <c r="BG585" s="76" t="b">
        <v>0</v>
      </c>
      <c r="BH585" s="82" t="str">
        <f>HYPERLINK("https://pbs.twimg.com/profile_banners/346636216/1480045913")</f>
        <v>https://pbs.twimg.com/profile_banners/346636216/1480045913</v>
      </c>
      <c r="BI585" s="76"/>
      <c r="BJ585" s="76" t="s">
        <v>14450</v>
      </c>
      <c r="BK585" s="76" t="b">
        <v>0</v>
      </c>
      <c r="BL585" s="76"/>
      <c r="BM585" s="76" t="s">
        <v>66</v>
      </c>
      <c r="BN585" s="76" t="s">
        <v>14452</v>
      </c>
      <c r="BO585" s="82" t="str">
        <f>HYPERLINK("https://twitter.com/lucasdtoledo")</f>
        <v>https://twitter.com/lucasdtoledo</v>
      </c>
      <c r="BP585" s="2"/>
    </row>
    <row r="586" spans="1:68" x14ac:dyDescent="0.25">
      <c r="A586" s="62" t="s">
        <v>723</v>
      </c>
      <c r="B586" s="63"/>
      <c r="C586" s="63"/>
      <c r="D586" s="64"/>
      <c r="E586" s="66"/>
      <c r="F586" s="103" t="str">
        <f>HYPERLINK("https://pbs.twimg.com/profile_images/1040079764713820162/vmTouc-L_normal.jpg")</f>
        <v>https://pbs.twimg.com/profile_images/1040079764713820162/vmTouc-L_normal.jpg</v>
      </c>
      <c r="G586" s="63"/>
      <c r="H586" s="67"/>
      <c r="I586" s="68"/>
      <c r="J586" s="68"/>
      <c r="K586" s="67" t="s">
        <v>15035</v>
      </c>
      <c r="L586" s="71"/>
      <c r="M586" s="72"/>
      <c r="N586" s="72"/>
      <c r="O586" s="73"/>
      <c r="P586" s="74"/>
      <c r="Q586" s="74"/>
      <c r="R586" s="87"/>
      <c r="S586" s="87"/>
      <c r="T586" s="87"/>
      <c r="U586" s="87"/>
      <c r="V586" s="48"/>
      <c r="W586" s="48"/>
      <c r="X586" s="48"/>
      <c r="Y586" s="48"/>
      <c r="Z586" s="47"/>
      <c r="AA586" s="69">
        <v>586</v>
      </c>
      <c r="AB586" s="69"/>
      <c r="AC586" s="70"/>
      <c r="AD586" s="76" t="s">
        <v>12314</v>
      </c>
      <c r="AE586" s="80" t="s">
        <v>11648</v>
      </c>
      <c r="AF586" s="76">
        <v>172</v>
      </c>
      <c r="AG586" s="76">
        <v>611</v>
      </c>
      <c r="AH586" s="76">
        <v>3049</v>
      </c>
      <c r="AI586" s="76">
        <v>0</v>
      </c>
      <c r="AJ586" s="76">
        <v>2776</v>
      </c>
      <c r="AK586" s="76">
        <v>33</v>
      </c>
      <c r="AL586" s="76" t="b">
        <v>0</v>
      </c>
      <c r="AM586" s="78">
        <v>43356.133136574077</v>
      </c>
      <c r="AN586" s="76" t="s">
        <v>13152</v>
      </c>
      <c r="AO586" s="76" t="s">
        <v>13757</v>
      </c>
      <c r="AP586" s="76"/>
      <c r="AQ586" s="76"/>
      <c r="AR586" s="76"/>
      <c r="AS586" s="76"/>
      <c r="AT586" s="76"/>
      <c r="AU586" s="76"/>
      <c r="AV586" s="76"/>
      <c r="AW586" s="76"/>
      <c r="AX586" s="76" t="b">
        <v>0</v>
      </c>
      <c r="AY586" s="76"/>
      <c r="AZ586" s="76"/>
      <c r="BA586" s="76" t="b">
        <v>0</v>
      </c>
      <c r="BB586" s="76" t="b">
        <v>1</v>
      </c>
      <c r="BC586" s="76" t="b">
        <v>1</v>
      </c>
      <c r="BD586" s="76" t="b">
        <v>0</v>
      </c>
      <c r="BE586" s="76" t="b">
        <v>0</v>
      </c>
      <c r="BF586" s="76" t="b">
        <v>0</v>
      </c>
      <c r="BG586" s="76" t="b">
        <v>0</v>
      </c>
      <c r="BH586" s="76"/>
      <c r="BI586" s="76"/>
      <c r="BJ586" s="76" t="s">
        <v>14450</v>
      </c>
      <c r="BK586" s="76" t="b">
        <v>0</v>
      </c>
      <c r="BL586" s="76"/>
      <c r="BM586" s="76" t="s">
        <v>66</v>
      </c>
      <c r="BN586" s="76" t="s">
        <v>14452</v>
      </c>
      <c r="BO586" s="82" t="str">
        <f>HYPERLINK("https://twitter.com/alejand44877881")</f>
        <v>https://twitter.com/alejand44877881</v>
      </c>
      <c r="BP586" s="2"/>
    </row>
    <row r="587" spans="1:68" x14ac:dyDescent="0.25">
      <c r="A587" s="62" t="s">
        <v>724</v>
      </c>
      <c r="B587" s="63"/>
      <c r="C587" s="63"/>
      <c r="D587" s="64"/>
      <c r="E587" s="66"/>
      <c r="F587" s="103" t="str">
        <f>HYPERLINK("https://pbs.twimg.com/profile_images/1705745729522704384/YNeuUtFP_normal.jpg")</f>
        <v>https://pbs.twimg.com/profile_images/1705745729522704384/YNeuUtFP_normal.jpg</v>
      </c>
      <c r="G587" s="63"/>
      <c r="H587" s="67"/>
      <c r="I587" s="68"/>
      <c r="J587" s="68"/>
      <c r="K587" s="67" t="s">
        <v>15036</v>
      </c>
      <c r="L587" s="71"/>
      <c r="M587" s="72"/>
      <c r="N587" s="72"/>
      <c r="O587" s="73"/>
      <c r="P587" s="74"/>
      <c r="Q587" s="74"/>
      <c r="R587" s="87"/>
      <c r="S587" s="87"/>
      <c r="T587" s="87"/>
      <c r="U587" s="87"/>
      <c r="V587" s="48"/>
      <c r="W587" s="48"/>
      <c r="X587" s="48"/>
      <c r="Y587" s="48"/>
      <c r="Z587" s="47"/>
      <c r="AA587" s="69">
        <v>587</v>
      </c>
      <c r="AB587" s="69"/>
      <c r="AC587" s="70"/>
      <c r="AD587" s="76" t="s">
        <v>12315</v>
      </c>
      <c r="AE587" s="80" t="s">
        <v>11649</v>
      </c>
      <c r="AF587" s="76">
        <v>268</v>
      </c>
      <c r="AG587" s="76">
        <v>4327</v>
      </c>
      <c r="AH587" s="76">
        <v>8196</v>
      </c>
      <c r="AI587" s="76">
        <v>2</v>
      </c>
      <c r="AJ587" s="76">
        <v>8662</v>
      </c>
      <c r="AK587" s="76">
        <v>17</v>
      </c>
      <c r="AL587" s="76" t="b">
        <v>0</v>
      </c>
      <c r="AM587" s="78">
        <v>44385.97488425926</v>
      </c>
      <c r="AN587" s="76"/>
      <c r="AO587" s="76" t="s">
        <v>13758</v>
      </c>
      <c r="AP587" s="76"/>
      <c r="AQ587" s="76"/>
      <c r="AR587" s="76"/>
      <c r="AS587" s="76"/>
      <c r="AT587" s="76"/>
      <c r="AU587" s="76"/>
      <c r="AV587" s="76"/>
      <c r="AW587" s="76"/>
      <c r="AX587" s="76" t="b">
        <v>0</v>
      </c>
      <c r="AY587" s="76"/>
      <c r="AZ587" s="76"/>
      <c r="BA587" s="76" t="b">
        <v>0</v>
      </c>
      <c r="BB587" s="76" t="b">
        <v>1</v>
      </c>
      <c r="BC587" s="76" t="b">
        <v>1</v>
      </c>
      <c r="BD587" s="76" t="b">
        <v>0</v>
      </c>
      <c r="BE587" s="76" t="b">
        <v>1</v>
      </c>
      <c r="BF587" s="76" t="b">
        <v>0</v>
      </c>
      <c r="BG587" s="76" t="b">
        <v>0</v>
      </c>
      <c r="BH587" s="82" t="str">
        <f>HYPERLINK("https://pbs.twimg.com/profile_banners/1413277635388530691/1639305321")</f>
        <v>https://pbs.twimg.com/profile_banners/1413277635388530691/1639305321</v>
      </c>
      <c r="BI587" s="76"/>
      <c r="BJ587" s="76" t="s">
        <v>14450</v>
      </c>
      <c r="BK587" s="76" t="b">
        <v>0</v>
      </c>
      <c r="BL587" s="76"/>
      <c r="BM587" s="76" t="s">
        <v>66</v>
      </c>
      <c r="BN587" s="76" t="s">
        <v>14452</v>
      </c>
      <c r="BO587" s="82" t="str">
        <f>HYPERLINK("https://twitter.com/go_nater")</f>
        <v>https://twitter.com/go_nater</v>
      </c>
      <c r="BP587" s="2"/>
    </row>
    <row r="588" spans="1:68" x14ac:dyDescent="0.25">
      <c r="A588" s="62" t="s">
        <v>950</v>
      </c>
      <c r="B588" s="63"/>
      <c r="C588" s="63"/>
      <c r="D588" s="64"/>
      <c r="E588" s="66"/>
      <c r="F588" s="103" t="str">
        <f>HYPERLINK("https://pbs.twimg.com/profile_images/1223618763825864706/dq3NZrL3_normal.jpg")</f>
        <v>https://pbs.twimg.com/profile_images/1223618763825864706/dq3NZrL3_normal.jpg</v>
      </c>
      <c r="G588" s="63"/>
      <c r="H588" s="67"/>
      <c r="I588" s="68"/>
      <c r="J588" s="68"/>
      <c r="K588" s="67" t="s">
        <v>15037</v>
      </c>
      <c r="L588" s="71"/>
      <c r="M588" s="72"/>
      <c r="N588" s="72"/>
      <c r="O588" s="73"/>
      <c r="P588" s="74"/>
      <c r="Q588" s="74"/>
      <c r="R588" s="87"/>
      <c r="S588" s="87"/>
      <c r="T588" s="87"/>
      <c r="U588" s="87"/>
      <c r="V588" s="48"/>
      <c r="W588" s="48"/>
      <c r="X588" s="48"/>
      <c r="Y588" s="48"/>
      <c r="Z588" s="47"/>
      <c r="AA588" s="69">
        <v>588</v>
      </c>
      <c r="AB588" s="69"/>
      <c r="AC588" s="70"/>
      <c r="AD588" s="76" t="s">
        <v>12316</v>
      </c>
      <c r="AE588" s="80" t="s">
        <v>12778</v>
      </c>
      <c r="AF588" s="76">
        <v>3134</v>
      </c>
      <c r="AG588" s="76">
        <v>183</v>
      </c>
      <c r="AH588" s="76">
        <v>745</v>
      </c>
      <c r="AI588" s="76">
        <v>0</v>
      </c>
      <c r="AJ588" s="76">
        <v>222</v>
      </c>
      <c r="AK588" s="76">
        <v>404</v>
      </c>
      <c r="AL588" s="76" t="b">
        <v>0</v>
      </c>
      <c r="AM588" s="78">
        <v>42186.609733796293</v>
      </c>
      <c r="AN588" s="76" t="s">
        <v>7771</v>
      </c>
      <c r="AO588" s="76" t="s">
        <v>13759</v>
      </c>
      <c r="AP588" s="82" t="str">
        <f>HYPERLINK("http://t.co/skvey0g60T")</f>
        <v>http://t.co/skvey0g60T</v>
      </c>
      <c r="AQ588" s="82" t="str">
        <f>HYPERLINK("http://www.ajegroup.com")</f>
        <v>http://www.ajegroup.com</v>
      </c>
      <c r="AR588" s="76" t="s">
        <v>14262</v>
      </c>
      <c r="AS588" s="76"/>
      <c r="AT588" s="76"/>
      <c r="AU588" s="76"/>
      <c r="AV588" s="76">
        <v>1.2410233155205399E+18</v>
      </c>
      <c r="AW588" s="82" t="str">
        <f>HYPERLINK("http://t.co/skvey0g60T")</f>
        <v>http://t.co/skvey0g60T</v>
      </c>
      <c r="AX588" s="76" t="b">
        <v>0</v>
      </c>
      <c r="AY588" s="76"/>
      <c r="AZ588" s="76"/>
      <c r="BA588" s="76" t="b">
        <v>1</v>
      </c>
      <c r="BB588" s="76" t="b">
        <v>0</v>
      </c>
      <c r="BC588" s="76" t="b">
        <v>0</v>
      </c>
      <c r="BD588" s="76" t="b">
        <v>0</v>
      </c>
      <c r="BE588" s="76" t="b">
        <v>0</v>
      </c>
      <c r="BF588" s="76" t="b">
        <v>0</v>
      </c>
      <c r="BG588" s="76" t="b">
        <v>0</v>
      </c>
      <c r="BH588" s="82" t="str">
        <f>HYPERLINK("https://pbs.twimg.com/profile_banners/3353192079/1614111450")</f>
        <v>https://pbs.twimg.com/profile_banners/3353192079/1614111450</v>
      </c>
      <c r="BI588" s="76"/>
      <c r="BJ588" s="76" t="s">
        <v>14450</v>
      </c>
      <c r="BK588" s="76" t="b">
        <v>0</v>
      </c>
      <c r="BL588" s="76"/>
      <c r="BM588" s="76" t="s">
        <v>65</v>
      </c>
      <c r="BN588" s="76" t="s">
        <v>14452</v>
      </c>
      <c r="BO588" s="82" t="str">
        <f>HYPERLINK("https://twitter.com/grupoaje")</f>
        <v>https://twitter.com/grupoaje</v>
      </c>
      <c r="BP588" s="2"/>
    </row>
    <row r="589" spans="1:68" x14ac:dyDescent="0.25">
      <c r="A589" s="62" t="s">
        <v>725</v>
      </c>
      <c r="B589" s="63"/>
      <c r="C589" s="63"/>
      <c r="D589" s="64"/>
      <c r="E589" s="66"/>
      <c r="F589" s="103" t="str">
        <f>HYPERLINK("https://pbs.twimg.com/profile_images/1632846679635374080/GWgUnwZ5_normal.jpg")</f>
        <v>https://pbs.twimg.com/profile_images/1632846679635374080/GWgUnwZ5_normal.jpg</v>
      </c>
      <c r="G589" s="63"/>
      <c r="H589" s="67"/>
      <c r="I589" s="68"/>
      <c r="J589" s="68"/>
      <c r="K589" s="67" t="s">
        <v>15038</v>
      </c>
      <c r="L589" s="71"/>
      <c r="M589" s="72"/>
      <c r="N589" s="72"/>
      <c r="O589" s="73"/>
      <c r="P589" s="74"/>
      <c r="Q589" s="74"/>
      <c r="R589" s="87"/>
      <c r="S589" s="87"/>
      <c r="T589" s="87"/>
      <c r="U589" s="87"/>
      <c r="V589" s="48"/>
      <c r="W589" s="48"/>
      <c r="X589" s="48"/>
      <c r="Y589" s="48"/>
      <c r="Z589" s="47"/>
      <c r="AA589" s="69">
        <v>589</v>
      </c>
      <c r="AB589" s="69"/>
      <c r="AC589" s="70"/>
      <c r="AD589" s="76" t="s">
        <v>12317</v>
      </c>
      <c r="AE589" s="80" t="s">
        <v>11650</v>
      </c>
      <c r="AF589" s="76">
        <v>5</v>
      </c>
      <c r="AG589" s="76">
        <v>16</v>
      </c>
      <c r="AH589" s="76">
        <v>5</v>
      </c>
      <c r="AI589" s="76">
        <v>0</v>
      </c>
      <c r="AJ589" s="76">
        <v>30</v>
      </c>
      <c r="AK589" s="76">
        <v>1</v>
      </c>
      <c r="AL589" s="76" t="b">
        <v>0</v>
      </c>
      <c r="AM589" s="78">
        <v>44991.869537037041</v>
      </c>
      <c r="AN589" s="76" t="s">
        <v>7791</v>
      </c>
      <c r="AO589" s="76" t="s">
        <v>13760</v>
      </c>
      <c r="AP589" s="82" t="str">
        <f>HYPERLINK("https://t.co/ZvONKDT5hG")</f>
        <v>https://t.co/ZvONKDT5hG</v>
      </c>
      <c r="AQ589" s="82" t="str">
        <f>HYPERLINK("https://privacy.com.br/@blucasgomes23")</f>
        <v>https://privacy.com.br/@blucasgomes23</v>
      </c>
      <c r="AR589" s="76" t="s">
        <v>14263</v>
      </c>
      <c r="AS589" s="76"/>
      <c r="AT589" s="76"/>
      <c r="AU589" s="76"/>
      <c r="AV589" s="76">
        <v>1.6838857614294799E+18</v>
      </c>
      <c r="AW589" s="82" t="str">
        <f>HYPERLINK("https://t.co/ZvONKDT5hG")</f>
        <v>https://t.co/ZvONKDT5hG</v>
      </c>
      <c r="AX589" s="76" t="b">
        <v>0</v>
      </c>
      <c r="AY589" s="76"/>
      <c r="AZ589" s="76"/>
      <c r="BA589" s="76" t="b">
        <v>0</v>
      </c>
      <c r="BB589" s="76" t="b">
        <v>1</v>
      </c>
      <c r="BC589" s="76" t="b">
        <v>1</v>
      </c>
      <c r="BD589" s="76" t="b">
        <v>0</v>
      </c>
      <c r="BE589" s="76" t="b">
        <v>0</v>
      </c>
      <c r="BF589" s="76" t="b">
        <v>0</v>
      </c>
      <c r="BG589" s="76" t="b">
        <v>0</v>
      </c>
      <c r="BH589" s="76"/>
      <c r="BI589" s="76"/>
      <c r="BJ589" s="76" t="s">
        <v>14450</v>
      </c>
      <c r="BK589" s="76" t="b">
        <v>0</v>
      </c>
      <c r="BL589" s="76"/>
      <c r="BM589" s="76" t="s">
        <v>66</v>
      </c>
      <c r="BN589" s="76" t="s">
        <v>14452</v>
      </c>
      <c r="BO589" s="82" t="str">
        <f>HYPERLINK("https://twitter.com/jumizlukas23")</f>
        <v>https://twitter.com/jumizlukas23</v>
      </c>
      <c r="BP589" s="2"/>
    </row>
    <row r="590" spans="1:68" x14ac:dyDescent="0.25">
      <c r="A590" s="62" t="s">
        <v>726</v>
      </c>
      <c r="B590" s="63"/>
      <c r="C590" s="63"/>
      <c r="D590" s="64"/>
      <c r="E590" s="66"/>
      <c r="F590" s="103" t="str">
        <f>HYPERLINK("https://pbs.twimg.com/profile_images/1173122453477961728/80wT6CVt_normal.jpg")</f>
        <v>https://pbs.twimg.com/profile_images/1173122453477961728/80wT6CVt_normal.jpg</v>
      </c>
      <c r="G590" s="63"/>
      <c r="H590" s="67"/>
      <c r="I590" s="68"/>
      <c r="J590" s="68"/>
      <c r="K590" s="67" t="s">
        <v>15039</v>
      </c>
      <c r="L590" s="71"/>
      <c r="M590" s="72"/>
      <c r="N590" s="72"/>
      <c r="O590" s="73"/>
      <c r="P590" s="74"/>
      <c r="Q590" s="74"/>
      <c r="R590" s="87"/>
      <c r="S590" s="87"/>
      <c r="T590" s="87"/>
      <c r="U590" s="87"/>
      <c r="V590" s="48"/>
      <c r="W590" s="48"/>
      <c r="X590" s="48"/>
      <c r="Y590" s="48"/>
      <c r="Z590" s="47"/>
      <c r="AA590" s="69">
        <v>590</v>
      </c>
      <c r="AB590" s="69"/>
      <c r="AC590" s="70"/>
      <c r="AD590" s="76" t="s">
        <v>12318</v>
      </c>
      <c r="AE590" s="80" t="s">
        <v>12779</v>
      </c>
      <c r="AF590" s="76">
        <v>106</v>
      </c>
      <c r="AG590" s="76">
        <v>452</v>
      </c>
      <c r="AH590" s="76">
        <v>1580</v>
      </c>
      <c r="AI590" s="76">
        <v>1</v>
      </c>
      <c r="AJ590" s="76">
        <v>1845</v>
      </c>
      <c r="AK590" s="76">
        <v>1206</v>
      </c>
      <c r="AL590" s="76" t="b">
        <v>0</v>
      </c>
      <c r="AM590" s="78">
        <v>41155.754247685189</v>
      </c>
      <c r="AN590" s="76" t="s">
        <v>13153</v>
      </c>
      <c r="AO590" s="76" t="s">
        <v>13761</v>
      </c>
      <c r="AP590" s="82" t="str">
        <f>HYPERLINK("https://t.co/b4K7rocADL")</f>
        <v>https://t.co/b4K7rocADL</v>
      </c>
      <c r="AQ590" s="82" t="str">
        <f>HYPERLINK("https://linktr.ee/berth99")</f>
        <v>https://linktr.ee/berth99</v>
      </c>
      <c r="AR590" s="76" t="s">
        <v>14264</v>
      </c>
      <c r="AS590" s="76"/>
      <c r="AT590" s="76"/>
      <c r="AU590" s="76"/>
      <c r="AV590" s="76"/>
      <c r="AW590" s="82" t="str">
        <f>HYPERLINK("https://t.co/b4K7rocADL")</f>
        <v>https://t.co/b4K7rocADL</v>
      </c>
      <c r="AX590" s="76" t="b">
        <v>0</v>
      </c>
      <c r="AY590" s="76"/>
      <c r="AZ590" s="76"/>
      <c r="BA590" s="76" t="b">
        <v>0</v>
      </c>
      <c r="BB590" s="76" t="b">
        <v>1</v>
      </c>
      <c r="BC590" s="76" t="b">
        <v>0</v>
      </c>
      <c r="BD590" s="76" t="b">
        <v>0</v>
      </c>
      <c r="BE590" s="76" t="b">
        <v>0</v>
      </c>
      <c r="BF590" s="76" t="b">
        <v>0</v>
      </c>
      <c r="BG590" s="76" t="b">
        <v>0</v>
      </c>
      <c r="BH590" s="82" t="str">
        <f>HYPERLINK("https://pbs.twimg.com/profile_banners/800908256/1694884570")</f>
        <v>https://pbs.twimg.com/profile_banners/800908256/1694884570</v>
      </c>
      <c r="BI590" s="76"/>
      <c r="BJ590" s="76" t="s">
        <v>14450</v>
      </c>
      <c r="BK590" s="76" t="b">
        <v>0</v>
      </c>
      <c r="BL590" s="76"/>
      <c r="BM590" s="76" t="s">
        <v>66</v>
      </c>
      <c r="BN590" s="76" t="s">
        <v>14452</v>
      </c>
      <c r="BO590" s="82" t="str">
        <f>HYPERLINK("https://twitter.com/berth99studio")</f>
        <v>https://twitter.com/berth99studio</v>
      </c>
      <c r="BP590" s="2"/>
    </row>
    <row r="591" spans="1:68" x14ac:dyDescent="0.25">
      <c r="A591" s="62" t="s">
        <v>727</v>
      </c>
      <c r="B591" s="63"/>
      <c r="C591" s="63"/>
      <c r="D591" s="64"/>
      <c r="E591" s="66"/>
      <c r="F591" s="103" t="str">
        <f>HYPERLINK("https://pbs.twimg.com/profile_images/1659706786755096578/hmwDD3V2_normal.jpg")</f>
        <v>https://pbs.twimg.com/profile_images/1659706786755096578/hmwDD3V2_normal.jpg</v>
      </c>
      <c r="G591" s="63"/>
      <c r="H591" s="67"/>
      <c r="I591" s="68"/>
      <c r="J591" s="68"/>
      <c r="K591" s="67" t="s">
        <v>15040</v>
      </c>
      <c r="L591" s="71"/>
      <c r="M591" s="72"/>
      <c r="N591" s="72"/>
      <c r="O591" s="73"/>
      <c r="P591" s="74"/>
      <c r="Q591" s="74"/>
      <c r="R591" s="87"/>
      <c r="S591" s="87"/>
      <c r="T591" s="87"/>
      <c r="U591" s="87"/>
      <c r="V591" s="48"/>
      <c r="W591" s="48"/>
      <c r="X591" s="48"/>
      <c r="Y591" s="48"/>
      <c r="Z591" s="47"/>
      <c r="AA591" s="69">
        <v>591</v>
      </c>
      <c r="AB591" s="69"/>
      <c r="AC591" s="70"/>
      <c r="AD591" s="76" t="s">
        <v>12319</v>
      </c>
      <c r="AE591" s="80" t="s">
        <v>11651</v>
      </c>
      <c r="AF591" s="76">
        <v>3</v>
      </c>
      <c r="AG591" s="76">
        <v>3</v>
      </c>
      <c r="AH591" s="76">
        <v>103</v>
      </c>
      <c r="AI591" s="76">
        <v>0</v>
      </c>
      <c r="AJ591" s="76">
        <v>14</v>
      </c>
      <c r="AK591" s="76">
        <v>94</v>
      </c>
      <c r="AL591" s="76" t="b">
        <v>0</v>
      </c>
      <c r="AM591" s="78">
        <v>44682.870752314811</v>
      </c>
      <c r="AN591" s="76" t="s">
        <v>13154</v>
      </c>
      <c r="AO591" s="76" t="s">
        <v>13762</v>
      </c>
      <c r="AP591" s="82" t="str">
        <f>HYPERLINK("https://t.co/B7WRdcm42x")</f>
        <v>https://t.co/B7WRdcm42x</v>
      </c>
      <c r="AQ591" s="82" t="str">
        <f>HYPERLINK("https://pay.hotmart.com/L75402080D")</f>
        <v>https://pay.hotmart.com/L75402080D</v>
      </c>
      <c r="AR591" s="76" t="s">
        <v>14265</v>
      </c>
      <c r="AS591" s="76"/>
      <c r="AT591" s="76"/>
      <c r="AU591" s="76"/>
      <c r="AV591" s="76"/>
      <c r="AW591" s="82" t="str">
        <f>HYPERLINK("https://t.co/B7WRdcm42x")</f>
        <v>https://t.co/B7WRdcm42x</v>
      </c>
      <c r="AX591" s="76" t="b">
        <v>0</v>
      </c>
      <c r="AY591" s="76"/>
      <c r="AZ591" s="76"/>
      <c r="BA591" s="76" t="b">
        <v>0</v>
      </c>
      <c r="BB591" s="76" t="b">
        <v>1</v>
      </c>
      <c r="BC591" s="76" t="b">
        <v>1</v>
      </c>
      <c r="BD591" s="76" t="b">
        <v>0</v>
      </c>
      <c r="BE591" s="76" t="b">
        <v>0</v>
      </c>
      <c r="BF591" s="76" t="b">
        <v>0</v>
      </c>
      <c r="BG591" s="76" t="b">
        <v>0</v>
      </c>
      <c r="BH591" s="82" t="str">
        <f>HYPERLINK("https://pbs.twimg.com/profile_banners/1520869059130101760/1681495331")</f>
        <v>https://pbs.twimg.com/profile_banners/1520869059130101760/1681495331</v>
      </c>
      <c r="BI591" s="76"/>
      <c r="BJ591" s="76" t="s">
        <v>14450</v>
      </c>
      <c r="BK591" s="76" t="b">
        <v>0</v>
      </c>
      <c r="BL591" s="76"/>
      <c r="BM591" s="76" t="s">
        <v>66</v>
      </c>
      <c r="BN591" s="76" t="s">
        <v>14452</v>
      </c>
      <c r="BO591" s="82" t="str">
        <f>HYPERLINK("https://twitter.com/soudiegooliveir")</f>
        <v>https://twitter.com/soudiegooliveir</v>
      </c>
      <c r="BP591" s="2"/>
    </row>
    <row r="592" spans="1:68" x14ac:dyDescent="0.25">
      <c r="A592" s="62" t="s">
        <v>728</v>
      </c>
      <c r="B592" s="63"/>
      <c r="C592" s="63"/>
      <c r="D592" s="64"/>
      <c r="E592" s="66"/>
      <c r="F592" s="103" t="str">
        <f>HYPERLINK("https://pbs.twimg.com/profile_images/1611355469695574016/mcP4O3bS_normal.jpg")</f>
        <v>https://pbs.twimg.com/profile_images/1611355469695574016/mcP4O3bS_normal.jpg</v>
      </c>
      <c r="G592" s="63"/>
      <c r="H592" s="67"/>
      <c r="I592" s="68"/>
      <c r="J592" s="68"/>
      <c r="K592" s="67" t="s">
        <v>15041</v>
      </c>
      <c r="L592" s="71"/>
      <c r="M592" s="72"/>
      <c r="N592" s="72"/>
      <c r="O592" s="73"/>
      <c r="P592" s="74"/>
      <c r="Q592" s="74"/>
      <c r="R592" s="87"/>
      <c r="S592" s="87"/>
      <c r="T592" s="87"/>
      <c r="U592" s="87"/>
      <c r="V592" s="48"/>
      <c r="W592" s="48"/>
      <c r="X592" s="48"/>
      <c r="Y592" s="48"/>
      <c r="Z592" s="47"/>
      <c r="AA592" s="69">
        <v>592</v>
      </c>
      <c r="AB592" s="69"/>
      <c r="AC592" s="70"/>
      <c r="AD592" s="76" t="s">
        <v>12320</v>
      </c>
      <c r="AE592" s="80" t="s">
        <v>11652</v>
      </c>
      <c r="AF592" s="76">
        <v>319</v>
      </c>
      <c r="AG592" s="76">
        <v>642</v>
      </c>
      <c r="AH592" s="76">
        <v>5277</v>
      </c>
      <c r="AI592" s="76">
        <v>0</v>
      </c>
      <c r="AJ592" s="76">
        <v>4403</v>
      </c>
      <c r="AK592" s="76">
        <v>9</v>
      </c>
      <c r="AL592" s="76" t="b">
        <v>0</v>
      </c>
      <c r="AM592" s="78">
        <v>44867.040243055555</v>
      </c>
      <c r="AN592" s="76" t="s">
        <v>13155</v>
      </c>
      <c r="AO592" s="76"/>
      <c r="AP592" s="76"/>
      <c r="AQ592" s="76"/>
      <c r="AR592" s="76"/>
      <c r="AS592" s="76"/>
      <c r="AT592" s="76"/>
      <c r="AU592" s="76"/>
      <c r="AV592" s="76"/>
      <c r="AW592" s="76"/>
      <c r="AX592" s="76" t="b">
        <v>0</v>
      </c>
      <c r="AY592" s="76"/>
      <c r="AZ592" s="76"/>
      <c r="BA592" s="76" t="b">
        <v>0</v>
      </c>
      <c r="BB592" s="76" t="b">
        <v>1</v>
      </c>
      <c r="BC592" s="76" t="b">
        <v>1</v>
      </c>
      <c r="BD592" s="76" t="b">
        <v>0</v>
      </c>
      <c r="BE592" s="76" t="b">
        <v>1</v>
      </c>
      <c r="BF592" s="76" t="b">
        <v>0</v>
      </c>
      <c r="BG592" s="76" t="b">
        <v>0</v>
      </c>
      <c r="BH592" s="82" t="str">
        <f>HYPERLINK("https://pbs.twimg.com/profile_banners/1587609661959806978/1673011976")</f>
        <v>https://pbs.twimg.com/profile_banners/1587609661959806978/1673011976</v>
      </c>
      <c r="BI592" s="76"/>
      <c r="BJ592" s="76" t="s">
        <v>14450</v>
      </c>
      <c r="BK592" s="76" t="b">
        <v>0</v>
      </c>
      <c r="BL592" s="76"/>
      <c r="BM592" s="76" t="s">
        <v>66</v>
      </c>
      <c r="BN592" s="76" t="s">
        <v>14452</v>
      </c>
      <c r="BO592" s="82" t="str">
        <f>HYPERLINK("https://twitter.com/souza_dis")</f>
        <v>https://twitter.com/souza_dis</v>
      </c>
      <c r="BP592" s="2"/>
    </row>
    <row r="593" spans="1:68" x14ac:dyDescent="0.25">
      <c r="A593" s="62" t="s">
        <v>951</v>
      </c>
      <c r="B593" s="63"/>
      <c r="C593" s="63"/>
      <c r="D593" s="64"/>
      <c r="E593" s="66"/>
      <c r="F593" s="103" t="str">
        <f>HYPERLINK("https://pbs.twimg.com/profile_images/1595125361376903168/rSU9q2jI_normal.jpg")</f>
        <v>https://pbs.twimg.com/profile_images/1595125361376903168/rSU9q2jI_normal.jpg</v>
      </c>
      <c r="G593" s="63"/>
      <c r="H593" s="67"/>
      <c r="I593" s="68"/>
      <c r="J593" s="68"/>
      <c r="K593" s="67" t="s">
        <v>15042</v>
      </c>
      <c r="L593" s="71"/>
      <c r="M593" s="72"/>
      <c r="N593" s="72"/>
      <c r="O593" s="73"/>
      <c r="P593" s="74"/>
      <c r="Q593" s="74"/>
      <c r="R593" s="87"/>
      <c r="S593" s="87"/>
      <c r="T593" s="87"/>
      <c r="U593" s="87"/>
      <c r="V593" s="48"/>
      <c r="W593" s="48"/>
      <c r="X593" s="48"/>
      <c r="Y593" s="48"/>
      <c r="Z593" s="47"/>
      <c r="AA593" s="69">
        <v>593</v>
      </c>
      <c r="AB593" s="69"/>
      <c r="AC593" s="70"/>
      <c r="AD593" s="76" t="s">
        <v>12321</v>
      </c>
      <c r="AE593" s="80" t="s">
        <v>11351</v>
      </c>
      <c r="AF593" s="76">
        <v>276818</v>
      </c>
      <c r="AG593" s="76">
        <v>2113</v>
      </c>
      <c r="AH593" s="76">
        <v>67041</v>
      </c>
      <c r="AI593" s="76">
        <v>1119</v>
      </c>
      <c r="AJ593" s="76">
        <v>1589</v>
      </c>
      <c r="AK593" s="76">
        <v>11776</v>
      </c>
      <c r="AL593" s="76" t="b">
        <v>0</v>
      </c>
      <c r="AM593" s="78">
        <v>40442.861446759256</v>
      </c>
      <c r="AN593" s="76"/>
      <c r="AO593" s="76" t="s">
        <v>13763</v>
      </c>
      <c r="AP593" s="82" t="str">
        <f>HYPERLINK("https://t.co/igZuyDIbNw")</f>
        <v>https://t.co/igZuyDIbNw</v>
      </c>
      <c r="AQ593" s="82" t="str">
        <f>HYPERLINK("https://recursoskajuru.carrd.co/")</f>
        <v>https://recursoskajuru.carrd.co/</v>
      </c>
      <c r="AR593" s="76" t="s">
        <v>14266</v>
      </c>
      <c r="AS593" s="76"/>
      <c r="AT593" s="76"/>
      <c r="AU593" s="76"/>
      <c r="AV593" s="76">
        <v>1.6976824945757499E+18</v>
      </c>
      <c r="AW593" s="82" t="str">
        <f>HYPERLINK("https://t.co/igZuyDIbNw")</f>
        <v>https://t.co/igZuyDIbNw</v>
      </c>
      <c r="AX593" s="76" t="b">
        <v>0</v>
      </c>
      <c r="AY593" s="76"/>
      <c r="AZ593" s="76"/>
      <c r="BA593" s="76" t="b">
        <v>0</v>
      </c>
      <c r="BB593" s="76" t="b">
        <v>0</v>
      </c>
      <c r="BC593" s="76" t="b">
        <v>0</v>
      </c>
      <c r="BD593" s="76" t="b">
        <v>0</v>
      </c>
      <c r="BE593" s="76" t="b">
        <v>1</v>
      </c>
      <c r="BF593" s="76" t="b">
        <v>0</v>
      </c>
      <c r="BG593" s="76" t="b">
        <v>0</v>
      </c>
      <c r="BH593" s="82" t="str">
        <f>HYPERLINK("https://pbs.twimg.com/profile_banners/193441509/1680198145")</f>
        <v>https://pbs.twimg.com/profile_banners/193441509/1680198145</v>
      </c>
      <c r="BI593" s="76"/>
      <c r="BJ593" s="76" t="s">
        <v>14450</v>
      </c>
      <c r="BK593" s="76" t="b">
        <v>0</v>
      </c>
      <c r="BL593" s="76"/>
      <c r="BM593" s="76" t="s">
        <v>65</v>
      </c>
      <c r="BN593" s="76" t="s">
        <v>14452</v>
      </c>
      <c r="BO593" s="82" t="str">
        <f>HYPERLINK("https://twitter.com/senadorkajuru")</f>
        <v>https://twitter.com/senadorkajuru</v>
      </c>
      <c r="BP593" s="2"/>
    </row>
    <row r="594" spans="1:68" x14ac:dyDescent="0.25">
      <c r="A594" s="62" t="s">
        <v>729</v>
      </c>
      <c r="B594" s="63"/>
      <c r="C594" s="63"/>
      <c r="D594" s="64"/>
      <c r="E594" s="66"/>
      <c r="F594" s="103" t="str">
        <f>HYPERLINK("https://pbs.twimg.com/profile_images/1384683466835599360/dxojpGw2_normal.jpg")</f>
        <v>https://pbs.twimg.com/profile_images/1384683466835599360/dxojpGw2_normal.jpg</v>
      </c>
      <c r="G594" s="63"/>
      <c r="H594" s="67"/>
      <c r="I594" s="68"/>
      <c r="J594" s="68"/>
      <c r="K594" s="67" t="s">
        <v>15043</v>
      </c>
      <c r="L594" s="71"/>
      <c r="M594" s="72"/>
      <c r="N594" s="72"/>
      <c r="O594" s="73"/>
      <c r="P594" s="74"/>
      <c r="Q594" s="74"/>
      <c r="R594" s="87"/>
      <c r="S594" s="87"/>
      <c r="T594" s="87"/>
      <c r="U594" s="87"/>
      <c r="V594" s="48"/>
      <c r="W594" s="48"/>
      <c r="X594" s="48"/>
      <c r="Y594" s="48"/>
      <c r="Z594" s="47"/>
      <c r="AA594" s="69">
        <v>594</v>
      </c>
      <c r="AB594" s="69"/>
      <c r="AC594" s="70"/>
      <c r="AD594" s="76" t="s">
        <v>12322</v>
      </c>
      <c r="AE594" s="80" t="s">
        <v>12780</v>
      </c>
      <c r="AF594" s="76">
        <v>107978</v>
      </c>
      <c r="AG594" s="76">
        <v>29</v>
      </c>
      <c r="AH594" s="76">
        <v>137183</v>
      </c>
      <c r="AI594" s="76">
        <v>1335</v>
      </c>
      <c r="AJ594" s="76">
        <v>866</v>
      </c>
      <c r="AK594" s="76">
        <v>76126</v>
      </c>
      <c r="AL594" s="76" t="b">
        <v>0</v>
      </c>
      <c r="AM594" s="78">
        <v>39906.722349537034</v>
      </c>
      <c r="AN594" s="76" t="s">
        <v>7767</v>
      </c>
      <c r="AO594" s="76" t="s">
        <v>13764</v>
      </c>
      <c r="AP594" s="82" t="str">
        <f>HYPERLINK("https://t.co/WCB1mvFbxD")</f>
        <v>https://t.co/WCB1mvFbxD</v>
      </c>
      <c r="AQ594" s="82" t="str">
        <f>HYPERLINK("http://www.contralinea.com.mx")</f>
        <v>http://www.contralinea.com.mx</v>
      </c>
      <c r="AR594" s="76" t="s">
        <v>14267</v>
      </c>
      <c r="AS594" s="76"/>
      <c r="AT594" s="76"/>
      <c r="AU594" s="76"/>
      <c r="AV594" s="76">
        <v>1.7057523931602701E+18</v>
      </c>
      <c r="AW594" s="82" t="str">
        <f>HYPERLINK("https://t.co/WCB1mvFbxD")</f>
        <v>https://t.co/WCB1mvFbxD</v>
      </c>
      <c r="AX594" s="76" t="b">
        <v>1</v>
      </c>
      <c r="AY594" s="76"/>
      <c r="AZ594" s="76"/>
      <c r="BA594" s="76" t="b">
        <v>0</v>
      </c>
      <c r="BB594" s="76" t="b">
        <v>1</v>
      </c>
      <c r="BC594" s="76" t="b">
        <v>0</v>
      </c>
      <c r="BD594" s="76" t="b">
        <v>0</v>
      </c>
      <c r="BE594" s="76" t="b">
        <v>1</v>
      </c>
      <c r="BF594" s="76" t="b">
        <v>0</v>
      </c>
      <c r="BG594" s="76" t="b">
        <v>0</v>
      </c>
      <c r="BH594" s="82" t="str">
        <f>HYPERLINK("https://pbs.twimg.com/profile_banners/28608099/1685996969")</f>
        <v>https://pbs.twimg.com/profile_banners/28608099/1685996969</v>
      </c>
      <c r="BI594" s="76"/>
      <c r="BJ594" s="76" t="s">
        <v>14450</v>
      </c>
      <c r="BK594" s="76" t="b">
        <v>0</v>
      </c>
      <c r="BL594" s="76"/>
      <c r="BM594" s="76" t="s">
        <v>66</v>
      </c>
      <c r="BN594" s="76" t="s">
        <v>14452</v>
      </c>
      <c r="BO594" s="82" t="str">
        <f>HYPERLINK("https://twitter.com/contralinea")</f>
        <v>https://twitter.com/contralinea</v>
      </c>
      <c r="BP594" s="2"/>
    </row>
    <row r="595" spans="1:68" x14ac:dyDescent="0.25">
      <c r="A595" s="62" t="s">
        <v>730</v>
      </c>
      <c r="B595" s="63"/>
      <c r="C595" s="63"/>
      <c r="D595" s="64"/>
      <c r="E595" s="66"/>
      <c r="F595" s="103" t="str">
        <f>HYPERLINK("https://pbs.twimg.com/profile_images/1338579001665839106/gs_tm6x5_normal.jpg")</f>
        <v>https://pbs.twimg.com/profile_images/1338579001665839106/gs_tm6x5_normal.jpg</v>
      </c>
      <c r="G595" s="63"/>
      <c r="H595" s="67"/>
      <c r="I595" s="68"/>
      <c r="J595" s="68"/>
      <c r="K595" s="67" t="s">
        <v>15044</v>
      </c>
      <c r="L595" s="71"/>
      <c r="M595" s="72"/>
      <c r="N595" s="72"/>
      <c r="O595" s="73"/>
      <c r="P595" s="74"/>
      <c r="Q595" s="74"/>
      <c r="R595" s="87"/>
      <c r="S595" s="87"/>
      <c r="T595" s="87"/>
      <c r="U595" s="87"/>
      <c r="V595" s="48"/>
      <c r="W595" s="48"/>
      <c r="X595" s="48"/>
      <c r="Y595" s="48"/>
      <c r="Z595" s="47"/>
      <c r="AA595" s="69">
        <v>595</v>
      </c>
      <c r="AB595" s="69"/>
      <c r="AC595" s="70"/>
      <c r="AD595" s="76" t="s">
        <v>12323</v>
      </c>
      <c r="AE595" s="80" t="s">
        <v>12781</v>
      </c>
      <c r="AF595" s="76">
        <v>9206</v>
      </c>
      <c r="AG595" s="76">
        <v>410</v>
      </c>
      <c r="AH595" s="76">
        <v>4511</v>
      </c>
      <c r="AI595" s="76">
        <v>8</v>
      </c>
      <c r="AJ595" s="76">
        <v>871</v>
      </c>
      <c r="AK595" s="76">
        <v>2831</v>
      </c>
      <c r="AL595" s="76" t="b">
        <v>0</v>
      </c>
      <c r="AM595" s="78">
        <v>41933.702060185184</v>
      </c>
      <c r="AN595" s="76" t="s">
        <v>12875</v>
      </c>
      <c r="AO595" s="76" t="s">
        <v>13765</v>
      </c>
      <c r="AP595" s="82" t="str">
        <f>HYPERLINK("https://t.co/egPPsGMTzr")</f>
        <v>https://t.co/egPPsGMTzr</v>
      </c>
      <c r="AQ595" s="82" t="str">
        <f>HYPERLINK("https://wortev.com/")</f>
        <v>https://wortev.com/</v>
      </c>
      <c r="AR595" s="76" t="s">
        <v>14268</v>
      </c>
      <c r="AS595" s="76"/>
      <c r="AT595" s="76"/>
      <c r="AU595" s="76"/>
      <c r="AV595" s="76">
        <v>1.7037859578482099E+18</v>
      </c>
      <c r="AW595" s="82" t="str">
        <f>HYPERLINK("https://t.co/egPPsGMTzr")</f>
        <v>https://t.co/egPPsGMTzr</v>
      </c>
      <c r="AX595" s="76" t="b">
        <v>0</v>
      </c>
      <c r="AY595" s="76"/>
      <c r="AZ595" s="76"/>
      <c r="BA595" s="76" t="b">
        <v>0</v>
      </c>
      <c r="BB595" s="76" t="b">
        <v>1</v>
      </c>
      <c r="BC595" s="76" t="b">
        <v>0</v>
      </c>
      <c r="BD595" s="76" t="b">
        <v>0</v>
      </c>
      <c r="BE595" s="76" t="b">
        <v>0</v>
      </c>
      <c r="BF595" s="76" t="b">
        <v>0</v>
      </c>
      <c r="BG595" s="76" t="b">
        <v>0</v>
      </c>
      <c r="BH595" s="82" t="str">
        <f>HYPERLINK("https://pbs.twimg.com/profile_banners/2840351843/1653059351")</f>
        <v>https://pbs.twimg.com/profile_banners/2840351843/1653059351</v>
      </c>
      <c r="BI595" s="76"/>
      <c r="BJ595" s="76" t="s">
        <v>14450</v>
      </c>
      <c r="BK595" s="76" t="b">
        <v>0</v>
      </c>
      <c r="BL595" s="76"/>
      <c r="BM595" s="76" t="s">
        <v>66</v>
      </c>
      <c r="BN595" s="76" t="s">
        <v>14452</v>
      </c>
      <c r="BO595" s="82" t="str">
        <f>HYPERLINK("https://twitter.com/wortev")</f>
        <v>https://twitter.com/wortev</v>
      </c>
      <c r="BP595" s="2"/>
    </row>
    <row r="596" spans="1:68" x14ac:dyDescent="0.25">
      <c r="A596" s="62" t="s">
        <v>731</v>
      </c>
      <c r="B596" s="63"/>
      <c r="C596" s="63"/>
      <c r="D596" s="64"/>
      <c r="E596" s="66"/>
      <c r="F596" s="103" t="str">
        <f>HYPERLINK("https://pbs.twimg.com/profile_images/1551356657615134723/9j1AiNfd_normal.jpg")</f>
        <v>https://pbs.twimg.com/profile_images/1551356657615134723/9j1AiNfd_normal.jpg</v>
      </c>
      <c r="G596" s="63"/>
      <c r="H596" s="67"/>
      <c r="I596" s="68"/>
      <c r="J596" s="68"/>
      <c r="K596" s="67" t="s">
        <v>15045</v>
      </c>
      <c r="L596" s="71"/>
      <c r="M596" s="72"/>
      <c r="N596" s="72"/>
      <c r="O596" s="73"/>
      <c r="P596" s="74"/>
      <c r="Q596" s="74"/>
      <c r="R596" s="87"/>
      <c r="S596" s="87"/>
      <c r="T596" s="87"/>
      <c r="U596" s="87"/>
      <c r="V596" s="48"/>
      <c r="W596" s="48"/>
      <c r="X596" s="48"/>
      <c r="Y596" s="48"/>
      <c r="Z596" s="47"/>
      <c r="AA596" s="69">
        <v>596</v>
      </c>
      <c r="AB596" s="69"/>
      <c r="AC596" s="70"/>
      <c r="AD596" s="76" t="s">
        <v>12324</v>
      </c>
      <c r="AE596" s="80" t="s">
        <v>12782</v>
      </c>
      <c r="AF596" s="76">
        <v>9472</v>
      </c>
      <c r="AG596" s="76">
        <v>188</v>
      </c>
      <c r="AH596" s="76">
        <v>25119</v>
      </c>
      <c r="AI596" s="76">
        <v>147</v>
      </c>
      <c r="AJ596" s="76">
        <v>916</v>
      </c>
      <c r="AK596" s="76">
        <v>5209</v>
      </c>
      <c r="AL596" s="76" t="b">
        <v>0</v>
      </c>
      <c r="AM596" s="78">
        <v>40584.626331018517</v>
      </c>
      <c r="AN596" s="76" t="s">
        <v>7769</v>
      </c>
      <c r="AO596" s="76" t="s">
        <v>13766</v>
      </c>
      <c r="AP596" s="82" t="str">
        <f>HYPERLINK("https://t.co/NajiPvst3y")</f>
        <v>https://t.co/NajiPvst3y</v>
      </c>
      <c r="AQ596" s="82" t="str">
        <f>HYPERLINK("https://www.asap.com.ve/servicios?utm_source=Twitter&amp;utm_medium=Twitter+organico&amp;utm_campaign=link&amp;u")</f>
        <v>https://www.asap.com.ve/servicios?utm_source=Twitter&amp;utm_medium=Twitter+organico&amp;utm_campaign=link&amp;u</v>
      </c>
      <c r="AR596" s="76" t="s">
        <v>14269</v>
      </c>
      <c r="AS596" s="76"/>
      <c r="AT596" s="76"/>
      <c r="AU596" s="76"/>
      <c r="AV596" s="76">
        <v>1.35459663276403E+18</v>
      </c>
      <c r="AW596" s="82" t="str">
        <f>HYPERLINK("https://t.co/NajiPvst3y")</f>
        <v>https://t.co/NajiPvst3y</v>
      </c>
      <c r="AX596" s="76" t="b">
        <v>0</v>
      </c>
      <c r="AY596" s="76"/>
      <c r="AZ596" s="76"/>
      <c r="BA596" s="76" t="b">
        <v>0</v>
      </c>
      <c r="BB596" s="76" t="b">
        <v>1</v>
      </c>
      <c r="BC596" s="76" t="b">
        <v>0</v>
      </c>
      <c r="BD596" s="76" t="b">
        <v>0</v>
      </c>
      <c r="BE596" s="76" t="b">
        <v>1</v>
      </c>
      <c r="BF596" s="76" t="b">
        <v>0</v>
      </c>
      <c r="BG596" s="76" t="b">
        <v>0</v>
      </c>
      <c r="BH596" s="82" t="str">
        <f>HYPERLINK("https://pbs.twimg.com/profile_banners/250160102/1652904279")</f>
        <v>https://pbs.twimg.com/profile_banners/250160102/1652904279</v>
      </c>
      <c r="BI596" s="76"/>
      <c r="BJ596" s="76" t="s">
        <v>14450</v>
      </c>
      <c r="BK596" s="76" t="b">
        <v>0</v>
      </c>
      <c r="BL596" s="76"/>
      <c r="BM596" s="76" t="s">
        <v>66</v>
      </c>
      <c r="BN596" s="76" t="s">
        <v>14452</v>
      </c>
      <c r="BO596" s="82" t="str">
        <f>HYPERLINK("https://twitter.com/asap_news")</f>
        <v>https://twitter.com/asap_news</v>
      </c>
      <c r="BP596" s="2"/>
    </row>
    <row r="597" spans="1:68" x14ac:dyDescent="0.25">
      <c r="A597" s="62" t="s">
        <v>732</v>
      </c>
      <c r="B597" s="63"/>
      <c r="C597" s="63"/>
      <c r="D597" s="64"/>
      <c r="E597" s="66"/>
      <c r="F597" s="103" t="str">
        <f>HYPERLINK("https://pbs.twimg.com/profile_images/1610260362330267656/FfYm77e2_normal.jpg")</f>
        <v>https://pbs.twimg.com/profile_images/1610260362330267656/FfYm77e2_normal.jpg</v>
      </c>
      <c r="G597" s="63"/>
      <c r="H597" s="67"/>
      <c r="I597" s="68"/>
      <c r="J597" s="68"/>
      <c r="K597" s="67" t="s">
        <v>15046</v>
      </c>
      <c r="L597" s="71"/>
      <c r="M597" s="72"/>
      <c r="N597" s="72"/>
      <c r="O597" s="73"/>
      <c r="P597" s="74"/>
      <c r="Q597" s="74"/>
      <c r="R597" s="87"/>
      <c r="S597" s="87"/>
      <c r="T597" s="87"/>
      <c r="U597" s="87"/>
      <c r="V597" s="48"/>
      <c r="W597" s="48"/>
      <c r="X597" s="48"/>
      <c r="Y597" s="48"/>
      <c r="Z597" s="47"/>
      <c r="AA597" s="69">
        <v>597</v>
      </c>
      <c r="AB597" s="69"/>
      <c r="AC597" s="70"/>
      <c r="AD597" s="76" t="s">
        <v>12325</v>
      </c>
      <c r="AE597" s="80" t="s">
        <v>12783</v>
      </c>
      <c r="AF597" s="76">
        <v>2700</v>
      </c>
      <c r="AG597" s="76">
        <v>143</v>
      </c>
      <c r="AH597" s="76">
        <v>11972</v>
      </c>
      <c r="AI597" s="76">
        <v>26</v>
      </c>
      <c r="AJ597" s="76">
        <v>6008</v>
      </c>
      <c r="AK597" s="76">
        <v>11062</v>
      </c>
      <c r="AL597" s="76" t="b">
        <v>0</v>
      </c>
      <c r="AM597" s="78">
        <v>41732.845312500001</v>
      </c>
      <c r="AN597" s="76" t="s">
        <v>13156</v>
      </c>
      <c r="AO597" s="76" t="s">
        <v>13767</v>
      </c>
      <c r="AP597" s="82" t="str">
        <f>HYPERLINK("https://t.co/oqoMLBWkI6")</f>
        <v>https://t.co/oqoMLBWkI6</v>
      </c>
      <c r="AQ597" s="82" t="str">
        <f>HYPERLINK("http://www.pronavicola.com")</f>
        <v>http://www.pronavicola.com</v>
      </c>
      <c r="AR597" s="76" t="s">
        <v>14270</v>
      </c>
      <c r="AS597" s="76"/>
      <c r="AT597" s="76"/>
      <c r="AU597" s="76"/>
      <c r="AV597" s="76"/>
      <c r="AW597" s="82" t="str">
        <f>HYPERLINK("https://t.co/oqoMLBWkI6")</f>
        <v>https://t.co/oqoMLBWkI6</v>
      </c>
      <c r="AX597" s="76" t="b">
        <v>0</v>
      </c>
      <c r="AY597" s="76"/>
      <c r="AZ597" s="76"/>
      <c r="BA597" s="76" t="b">
        <v>1</v>
      </c>
      <c r="BB597" s="76" t="b">
        <v>1</v>
      </c>
      <c r="BC597" s="76" t="b">
        <v>0</v>
      </c>
      <c r="BD597" s="76" t="b">
        <v>0</v>
      </c>
      <c r="BE597" s="76" t="b">
        <v>1</v>
      </c>
      <c r="BF597" s="76" t="b">
        <v>0</v>
      </c>
      <c r="BG597" s="76" t="b">
        <v>0</v>
      </c>
      <c r="BH597" s="82" t="str">
        <f>HYPERLINK("https://pbs.twimg.com/profile_banners/2426147671/1672750963")</f>
        <v>https://pbs.twimg.com/profile_banners/2426147671/1672750963</v>
      </c>
      <c r="BI597" s="76"/>
      <c r="BJ597" s="76" t="s">
        <v>14450</v>
      </c>
      <c r="BK597" s="76" t="b">
        <v>0</v>
      </c>
      <c r="BL597" s="76"/>
      <c r="BM597" s="76" t="s">
        <v>66</v>
      </c>
      <c r="BN597" s="76" t="s">
        <v>14452</v>
      </c>
      <c r="BO597" s="82" t="str">
        <f>HYPERLINK("https://twitter.com/pronavicolasa")</f>
        <v>https://twitter.com/pronavicolasa</v>
      </c>
      <c r="BP597" s="2"/>
    </row>
    <row r="598" spans="1:68" x14ac:dyDescent="0.25">
      <c r="A598" s="62" t="s">
        <v>733</v>
      </c>
      <c r="B598" s="63"/>
      <c r="C598" s="63"/>
      <c r="D598" s="64"/>
      <c r="E598" s="66"/>
      <c r="F598" s="103" t="str">
        <f>HYPERLINK("https://pbs.twimg.com/profile_images/1318471004658741248/5DqFcM1t_normal.jpg")</f>
        <v>https://pbs.twimg.com/profile_images/1318471004658741248/5DqFcM1t_normal.jpg</v>
      </c>
      <c r="G598" s="63"/>
      <c r="H598" s="67"/>
      <c r="I598" s="68"/>
      <c r="J598" s="68"/>
      <c r="K598" s="67" t="s">
        <v>15047</v>
      </c>
      <c r="L598" s="71"/>
      <c r="M598" s="72"/>
      <c r="N598" s="72"/>
      <c r="O598" s="73"/>
      <c r="P598" s="74"/>
      <c r="Q598" s="74"/>
      <c r="R598" s="87"/>
      <c r="S598" s="87"/>
      <c r="T598" s="87"/>
      <c r="U598" s="87"/>
      <c r="V598" s="48"/>
      <c r="W598" s="48"/>
      <c r="X598" s="48"/>
      <c r="Y598" s="48"/>
      <c r="Z598" s="47"/>
      <c r="AA598" s="69">
        <v>598</v>
      </c>
      <c r="AB598" s="69"/>
      <c r="AC598" s="70"/>
      <c r="AD598" s="76" t="s">
        <v>733</v>
      </c>
      <c r="AE598" s="80" t="s">
        <v>11653</v>
      </c>
      <c r="AF598" s="76">
        <v>66</v>
      </c>
      <c r="AG598" s="76">
        <v>177</v>
      </c>
      <c r="AH598" s="76">
        <v>570</v>
      </c>
      <c r="AI598" s="76">
        <v>0</v>
      </c>
      <c r="AJ598" s="76">
        <v>377</v>
      </c>
      <c r="AK598" s="76">
        <v>269</v>
      </c>
      <c r="AL598" s="76" t="b">
        <v>0</v>
      </c>
      <c r="AM598" s="78">
        <v>44105.709050925929</v>
      </c>
      <c r="AN598" s="76" t="s">
        <v>13157</v>
      </c>
      <c r="AO598" s="76" t="s">
        <v>13768</v>
      </c>
      <c r="AP598" s="82" t="str">
        <f>HYPERLINK("https://t.co/EsOKkGqAkV")</f>
        <v>https://t.co/EsOKkGqAkV</v>
      </c>
      <c r="AQ598" s="82" t="str">
        <f>HYPERLINK("https://www.grupodimolk.com")</f>
        <v>https://www.grupodimolk.com</v>
      </c>
      <c r="AR598" s="76" t="s">
        <v>4329</v>
      </c>
      <c r="AS598" s="76"/>
      <c r="AT598" s="76"/>
      <c r="AU598" s="76"/>
      <c r="AV598" s="76"/>
      <c r="AW598" s="82" t="str">
        <f>HYPERLINK("https://t.co/EsOKkGqAkV")</f>
        <v>https://t.co/EsOKkGqAkV</v>
      </c>
      <c r="AX598" s="76" t="b">
        <v>0</v>
      </c>
      <c r="AY598" s="76"/>
      <c r="AZ598" s="76"/>
      <c r="BA598" s="76" t="b">
        <v>0</v>
      </c>
      <c r="BB598" s="76" t="b">
        <v>1</v>
      </c>
      <c r="BC598" s="76" t="b">
        <v>1</v>
      </c>
      <c r="BD598" s="76" t="b">
        <v>0</v>
      </c>
      <c r="BE598" s="76" t="b">
        <v>0</v>
      </c>
      <c r="BF598" s="76" t="b">
        <v>0</v>
      </c>
      <c r="BG598" s="76" t="b">
        <v>0</v>
      </c>
      <c r="BH598" s="82" t="str">
        <f>HYPERLINK("https://pbs.twimg.com/profile_banners/1311712691061481473/1616664004")</f>
        <v>https://pbs.twimg.com/profile_banners/1311712691061481473/1616664004</v>
      </c>
      <c r="BI598" s="76"/>
      <c r="BJ598" s="76" t="s">
        <v>14450</v>
      </c>
      <c r="BK598" s="76" t="b">
        <v>0</v>
      </c>
      <c r="BL598" s="76"/>
      <c r="BM598" s="76" t="s">
        <v>66</v>
      </c>
      <c r="BN598" s="76" t="s">
        <v>14452</v>
      </c>
      <c r="BO598" s="82" t="str">
        <f>HYPERLINK("https://twitter.com/grupodimolk")</f>
        <v>https://twitter.com/grupodimolk</v>
      </c>
      <c r="BP598" s="2"/>
    </row>
    <row r="599" spans="1:68" x14ac:dyDescent="0.25">
      <c r="A599" s="62" t="s">
        <v>734</v>
      </c>
      <c r="B599" s="63"/>
      <c r="C599" s="63"/>
      <c r="D599" s="64"/>
      <c r="E599" s="66"/>
      <c r="F599" s="103" t="str">
        <f>HYPERLINK("https://pbs.twimg.com/profile_images/1653858971923406849/hWq2I06b_normal.jpg")</f>
        <v>https://pbs.twimg.com/profile_images/1653858971923406849/hWq2I06b_normal.jpg</v>
      </c>
      <c r="G599" s="63"/>
      <c r="H599" s="67"/>
      <c r="I599" s="68"/>
      <c r="J599" s="68"/>
      <c r="K599" s="67" t="s">
        <v>15048</v>
      </c>
      <c r="L599" s="71"/>
      <c r="M599" s="72"/>
      <c r="N599" s="72"/>
      <c r="O599" s="73"/>
      <c r="P599" s="74"/>
      <c r="Q599" s="74"/>
      <c r="R599" s="87"/>
      <c r="S599" s="87"/>
      <c r="T599" s="87"/>
      <c r="U599" s="87"/>
      <c r="V599" s="48"/>
      <c r="W599" s="48"/>
      <c r="X599" s="48"/>
      <c r="Y599" s="48"/>
      <c r="Z599" s="47"/>
      <c r="AA599" s="69">
        <v>599</v>
      </c>
      <c r="AB599" s="69"/>
      <c r="AC599" s="70"/>
      <c r="AD599" s="76" t="s">
        <v>12326</v>
      </c>
      <c r="AE599" s="80" t="s">
        <v>11654</v>
      </c>
      <c r="AF599" s="76">
        <v>0</v>
      </c>
      <c r="AG599" s="76">
        <v>23</v>
      </c>
      <c r="AH599" s="76">
        <v>444</v>
      </c>
      <c r="AI599" s="76">
        <v>0</v>
      </c>
      <c r="AJ599" s="76">
        <v>0</v>
      </c>
      <c r="AK599" s="76">
        <v>0</v>
      </c>
      <c r="AL599" s="76" t="b">
        <v>0</v>
      </c>
      <c r="AM599" s="78">
        <v>45049.852118055554</v>
      </c>
      <c r="AN599" s="76"/>
      <c r="AO599" s="76" t="s">
        <v>13769</v>
      </c>
      <c r="AP599" s="82" t="str">
        <f>HYPERLINK("https://t.co/sCfq0qJ2ga")</f>
        <v>https://t.co/sCfq0qJ2ga</v>
      </c>
      <c r="AQ599" s="82" t="str">
        <f>HYPERLINK("http://flouds.com.br")</f>
        <v>http://flouds.com.br</v>
      </c>
      <c r="AR599" s="76" t="s">
        <v>14271</v>
      </c>
      <c r="AS599" s="76"/>
      <c r="AT599" s="76"/>
      <c r="AU599" s="76"/>
      <c r="AV599" s="76"/>
      <c r="AW599" s="82" t="str">
        <f>HYPERLINK("https://t.co/sCfq0qJ2ga")</f>
        <v>https://t.co/sCfq0qJ2ga</v>
      </c>
      <c r="AX599" s="76" t="b">
        <v>0</v>
      </c>
      <c r="AY599" s="76"/>
      <c r="AZ599" s="76"/>
      <c r="BA599" s="76" t="b">
        <v>0</v>
      </c>
      <c r="BB599" s="76" t="b">
        <v>1</v>
      </c>
      <c r="BC599" s="76" t="b">
        <v>1</v>
      </c>
      <c r="BD599" s="76" t="b">
        <v>0</v>
      </c>
      <c r="BE599" s="76" t="b">
        <v>0</v>
      </c>
      <c r="BF599" s="76" t="b">
        <v>0</v>
      </c>
      <c r="BG599" s="76" t="b">
        <v>0</v>
      </c>
      <c r="BH599" s="82" t="str">
        <f>HYPERLINK("https://pbs.twimg.com/profile_banners/1653858032764190728/1683147186")</f>
        <v>https://pbs.twimg.com/profile_banners/1653858032764190728/1683147186</v>
      </c>
      <c r="BI599" s="76"/>
      <c r="BJ599" s="76" t="s">
        <v>14450</v>
      </c>
      <c r="BK599" s="76" t="b">
        <v>0</v>
      </c>
      <c r="BL599" s="76"/>
      <c r="BM599" s="76" t="s">
        <v>66</v>
      </c>
      <c r="BN599" s="76" t="s">
        <v>14452</v>
      </c>
      <c r="BO599" s="82" t="str">
        <f>HYPERLINK("https://twitter.com/flouds_")</f>
        <v>https://twitter.com/flouds_</v>
      </c>
      <c r="BP599" s="2"/>
    </row>
    <row r="600" spans="1:68" x14ac:dyDescent="0.25">
      <c r="A600" s="62" t="s">
        <v>735</v>
      </c>
      <c r="B600" s="63"/>
      <c r="C600" s="63"/>
      <c r="D600" s="64"/>
      <c r="E600" s="66"/>
      <c r="F600" s="103" t="str">
        <f>HYPERLINK("https://pbs.twimg.com/profile_images/1610733156574822400/vZ7fxaVJ_normal.jpg")</f>
        <v>https://pbs.twimg.com/profile_images/1610733156574822400/vZ7fxaVJ_normal.jpg</v>
      </c>
      <c r="G600" s="63"/>
      <c r="H600" s="67"/>
      <c r="I600" s="68"/>
      <c r="J600" s="68"/>
      <c r="K600" s="67" t="s">
        <v>15049</v>
      </c>
      <c r="L600" s="71"/>
      <c r="M600" s="72"/>
      <c r="N600" s="72"/>
      <c r="O600" s="73"/>
      <c r="P600" s="74"/>
      <c r="Q600" s="74"/>
      <c r="R600" s="87"/>
      <c r="S600" s="87"/>
      <c r="T600" s="87"/>
      <c r="U600" s="87"/>
      <c r="V600" s="48"/>
      <c r="W600" s="48"/>
      <c r="X600" s="48"/>
      <c r="Y600" s="48"/>
      <c r="Z600" s="47"/>
      <c r="AA600" s="69">
        <v>600</v>
      </c>
      <c r="AB600" s="69"/>
      <c r="AC600" s="70"/>
      <c r="AD600" s="76" t="s">
        <v>12327</v>
      </c>
      <c r="AE600" s="80" t="s">
        <v>12784</v>
      </c>
      <c r="AF600" s="76">
        <v>267</v>
      </c>
      <c r="AG600" s="76">
        <v>680</v>
      </c>
      <c r="AH600" s="76">
        <v>4939</v>
      </c>
      <c r="AI600" s="76">
        <v>2</v>
      </c>
      <c r="AJ600" s="76">
        <v>26</v>
      </c>
      <c r="AK600" s="76">
        <v>4520</v>
      </c>
      <c r="AL600" s="76" t="b">
        <v>0</v>
      </c>
      <c r="AM600" s="78">
        <v>41064.72278935185</v>
      </c>
      <c r="AN600" s="76" t="s">
        <v>13158</v>
      </c>
      <c r="AO600" s="76" t="s">
        <v>13770</v>
      </c>
      <c r="AP600" s="82" t="str">
        <f>HYPERLINK("https://t.co/0z8rJ4obTu")</f>
        <v>https://t.co/0z8rJ4obTu</v>
      </c>
      <c r="AQ600" s="82" t="str">
        <f>HYPERLINK("https://www.miscorpsa.com/")</f>
        <v>https://www.miscorpsa.com/</v>
      </c>
      <c r="AR600" s="76" t="s">
        <v>4330</v>
      </c>
      <c r="AS600" s="82" t="str">
        <f>HYPERLINK("https://t.co/jwYXiwvKPg")</f>
        <v>https://t.co/jwYXiwvKPg</v>
      </c>
      <c r="AT600" s="82" t="str">
        <f>HYPERLINK("http://miscorpsa.com")</f>
        <v>http://miscorpsa.com</v>
      </c>
      <c r="AU600" s="76" t="s">
        <v>4330</v>
      </c>
      <c r="AV600" s="76"/>
      <c r="AW600" s="82" t="str">
        <f>HYPERLINK("https://t.co/0z8rJ4obTu")</f>
        <v>https://t.co/0z8rJ4obTu</v>
      </c>
      <c r="AX600" s="76" t="b">
        <v>0</v>
      </c>
      <c r="AY600" s="76"/>
      <c r="AZ600" s="76"/>
      <c r="BA600" s="76" t="b">
        <v>0</v>
      </c>
      <c r="BB600" s="76" t="b">
        <v>1</v>
      </c>
      <c r="BC600" s="76" t="b">
        <v>0</v>
      </c>
      <c r="BD600" s="76" t="b">
        <v>0</v>
      </c>
      <c r="BE600" s="76" t="b">
        <v>1</v>
      </c>
      <c r="BF600" s="76" t="b">
        <v>0</v>
      </c>
      <c r="BG600" s="76" t="b">
        <v>0</v>
      </c>
      <c r="BH600" s="82" t="str">
        <f>HYPERLINK("https://pbs.twimg.com/profile_banners/599412370/1695422459")</f>
        <v>https://pbs.twimg.com/profile_banners/599412370/1695422459</v>
      </c>
      <c r="BI600" s="76"/>
      <c r="BJ600" s="76" t="s">
        <v>14450</v>
      </c>
      <c r="BK600" s="76" t="b">
        <v>0</v>
      </c>
      <c r="BL600" s="76"/>
      <c r="BM600" s="76" t="s">
        <v>66</v>
      </c>
      <c r="BN600" s="76" t="s">
        <v>14452</v>
      </c>
      <c r="BO600" s="82" t="str">
        <f>HYPERLINK("https://twitter.com/agenciamiscorp")</f>
        <v>https://twitter.com/agenciamiscorp</v>
      </c>
      <c r="BP600" s="2"/>
    </row>
    <row r="601" spans="1:68" x14ac:dyDescent="0.25">
      <c r="A601" s="62" t="s">
        <v>736</v>
      </c>
      <c r="B601" s="63"/>
      <c r="C601" s="63"/>
      <c r="D601" s="64"/>
      <c r="E601" s="66"/>
      <c r="F601" s="103" t="str">
        <f>HYPERLINK("https://pbs.twimg.com/profile_images/1268863480247070724/MDFoyVLW_normal.jpg")</f>
        <v>https://pbs.twimg.com/profile_images/1268863480247070724/MDFoyVLW_normal.jpg</v>
      </c>
      <c r="G601" s="63"/>
      <c r="H601" s="67"/>
      <c r="I601" s="68"/>
      <c r="J601" s="68"/>
      <c r="K601" s="67" t="s">
        <v>15050</v>
      </c>
      <c r="L601" s="71"/>
      <c r="M601" s="72"/>
      <c r="N601" s="72"/>
      <c r="O601" s="73"/>
      <c r="P601" s="74"/>
      <c r="Q601" s="74"/>
      <c r="R601" s="87"/>
      <c r="S601" s="87"/>
      <c r="T601" s="87"/>
      <c r="U601" s="87"/>
      <c r="V601" s="48"/>
      <c r="W601" s="48"/>
      <c r="X601" s="48"/>
      <c r="Y601" s="48"/>
      <c r="Z601" s="47"/>
      <c r="AA601" s="69">
        <v>601</v>
      </c>
      <c r="AB601" s="69"/>
      <c r="AC601" s="70"/>
      <c r="AD601" s="76" t="s">
        <v>12328</v>
      </c>
      <c r="AE601" s="80" t="s">
        <v>12785</v>
      </c>
      <c r="AF601" s="76">
        <v>1732</v>
      </c>
      <c r="AG601" s="76">
        <v>348</v>
      </c>
      <c r="AH601" s="76">
        <v>3650</v>
      </c>
      <c r="AI601" s="76">
        <v>41</v>
      </c>
      <c r="AJ601" s="76">
        <v>1382</v>
      </c>
      <c r="AK601" s="76">
        <v>1281</v>
      </c>
      <c r="AL601" s="76" t="b">
        <v>0</v>
      </c>
      <c r="AM601" s="78">
        <v>42130.745358796295</v>
      </c>
      <c r="AN601" s="76" t="s">
        <v>12893</v>
      </c>
      <c r="AO601" s="76" t="s">
        <v>13771</v>
      </c>
      <c r="AP601" s="82" t="str">
        <f>HYPERLINK("http://t.co/6eevqvloQu")</f>
        <v>http://t.co/6eevqvloQu</v>
      </c>
      <c r="AQ601" s="82" t="str">
        <f>HYPERLINK("http://www.consejocoapis.org/")</f>
        <v>http://www.consejocoapis.org/</v>
      </c>
      <c r="AR601" s="76" t="s">
        <v>14272</v>
      </c>
      <c r="AS601" s="82" t="str">
        <f>HYPERLINK("https://t.co/qTKLGxxO0u")</f>
        <v>https://t.co/qTKLGxxO0u</v>
      </c>
      <c r="AT601" s="82" t="str">
        <f>HYPERLINK("https://www.consejocoapis.org/aviso-legal/")</f>
        <v>https://www.consejocoapis.org/aviso-legal/</v>
      </c>
      <c r="AU601" s="76" t="s">
        <v>14441</v>
      </c>
      <c r="AV601" s="76"/>
      <c r="AW601" s="82" t="str">
        <f>HYPERLINK("http://t.co/6eevqvloQu")</f>
        <v>http://t.co/6eevqvloQu</v>
      </c>
      <c r="AX601" s="76" t="b">
        <v>0</v>
      </c>
      <c r="AY601" s="76"/>
      <c r="AZ601" s="76"/>
      <c r="BA601" s="76" t="b">
        <v>0</v>
      </c>
      <c r="BB601" s="76" t="b">
        <v>1</v>
      </c>
      <c r="BC601" s="76" t="b">
        <v>1</v>
      </c>
      <c r="BD601" s="76" t="b">
        <v>0</v>
      </c>
      <c r="BE601" s="76" t="b">
        <v>0</v>
      </c>
      <c r="BF601" s="76" t="b">
        <v>0</v>
      </c>
      <c r="BG601" s="76" t="b">
        <v>0</v>
      </c>
      <c r="BH601" s="82" t="str">
        <f>HYPERLINK("https://pbs.twimg.com/profile_banners/3239151573/1547049950")</f>
        <v>https://pbs.twimg.com/profile_banners/3239151573/1547049950</v>
      </c>
      <c r="BI601" s="76"/>
      <c r="BJ601" s="76" t="s">
        <v>14450</v>
      </c>
      <c r="BK601" s="76" t="b">
        <v>0</v>
      </c>
      <c r="BL601" s="76"/>
      <c r="BM601" s="76" t="s">
        <v>66</v>
      </c>
      <c r="BN601" s="76" t="s">
        <v>14452</v>
      </c>
      <c r="BO601" s="82" t="str">
        <f>HYPERLINK("https://twitter.com/consejocoapi")</f>
        <v>https://twitter.com/consejocoapi</v>
      </c>
      <c r="BP601" s="2"/>
    </row>
    <row r="602" spans="1:68" x14ac:dyDescent="0.25">
      <c r="A602" s="62" t="s">
        <v>737</v>
      </c>
      <c r="B602" s="63"/>
      <c r="C602" s="63"/>
      <c r="D602" s="64"/>
      <c r="E602" s="66"/>
      <c r="F602" s="103" t="str">
        <f>HYPERLINK("https://pbs.twimg.com/profile_images/1537162472531972096/QXuqvUaU_normal.jpg")</f>
        <v>https://pbs.twimg.com/profile_images/1537162472531972096/QXuqvUaU_normal.jpg</v>
      </c>
      <c r="G602" s="63"/>
      <c r="H602" s="67"/>
      <c r="I602" s="68"/>
      <c r="J602" s="68"/>
      <c r="K602" s="67" t="s">
        <v>15051</v>
      </c>
      <c r="L602" s="71"/>
      <c r="M602" s="72"/>
      <c r="N602" s="72"/>
      <c r="O602" s="73"/>
      <c r="P602" s="74"/>
      <c r="Q602" s="74"/>
      <c r="R602" s="87"/>
      <c r="S602" s="87"/>
      <c r="T602" s="87"/>
      <c r="U602" s="87"/>
      <c r="V602" s="48"/>
      <c r="W602" s="48"/>
      <c r="X602" s="48"/>
      <c r="Y602" s="48"/>
      <c r="Z602" s="47"/>
      <c r="AA602" s="69">
        <v>602</v>
      </c>
      <c r="AB602" s="69"/>
      <c r="AC602" s="70"/>
      <c r="AD602" s="76" t="s">
        <v>12329</v>
      </c>
      <c r="AE602" s="80" t="s">
        <v>12786</v>
      </c>
      <c r="AF602" s="76">
        <v>329</v>
      </c>
      <c r="AG602" s="76">
        <v>364</v>
      </c>
      <c r="AH602" s="76">
        <v>1401</v>
      </c>
      <c r="AI602" s="76">
        <v>0</v>
      </c>
      <c r="AJ602" s="76">
        <v>95</v>
      </c>
      <c r="AK602" s="76">
        <v>204</v>
      </c>
      <c r="AL602" s="76" t="b">
        <v>0</v>
      </c>
      <c r="AM602" s="78">
        <v>41092.742256944446</v>
      </c>
      <c r="AN602" s="76" t="s">
        <v>13159</v>
      </c>
      <c r="AO602" s="76" t="s">
        <v>13772</v>
      </c>
      <c r="AP602" s="82" t="str">
        <f>HYPERLINK("https://t.co/DlS3lXnWMn")</f>
        <v>https://t.co/DlS3lXnWMn</v>
      </c>
      <c r="AQ602" s="82" t="str">
        <f>HYPERLINK("http://www.carorico.com")</f>
        <v>http://www.carorico.com</v>
      </c>
      <c r="AR602" s="76" t="s">
        <v>14273</v>
      </c>
      <c r="AS602" s="76"/>
      <c r="AT602" s="76"/>
      <c r="AU602" s="76"/>
      <c r="AV602" s="76"/>
      <c r="AW602" s="82" t="str">
        <f>HYPERLINK("https://t.co/DlS3lXnWMn")</f>
        <v>https://t.co/DlS3lXnWMn</v>
      </c>
      <c r="AX602" s="76" t="b">
        <v>0</v>
      </c>
      <c r="AY602" s="76"/>
      <c r="AZ602" s="76"/>
      <c r="BA602" s="76" t="b">
        <v>0</v>
      </c>
      <c r="BB602" s="76" t="b">
        <v>1</v>
      </c>
      <c r="BC602" s="76" t="b">
        <v>1</v>
      </c>
      <c r="BD602" s="76" t="b">
        <v>0</v>
      </c>
      <c r="BE602" s="76" t="b">
        <v>0</v>
      </c>
      <c r="BF602" s="76" t="b">
        <v>0</v>
      </c>
      <c r="BG602" s="76" t="b">
        <v>0</v>
      </c>
      <c r="BH602" s="82" t="str">
        <f>HYPERLINK("https://pbs.twimg.com/profile_banners/624863944/1655323022")</f>
        <v>https://pbs.twimg.com/profile_banners/624863944/1655323022</v>
      </c>
      <c r="BI602" s="76"/>
      <c r="BJ602" s="76" t="s">
        <v>14450</v>
      </c>
      <c r="BK602" s="76" t="b">
        <v>0</v>
      </c>
      <c r="BL602" s="76"/>
      <c r="BM602" s="76" t="s">
        <v>66</v>
      </c>
      <c r="BN602" s="76" t="s">
        <v>14452</v>
      </c>
      <c r="BO602" s="82" t="str">
        <f>HYPERLINK("https://twitter.com/cricocaro")</f>
        <v>https://twitter.com/cricocaro</v>
      </c>
      <c r="BP602" s="2"/>
    </row>
    <row r="603" spans="1:68" x14ac:dyDescent="0.25">
      <c r="A603" s="62" t="s">
        <v>738</v>
      </c>
      <c r="B603" s="63"/>
      <c r="C603" s="63"/>
      <c r="D603" s="64"/>
      <c r="E603" s="66"/>
      <c r="F603" s="103" t="str">
        <f>HYPERLINK("https://pbs.twimg.com/profile_images/1386772436629311489/ZAD2tMw9_normal.jpg")</f>
        <v>https://pbs.twimg.com/profile_images/1386772436629311489/ZAD2tMw9_normal.jpg</v>
      </c>
      <c r="G603" s="63"/>
      <c r="H603" s="67"/>
      <c r="I603" s="68"/>
      <c r="J603" s="68"/>
      <c r="K603" s="67" t="s">
        <v>15052</v>
      </c>
      <c r="L603" s="71"/>
      <c r="M603" s="72"/>
      <c r="N603" s="72"/>
      <c r="O603" s="73"/>
      <c r="P603" s="74"/>
      <c r="Q603" s="74"/>
      <c r="R603" s="87"/>
      <c r="S603" s="87"/>
      <c r="T603" s="87"/>
      <c r="U603" s="87"/>
      <c r="V603" s="48"/>
      <c r="W603" s="48"/>
      <c r="X603" s="48"/>
      <c r="Y603" s="48"/>
      <c r="Z603" s="47"/>
      <c r="AA603" s="69">
        <v>603</v>
      </c>
      <c r="AB603" s="69"/>
      <c r="AC603" s="70"/>
      <c r="AD603" s="76" t="s">
        <v>12330</v>
      </c>
      <c r="AE603" s="80" t="s">
        <v>12787</v>
      </c>
      <c r="AF603" s="76">
        <v>149</v>
      </c>
      <c r="AG603" s="76">
        <v>65</v>
      </c>
      <c r="AH603" s="76">
        <v>1196</v>
      </c>
      <c r="AI603" s="76">
        <v>3</v>
      </c>
      <c r="AJ603" s="76">
        <v>154</v>
      </c>
      <c r="AK603" s="76">
        <v>815</v>
      </c>
      <c r="AL603" s="76" t="b">
        <v>0</v>
      </c>
      <c r="AM603" s="78">
        <v>40092.067893518521</v>
      </c>
      <c r="AN603" s="76" t="s">
        <v>13160</v>
      </c>
      <c r="AO603" s="76" t="s">
        <v>13773</v>
      </c>
      <c r="AP603" s="82" t="str">
        <f>HYPERLINK("https://t.co/tqbDKQwNms")</f>
        <v>https://t.co/tqbDKQwNms</v>
      </c>
      <c r="AQ603" s="82" t="str">
        <f>HYPERLINK("http://www.youtube.com/FernandoVitolo")</f>
        <v>http://www.youtube.com/FernandoVitolo</v>
      </c>
      <c r="AR603" s="76" t="s">
        <v>14274</v>
      </c>
      <c r="AS603" s="76"/>
      <c r="AT603" s="76"/>
      <c r="AU603" s="76"/>
      <c r="AV603" s="76">
        <v>1.67894361671297E+18</v>
      </c>
      <c r="AW603" s="82" t="str">
        <f>HYPERLINK("https://t.co/tqbDKQwNms")</f>
        <v>https://t.co/tqbDKQwNms</v>
      </c>
      <c r="AX603" s="76" t="b">
        <v>0</v>
      </c>
      <c r="AY603" s="76"/>
      <c r="AZ603" s="76"/>
      <c r="BA603" s="76" t="b">
        <v>0</v>
      </c>
      <c r="BB603" s="76" t="b">
        <v>1</v>
      </c>
      <c r="BC603" s="76" t="b">
        <v>0</v>
      </c>
      <c r="BD603" s="76" t="b">
        <v>0</v>
      </c>
      <c r="BE603" s="76" t="b">
        <v>0</v>
      </c>
      <c r="BF603" s="76" t="b">
        <v>0</v>
      </c>
      <c r="BG603" s="76" t="b">
        <v>0</v>
      </c>
      <c r="BH603" s="82" t="str">
        <f>HYPERLINK("https://pbs.twimg.com/profile_banners/80182692/1655334326")</f>
        <v>https://pbs.twimg.com/profile_banners/80182692/1655334326</v>
      </c>
      <c r="BI603" s="76"/>
      <c r="BJ603" s="76" t="s">
        <v>14450</v>
      </c>
      <c r="BK603" s="76" t="b">
        <v>0</v>
      </c>
      <c r="BL603" s="76"/>
      <c r="BM603" s="76" t="s">
        <v>66</v>
      </c>
      <c r="BN603" s="76" t="s">
        <v>14452</v>
      </c>
      <c r="BO603" s="82" t="str">
        <f>HYPERLINK("https://twitter.com/fernandovitolo")</f>
        <v>https://twitter.com/fernandovitolo</v>
      </c>
      <c r="BP603" s="2"/>
    </row>
    <row r="604" spans="1:68" x14ac:dyDescent="0.25">
      <c r="A604" s="62" t="s">
        <v>952</v>
      </c>
      <c r="B604" s="63"/>
      <c r="C604" s="63"/>
      <c r="D604" s="64"/>
      <c r="E604" s="66"/>
      <c r="F604" s="103" t="str">
        <f>HYPERLINK("https://pbs.twimg.com/profile_images/1309148124267634700/uLJBYurL_normal.jpg")</f>
        <v>https://pbs.twimg.com/profile_images/1309148124267634700/uLJBYurL_normal.jpg</v>
      </c>
      <c r="G604" s="63"/>
      <c r="H604" s="67"/>
      <c r="I604" s="68"/>
      <c r="J604" s="68"/>
      <c r="K604" s="67" t="s">
        <v>15053</v>
      </c>
      <c r="L604" s="71"/>
      <c r="M604" s="72"/>
      <c r="N604" s="72"/>
      <c r="O604" s="73"/>
      <c r="P604" s="74"/>
      <c r="Q604" s="74"/>
      <c r="R604" s="87"/>
      <c r="S604" s="87"/>
      <c r="T604" s="87"/>
      <c r="U604" s="87"/>
      <c r="V604" s="48"/>
      <c r="W604" s="48"/>
      <c r="X604" s="48"/>
      <c r="Y604" s="48"/>
      <c r="Z604" s="47"/>
      <c r="AA604" s="69">
        <v>604</v>
      </c>
      <c r="AB604" s="69"/>
      <c r="AC604" s="70"/>
      <c r="AD604" s="76" t="s">
        <v>12331</v>
      </c>
      <c r="AE604" s="80" t="s">
        <v>12788</v>
      </c>
      <c r="AF604" s="76">
        <v>32509</v>
      </c>
      <c r="AG604" s="76">
        <v>63</v>
      </c>
      <c r="AH604" s="76">
        <v>5794</v>
      </c>
      <c r="AI604" s="76">
        <v>225</v>
      </c>
      <c r="AJ604" s="76">
        <v>518</v>
      </c>
      <c r="AK604" s="76">
        <v>2305</v>
      </c>
      <c r="AL604" s="76" t="b">
        <v>0</v>
      </c>
      <c r="AM604" s="78">
        <v>39955.676979166667</v>
      </c>
      <c r="AN604" s="76" t="s">
        <v>7863</v>
      </c>
      <c r="AO604" s="76" t="s">
        <v>13774</v>
      </c>
      <c r="AP604" s="82" t="str">
        <f>HYPERLINK("https://t.co/ZmFIFKEQhs")</f>
        <v>https://t.co/ZmFIFKEQhs</v>
      </c>
      <c r="AQ604" s="82" t="str">
        <f>HYPERLINK("http://www.herodoto.com.br")</f>
        <v>http://www.herodoto.com.br</v>
      </c>
      <c r="AR604" s="76" t="s">
        <v>14275</v>
      </c>
      <c r="AS604" s="82" t="str">
        <f>HYPERLINK("https://t.co/lQZZErjr4H")</f>
        <v>https://t.co/lQZZErjr4H</v>
      </c>
      <c r="AT604" s="82" t="str">
        <f>HYPERLINK("http://youtube.com/c/pordentrodam")</f>
        <v>http://youtube.com/c/pordentrodam</v>
      </c>
      <c r="AU604" s="76" t="s">
        <v>14442</v>
      </c>
      <c r="AV604" s="76"/>
      <c r="AW604" s="82" t="str">
        <f>HYPERLINK("https://t.co/ZmFIFKEQhs")</f>
        <v>https://t.co/ZmFIFKEQhs</v>
      </c>
      <c r="AX604" s="76" t="b">
        <v>0</v>
      </c>
      <c r="AY604" s="76"/>
      <c r="AZ604" s="76"/>
      <c r="BA604" s="76" t="b">
        <v>0</v>
      </c>
      <c r="BB604" s="76" t="b">
        <v>1</v>
      </c>
      <c r="BC604" s="76" t="b">
        <v>0</v>
      </c>
      <c r="BD604" s="76" t="b">
        <v>0</v>
      </c>
      <c r="BE604" s="76" t="b">
        <v>0</v>
      </c>
      <c r="BF604" s="76" t="b">
        <v>0</v>
      </c>
      <c r="BG604" s="76" t="b">
        <v>0</v>
      </c>
      <c r="BH604" s="82" t="str">
        <f>HYPERLINK("https://pbs.twimg.com/profile_banners/41843161/1600868956")</f>
        <v>https://pbs.twimg.com/profile_banners/41843161/1600868956</v>
      </c>
      <c r="BI604" s="76"/>
      <c r="BJ604" s="76" t="s">
        <v>14450</v>
      </c>
      <c r="BK604" s="76" t="b">
        <v>0</v>
      </c>
      <c r="BL604" s="76"/>
      <c r="BM604" s="76" t="s">
        <v>65</v>
      </c>
      <c r="BN604" s="76" t="s">
        <v>14452</v>
      </c>
      <c r="BO604" s="82" t="str">
        <f>HYPERLINK("https://twitter.com/hbarbeiro")</f>
        <v>https://twitter.com/hbarbeiro</v>
      </c>
      <c r="BP604" s="2"/>
    </row>
    <row r="605" spans="1:68" x14ac:dyDescent="0.25">
      <c r="A605" s="62" t="s">
        <v>739</v>
      </c>
      <c r="B605" s="63"/>
      <c r="C605" s="63"/>
      <c r="D605" s="64"/>
      <c r="E605" s="66"/>
      <c r="F605" s="103" t="str">
        <f>HYPERLINK("https://pbs.twimg.com/profile_images/1477736134348349440/bfS8NFmD_normal.jpg")</f>
        <v>https://pbs.twimg.com/profile_images/1477736134348349440/bfS8NFmD_normal.jpg</v>
      </c>
      <c r="G605" s="63"/>
      <c r="H605" s="67"/>
      <c r="I605" s="68"/>
      <c r="J605" s="68"/>
      <c r="K605" s="67" t="s">
        <v>15054</v>
      </c>
      <c r="L605" s="71"/>
      <c r="M605" s="72"/>
      <c r="N605" s="72"/>
      <c r="O605" s="73"/>
      <c r="P605" s="74"/>
      <c r="Q605" s="74"/>
      <c r="R605" s="87"/>
      <c r="S605" s="87"/>
      <c r="T605" s="87"/>
      <c r="U605" s="87"/>
      <c r="V605" s="48"/>
      <c r="W605" s="48"/>
      <c r="X605" s="48"/>
      <c r="Y605" s="48"/>
      <c r="Z605" s="47"/>
      <c r="AA605" s="69">
        <v>605</v>
      </c>
      <c r="AB605" s="69"/>
      <c r="AC605" s="70"/>
      <c r="AD605" s="76" t="s">
        <v>12332</v>
      </c>
      <c r="AE605" s="80" t="s">
        <v>11655</v>
      </c>
      <c r="AF605" s="76">
        <v>17</v>
      </c>
      <c r="AG605" s="76">
        <v>74</v>
      </c>
      <c r="AH605" s="76">
        <v>142</v>
      </c>
      <c r="AI605" s="76">
        <v>1</v>
      </c>
      <c r="AJ605" s="76">
        <v>1</v>
      </c>
      <c r="AK605" s="76">
        <v>141</v>
      </c>
      <c r="AL605" s="76" t="b">
        <v>0</v>
      </c>
      <c r="AM605" s="78">
        <v>44563.837094907409</v>
      </c>
      <c r="AN605" s="76" t="s">
        <v>7864</v>
      </c>
      <c r="AO605" s="76" t="s">
        <v>13775</v>
      </c>
      <c r="AP605" s="82" t="str">
        <f>HYPERLINK("https://t.co/6ggkDyRjIU")</f>
        <v>https://t.co/6ggkDyRjIU</v>
      </c>
      <c r="AQ605" s="82" t="str">
        <f>HYPERLINK("http://www.ferrendonx.com")</f>
        <v>http://www.ferrendonx.com</v>
      </c>
      <c r="AR605" s="76" t="s">
        <v>14276</v>
      </c>
      <c r="AS605" s="76"/>
      <c r="AT605" s="76"/>
      <c r="AU605" s="76"/>
      <c r="AV605" s="76"/>
      <c r="AW605" s="82" t="str">
        <f>HYPERLINK("https://t.co/6ggkDyRjIU")</f>
        <v>https://t.co/6ggkDyRjIU</v>
      </c>
      <c r="AX605" s="76" t="b">
        <v>0</v>
      </c>
      <c r="AY605" s="76"/>
      <c r="AZ605" s="76"/>
      <c r="BA605" s="76" t="b">
        <v>0</v>
      </c>
      <c r="BB605" s="76" t="b">
        <v>1</v>
      </c>
      <c r="BC605" s="76" t="b">
        <v>1</v>
      </c>
      <c r="BD605" s="76" t="b">
        <v>0</v>
      </c>
      <c r="BE605" s="76" t="b">
        <v>0</v>
      </c>
      <c r="BF605" s="76" t="b">
        <v>0</v>
      </c>
      <c r="BG605" s="76" t="b">
        <v>0</v>
      </c>
      <c r="BH605" s="82" t="str">
        <f>HYPERLINK("https://pbs.twimg.com/profile_banners/1477732744348192774/1641154724")</f>
        <v>https://pbs.twimg.com/profile_banners/1477732744348192774/1641154724</v>
      </c>
      <c r="BI605" s="76"/>
      <c r="BJ605" s="76" t="s">
        <v>14450</v>
      </c>
      <c r="BK605" s="76" t="b">
        <v>0</v>
      </c>
      <c r="BL605" s="76"/>
      <c r="BM605" s="76" t="s">
        <v>66</v>
      </c>
      <c r="BN605" s="76" t="s">
        <v>14452</v>
      </c>
      <c r="BO605" s="82" t="str">
        <f>HYPERLINK("https://twitter.com/ferrendonx")</f>
        <v>https://twitter.com/ferrendonx</v>
      </c>
      <c r="BP605" s="2"/>
    </row>
    <row r="606" spans="1:68" x14ac:dyDescent="0.25">
      <c r="A606" s="62" t="s">
        <v>740</v>
      </c>
      <c r="B606" s="63"/>
      <c r="C606" s="63"/>
      <c r="D606" s="64"/>
      <c r="E606" s="66"/>
      <c r="F606" s="103" t="str">
        <f>HYPERLINK("https://pbs.twimg.com/profile_images/1687684729984696321/HwTVEiX8_normal.jpg")</f>
        <v>https://pbs.twimg.com/profile_images/1687684729984696321/HwTVEiX8_normal.jpg</v>
      </c>
      <c r="G606" s="63"/>
      <c r="H606" s="67"/>
      <c r="I606" s="68"/>
      <c r="J606" s="68"/>
      <c r="K606" s="67" t="s">
        <v>15055</v>
      </c>
      <c r="L606" s="71"/>
      <c r="M606" s="72"/>
      <c r="N606" s="72"/>
      <c r="O606" s="73"/>
      <c r="P606" s="74"/>
      <c r="Q606" s="74"/>
      <c r="R606" s="87"/>
      <c r="S606" s="87"/>
      <c r="T606" s="87"/>
      <c r="U606" s="87"/>
      <c r="V606" s="48"/>
      <c r="W606" s="48"/>
      <c r="X606" s="48"/>
      <c r="Y606" s="48"/>
      <c r="Z606" s="47"/>
      <c r="AA606" s="69">
        <v>606</v>
      </c>
      <c r="AB606" s="69"/>
      <c r="AC606" s="70"/>
      <c r="AD606" s="76" t="s">
        <v>12333</v>
      </c>
      <c r="AE606" s="80" t="s">
        <v>11656</v>
      </c>
      <c r="AF606" s="76">
        <v>516</v>
      </c>
      <c r="AG606" s="76">
        <v>3030</v>
      </c>
      <c r="AH606" s="76">
        <v>3666</v>
      </c>
      <c r="AI606" s="76">
        <v>3</v>
      </c>
      <c r="AJ606" s="76">
        <v>1946</v>
      </c>
      <c r="AK606" s="76">
        <v>1487</v>
      </c>
      <c r="AL606" s="76" t="b">
        <v>0</v>
      </c>
      <c r="AM606" s="78">
        <v>44720.928055555552</v>
      </c>
      <c r="AN606" s="76" t="s">
        <v>13161</v>
      </c>
      <c r="AO606" s="76" t="s">
        <v>13776</v>
      </c>
      <c r="AP606" s="82" t="str">
        <f>HYPERLINK("https://t.co/eZ8tW2K7U6")</f>
        <v>https://t.co/eZ8tW2K7U6</v>
      </c>
      <c r="AQ606" s="82" t="str">
        <f>HYPERLINK("https://www.facebook.com/consigueloquequieres")</f>
        <v>https://www.facebook.com/consigueloquequieres</v>
      </c>
      <c r="AR606" s="76" t="s">
        <v>14277</v>
      </c>
      <c r="AS606" s="76"/>
      <c r="AT606" s="76"/>
      <c r="AU606" s="76"/>
      <c r="AV606" s="76">
        <v>1.6858186556138501E+18</v>
      </c>
      <c r="AW606" s="82" t="str">
        <f>HYPERLINK("https://t.co/eZ8tW2K7U6")</f>
        <v>https://t.co/eZ8tW2K7U6</v>
      </c>
      <c r="AX606" s="76" t="b">
        <v>0</v>
      </c>
      <c r="AY606" s="76"/>
      <c r="AZ606" s="76"/>
      <c r="BA606" s="76" t="b">
        <v>0</v>
      </c>
      <c r="BB606" s="76" t="b">
        <v>1</v>
      </c>
      <c r="BC606" s="76" t="b">
        <v>1</v>
      </c>
      <c r="BD606" s="76" t="b">
        <v>0</v>
      </c>
      <c r="BE606" s="76" t="b">
        <v>0</v>
      </c>
      <c r="BF606" s="76" t="b">
        <v>0</v>
      </c>
      <c r="BG606" s="76" t="b">
        <v>0</v>
      </c>
      <c r="BH606" s="82" t="str">
        <f>HYPERLINK("https://pbs.twimg.com/profile_banners/1534660362687156224/1691196527")</f>
        <v>https://pbs.twimg.com/profile_banners/1534660362687156224/1691196527</v>
      </c>
      <c r="BI606" s="76"/>
      <c r="BJ606" s="76" t="s">
        <v>14450</v>
      </c>
      <c r="BK606" s="76" t="b">
        <v>0</v>
      </c>
      <c r="BL606" s="76"/>
      <c r="BM606" s="76" t="s">
        <v>66</v>
      </c>
      <c r="BN606" s="76" t="s">
        <v>14452</v>
      </c>
      <c r="BO606" s="82" t="str">
        <f>HYPERLINK("https://twitter.com/loquetemotiva")</f>
        <v>https://twitter.com/loquetemotiva</v>
      </c>
      <c r="BP606" s="2"/>
    </row>
    <row r="607" spans="1:68" x14ac:dyDescent="0.25">
      <c r="A607" s="62" t="s">
        <v>741</v>
      </c>
      <c r="B607" s="63"/>
      <c r="C607" s="63"/>
      <c r="D607" s="64"/>
      <c r="E607" s="66"/>
      <c r="F607" s="103" t="str">
        <f>HYPERLINK("https://pbs.twimg.com/profile_images/853982647739199489/qPyAr9oO_normal.jpg")</f>
        <v>https://pbs.twimg.com/profile_images/853982647739199489/qPyAr9oO_normal.jpg</v>
      </c>
      <c r="G607" s="63"/>
      <c r="H607" s="67"/>
      <c r="I607" s="68"/>
      <c r="J607" s="68"/>
      <c r="K607" s="67" t="s">
        <v>15056</v>
      </c>
      <c r="L607" s="71"/>
      <c r="M607" s="72"/>
      <c r="N607" s="72"/>
      <c r="O607" s="73"/>
      <c r="P607" s="74"/>
      <c r="Q607" s="74"/>
      <c r="R607" s="87"/>
      <c r="S607" s="87"/>
      <c r="T607" s="87"/>
      <c r="U607" s="87"/>
      <c r="V607" s="48"/>
      <c r="W607" s="48"/>
      <c r="X607" s="48"/>
      <c r="Y607" s="48"/>
      <c r="Z607" s="47"/>
      <c r="AA607" s="69">
        <v>607</v>
      </c>
      <c r="AB607" s="69"/>
      <c r="AC607" s="70"/>
      <c r="AD607" s="76" t="s">
        <v>12334</v>
      </c>
      <c r="AE607" s="80" t="s">
        <v>12789</v>
      </c>
      <c r="AF607" s="76">
        <v>1137</v>
      </c>
      <c r="AG607" s="76">
        <v>1986</v>
      </c>
      <c r="AH607" s="76">
        <v>11489</v>
      </c>
      <c r="AI607" s="76">
        <v>8</v>
      </c>
      <c r="AJ607" s="76">
        <v>4930</v>
      </c>
      <c r="AK607" s="76">
        <v>807</v>
      </c>
      <c r="AL607" s="76" t="b">
        <v>0</v>
      </c>
      <c r="AM607" s="78">
        <v>40618.574212962965</v>
      </c>
      <c r="AN607" s="76" t="s">
        <v>13162</v>
      </c>
      <c r="AO607" s="76" t="s">
        <v>13777</v>
      </c>
      <c r="AP607" s="82" t="str">
        <f>HYPERLINK("https://t.co/RrzDt4oQzu")</f>
        <v>https://t.co/RrzDt4oQzu</v>
      </c>
      <c r="AQ607" s="82" t="str">
        <f>HYPERLINK("http://abranoticias.com")</f>
        <v>http://abranoticias.com</v>
      </c>
      <c r="AR607" s="76" t="s">
        <v>4332</v>
      </c>
      <c r="AS607" s="76"/>
      <c r="AT607" s="76"/>
      <c r="AU607" s="76"/>
      <c r="AV607" s="76"/>
      <c r="AW607" s="82" t="str">
        <f>HYPERLINK("https://t.co/RrzDt4oQzu")</f>
        <v>https://t.co/RrzDt4oQzu</v>
      </c>
      <c r="AX607" s="76" t="b">
        <v>0</v>
      </c>
      <c r="AY607" s="76"/>
      <c r="AZ607" s="76"/>
      <c r="BA607" s="76" t="b">
        <v>0</v>
      </c>
      <c r="BB607" s="76" t="b">
        <v>1</v>
      </c>
      <c r="BC607" s="76" t="b">
        <v>0</v>
      </c>
      <c r="BD607" s="76" t="b">
        <v>0</v>
      </c>
      <c r="BE607" s="76" t="b">
        <v>0</v>
      </c>
      <c r="BF607" s="76" t="b">
        <v>0</v>
      </c>
      <c r="BG607" s="76" t="b">
        <v>0</v>
      </c>
      <c r="BH607" s="82" t="str">
        <f>HYPERLINK("https://pbs.twimg.com/profile_banners/267190341/1528850872")</f>
        <v>https://pbs.twimg.com/profile_banners/267190341/1528850872</v>
      </c>
      <c r="BI607" s="76"/>
      <c r="BJ607" s="76" t="s">
        <v>14450</v>
      </c>
      <c r="BK607" s="76" t="b">
        <v>0</v>
      </c>
      <c r="BL607" s="76"/>
      <c r="BM607" s="76" t="s">
        <v>66</v>
      </c>
      <c r="BN607" s="76" t="s">
        <v>14452</v>
      </c>
      <c r="BO607" s="82" t="str">
        <f>HYPERLINK("https://twitter.com/abranoticias")</f>
        <v>https://twitter.com/abranoticias</v>
      </c>
      <c r="BP607" s="2"/>
    </row>
    <row r="608" spans="1:68" x14ac:dyDescent="0.25">
      <c r="A608" s="62" t="s">
        <v>742</v>
      </c>
      <c r="B608" s="63"/>
      <c r="C608" s="63"/>
      <c r="D608" s="64"/>
      <c r="E608" s="66"/>
      <c r="F608" s="103" t="str">
        <f>HYPERLINK("https://pbs.twimg.com/profile_images/1236350901188730880/2or74RdP_normal.jpg")</f>
        <v>https://pbs.twimg.com/profile_images/1236350901188730880/2or74RdP_normal.jpg</v>
      </c>
      <c r="G608" s="63"/>
      <c r="H608" s="67"/>
      <c r="I608" s="68"/>
      <c r="J608" s="68"/>
      <c r="K608" s="67" t="s">
        <v>15057</v>
      </c>
      <c r="L608" s="71"/>
      <c r="M608" s="72"/>
      <c r="N608" s="72"/>
      <c r="O608" s="73"/>
      <c r="P608" s="74"/>
      <c r="Q608" s="74"/>
      <c r="R608" s="87"/>
      <c r="S608" s="87"/>
      <c r="T608" s="87"/>
      <c r="U608" s="87"/>
      <c r="V608" s="48"/>
      <c r="W608" s="48"/>
      <c r="X608" s="48"/>
      <c r="Y608" s="48"/>
      <c r="Z608" s="47"/>
      <c r="AA608" s="69">
        <v>608</v>
      </c>
      <c r="AB608" s="69"/>
      <c r="AC608" s="70"/>
      <c r="AD608" s="76" t="s">
        <v>12335</v>
      </c>
      <c r="AE608" s="80" t="s">
        <v>11657</v>
      </c>
      <c r="AF608" s="76">
        <v>846</v>
      </c>
      <c r="AG608" s="76">
        <v>490</v>
      </c>
      <c r="AH608" s="76">
        <v>1913</v>
      </c>
      <c r="AI608" s="76">
        <v>0</v>
      </c>
      <c r="AJ608" s="76">
        <v>351</v>
      </c>
      <c r="AK608" s="76">
        <v>1141</v>
      </c>
      <c r="AL608" s="76" t="b">
        <v>0</v>
      </c>
      <c r="AM608" s="78">
        <v>43897.748692129629</v>
      </c>
      <c r="AN608" s="76" t="s">
        <v>7783</v>
      </c>
      <c r="AO608" s="76" t="s">
        <v>13778</v>
      </c>
      <c r="AP608" s="82" t="str">
        <f>HYPERLINK("https://t.co/uFfd3VMgRr")</f>
        <v>https://t.co/uFfd3VMgRr</v>
      </c>
      <c r="AQ608" s="82" t="str">
        <f>HYPERLINK("http://ideasycontenidos.uy")</f>
        <v>http://ideasycontenidos.uy</v>
      </c>
      <c r="AR608" s="76" t="s">
        <v>14278</v>
      </c>
      <c r="AS608" s="76"/>
      <c r="AT608" s="76"/>
      <c r="AU608" s="76"/>
      <c r="AV608" s="76">
        <v>1.5127690917774001E+18</v>
      </c>
      <c r="AW608" s="82" t="str">
        <f>HYPERLINK("https://t.co/uFfd3VMgRr")</f>
        <v>https://t.co/uFfd3VMgRr</v>
      </c>
      <c r="AX608" s="76" t="b">
        <v>0</v>
      </c>
      <c r="AY608" s="76"/>
      <c r="AZ608" s="76"/>
      <c r="BA608" s="76" t="b">
        <v>1</v>
      </c>
      <c r="BB608" s="76" t="b">
        <v>1</v>
      </c>
      <c r="BC608" s="76" t="b">
        <v>1</v>
      </c>
      <c r="BD608" s="76" t="b">
        <v>0</v>
      </c>
      <c r="BE608" s="76" t="b">
        <v>0</v>
      </c>
      <c r="BF608" s="76" t="b">
        <v>0</v>
      </c>
      <c r="BG608" s="76" t="b">
        <v>0</v>
      </c>
      <c r="BH608" s="82" t="str">
        <f>HYPERLINK("https://pbs.twimg.com/profile_banners/1236350378679164929/1583609654")</f>
        <v>https://pbs.twimg.com/profile_banners/1236350378679164929/1583609654</v>
      </c>
      <c r="BI608" s="76"/>
      <c r="BJ608" s="76" t="s">
        <v>14450</v>
      </c>
      <c r="BK608" s="76" t="b">
        <v>0</v>
      </c>
      <c r="BL608" s="76"/>
      <c r="BM608" s="76" t="s">
        <v>66</v>
      </c>
      <c r="BN608" s="76" t="s">
        <v>14452</v>
      </c>
      <c r="BO608" s="82" t="str">
        <f>HYPERLINK("https://twitter.com/contenidos_y")</f>
        <v>https://twitter.com/contenidos_y</v>
      </c>
      <c r="BP608" s="2"/>
    </row>
    <row r="609" spans="1:68" x14ac:dyDescent="0.25">
      <c r="A609" s="62" t="s">
        <v>743</v>
      </c>
      <c r="B609" s="63"/>
      <c r="C609" s="63"/>
      <c r="D609" s="64"/>
      <c r="E609" s="66"/>
      <c r="F609" s="103" t="str">
        <f>HYPERLINK("https://pbs.twimg.com/profile_images/1627495782344495106/za4aRGOK_normal.jpg")</f>
        <v>https://pbs.twimg.com/profile_images/1627495782344495106/za4aRGOK_normal.jpg</v>
      </c>
      <c r="G609" s="63"/>
      <c r="H609" s="67"/>
      <c r="I609" s="68"/>
      <c r="J609" s="68"/>
      <c r="K609" s="67" t="s">
        <v>15058</v>
      </c>
      <c r="L609" s="71"/>
      <c r="M609" s="72"/>
      <c r="N609" s="72"/>
      <c r="O609" s="73"/>
      <c r="P609" s="74"/>
      <c r="Q609" s="74"/>
      <c r="R609" s="87"/>
      <c r="S609" s="87"/>
      <c r="T609" s="87"/>
      <c r="U609" s="87"/>
      <c r="V609" s="48"/>
      <c r="W609" s="48"/>
      <c r="X609" s="48"/>
      <c r="Y609" s="48"/>
      <c r="Z609" s="47"/>
      <c r="AA609" s="69">
        <v>609</v>
      </c>
      <c r="AB609" s="69"/>
      <c r="AC609" s="70"/>
      <c r="AD609" s="76" t="s">
        <v>12336</v>
      </c>
      <c r="AE609" s="80" t="s">
        <v>12790</v>
      </c>
      <c r="AF609" s="76">
        <v>29</v>
      </c>
      <c r="AG609" s="76">
        <v>1</v>
      </c>
      <c r="AH609" s="76">
        <v>195</v>
      </c>
      <c r="AI609" s="76">
        <v>0</v>
      </c>
      <c r="AJ609" s="76">
        <v>32</v>
      </c>
      <c r="AK609" s="76">
        <v>168</v>
      </c>
      <c r="AL609" s="76" t="b">
        <v>0</v>
      </c>
      <c r="AM609" s="78">
        <v>41308.904699074075</v>
      </c>
      <c r="AN609" s="76" t="s">
        <v>7765</v>
      </c>
      <c r="AO609" s="76" t="s">
        <v>13779</v>
      </c>
      <c r="AP609" s="82" t="str">
        <f>HYPERLINK("https://t.co/kSNymDYWqR")</f>
        <v>https://t.co/kSNymDYWqR</v>
      </c>
      <c r="AQ609" s="82" t="str">
        <f>HYPERLINK("https://www.instagram.com/sinnafta/")</f>
        <v>https://www.instagram.com/sinnafta/</v>
      </c>
      <c r="AR609" s="76" t="s">
        <v>14279</v>
      </c>
      <c r="AS609" s="76"/>
      <c r="AT609" s="76"/>
      <c r="AU609" s="76"/>
      <c r="AV609" s="76"/>
      <c r="AW609" s="82" t="str">
        <f>HYPERLINK("https://t.co/kSNymDYWqR")</f>
        <v>https://t.co/kSNymDYWqR</v>
      </c>
      <c r="AX609" s="76" t="b">
        <v>0</v>
      </c>
      <c r="AY609" s="76"/>
      <c r="AZ609" s="76"/>
      <c r="BA609" s="76" t="b">
        <v>0</v>
      </c>
      <c r="BB609" s="76" t="b">
        <v>1</v>
      </c>
      <c r="BC609" s="76" t="b">
        <v>0</v>
      </c>
      <c r="BD609" s="76" t="b">
        <v>0</v>
      </c>
      <c r="BE609" s="76" t="b">
        <v>0</v>
      </c>
      <c r="BF609" s="76" t="b">
        <v>0</v>
      </c>
      <c r="BG609" s="76" t="b">
        <v>0</v>
      </c>
      <c r="BH609" s="82" t="str">
        <f>HYPERLINK("https://pbs.twimg.com/profile_banners/1146315194/1691691055")</f>
        <v>https://pbs.twimg.com/profile_banners/1146315194/1691691055</v>
      </c>
      <c r="BI609" s="76"/>
      <c r="BJ609" s="76" t="s">
        <v>14450</v>
      </c>
      <c r="BK609" s="76" t="b">
        <v>0</v>
      </c>
      <c r="BL609" s="76"/>
      <c r="BM609" s="76" t="s">
        <v>66</v>
      </c>
      <c r="BN609" s="76" t="s">
        <v>14452</v>
      </c>
      <c r="BO609" s="82" t="str">
        <f>HYPERLINK("https://twitter.com/sinnafta")</f>
        <v>https://twitter.com/sinnafta</v>
      </c>
      <c r="BP609" s="2"/>
    </row>
    <row r="610" spans="1:68" x14ac:dyDescent="0.25">
      <c r="A610" s="62" t="s">
        <v>744</v>
      </c>
      <c r="B610" s="63"/>
      <c r="C610" s="63"/>
      <c r="D610" s="64"/>
      <c r="E610" s="66"/>
      <c r="F610" s="103" t="str">
        <f>HYPERLINK("https://pbs.twimg.com/profile_images/1483008768791220224/WNXXJsQo_normal.jpg")</f>
        <v>https://pbs.twimg.com/profile_images/1483008768791220224/WNXXJsQo_normal.jpg</v>
      </c>
      <c r="G610" s="63"/>
      <c r="H610" s="67"/>
      <c r="I610" s="68"/>
      <c r="J610" s="68"/>
      <c r="K610" s="67" t="s">
        <v>15059</v>
      </c>
      <c r="L610" s="71"/>
      <c r="M610" s="72"/>
      <c r="N610" s="72"/>
      <c r="O610" s="73"/>
      <c r="P610" s="74"/>
      <c r="Q610" s="74"/>
      <c r="R610" s="87"/>
      <c r="S610" s="87"/>
      <c r="T610" s="87"/>
      <c r="U610" s="87"/>
      <c r="V610" s="48"/>
      <c r="W610" s="48"/>
      <c r="X610" s="48"/>
      <c r="Y610" s="48"/>
      <c r="Z610" s="47"/>
      <c r="AA610" s="69">
        <v>610</v>
      </c>
      <c r="AB610" s="69"/>
      <c r="AC610" s="70"/>
      <c r="AD610" s="76" t="s">
        <v>12337</v>
      </c>
      <c r="AE610" s="80" t="s">
        <v>11658</v>
      </c>
      <c r="AF610" s="76">
        <v>118</v>
      </c>
      <c r="AG610" s="76">
        <v>39</v>
      </c>
      <c r="AH610" s="76">
        <v>3304</v>
      </c>
      <c r="AI610" s="76">
        <v>0</v>
      </c>
      <c r="AJ610" s="76">
        <v>365</v>
      </c>
      <c r="AK610" s="76">
        <v>3282</v>
      </c>
      <c r="AL610" s="76" t="b">
        <v>0</v>
      </c>
      <c r="AM610" s="78">
        <v>44428.36582175926</v>
      </c>
      <c r="AN610" s="76" t="s">
        <v>13163</v>
      </c>
      <c r="AO610" s="76" t="s">
        <v>13780</v>
      </c>
      <c r="AP610" s="76"/>
      <c r="AQ610" s="76"/>
      <c r="AR610" s="76"/>
      <c r="AS610" s="76"/>
      <c r="AT610" s="76"/>
      <c r="AU610" s="76"/>
      <c r="AV610" s="76"/>
      <c r="AW610" s="76"/>
      <c r="AX610" s="76" t="b">
        <v>0</v>
      </c>
      <c r="AY610" s="76"/>
      <c r="AZ610" s="76"/>
      <c r="BA610" s="76" t="b">
        <v>0</v>
      </c>
      <c r="BB610" s="76" t="b">
        <v>1</v>
      </c>
      <c r="BC610" s="76" t="b">
        <v>1</v>
      </c>
      <c r="BD610" s="76" t="b">
        <v>0</v>
      </c>
      <c r="BE610" s="76" t="b">
        <v>0</v>
      </c>
      <c r="BF610" s="76" t="b">
        <v>0</v>
      </c>
      <c r="BG610" s="76" t="b">
        <v>0</v>
      </c>
      <c r="BH610" s="82" t="str">
        <f>HYPERLINK("https://pbs.twimg.com/profile_banners/1428639584079028226/1636894478")</f>
        <v>https://pbs.twimg.com/profile_banners/1428639584079028226/1636894478</v>
      </c>
      <c r="BI610" s="76"/>
      <c r="BJ610" s="76" t="s">
        <v>14450</v>
      </c>
      <c r="BK610" s="76" t="b">
        <v>0</v>
      </c>
      <c r="BL610" s="76"/>
      <c r="BM610" s="76" t="s">
        <v>66</v>
      </c>
      <c r="BN610" s="76" t="s">
        <v>14452</v>
      </c>
      <c r="BO610" s="82" t="str">
        <f>HYPERLINK("https://twitter.com/grsilengenharia")</f>
        <v>https://twitter.com/grsilengenharia</v>
      </c>
      <c r="BP610" s="2"/>
    </row>
    <row r="611" spans="1:68" x14ac:dyDescent="0.25">
      <c r="A611" s="62" t="s">
        <v>745</v>
      </c>
      <c r="B611" s="63"/>
      <c r="C611" s="63"/>
      <c r="D611" s="64"/>
      <c r="E611" s="66"/>
      <c r="F611" s="103" t="str">
        <f>HYPERLINK("https://pbs.twimg.com/profile_images/1151345986964377600/N9FlL7m9_normal.jpg")</f>
        <v>https://pbs.twimg.com/profile_images/1151345986964377600/N9FlL7m9_normal.jpg</v>
      </c>
      <c r="G611" s="63"/>
      <c r="H611" s="67"/>
      <c r="I611" s="68"/>
      <c r="J611" s="68"/>
      <c r="K611" s="67" t="s">
        <v>15060</v>
      </c>
      <c r="L611" s="71"/>
      <c r="M611" s="72"/>
      <c r="N611" s="72"/>
      <c r="O611" s="73"/>
      <c r="P611" s="74"/>
      <c r="Q611" s="74"/>
      <c r="R611" s="87"/>
      <c r="S611" s="87"/>
      <c r="T611" s="87"/>
      <c r="U611" s="87"/>
      <c r="V611" s="48"/>
      <c r="W611" s="48"/>
      <c r="X611" s="48"/>
      <c r="Y611" s="48"/>
      <c r="Z611" s="47"/>
      <c r="AA611" s="69">
        <v>611</v>
      </c>
      <c r="AB611" s="69"/>
      <c r="AC611" s="70"/>
      <c r="AD611" s="76" t="s">
        <v>12338</v>
      </c>
      <c r="AE611" s="80" t="s">
        <v>11659</v>
      </c>
      <c r="AF611" s="76">
        <v>91</v>
      </c>
      <c r="AG611" s="76">
        <v>343</v>
      </c>
      <c r="AH611" s="76">
        <v>192</v>
      </c>
      <c r="AI611" s="76">
        <v>0</v>
      </c>
      <c r="AJ611" s="76">
        <v>49</v>
      </c>
      <c r="AK611" s="76">
        <v>14</v>
      </c>
      <c r="AL611" s="76" t="b">
        <v>0</v>
      </c>
      <c r="AM611" s="78">
        <v>43663.180601851855</v>
      </c>
      <c r="AN611" s="76" t="s">
        <v>13164</v>
      </c>
      <c r="AO611" s="76" t="s">
        <v>13781</v>
      </c>
      <c r="AP611" s="82" t="str">
        <f>HYPERLINK("https://t.co/KCwj72OqKc")</f>
        <v>https://t.co/KCwj72OqKc</v>
      </c>
      <c r="AQ611" s="82" t="str">
        <f>HYPERLINK("http://www.juliolozoya.com")</f>
        <v>http://www.juliolozoya.com</v>
      </c>
      <c r="AR611" s="76" t="s">
        <v>14280</v>
      </c>
      <c r="AS611" s="76"/>
      <c r="AT611" s="76"/>
      <c r="AU611" s="76"/>
      <c r="AV611" s="76"/>
      <c r="AW611" s="82" t="str">
        <f>HYPERLINK("https://t.co/KCwj72OqKc")</f>
        <v>https://t.co/KCwj72OqKc</v>
      </c>
      <c r="AX611" s="76" t="b">
        <v>0</v>
      </c>
      <c r="AY611" s="76"/>
      <c r="AZ611" s="76"/>
      <c r="BA611" s="76" t="b">
        <v>1</v>
      </c>
      <c r="BB611" s="76" t="b">
        <v>0</v>
      </c>
      <c r="BC611" s="76" t="b">
        <v>1</v>
      </c>
      <c r="BD611" s="76" t="b">
        <v>0</v>
      </c>
      <c r="BE611" s="76" t="b">
        <v>1</v>
      </c>
      <c r="BF611" s="76" t="b">
        <v>0</v>
      </c>
      <c r="BG611" s="76" t="b">
        <v>0</v>
      </c>
      <c r="BH611" s="82" t="str">
        <f>HYPERLINK("https://pbs.twimg.com/profile_banners/1151345799860772864/1563339179")</f>
        <v>https://pbs.twimg.com/profile_banners/1151345799860772864/1563339179</v>
      </c>
      <c r="BI611" s="76"/>
      <c r="BJ611" s="76" t="s">
        <v>14450</v>
      </c>
      <c r="BK611" s="76" t="b">
        <v>0</v>
      </c>
      <c r="BL611" s="76"/>
      <c r="BM611" s="76" t="s">
        <v>66</v>
      </c>
      <c r="BN611" s="76" t="s">
        <v>14452</v>
      </c>
      <c r="BO611" s="82" t="str">
        <f>HYPERLINK("https://twitter.com/juliolozoya")</f>
        <v>https://twitter.com/juliolozoya</v>
      </c>
      <c r="BP611" s="2"/>
    </row>
    <row r="612" spans="1:68" x14ac:dyDescent="0.25">
      <c r="A612" s="62" t="s">
        <v>746</v>
      </c>
      <c r="B612" s="63"/>
      <c r="C612" s="63"/>
      <c r="D612" s="64"/>
      <c r="E612" s="66"/>
      <c r="F612" s="103" t="str">
        <f>HYPERLINK("https://pbs.twimg.com/profile_images/1655297854821335040/_EBlskBd_normal.jpg")</f>
        <v>https://pbs.twimg.com/profile_images/1655297854821335040/_EBlskBd_normal.jpg</v>
      </c>
      <c r="G612" s="63"/>
      <c r="H612" s="67"/>
      <c r="I612" s="68"/>
      <c r="J612" s="68"/>
      <c r="K612" s="67" t="s">
        <v>15061</v>
      </c>
      <c r="L612" s="71"/>
      <c r="M612" s="72"/>
      <c r="N612" s="72"/>
      <c r="O612" s="73"/>
      <c r="P612" s="74"/>
      <c r="Q612" s="74"/>
      <c r="R612" s="87"/>
      <c r="S612" s="87"/>
      <c r="T612" s="87"/>
      <c r="U612" s="87"/>
      <c r="V612" s="48"/>
      <c r="W612" s="48"/>
      <c r="X612" s="48"/>
      <c r="Y612" s="48"/>
      <c r="Z612" s="47"/>
      <c r="AA612" s="69">
        <v>612</v>
      </c>
      <c r="AB612" s="69"/>
      <c r="AC612" s="70"/>
      <c r="AD612" s="76" t="s">
        <v>746</v>
      </c>
      <c r="AE612" s="80" t="s">
        <v>11660</v>
      </c>
      <c r="AF612" s="76">
        <v>0</v>
      </c>
      <c r="AG612" s="76">
        <v>6</v>
      </c>
      <c r="AH612" s="76">
        <v>3</v>
      </c>
      <c r="AI612" s="76">
        <v>0</v>
      </c>
      <c r="AJ612" s="76">
        <v>3</v>
      </c>
      <c r="AK612" s="76">
        <v>3</v>
      </c>
      <c r="AL612" s="76" t="b">
        <v>0</v>
      </c>
      <c r="AM612" s="78">
        <v>45053.822962962964</v>
      </c>
      <c r="AN612" s="76" t="s">
        <v>13165</v>
      </c>
      <c r="AO612" s="76" t="s">
        <v>13782</v>
      </c>
      <c r="AP612" s="82" t="str">
        <f>HYPERLINK("https://t.co/tkp5VNBAn1")</f>
        <v>https://t.co/tkp5VNBAn1</v>
      </c>
      <c r="AQ612" s="82" t="str">
        <f>HYPERLINK("http://rangelwebsite.com.br")</f>
        <v>http://rangelwebsite.com.br</v>
      </c>
      <c r="AR612" s="76" t="s">
        <v>14281</v>
      </c>
      <c r="AS612" s="76"/>
      <c r="AT612" s="76"/>
      <c r="AU612" s="76"/>
      <c r="AV612" s="76"/>
      <c r="AW612" s="82" t="str">
        <f>HYPERLINK("https://t.co/tkp5VNBAn1")</f>
        <v>https://t.co/tkp5VNBAn1</v>
      </c>
      <c r="AX612" s="76" t="b">
        <v>0</v>
      </c>
      <c r="AY612" s="76"/>
      <c r="AZ612" s="76"/>
      <c r="BA612" s="76" t="b">
        <v>0</v>
      </c>
      <c r="BB612" s="76" t="b">
        <v>1</v>
      </c>
      <c r="BC612" s="76" t="b">
        <v>1</v>
      </c>
      <c r="BD612" s="76" t="b">
        <v>0</v>
      </c>
      <c r="BE612" s="76" t="b">
        <v>0</v>
      </c>
      <c r="BF612" s="76" t="b">
        <v>0</v>
      </c>
      <c r="BG612" s="76" t="b">
        <v>0</v>
      </c>
      <c r="BH612" s="82" t="str">
        <f>HYPERLINK("https://pbs.twimg.com/profile_banners/1655297668816535553/1683488954")</f>
        <v>https://pbs.twimg.com/profile_banners/1655297668816535553/1683488954</v>
      </c>
      <c r="BI612" s="76"/>
      <c r="BJ612" s="76" t="s">
        <v>14450</v>
      </c>
      <c r="BK612" s="76" t="b">
        <v>0</v>
      </c>
      <c r="BL612" s="76"/>
      <c r="BM612" s="76" t="s">
        <v>66</v>
      </c>
      <c r="BN612" s="76" t="s">
        <v>14452</v>
      </c>
      <c r="BO612" s="82" t="str">
        <f>HYPERLINK("https://twitter.com/rangelwebsite")</f>
        <v>https://twitter.com/rangelwebsite</v>
      </c>
      <c r="BP612" s="2"/>
    </row>
    <row r="613" spans="1:68" x14ac:dyDescent="0.25">
      <c r="A613" s="62" t="s">
        <v>747</v>
      </c>
      <c r="B613" s="63"/>
      <c r="C613" s="63"/>
      <c r="D613" s="64"/>
      <c r="E613" s="66"/>
      <c r="F613" s="103" t="str">
        <f>HYPERLINK("https://pbs.twimg.com/profile_images/1475501613150347275/Ji4_amz1_normal.jpg")</f>
        <v>https://pbs.twimg.com/profile_images/1475501613150347275/Ji4_amz1_normal.jpg</v>
      </c>
      <c r="G613" s="63"/>
      <c r="H613" s="67"/>
      <c r="I613" s="68"/>
      <c r="J613" s="68"/>
      <c r="K613" s="67" t="s">
        <v>15062</v>
      </c>
      <c r="L613" s="71"/>
      <c r="M613" s="72"/>
      <c r="N613" s="72"/>
      <c r="O613" s="73"/>
      <c r="P613" s="74"/>
      <c r="Q613" s="74"/>
      <c r="R613" s="87"/>
      <c r="S613" s="87"/>
      <c r="T613" s="87"/>
      <c r="U613" s="87"/>
      <c r="V613" s="48"/>
      <c r="W613" s="48"/>
      <c r="X613" s="48"/>
      <c r="Y613" s="48"/>
      <c r="Z613" s="47"/>
      <c r="AA613" s="69">
        <v>613</v>
      </c>
      <c r="AB613" s="69"/>
      <c r="AC613" s="70"/>
      <c r="AD613" s="76" t="s">
        <v>12339</v>
      </c>
      <c r="AE613" s="80" t="s">
        <v>12791</v>
      </c>
      <c r="AF613" s="76">
        <v>428</v>
      </c>
      <c r="AG613" s="76">
        <v>2153</v>
      </c>
      <c r="AH613" s="76">
        <v>856</v>
      </c>
      <c r="AI613" s="76">
        <v>5</v>
      </c>
      <c r="AJ613" s="76">
        <v>43</v>
      </c>
      <c r="AK613" s="76">
        <v>225</v>
      </c>
      <c r="AL613" s="76" t="b">
        <v>0</v>
      </c>
      <c r="AM613" s="78">
        <v>41951.825497685182</v>
      </c>
      <c r="AN613" s="76" t="s">
        <v>12976</v>
      </c>
      <c r="AO613" s="76" t="s">
        <v>13783</v>
      </c>
      <c r="AP613" s="82" t="str">
        <f>HYPERLINK("https://t.co/8iGYTk7jJ2")</f>
        <v>https://t.co/8iGYTk7jJ2</v>
      </c>
      <c r="AQ613" s="82" t="str">
        <f>HYPERLINK("http://lp.vendadesoftware.com.br")</f>
        <v>http://lp.vendadesoftware.com.br</v>
      </c>
      <c r="AR613" s="76" t="s">
        <v>14282</v>
      </c>
      <c r="AS613" s="76"/>
      <c r="AT613" s="76"/>
      <c r="AU613" s="76"/>
      <c r="AV613" s="76"/>
      <c r="AW613" s="82" t="str">
        <f>HYPERLINK("https://t.co/8iGYTk7jJ2")</f>
        <v>https://t.co/8iGYTk7jJ2</v>
      </c>
      <c r="AX613" s="76" t="b">
        <v>0</v>
      </c>
      <c r="AY613" s="76"/>
      <c r="AZ613" s="76"/>
      <c r="BA613" s="76" t="b">
        <v>0</v>
      </c>
      <c r="BB613" s="76" t="b">
        <v>1</v>
      </c>
      <c r="BC613" s="76" t="b">
        <v>0</v>
      </c>
      <c r="BD613" s="76" t="b">
        <v>0</v>
      </c>
      <c r="BE613" s="76" t="b">
        <v>0</v>
      </c>
      <c r="BF613" s="76" t="b">
        <v>0</v>
      </c>
      <c r="BG613" s="76" t="b">
        <v>0</v>
      </c>
      <c r="BH613" s="82" t="str">
        <f>HYPERLINK("https://pbs.twimg.com/profile_banners/2867846249/1589426522")</f>
        <v>https://pbs.twimg.com/profile_banners/2867846249/1589426522</v>
      </c>
      <c r="BI613" s="76"/>
      <c r="BJ613" s="76" t="s">
        <v>14450</v>
      </c>
      <c r="BK613" s="76" t="b">
        <v>0</v>
      </c>
      <c r="BL613" s="76"/>
      <c r="BM613" s="76" t="s">
        <v>66</v>
      </c>
      <c r="BN613" s="76" t="s">
        <v>14452</v>
      </c>
      <c r="BO613" s="82" t="str">
        <f>HYPERLINK("https://twitter.com/andreluis_vsw")</f>
        <v>https://twitter.com/andreluis_vsw</v>
      </c>
      <c r="BP613" s="2"/>
    </row>
    <row r="614" spans="1:68" x14ac:dyDescent="0.25">
      <c r="A614" s="62" t="s">
        <v>748</v>
      </c>
      <c r="B614" s="63"/>
      <c r="C614" s="63"/>
      <c r="D614" s="64"/>
      <c r="E614" s="66"/>
      <c r="F614" s="103" t="str">
        <f>HYPERLINK("https://pbs.twimg.com/profile_images/1608493533635149824/XWP8j3tV_normal.jpg")</f>
        <v>https://pbs.twimg.com/profile_images/1608493533635149824/XWP8j3tV_normal.jpg</v>
      </c>
      <c r="G614" s="63"/>
      <c r="H614" s="67"/>
      <c r="I614" s="68"/>
      <c r="J614" s="68"/>
      <c r="K614" s="67" t="s">
        <v>15063</v>
      </c>
      <c r="L614" s="71"/>
      <c r="M614" s="72"/>
      <c r="N614" s="72"/>
      <c r="O614" s="73"/>
      <c r="P614" s="74"/>
      <c r="Q614" s="74"/>
      <c r="R614" s="87"/>
      <c r="S614" s="87"/>
      <c r="T614" s="87"/>
      <c r="U614" s="87"/>
      <c r="V614" s="48"/>
      <c r="W614" s="48"/>
      <c r="X614" s="48"/>
      <c r="Y614" s="48"/>
      <c r="Z614" s="47"/>
      <c r="AA614" s="69">
        <v>614</v>
      </c>
      <c r="AB614" s="69"/>
      <c r="AC614" s="70"/>
      <c r="AD614" s="76" t="s">
        <v>12340</v>
      </c>
      <c r="AE614" s="80" t="s">
        <v>11661</v>
      </c>
      <c r="AF614" s="76">
        <v>4</v>
      </c>
      <c r="AG614" s="76">
        <v>0</v>
      </c>
      <c r="AH614" s="76">
        <v>68</v>
      </c>
      <c r="AI614" s="76">
        <v>0</v>
      </c>
      <c r="AJ614" s="76">
        <v>0</v>
      </c>
      <c r="AK614" s="76">
        <v>59</v>
      </c>
      <c r="AL614" s="76" t="b">
        <v>0</v>
      </c>
      <c r="AM614" s="78">
        <v>44924.658715277779</v>
      </c>
      <c r="AN614" s="76" t="s">
        <v>13166</v>
      </c>
      <c r="AO614" s="76" t="s">
        <v>13784</v>
      </c>
      <c r="AP614" s="76"/>
      <c r="AQ614" s="76"/>
      <c r="AR614" s="76"/>
      <c r="AS614" s="82" t="str">
        <f>HYPERLINK("https://t.co/Fv7biaDtCd")</f>
        <v>https://t.co/Fv7biaDtCd</v>
      </c>
      <c r="AT614" s="82" t="str">
        <f>HYPERLINK("http://linktr.ee/pecagrigo")</f>
        <v>http://linktr.ee/pecagrigo</v>
      </c>
      <c r="AU614" s="76" t="s">
        <v>14443</v>
      </c>
      <c r="AV614" s="76"/>
      <c r="AW614" s="76"/>
      <c r="AX614" s="76" t="b">
        <v>0</v>
      </c>
      <c r="AY614" s="76"/>
      <c r="AZ614" s="76"/>
      <c r="BA614" s="76" t="b">
        <v>0</v>
      </c>
      <c r="BB614" s="76" t="b">
        <v>1</v>
      </c>
      <c r="BC614" s="76" t="b">
        <v>1</v>
      </c>
      <c r="BD614" s="76" t="b">
        <v>0</v>
      </c>
      <c r="BE614" s="76" t="b">
        <v>0</v>
      </c>
      <c r="BF614" s="76" t="b">
        <v>0</v>
      </c>
      <c r="BG614" s="76" t="b">
        <v>0</v>
      </c>
      <c r="BH614" s="82" t="str">
        <f>HYPERLINK("https://pbs.twimg.com/profile_banners/1608490065226874888/1672329228")</f>
        <v>https://pbs.twimg.com/profile_banners/1608490065226874888/1672329228</v>
      </c>
      <c r="BI614" s="76"/>
      <c r="BJ614" s="76" t="s">
        <v>14450</v>
      </c>
      <c r="BK614" s="76" t="b">
        <v>0</v>
      </c>
      <c r="BL614" s="76"/>
      <c r="BM614" s="76" t="s">
        <v>66</v>
      </c>
      <c r="BN614" s="76" t="s">
        <v>14452</v>
      </c>
      <c r="BO614" s="82" t="str">
        <f>HYPERLINK("https://twitter.com/grigopeca")</f>
        <v>https://twitter.com/grigopeca</v>
      </c>
      <c r="BP614" s="2"/>
    </row>
    <row r="615" spans="1:68" x14ac:dyDescent="0.25">
      <c r="A615" s="62" t="s">
        <v>749</v>
      </c>
      <c r="B615" s="63"/>
      <c r="C615" s="63"/>
      <c r="D615" s="64"/>
      <c r="E615" s="66"/>
      <c r="F615" s="103" t="str">
        <f>HYPERLINK("https://pbs.twimg.com/profile_images/1587028841003900928/8HlYco6W_normal.jpg")</f>
        <v>https://pbs.twimg.com/profile_images/1587028841003900928/8HlYco6W_normal.jpg</v>
      </c>
      <c r="G615" s="63"/>
      <c r="H615" s="67"/>
      <c r="I615" s="68"/>
      <c r="J615" s="68"/>
      <c r="K615" s="67" t="s">
        <v>15064</v>
      </c>
      <c r="L615" s="71"/>
      <c r="M615" s="72"/>
      <c r="N615" s="72"/>
      <c r="O615" s="73"/>
      <c r="P615" s="74"/>
      <c r="Q615" s="74"/>
      <c r="R615" s="87"/>
      <c r="S615" s="87"/>
      <c r="T615" s="87"/>
      <c r="U615" s="87"/>
      <c r="V615" s="48"/>
      <c r="W615" s="48"/>
      <c r="X615" s="48"/>
      <c r="Y615" s="48"/>
      <c r="Z615" s="47"/>
      <c r="AA615" s="69">
        <v>615</v>
      </c>
      <c r="AB615" s="69"/>
      <c r="AC615" s="70"/>
      <c r="AD615" s="76" t="s">
        <v>12341</v>
      </c>
      <c r="AE615" s="80" t="s">
        <v>12792</v>
      </c>
      <c r="AF615" s="76">
        <v>1352</v>
      </c>
      <c r="AG615" s="76">
        <v>2524</v>
      </c>
      <c r="AH615" s="76">
        <v>1773</v>
      </c>
      <c r="AI615" s="76">
        <v>3</v>
      </c>
      <c r="AJ615" s="76">
        <v>1388</v>
      </c>
      <c r="AK615" s="76">
        <v>513</v>
      </c>
      <c r="AL615" s="76" t="b">
        <v>0</v>
      </c>
      <c r="AM615" s="78">
        <v>39815.88753472222</v>
      </c>
      <c r="AN615" s="76" t="s">
        <v>13119</v>
      </c>
      <c r="AO615" s="76" t="s">
        <v>13785</v>
      </c>
      <c r="AP615" s="82" t="str">
        <f>HYPERLINK("https://t.co/XQwqxe58E0")</f>
        <v>https://t.co/XQwqxe58E0</v>
      </c>
      <c r="AQ615" s="82" t="str">
        <f>HYPERLINK("https://mqr.pt")</f>
        <v>https://mqr.pt</v>
      </c>
      <c r="AR615" s="76" t="s">
        <v>14283</v>
      </c>
      <c r="AS615" s="76"/>
      <c r="AT615" s="76"/>
      <c r="AU615" s="76"/>
      <c r="AV615" s="76"/>
      <c r="AW615" s="82" t="str">
        <f>HYPERLINK("https://t.co/XQwqxe58E0")</f>
        <v>https://t.co/XQwqxe58E0</v>
      </c>
      <c r="AX615" s="76" t="b">
        <v>0</v>
      </c>
      <c r="AY615" s="76"/>
      <c r="AZ615" s="76"/>
      <c r="BA615" s="76" t="b">
        <v>1</v>
      </c>
      <c r="BB615" s="76" t="b">
        <v>0</v>
      </c>
      <c r="BC615" s="76" t="b">
        <v>0</v>
      </c>
      <c r="BD615" s="76" t="b">
        <v>0</v>
      </c>
      <c r="BE615" s="76" t="b">
        <v>1</v>
      </c>
      <c r="BF615" s="76" t="b">
        <v>0</v>
      </c>
      <c r="BG615" s="76" t="b">
        <v>0</v>
      </c>
      <c r="BH615" s="82" t="str">
        <f>HYPERLINK("https://pbs.twimg.com/profile_banners/18564263/1667212137")</f>
        <v>https://pbs.twimg.com/profile_banners/18564263/1667212137</v>
      </c>
      <c r="BI615" s="76"/>
      <c r="BJ615" s="76" t="s">
        <v>14450</v>
      </c>
      <c r="BK615" s="76" t="b">
        <v>0</v>
      </c>
      <c r="BL615" s="76"/>
      <c r="BM615" s="76" t="s">
        <v>66</v>
      </c>
      <c r="BN615" s="76" t="s">
        <v>14452</v>
      </c>
      <c r="BO615" s="82" t="str">
        <f>HYPERLINK("https://twitter.com/quinaribeiro")</f>
        <v>https://twitter.com/quinaribeiro</v>
      </c>
      <c r="BP615" s="2"/>
    </row>
    <row r="616" spans="1:68" x14ac:dyDescent="0.25">
      <c r="A616" s="62" t="s">
        <v>750</v>
      </c>
      <c r="B616" s="63"/>
      <c r="C616" s="63"/>
      <c r="D616" s="64"/>
      <c r="E616" s="66"/>
      <c r="F616" s="103" t="str">
        <f>HYPERLINK("https://pbs.twimg.com/profile_images/1663446988631810049/F3EbUR2o_normal.jpg")</f>
        <v>https://pbs.twimg.com/profile_images/1663446988631810049/F3EbUR2o_normal.jpg</v>
      </c>
      <c r="G616" s="63"/>
      <c r="H616" s="67"/>
      <c r="I616" s="68"/>
      <c r="J616" s="68"/>
      <c r="K616" s="67" t="s">
        <v>15065</v>
      </c>
      <c r="L616" s="71"/>
      <c r="M616" s="72"/>
      <c r="N616" s="72"/>
      <c r="O616" s="73"/>
      <c r="P616" s="74"/>
      <c r="Q616" s="74"/>
      <c r="R616" s="87"/>
      <c r="S616" s="87"/>
      <c r="T616" s="87"/>
      <c r="U616" s="87"/>
      <c r="V616" s="48"/>
      <c r="W616" s="48"/>
      <c r="X616" s="48"/>
      <c r="Y616" s="48"/>
      <c r="Z616" s="47"/>
      <c r="AA616" s="69">
        <v>616</v>
      </c>
      <c r="AB616" s="69"/>
      <c r="AC616" s="70"/>
      <c r="AD616" s="76" t="s">
        <v>12342</v>
      </c>
      <c r="AE616" s="80" t="s">
        <v>11662</v>
      </c>
      <c r="AF616" s="76">
        <v>0</v>
      </c>
      <c r="AG616" s="76">
        <v>19</v>
      </c>
      <c r="AH616" s="76">
        <v>2</v>
      </c>
      <c r="AI616" s="76">
        <v>0</v>
      </c>
      <c r="AJ616" s="76">
        <v>0</v>
      </c>
      <c r="AK616" s="76">
        <v>2</v>
      </c>
      <c r="AL616" s="76" t="b">
        <v>0</v>
      </c>
      <c r="AM616" s="78">
        <v>45076.308657407404</v>
      </c>
      <c r="AN616" s="76"/>
      <c r="AO616" s="76" t="s">
        <v>13786</v>
      </c>
      <c r="AP616" s="76"/>
      <c r="AQ616" s="76"/>
      <c r="AR616" s="76"/>
      <c r="AS616" s="76"/>
      <c r="AT616" s="76"/>
      <c r="AU616" s="76"/>
      <c r="AV616" s="76">
        <v>1.66344810591469E+18</v>
      </c>
      <c r="AW616" s="76"/>
      <c r="AX616" s="76" t="b">
        <v>0</v>
      </c>
      <c r="AY616" s="76"/>
      <c r="AZ616" s="76"/>
      <c r="BA616" s="76" t="b">
        <v>0</v>
      </c>
      <c r="BB616" s="76" t="b">
        <v>1</v>
      </c>
      <c r="BC616" s="76" t="b">
        <v>1</v>
      </c>
      <c r="BD616" s="76" t="b">
        <v>0</v>
      </c>
      <c r="BE616" s="76" t="b">
        <v>0</v>
      </c>
      <c r="BF616" s="76" t="b">
        <v>0</v>
      </c>
      <c r="BG616" s="76" t="b">
        <v>0</v>
      </c>
      <c r="BH616" s="82" t="str">
        <f>HYPERLINK("https://pbs.twimg.com/profile_banners/1663446093214916611/1685431641")</f>
        <v>https://pbs.twimg.com/profile_banners/1663446093214916611/1685431641</v>
      </c>
      <c r="BI616" s="76"/>
      <c r="BJ616" s="76" t="s">
        <v>14450</v>
      </c>
      <c r="BK616" s="76" t="b">
        <v>0</v>
      </c>
      <c r="BL616" s="76"/>
      <c r="BM616" s="76" t="s">
        <v>66</v>
      </c>
      <c r="BN616" s="76" t="s">
        <v>14452</v>
      </c>
      <c r="BO616" s="82" t="str">
        <f>HYPERLINK("https://twitter.com/luisedwinn38606")</f>
        <v>https://twitter.com/luisedwinn38606</v>
      </c>
      <c r="BP616" s="2"/>
    </row>
    <row r="617" spans="1:68" x14ac:dyDescent="0.25">
      <c r="A617" s="62" t="s">
        <v>751</v>
      </c>
      <c r="B617" s="63"/>
      <c r="C617" s="63"/>
      <c r="D617" s="64"/>
      <c r="E617" s="66"/>
      <c r="F617" s="103" t="str">
        <f>HYPERLINK("https://pbs.twimg.com/profile_images/1675651298710913024/LQ8TnuPY_normal.jpg")</f>
        <v>https://pbs.twimg.com/profile_images/1675651298710913024/LQ8TnuPY_normal.jpg</v>
      </c>
      <c r="G617" s="63"/>
      <c r="H617" s="67"/>
      <c r="I617" s="68"/>
      <c r="J617" s="68"/>
      <c r="K617" s="67" t="s">
        <v>15066</v>
      </c>
      <c r="L617" s="71"/>
      <c r="M617" s="72"/>
      <c r="N617" s="72"/>
      <c r="O617" s="73"/>
      <c r="P617" s="74"/>
      <c r="Q617" s="74"/>
      <c r="R617" s="87"/>
      <c r="S617" s="87"/>
      <c r="T617" s="87"/>
      <c r="U617" s="87"/>
      <c r="V617" s="48"/>
      <c r="W617" s="48"/>
      <c r="X617" s="48"/>
      <c r="Y617" s="48"/>
      <c r="Z617" s="47"/>
      <c r="AA617" s="69">
        <v>617</v>
      </c>
      <c r="AB617" s="69"/>
      <c r="AC617" s="70"/>
      <c r="AD617" s="76" t="s">
        <v>12343</v>
      </c>
      <c r="AE617" s="80" t="s">
        <v>12793</v>
      </c>
      <c r="AF617" s="76">
        <v>532</v>
      </c>
      <c r="AG617" s="76">
        <v>693</v>
      </c>
      <c r="AH617" s="76">
        <v>3899</v>
      </c>
      <c r="AI617" s="76">
        <v>10</v>
      </c>
      <c r="AJ617" s="76">
        <v>1767</v>
      </c>
      <c r="AK617" s="76">
        <v>3557</v>
      </c>
      <c r="AL617" s="76" t="b">
        <v>0</v>
      </c>
      <c r="AM617" s="78">
        <v>42276.855613425927</v>
      </c>
      <c r="AN617" s="76" t="s">
        <v>7767</v>
      </c>
      <c r="AO617" s="76" t="s">
        <v>13787</v>
      </c>
      <c r="AP617" s="76"/>
      <c r="AQ617" s="76"/>
      <c r="AR617" s="76"/>
      <c r="AS617" s="76"/>
      <c r="AT617" s="76"/>
      <c r="AU617" s="76"/>
      <c r="AV617" s="76">
        <v>1.42443430064096E+18</v>
      </c>
      <c r="AW617" s="76"/>
      <c r="AX617" s="76" t="b">
        <v>0</v>
      </c>
      <c r="AY617" s="76"/>
      <c r="AZ617" s="76"/>
      <c r="BA617" s="76" t="b">
        <v>0</v>
      </c>
      <c r="BB617" s="76" t="b">
        <v>0</v>
      </c>
      <c r="BC617" s="76" t="b">
        <v>0</v>
      </c>
      <c r="BD617" s="76" t="b">
        <v>0</v>
      </c>
      <c r="BE617" s="76" t="b">
        <v>1</v>
      </c>
      <c r="BF617" s="76" t="b">
        <v>0</v>
      </c>
      <c r="BG617" s="76" t="b">
        <v>0</v>
      </c>
      <c r="BH617" s="82" t="str">
        <f>HYPERLINK("https://pbs.twimg.com/profile_banners/3729465913/1486450091")</f>
        <v>https://pbs.twimg.com/profile_banners/3729465913/1486450091</v>
      </c>
      <c r="BI617" s="76"/>
      <c r="BJ617" s="76" t="s">
        <v>14450</v>
      </c>
      <c r="BK617" s="76" t="b">
        <v>0</v>
      </c>
      <c r="BL617" s="76"/>
      <c r="BM617" s="76" t="s">
        <v>66</v>
      </c>
      <c r="BN617" s="76" t="s">
        <v>14452</v>
      </c>
      <c r="BO617" s="82" t="str">
        <f>HYPERLINK("https://twitter.com/up_btl")</f>
        <v>https://twitter.com/up_btl</v>
      </c>
      <c r="BP617" s="2"/>
    </row>
    <row r="618" spans="1:68" x14ac:dyDescent="0.25">
      <c r="A618" s="62" t="s">
        <v>752</v>
      </c>
      <c r="B618" s="63"/>
      <c r="C618" s="63"/>
      <c r="D618" s="64"/>
      <c r="E618" s="66"/>
      <c r="F618" s="103" t="str">
        <f>HYPERLINK("https://pbs.twimg.com/profile_images/1389677750814916608/iOAg9WWu_normal.jpg")</f>
        <v>https://pbs.twimg.com/profile_images/1389677750814916608/iOAg9WWu_normal.jpg</v>
      </c>
      <c r="G618" s="63"/>
      <c r="H618" s="67"/>
      <c r="I618" s="68"/>
      <c r="J618" s="68"/>
      <c r="K618" s="67" t="s">
        <v>15067</v>
      </c>
      <c r="L618" s="71"/>
      <c r="M618" s="72"/>
      <c r="N618" s="72"/>
      <c r="O618" s="73"/>
      <c r="P618" s="74"/>
      <c r="Q618" s="74"/>
      <c r="R618" s="87"/>
      <c r="S618" s="87"/>
      <c r="T618" s="87"/>
      <c r="U618" s="87"/>
      <c r="V618" s="48"/>
      <c r="W618" s="48"/>
      <c r="X618" s="48"/>
      <c r="Y618" s="48"/>
      <c r="Z618" s="47"/>
      <c r="AA618" s="69">
        <v>618</v>
      </c>
      <c r="AB618" s="69"/>
      <c r="AC618" s="70"/>
      <c r="AD618" s="76" t="s">
        <v>12344</v>
      </c>
      <c r="AE618" s="80" t="s">
        <v>12794</v>
      </c>
      <c r="AF618" s="76">
        <v>496</v>
      </c>
      <c r="AG618" s="76">
        <v>2530</v>
      </c>
      <c r="AH618" s="76">
        <v>6513</v>
      </c>
      <c r="AI618" s="76">
        <v>19</v>
      </c>
      <c r="AJ618" s="76">
        <v>8302</v>
      </c>
      <c r="AK618" s="76">
        <v>894</v>
      </c>
      <c r="AL618" s="76" t="b">
        <v>0</v>
      </c>
      <c r="AM618" s="78">
        <v>40659.951724537037</v>
      </c>
      <c r="AN618" s="76" t="s">
        <v>13167</v>
      </c>
      <c r="AO618" s="76" t="s">
        <v>13788</v>
      </c>
      <c r="AP618" s="76"/>
      <c r="AQ618" s="76"/>
      <c r="AR618" s="76"/>
      <c r="AS618" s="76"/>
      <c r="AT618" s="76"/>
      <c r="AU618" s="76"/>
      <c r="AV618" s="76"/>
      <c r="AW618" s="76"/>
      <c r="AX618" s="76" t="b">
        <v>0</v>
      </c>
      <c r="AY618" s="76"/>
      <c r="AZ618" s="76"/>
      <c r="BA618" s="76" t="b">
        <v>0</v>
      </c>
      <c r="BB618" s="76" t="b">
        <v>1</v>
      </c>
      <c r="BC618" s="76" t="b">
        <v>1</v>
      </c>
      <c r="BD618" s="76" t="b">
        <v>0</v>
      </c>
      <c r="BE618" s="76" t="b">
        <v>0</v>
      </c>
      <c r="BF618" s="76" t="b">
        <v>0</v>
      </c>
      <c r="BG618" s="76" t="b">
        <v>0</v>
      </c>
      <c r="BH618" s="82" t="str">
        <f>HYPERLINK("https://pbs.twimg.com/profile_banners/288479890/1532255049")</f>
        <v>https://pbs.twimg.com/profile_banners/288479890/1532255049</v>
      </c>
      <c r="BI618" s="76"/>
      <c r="BJ618" s="76" t="s">
        <v>14450</v>
      </c>
      <c r="BK618" s="76" t="b">
        <v>0</v>
      </c>
      <c r="BL618" s="76"/>
      <c r="BM618" s="76" t="s">
        <v>66</v>
      </c>
      <c r="BN618" s="76" t="s">
        <v>14452</v>
      </c>
      <c r="BO618" s="82" t="str">
        <f>HYPERLINK("https://twitter.com/ideassinlimite")</f>
        <v>https://twitter.com/ideassinlimite</v>
      </c>
      <c r="BP618" s="2"/>
    </row>
    <row r="619" spans="1:68" x14ac:dyDescent="0.25">
      <c r="A619" s="62" t="s">
        <v>753</v>
      </c>
      <c r="B619" s="63"/>
      <c r="C619" s="63"/>
      <c r="D619" s="64"/>
      <c r="E619" s="66"/>
      <c r="F619" s="103" t="str">
        <f>HYPERLINK("https://pbs.twimg.com/profile_images/1459982378194063360/Na6v6RV4_normal.jpg")</f>
        <v>https://pbs.twimg.com/profile_images/1459982378194063360/Na6v6RV4_normal.jpg</v>
      </c>
      <c r="G619" s="63"/>
      <c r="H619" s="67"/>
      <c r="I619" s="68"/>
      <c r="J619" s="68"/>
      <c r="K619" s="67" t="s">
        <v>15068</v>
      </c>
      <c r="L619" s="71"/>
      <c r="M619" s="72"/>
      <c r="N619" s="72"/>
      <c r="O619" s="73"/>
      <c r="P619" s="74"/>
      <c r="Q619" s="74"/>
      <c r="R619" s="87"/>
      <c r="S619" s="87"/>
      <c r="T619" s="87"/>
      <c r="U619" s="87"/>
      <c r="V619" s="48"/>
      <c r="W619" s="48"/>
      <c r="X619" s="48"/>
      <c r="Y619" s="48"/>
      <c r="Z619" s="47"/>
      <c r="AA619" s="69">
        <v>619</v>
      </c>
      <c r="AB619" s="69"/>
      <c r="AC619" s="70"/>
      <c r="AD619" s="76" t="s">
        <v>12345</v>
      </c>
      <c r="AE619" s="80" t="s">
        <v>12795</v>
      </c>
      <c r="AF619" s="76">
        <v>43</v>
      </c>
      <c r="AG619" s="76">
        <v>336</v>
      </c>
      <c r="AH619" s="76">
        <v>627</v>
      </c>
      <c r="AI619" s="76">
        <v>2</v>
      </c>
      <c r="AJ619" s="76">
        <v>719</v>
      </c>
      <c r="AK619" s="76">
        <v>42</v>
      </c>
      <c r="AL619" s="76" t="b">
        <v>0</v>
      </c>
      <c r="AM619" s="78">
        <v>41721.635300925926</v>
      </c>
      <c r="AN619" s="76" t="s">
        <v>13088</v>
      </c>
      <c r="AO619" s="76" t="s">
        <v>13789</v>
      </c>
      <c r="AP619" s="82" t="str">
        <f>HYPERLINK("https://t.co/XSdkGomi9C")</f>
        <v>https://t.co/XSdkGomi9C</v>
      </c>
      <c r="AQ619" s="82" t="str">
        <f>HYPERLINK("https://www.instagram.com/feloroble/")</f>
        <v>https://www.instagram.com/feloroble/</v>
      </c>
      <c r="AR619" s="76" t="s">
        <v>14284</v>
      </c>
      <c r="AS619" s="76"/>
      <c r="AT619" s="76"/>
      <c r="AU619" s="76"/>
      <c r="AV619" s="76"/>
      <c r="AW619" s="82" t="str">
        <f>HYPERLINK("https://t.co/XSdkGomi9C")</f>
        <v>https://t.co/XSdkGomi9C</v>
      </c>
      <c r="AX619" s="76" t="b">
        <v>0</v>
      </c>
      <c r="AY619" s="76"/>
      <c r="AZ619" s="76"/>
      <c r="BA619" s="76" t="b">
        <v>0</v>
      </c>
      <c r="BB619" s="76" t="b">
        <v>1</v>
      </c>
      <c r="BC619" s="76" t="b">
        <v>0</v>
      </c>
      <c r="BD619" s="76" t="b">
        <v>0</v>
      </c>
      <c r="BE619" s="76" t="b">
        <v>1</v>
      </c>
      <c r="BF619" s="76" t="b">
        <v>0</v>
      </c>
      <c r="BG619" s="76" t="b">
        <v>0</v>
      </c>
      <c r="BH619" s="82" t="str">
        <f>HYPERLINK("https://pbs.twimg.com/profile_banners/2407269804/1636922026")</f>
        <v>https://pbs.twimg.com/profile_banners/2407269804/1636922026</v>
      </c>
      <c r="BI619" s="76"/>
      <c r="BJ619" s="76" t="s">
        <v>14450</v>
      </c>
      <c r="BK619" s="76" t="b">
        <v>0</v>
      </c>
      <c r="BL619" s="76"/>
      <c r="BM619" s="76" t="s">
        <v>66</v>
      </c>
      <c r="BN619" s="76" t="s">
        <v>14452</v>
      </c>
      <c r="BO619" s="82" t="str">
        <f>HYPERLINK("https://twitter.com/felitosmp")</f>
        <v>https://twitter.com/felitosmp</v>
      </c>
      <c r="BP619" s="2"/>
    </row>
    <row r="620" spans="1:68" x14ac:dyDescent="0.25">
      <c r="A620" s="62" t="s">
        <v>754</v>
      </c>
      <c r="B620" s="63"/>
      <c r="C620" s="63"/>
      <c r="D620" s="64"/>
      <c r="E620" s="66"/>
      <c r="F620" s="103" t="str">
        <f>HYPERLINK("https://pbs.twimg.com/profile_images/723097102159613952/BsZoGuXf_normal.jpg")</f>
        <v>https://pbs.twimg.com/profile_images/723097102159613952/BsZoGuXf_normal.jpg</v>
      </c>
      <c r="G620" s="63"/>
      <c r="H620" s="67"/>
      <c r="I620" s="68"/>
      <c r="J620" s="68"/>
      <c r="K620" s="67" t="s">
        <v>15069</v>
      </c>
      <c r="L620" s="71"/>
      <c r="M620" s="72"/>
      <c r="N620" s="72"/>
      <c r="O620" s="73"/>
      <c r="P620" s="74"/>
      <c r="Q620" s="74"/>
      <c r="R620" s="87"/>
      <c r="S620" s="87"/>
      <c r="T620" s="87"/>
      <c r="U620" s="87"/>
      <c r="V620" s="48"/>
      <c r="W620" s="48"/>
      <c r="X620" s="48"/>
      <c r="Y620" s="48"/>
      <c r="Z620" s="47"/>
      <c r="AA620" s="69">
        <v>620</v>
      </c>
      <c r="AB620" s="69"/>
      <c r="AC620" s="70"/>
      <c r="AD620" s="76" t="s">
        <v>12346</v>
      </c>
      <c r="AE620" s="80" t="s">
        <v>12796</v>
      </c>
      <c r="AF620" s="76">
        <v>33</v>
      </c>
      <c r="AG620" s="76">
        <v>127</v>
      </c>
      <c r="AH620" s="76">
        <v>153</v>
      </c>
      <c r="AI620" s="76">
        <v>0</v>
      </c>
      <c r="AJ620" s="76">
        <v>181</v>
      </c>
      <c r="AK620" s="76">
        <v>19</v>
      </c>
      <c r="AL620" s="76" t="b">
        <v>0</v>
      </c>
      <c r="AM620" s="78">
        <v>40155.652604166666</v>
      </c>
      <c r="AN620" s="76" t="s">
        <v>13168</v>
      </c>
      <c r="AO620" s="76"/>
      <c r="AP620" s="76"/>
      <c r="AQ620" s="76"/>
      <c r="AR620" s="76"/>
      <c r="AS620" s="76"/>
      <c r="AT620" s="76"/>
      <c r="AU620" s="76"/>
      <c r="AV620" s="76"/>
      <c r="AW620" s="76"/>
      <c r="AX620" s="76" t="b">
        <v>0</v>
      </c>
      <c r="AY620" s="76"/>
      <c r="AZ620" s="76"/>
      <c r="BA620" s="76" t="b">
        <v>0</v>
      </c>
      <c r="BB620" s="76" t="b">
        <v>1</v>
      </c>
      <c r="BC620" s="76" t="b">
        <v>0</v>
      </c>
      <c r="BD620" s="76" t="b">
        <v>0</v>
      </c>
      <c r="BE620" s="76" t="b">
        <v>0</v>
      </c>
      <c r="BF620" s="76" t="b">
        <v>0</v>
      </c>
      <c r="BG620" s="76" t="b">
        <v>0</v>
      </c>
      <c r="BH620" s="82" t="str">
        <f>HYPERLINK("https://pbs.twimg.com/profile_banners/95443308/1461234633")</f>
        <v>https://pbs.twimg.com/profile_banners/95443308/1461234633</v>
      </c>
      <c r="BI620" s="76"/>
      <c r="BJ620" s="76" t="s">
        <v>14450</v>
      </c>
      <c r="BK620" s="76" t="b">
        <v>0</v>
      </c>
      <c r="BL620" s="76"/>
      <c r="BM620" s="76" t="s">
        <v>66</v>
      </c>
      <c r="BN620" s="76" t="s">
        <v>14452</v>
      </c>
      <c r="BO620" s="82" t="str">
        <f>HYPERLINK("https://twitter.com/karinpedezert")</f>
        <v>https://twitter.com/karinpedezert</v>
      </c>
      <c r="BP620" s="2"/>
    </row>
    <row r="621" spans="1:68" x14ac:dyDescent="0.25">
      <c r="A621" s="62" t="s">
        <v>755</v>
      </c>
      <c r="B621" s="63"/>
      <c r="C621" s="63"/>
      <c r="D621" s="64"/>
      <c r="E621" s="66"/>
      <c r="F621" s="103" t="str">
        <f>HYPERLINK("https://pbs.twimg.com/profile_images/1658793604754595840/q4PbeBpa_normal.jpg")</f>
        <v>https://pbs.twimg.com/profile_images/1658793604754595840/q4PbeBpa_normal.jpg</v>
      </c>
      <c r="G621" s="63"/>
      <c r="H621" s="67"/>
      <c r="I621" s="68"/>
      <c r="J621" s="68"/>
      <c r="K621" s="67" t="s">
        <v>15070</v>
      </c>
      <c r="L621" s="71"/>
      <c r="M621" s="72"/>
      <c r="N621" s="72"/>
      <c r="O621" s="73"/>
      <c r="P621" s="74"/>
      <c r="Q621" s="74"/>
      <c r="R621" s="87"/>
      <c r="S621" s="87"/>
      <c r="T621" s="87"/>
      <c r="U621" s="87"/>
      <c r="V621" s="48"/>
      <c r="W621" s="48"/>
      <c r="X621" s="48"/>
      <c r="Y621" s="48"/>
      <c r="Z621" s="47"/>
      <c r="AA621" s="69">
        <v>621</v>
      </c>
      <c r="AB621" s="69"/>
      <c r="AC621" s="70"/>
      <c r="AD621" s="76" t="s">
        <v>12347</v>
      </c>
      <c r="AE621" s="80" t="s">
        <v>11663</v>
      </c>
      <c r="AF621" s="76">
        <v>13</v>
      </c>
      <c r="AG621" s="76">
        <v>60</v>
      </c>
      <c r="AH621" s="76">
        <v>1124</v>
      </c>
      <c r="AI621" s="76">
        <v>0</v>
      </c>
      <c r="AJ621" s="76">
        <v>8</v>
      </c>
      <c r="AK621" s="76">
        <v>183</v>
      </c>
      <c r="AL621" s="76" t="b">
        <v>0</v>
      </c>
      <c r="AM621" s="78">
        <v>44827.094629629632</v>
      </c>
      <c r="AN621" s="76"/>
      <c r="AO621" s="76" t="s">
        <v>13790</v>
      </c>
      <c r="AP621" s="82" t="str">
        <f>HYPERLINK("https://t.co/V20obFFZfE")</f>
        <v>https://t.co/V20obFFZfE</v>
      </c>
      <c r="AQ621" s="82" t="str">
        <f>HYPERLINK("https://opensea.io/collection/my-nft-photo-collection-digital")</f>
        <v>https://opensea.io/collection/my-nft-photo-collection-digital</v>
      </c>
      <c r="AR621" s="76" t="s">
        <v>14285</v>
      </c>
      <c r="AS621" s="76"/>
      <c r="AT621" s="76"/>
      <c r="AU621" s="76"/>
      <c r="AV621" s="76">
        <v>1.6164982981096801E+18</v>
      </c>
      <c r="AW621" s="82" t="str">
        <f>HYPERLINK("https://t.co/V20obFFZfE")</f>
        <v>https://t.co/V20obFFZfE</v>
      </c>
      <c r="AX621" s="76" t="b">
        <v>0</v>
      </c>
      <c r="AY621" s="76"/>
      <c r="AZ621" s="76"/>
      <c r="BA621" s="76" t="b">
        <v>0</v>
      </c>
      <c r="BB621" s="76" t="b">
        <v>1</v>
      </c>
      <c r="BC621" s="76" t="b">
        <v>1</v>
      </c>
      <c r="BD621" s="76" t="b">
        <v>0</v>
      </c>
      <c r="BE621" s="76" t="b">
        <v>0</v>
      </c>
      <c r="BF621" s="76" t="b">
        <v>0</v>
      </c>
      <c r="BG621" s="76" t="b">
        <v>0</v>
      </c>
      <c r="BH621" s="76"/>
      <c r="BI621" s="76"/>
      <c r="BJ621" s="76" t="s">
        <v>14450</v>
      </c>
      <c r="BK621" s="76" t="b">
        <v>0</v>
      </c>
      <c r="BL621" s="76"/>
      <c r="BM621" s="76" t="s">
        <v>66</v>
      </c>
      <c r="BN621" s="76" t="s">
        <v>14452</v>
      </c>
      <c r="BO621" s="82" t="str">
        <f>HYPERLINK("https://twitter.com/raquel69454086")</f>
        <v>https://twitter.com/raquel69454086</v>
      </c>
      <c r="BP621" s="2"/>
    </row>
    <row r="622" spans="1:68" x14ac:dyDescent="0.25">
      <c r="A622" s="62" t="s">
        <v>953</v>
      </c>
      <c r="B622" s="63"/>
      <c r="C622" s="63"/>
      <c r="D622" s="64"/>
      <c r="E622" s="66"/>
      <c r="F622" s="103" t="str">
        <f>HYPERLINK("https://pbs.twimg.com/profile_images/1458155610290020353/g54Pxn_a_normal.jpg")</f>
        <v>https://pbs.twimg.com/profile_images/1458155610290020353/g54Pxn_a_normal.jpg</v>
      </c>
      <c r="G622" s="63"/>
      <c r="H622" s="67"/>
      <c r="I622" s="68"/>
      <c r="J622" s="68"/>
      <c r="K622" s="67" t="s">
        <v>15071</v>
      </c>
      <c r="L622" s="71"/>
      <c r="M622" s="72"/>
      <c r="N622" s="72"/>
      <c r="O622" s="73"/>
      <c r="P622" s="74"/>
      <c r="Q622" s="74"/>
      <c r="R622" s="87"/>
      <c r="S622" s="87"/>
      <c r="T622" s="87"/>
      <c r="U622" s="87"/>
      <c r="V622" s="48"/>
      <c r="W622" s="48"/>
      <c r="X622" s="48"/>
      <c r="Y622" s="48"/>
      <c r="Z622" s="47"/>
      <c r="AA622" s="69">
        <v>622</v>
      </c>
      <c r="AB622" s="69"/>
      <c r="AC622" s="70"/>
      <c r="AD622" s="76" t="s">
        <v>12348</v>
      </c>
      <c r="AE622" s="80" t="s">
        <v>12797</v>
      </c>
      <c r="AF622" s="76">
        <v>87217</v>
      </c>
      <c r="AG622" s="76">
        <v>3165</v>
      </c>
      <c r="AH622" s="76">
        <v>16869</v>
      </c>
      <c r="AI622" s="76">
        <v>1135</v>
      </c>
      <c r="AJ622" s="76">
        <v>7948</v>
      </c>
      <c r="AK622" s="76">
        <v>2540</v>
      </c>
      <c r="AL622" s="76" t="b">
        <v>0</v>
      </c>
      <c r="AM622" s="78">
        <v>39616.701863425929</v>
      </c>
      <c r="AN622" s="76" t="s">
        <v>13169</v>
      </c>
      <c r="AO622" s="76" t="s">
        <v>13791</v>
      </c>
      <c r="AP622" s="82" t="str">
        <f>HYPERLINK("https://t.co/4dmhkvlVNU")</f>
        <v>https://t.co/4dmhkvlVNU</v>
      </c>
      <c r="AQ622" s="82" t="str">
        <f>HYPERLINK("http://linktr.ee/russell.brunson")</f>
        <v>http://linktr.ee/russell.brunson</v>
      </c>
      <c r="AR622" s="76" t="s">
        <v>14286</v>
      </c>
      <c r="AS622" s="76"/>
      <c r="AT622" s="76"/>
      <c r="AU622" s="76"/>
      <c r="AV622" s="76"/>
      <c r="AW622" s="82" t="str">
        <f>HYPERLINK("https://t.co/4dmhkvlVNU")</f>
        <v>https://t.co/4dmhkvlVNU</v>
      </c>
      <c r="AX622" s="76" t="b">
        <v>1</v>
      </c>
      <c r="AY622" s="76"/>
      <c r="AZ622" s="76"/>
      <c r="BA622" s="76" t="b">
        <v>0</v>
      </c>
      <c r="BB622" s="76" t="b">
        <v>1</v>
      </c>
      <c r="BC622" s="76" t="b">
        <v>0</v>
      </c>
      <c r="BD622" s="76" t="b">
        <v>0</v>
      </c>
      <c r="BE622" s="76" t="b">
        <v>1</v>
      </c>
      <c r="BF622" s="76" t="b">
        <v>0</v>
      </c>
      <c r="BG622" s="76" t="b">
        <v>0</v>
      </c>
      <c r="BH622" s="82" t="str">
        <f>HYPERLINK("https://pbs.twimg.com/profile_banners/15147630/1583272758")</f>
        <v>https://pbs.twimg.com/profile_banners/15147630/1583272758</v>
      </c>
      <c r="BI622" s="76"/>
      <c r="BJ622" s="76" t="s">
        <v>14450</v>
      </c>
      <c r="BK622" s="76" t="b">
        <v>0</v>
      </c>
      <c r="BL622" s="76"/>
      <c r="BM622" s="76" t="s">
        <v>65</v>
      </c>
      <c r="BN622" s="76" t="s">
        <v>14452</v>
      </c>
      <c r="BO622" s="82" t="str">
        <f>HYPERLINK("https://twitter.com/russellbrunson")</f>
        <v>https://twitter.com/russellbrunson</v>
      </c>
      <c r="BP622" s="2"/>
    </row>
    <row r="623" spans="1:68" x14ac:dyDescent="0.25">
      <c r="A623" s="62" t="s">
        <v>954</v>
      </c>
      <c r="B623" s="63"/>
      <c r="C623" s="63"/>
      <c r="D623" s="64"/>
      <c r="E623" s="66"/>
      <c r="F623" s="103" t="str">
        <f>HYPERLINK("https://pbs.twimg.com/profile_images/1556376535468314625/f1aZvyE-_normal.jpg")</f>
        <v>https://pbs.twimg.com/profile_images/1556376535468314625/f1aZvyE-_normal.jpg</v>
      </c>
      <c r="G623" s="63"/>
      <c r="H623" s="67"/>
      <c r="I623" s="68"/>
      <c r="J623" s="68"/>
      <c r="K623" s="67" t="s">
        <v>15072</v>
      </c>
      <c r="L623" s="71"/>
      <c r="M623" s="72"/>
      <c r="N623" s="72"/>
      <c r="O623" s="73"/>
      <c r="P623" s="74"/>
      <c r="Q623" s="74"/>
      <c r="R623" s="87"/>
      <c r="S623" s="87"/>
      <c r="T623" s="87"/>
      <c r="U623" s="87"/>
      <c r="V623" s="48"/>
      <c r="W623" s="48"/>
      <c r="X623" s="48"/>
      <c r="Y623" s="48"/>
      <c r="Z623" s="47"/>
      <c r="AA623" s="69">
        <v>623</v>
      </c>
      <c r="AB623" s="69"/>
      <c r="AC623" s="70"/>
      <c r="AD623" s="76" t="s">
        <v>12349</v>
      </c>
      <c r="AE623" s="80" t="s">
        <v>11352</v>
      </c>
      <c r="AF623" s="76">
        <v>0</v>
      </c>
      <c r="AG623" s="76">
        <v>5</v>
      </c>
      <c r="AH623" s="76">
        <v>3</v>
      </c>
      <c r="AI623" s="76">
        <v>0</v>
      </c>
      <c r="AJ623" s="76">
        <v>0</v>
      </c>
      <c r="AK623" s="76">
        <v>1</v>
      </c>
      <c r="AL623" s="76" t="b">
        <v>0</v>
      </c>
      <c r="AM623" s="78">
        <v>44769.625856481478</v>
      </c>
      <c r="AN623" s="76"/>
      <c r="AO623" s="76" t="s">
        <v>13792</v>
      </c>
      <c r="AP623" s="76"/>
      <c r="AQ623" s="76"/>
      <c r="AR623" s="76"/>
      <c r="AS623" s="76"/>
      <c r="AT623" s="76"/>
      <c r="AU623" s="76"/>
      <c r="AV623" s="76"/>
      <c r="AW623" s="76"/>
      <c r="AX623" s="76" t="b">
        <v>0</v>
      </c>
      <c r="AY623" s="76"/>
      <c r="AZ623" s="76"/>
      <c r="BA623" s="76" t="b">
        <v>0</v>
      </c>
      <c r="BB623" s="76" t="b">
        <v>1</v>
      </c>
      <c r="BC623" s="76" t="b">
        <v>1</v>
      </c>
      <c r="BD623" s="76" t="b">
        <v>0</v>
      </c>
      <c r="BE623" s="76" t="b">
        <v>0</v>
      </c>
      <c r="BF623" s="76" t="b">
        <v>0</v>
      </c>
      <c r="BG623" s="76" t="b">
        <v>0</v>
      </c>
      <c r="BH623" s="76"/>
      <c r="BI623" s="76"/>
      <c r="BJ623" s="76" t="s">
        <v>14450</v>
      </c>
      <c r="BK623" s="76" t="b">
        <v>0</v>
      </c>
      <c r="BL623" s="76"/>
      <c r="BM623" s="76" t="s">
        <v>65</v>
      </c>
      <c r="BN623" s="76" t="s">
        <v>14452</v>
      </c>
      <c r="BO623" s="82" t="str">
        <f>HYPERLINK("https://twitter.com/felipe09051997")</f>
        <v>https://twitter.com/felipe09051997</v>
      </c>
      <c r="BP623" s="2"/>
    </row>
    <row r="624" spans="1:68" x14ac:dyDescent="0.25">
      <c r="A624" s="62" t="s">
        <v>756</v>
      </c>
      <c r="B624" s="63"/>
      <c r="C624" s="63"/>
      <c r="D624" s="64"/>
      <c r="E624" s="66"/>
      <c r="F624" s="103" t="str">
        <f>HYPERLINK("https://pbs.twimg.com/profile_images/1430170206526230542/ottW0CdZ_normal.jpg")</f>
        <v>https://pbs.twimg.com/profile_images/1430170206526230542/ottW0CdZ_normal.jpg</v>
      </c>
      <c r="G624" s="63"/>
      <c r="H624" s="67"/>
      <c r="I624" s="68"/>
      <c r="J624" s="68"/>
      <c r="K624" s="67" t="s">
        <v>15073</v>
      </c>
      <c r="L624" s="71"/>
      <c r="M624" s="72"/>
      <c r="N624" s="72"/>
      <c r="O624" s="73"/>
      <c r="P624" s="74"/>
      <c r="Q624" s="74"/>
      <c r="R624" s="87"/>
      <c r="S624" s="87"/>
      <c r="T624" s="87"/>
      <c r="U624" s="87"/>
      <c r="V624" s="48"/>
      <c r="W624" s="48"/>
      <c r="X624" s="48"/>
      <c r="Y624" s="48"/>
      <c r="Z624" s="47"/>
      <c r="AA624" s="69">
        <v>624</v>
      </c>
      <c r="AB624" s="69"/>
      <c r="AC624" s="70"/>
      <c r="AD624" s="76" t="s">
        <v>12350</v>
      </c>
      <c r="AE624" s="80" t="s">
        <v>12798</v>
      </c>
      <c r="AF624" s="76">
        <v>813033</v>
      </c>
      <c r="AG624" s="76">
        <v>54</v>
      </c>
      <c r="AH624" s="76">
        <v>207286</v>
      </c>
      <c r="AI624" s="76">
        <v>1554</v>
      </c>
      <c r="AJ624" s="76">
        <v>1472</v>
      </c>
      <c r="AK624" s="76">
        <v>67761</v>
      </c>
      <c r="AL624" s="76" t="b">
        <v>0</v>
      </c>
      <c r="AM624" s="78">
        <v>40551.696643518517</v>
      </c>
      <c r="AN624" s="76" t="s">
        <v>13170</v>
      </c>
      <c r="AO624" s="76" t="s">
        <v>13793</v>
      </c>
      <c r="AP624" s="82" t="str">
        <f>HYPERLINK("https://t.co/StBJsn0Wle")</f>
        <v>https://t.co/StBJsn0Wle</v>
      </c>
      <c r="AQ624" s="82" t="str">
        <f>HYPERLINK("http://www.sonora.com.gt")</f>
        <v>http://www.sonora.com.gt</v>
      </c>
      <c r="AR624" s="76" t="s">
        <v>14287</v>
      </c>
      <c r="AS624" s="76"/>
      <c r="AT624" s="76"/>
      <c r="AU624" s="76"/>
      <c r="AV624" s="76">
        <v>1.70705145242467E+18</v>
      </c>
      <c r="AW624" s="82" t="str">
        <f>HYPERLINK("https://t.co/StBJsn0Wle")</f>
        <v>https://t.co/StBJsn0Wle</v>
      </c>
      <c r="AX624" s="76" t="b">
        <v>1</v>
      </c>
      <c r="AY624" s="76"/>
      <c r="AZ624" s="76"/>
      <c r="BA624" s="76" t="b">
        <v>0</v>
      </c>
      <c r="BB624" s="76" t="b">
        <v>0</v>
      </c>
      <c r="BC624" s="76" t="b">
        <v>0</v>
      </c>
      <c r="BD624" s="76" t="b">
        <v>0</v>
      </c>
      <c r="BE624" s="76" t="b">
        <v>1</v>
      </c>
      <c r="BF624" s="76" t="b">
        <v>0</v>
      </c>
      <c r="BG624" s="76" t="b">
        <v>1</v>
      </c>
      <c r="BH624" s="82" t="str">
        <f>HYPERLINK("https://pbs.twimg.com/profile_banners/235605750/1640110146")</f>
        <v>https://pbs.twimg.com/profile_banners/235605750/1640110146</v>
      </c>
      <c r="BI624" s="76" t="s">
        <v>14449</v>
      </c>
      <c r="BJ624" s="76" t="s">
        <v>14450</v>
      </c>
      <c r="BK624" s="76" t="b">
        <v>0</v>
      </c>
      <c r="BL624" s="76"/>
      <c r="BM624" s="76" t="s">
        <v>66</v>
      </c>
      <c r="BN624" s="76" t="s">
        <v>14452</v>
      </c>
      <c r="BO624" s="82" t="str">
        <f>HYPERLINK("https://twitter.com/sonora969")</f>
        <v>https://twitter.com/sonora969</v>
      </c>
      <c r="BP624" s="2"/>
    </row>
    <row r="625" spans="1:68" x14ac:dyDescent="0.25">
      <c r="A625" s="62" t="s">
        <v>757</v>
      </c>
      <c r="B625" s="63"/>
      <c r="C625" s="63"/>
      <c r="D625" s="64"/>
      <c r="E625" s="66"/>
      <c r="F625" s="103" t="str">
        <f>HYPERLINK("https://pbs.twimg.com/profile_images/1599745178968915969/baYrbK-r_normal.jpg")</f>
        <v>https://pbs.twimg.com/profile_images/1599745178968915969/baYrbK-r_normal.jpg</v>
      </c>
      <c r="G625" s="63"/>
      <c r="H625" s="67"/>
      <c r="I625" s="68"/>
      <c r="J625" s="68"/>
      <c r="K625" s="67" t="s">
        <v>15074</v>
      </c>
      <c r="L625" s="71"/>
      <c r="M625" s="72"/>
      <c r="N625" s="72"/>
      <c r="O625" s="73"/>
      <c r="P625" s="74"/>
      <c r="Q625" s="74"/>
      <c r="R625" s="87"/>
      <c r="S625" s="87"/>
      <c r="T625" s="87"/>
      <c r="U625" s="87"/>
      <c r="V625" s="48"/>
      <c r="W625" s="48"/>
      <c r="X625" s="48"/>
      <c r="Y625" s="48"/>
      <c r="Z625" s="47"/>
      <c r="AA625" s="69">
        <v>625</v>
      </c>
      <c r="AB625" s="69"/>
      <c r="AC625" s="70"/>
      <c r="AD625" s="76" t="s">
        <v>12351</v>
      </c>
      <c r="AE625" s="80" t="s">
        <v>12799</v>
      </c>
      <c r="AF625" s="76">
        <v>744</v>
      </c>
      <c r="AG625" s="76">
        <v>201</v>
      </c>
      <c r="AH625" s="76">
        <v>13939</v>
      </c>
      <c r="AI625" s="76">
        <v>26</v>
      </c>
      <c r="AJ625" s="76">
        <v>448396</v>
      </c>
      <c r="AK625" s="76">
        <v>514</v>
      </c>
      <c r="AL625" s="76" t="b">
        <v>0</v>
      </c>
      <c r="AM625" s="78">
        <v>39967.59574074074</v>
      </c>
      <c r="AN625" s="76" t="s">
        <v>7791</v>
      </c>
      <c r="AO625" s="76" t="s">
        <v>13794</v>
      </c>
      <c r="AP625" s="82" t="str">
        <f>HYPERLINK("https://t.co/HPhnmeKruU")</f>
        <v>https://t.co/HPhnmeKruU</v>
      </c>
      <c r="AQ625" s="82" t="str">
        <f>HYPERLINK("https://pcontrol.com.br")</f>
        <v>https://pcontrol.com.br</v>
      </c>
      <c r="AR625" s="76" t="s">
        <v>14288</v>
      </c>
      <c r="AS625" s="76"/>
      <c r="AT625" s="76"/>
      <c r="AU625" s="76"/>
      <c r="AV625" s="76"/>
      <c r="AW625" s="82" t="str">
        <f>HYPERLINK("https://t.co/HPhnmeKruU")</f>
        <v>https://t.co/HPhnmeKruU</v>
      </c>
      <c r="AX625" s="76" t="b">
        <v>0</v>
      </c>
      <c r="AY625" s="76"/>
      <c r="AZ625" s="76"/>
      <c r="BA625" s="76" t="b">
        <v>1</v>
      </c>
      <c r="BB625" s="76" t="b">
        <v>1</v>
      </c>
      <c r="BC625" s="76" t="b">
        <v>1</v>
      </c>
      <c r="BD625" s="76" t="b">
        <v>0</v>
      </c>
      <c r="BE625" s="76" t="b">
        <v>1</v>
      </c>
      <c r="BF625" s="76" t="b">
        <v>0</v>
      </c>
      <c r="BG625" s="76" t="b">
        <v>0</v>
      </c>
      <c r="BH625" s="82" t="str">
        <f>HYPERLINK("https://pbs.twimg.com/profile_banners/44367018/1476620054")</f>
        <v>https://pbs.twimg.com/profile_banners/44367018/1476620054</v>
      </c>
      <c r="BI625" s="76"/>
      <c r="BJ625" s="76" t="s">
        <v>14450</v>
      </c>
      <c r="BK625" s="76" t="b">
        <v>0</v>
      </c>
      <c r="BL625" s="76"/>
      <c r="BM625" s="76" t="s">
        <v>66</v>
      </c>
      <c r="BN625" s="76" t="s">
        <v>14452</v>
      </c>
      <c r="BO625" s="82" t="str">
        <f>HYPERLINK("https://twitter.com/helder_willian")</f>
        <v>https://twitter.com/helder_willian</v>
      </c>
      <c r="BP625" s="2"/>
    </row>
    <row r="626" spans="1:68" x14ac:dyDescent="0.25">
      <c r="A626" s="62" t="s">
        <v>758</v>
      </c>
      <c r="B626" s="63"/>
      <c r="C626" s="63"/>
      <c r="D626" s="64"/>
      <c r="E626" s="66"/>
      <c r="F626" s="103" t="str">
        <f>HYPERLINK("https://pbs.twimg.com/profile_images/1689793014967808000/lUn5o0vi_normal.jpg")</f>
        <v>https://pbs.twimg.com/profile_images/1689793014967808000/lUn5o0vi_normal.jpg</v>
      </c>
      <c r="G626" s="63"/>
      <c r="H626" s="67"/>
      <c r="I626" s="68"/>
      <c r="J626" s="68"/>
      <c r="K626" s="67" t="s">
        <v>15075</v>
      </c>
      <c r="L626" s="71"/>
      <c r="M626" s="72"/>
      <c r="N626" s="72"/>
      <c r="O626" s="73"/>
      <c r="P626" s="74"/>
      <c r="Q626" s="74"/>
      <c r="R626" s="87"/>
      <c r="S626" s="87"/>
      <c r="T626" s="87"/>
      <c r="U626" s="87"/>
      <c r="V626" s="48"/>
      <c r="W626" s="48"/>
      <c r="X626" s="48"/>
      <c r="Y626" s="48"/>
      <c r="Z626" s="47"/>
      <c r="AA626" s="69">
        <v>626</v>
      </c>
      <c r="AB626" s="69"/>
      <c r="AC626" s="70"/>
      <c r="AD626" s="76" t="s">
        <v>12352</v>
      </c>
      <c r="AE626" s="80" t="s">
        <v>12800</v>
      </c>
      <c r="AF626" s="76">
        <v>17182</v>
      </c>
      <c r="AG626" s="76">
        <v>29</v>
      </c>
      <c r="AH626" s="76">
        <v>12844</v>
      </c>
      <c r="AI626" s="76">
        <v>13</v>
      </c>
      <c r="AJ626" s="76">
        <v>530</v>
      </c>
      <c r="AK626" s="76">
        <v>1340</v>
      </c>
      <c r="AL626" s="76" t="b">
        <v>0</v>
      </c>
      <c r="AM626" s="78">
        <v>40637.838449074072</v>
      </c>
      <c r="AN626" s="76" t="s">
        <v>13171</v>
      </c>
      <c r="AO626" s="76" t="s">
        <v>13795</v>
      </c>
      <c r="AP626" s="82" t="str">
        <f>HYPERLINK("https://t.co/Tq9FedggUD")</f>
        <v>https://t.co/Tq9FedggUD</v>
      </c>
      <c r="AQ626" s="82" t="str">
        <f>HYPERLINK("http://carlossantos.com.br")</f>
        <v>http://carlossantos.com.br</v>
      </c>
      <c r="AR626" s="76" t="s">
        <v>14289</v>
      </c>
      <c r="AS626" s="76"/>
      <c r="AT626" s="76"/>
      <c r="AU626" s="76"/>
      <c r="AV626" s="76"/>
      <c r="AW626" s="82" t="str">
        <f>HYPERLINK("https://t.co/Tq9FedggUD")</f>
        <v>https://t.co/Tq9FedggUD</v>
      </c>
      <c r="AX626" s="76" t="b">
        <v>1</v>
      </c>
      <c r="AY626" s="76"/>
      <c r="AZ626" s="76"/>
      <c r="BA626" s="76" t="b">
        <v>1</v>
      </c>
      <c r="BB626" s="76" t="b">
        <v>0</v>
      </c>
      <c r="BC626" s="76" t="b">
        <v>0</v>
      </c>
      <c r="BD626" s="76" t="b">
        <v>0</v>
      </c>
      <c r="BE626" s="76" t="b">
        <v>1</v>
      </c>
      <c r="BF626" s="76" t="b">
        <v>0</v>
      </c>
      <c r="BG626" s="76" t="b">
        <v>0</v>
      </c>
      <c r="BH626" s="82" t="str">
        <f>HYPERLINK("https://pbs.twimg.com/profile_banners/277150932/1690566106")</f>
        <v>https://pbs.twimg.com/profile_banners/277150932/1690566106</v>
      </c>
      <c r="BI626" s="76"/>
      <c r="BJ626" s="76" t="s">
        <v>14450</v>
      </c>
      <c r="BK626" s="76" t="b">
        <v>0</v>
      </c>
      <c r="BL626" s="76"/>
      <c r="BM626" s="76" t="s">
        <v>66</v>
      </c>
      <c r="BN626" s="76" t="s">
        <v>14452</v>
      </c>
      <c r="BO626" s="82" t="str">
        <f>HYPERLINK("https://twitter.com/carlossantosven")</f>
        <v>https://twitter.com/carlossantosven</v>
      </c>
      <c r="BP626" s="2"/>
    </row>
    <row r="627" spans="1:68" x14ac:dyDescent="0.25">
      <c r="A627" s="62" t="s">
        <v>759</v>
      </c>
      <c r="B627" s="63"/>
      <c r="C627" s="63"/>
      <c r="D627" s="64"/>
      <c r="E627" s="66"/>
      <c r="F627" s="103" t="str">
        <f>HYPERLINK("https://pbs.twimg.com/profile_images/1359971820162723841/V0KGiFK6_normal.jpg")</f>
        <v>https://pbs.twimg.com/profile_images/1359971820162723841/V0KGiFK6_normal.jpg</v>
      </c>
      <c r="G627" s="63"/>
      <c r="H627" s="67"/>
      <c r="I627" s="68"/>
      <c r="J627" s="68"/>
      <c r="K627" s="67" t="s">
        <v>15076</v>
      </c>
      <c r="L627" s="71"/>
      <c r="M627" s="72"/>
      <c r="N627" s="72"/>
      <c r="O627" s="73"/>
      <c r="P627" s="74"/>
      <c r="Q627" s="74"/>
      <c r="R627" s="87"/>
      <c r="S627" s="87"/>
      <c r="T627" s="87"/>
      <c r="U627" s="87"/>
      <c r="V627" s="48"/>
      <c r="W627" s="48"/>
      <c r="X627" s="48"/>
      <c r="Y627" s="48"/>
      <c r="Z627" s="47"/>
      <c r="AA627" s="69">
        <v>627</v>
      </c>
      <c r="AB627" s="69"/>
      <c r="AC627" s="70"/>
      <c r="AD627" s="76" t="s">
        <v>12353</v>
      </c>
      <c r="AE627" s="80" t="s">
        <v>11664</v>
      </c>
      <c r="AF627" s="76">
        <v>4</v>
      </c>
      <c r="AG627" s="76">
        <v>12</v>
      </c>
      <c r="AH627" s="76">
        <v>29</v>
      </c>
      <c r="AI627" s="76">
        <v>0</v>
      </c>
      <c r="AJ627" s="76">
        <v>0</v>
      </c>
      <c r="AK627" s="76">
        <v>28</v>
      </c>
      <c r="AL627" s="76" t="b">
        <v>0</v>
      </c>
      <c r="AM627" s="78">
        <v>44238.87835648148</v>
      </c>
      <c r="AN627" s="76"/>
      <c r="AO627" s="76" t="s">
        <v>13796</v>
      </c>
      <c r="AP627" s="76"/>
      <c r="AQ627" s="76"/>
      <c r="AR627" s="76"/>
      <c r="AS627" s="76"/>
      <c r="AT627" s="76"/>
      <c r="AU627" s="76"/>
      <c r="AV627" s="76"/>
      <c r="AW627" s="76"/>
      <c r="AX627" s="76" t="b">
        <v>0</v>
      </c>
      <c r="AY627" s="76"/>
      <c r="AZ627" s="76"/>
      <c r="BA627" s="76" t="b">
        <v>0</v>
      </c>
      <c r="BB627" s="76" t="b">
        <v>1</v>
      </c>
      <c r="BC627" s="76" t="b">
        <v>1</v>
      </c>
      <c r="BD627" s="76" t="b">
        <v>0</v>
      </c>
      <c r="BE627" s="76" t="b">
        <v>0</v>
      </c>
      <c r="BF627" s="76" t="b">
        <v>0</v>
      </c>
      <c r="BG627" s="76" t="b">
        <v>0</v>
      </c>
      <c r="BH627" s="82" t="str">
        <f>HYPERLINK("https://pbs.twimg.com/profile_banners/1359971628164202497/1613088022")</f>
        <v>https://pbs.twimg.com/profile_banners/1359971628164202497/1613088022</v>
      </c>
      <c r="BI627" s="76"/>
      <c r="BJ627" s="76" t="s">
        <v>14450</v>
      </c>
      <c r="BK627" s="76" t="b">
        <v>0</v>
      </c>
      <c r="BL627" s="76"/>
      <c r="BM627" s="76" t="s">
        <v>66</v>
      </c>
      <c r="BN627" s="76" t="s">
        <v>14452</v>
      </c>
      <c r="BO627" s="82" t="str">
        <f>HYPERLINK("https://twitter.com/binterchallenge")</f>
        <v>https://twitter.com/binterchallenge</v>
      </c>
      <c r="BP627" s="2"/>
    </row>
    <row r="628" spans="1:68" x14ac:dyDescent="0.25">
      <c r="A628" s="62" t="s">
        <v>760</v>
      </c>
      <c r="B628" s="63"/>
      <c r="C628" s="63"/>
      <c r="D628" s="64"/>
      <c r="E628" s="66"/>
      <c r="F628" s="103" t="str">
        <f>HYPERLINK("https://pbs.twimg.com/profile_images/830467128373420033/ouWCqZW__normal.jpg")</f>
        <v>https://pbs.twimg.com/profile_images/830467128373420033/ouWCqZW__normal.jpg</v>
      </c>
      <c r="G628" s="63"/>
      <c r="H628" s="67"/>
      <c r="I628" s="68"/>
      <c r="J628" s="68"/>
      <c r="K628" s="67" t="s">
        <v>15077</v>
      </c>
      <c r="L628" s="71"/>
      <c r="M628" s="72"/>
      <c r="N628" s="72"/>
      <c r="O628" s="73"/>
      <c r="P628" s="74"/>
      <c r="Q628" s="74"/>
      <c r="R628" s="87"/>
      <c r="S628" s="87"/>
      <c r="T628" s="87"/>
      <c r="U628" s="87"/>
      <c r="V628" s="48"/>
      <c r="W628" s="48"/>
      <c r="X628" s="48"/>
      <c r="Y628" s="48"/>
      <c r="Z628" s="47"/>
      <c r="AA628" s="69">
        <v>628</v>
      </c>
      <c r="AB628" s="69"/>
      <c r="AC628" s="70"/>
      <c r="AD628" s="76" t="s">
        <v>12354</v>
      </c>
      <c r="AE628" s="80" t="s">
        <v>11353</v>
      </c>
      <c r="AF628" s="76">
        <v>1373</v>
      </c>
      <c r="AG628" s="76">
        <v>4973</v>
      </c>
      <c r="AH628" s="76">
        <v>6308</v>
      </c>
      <c r="AI628" s="76">
        <v>0</v>
      </c>
      <c r="AJ628" s="76">
        <v>14061</v>
      </c>
      <c r="AK628" s="76">
        <v>767</v>
      </c>
      <c r="AL628" s="76" t="b">
        <v>0</v>
      </c>
      <c r="AM628" s="78">
        <v>41902.943206018521</v>
      </c>
      <c r="AN628" s="76" t="s">
        <v>13172</v>
      </c>
      <c r="AO628" s="76" t="s">
        <v>13797</v>
      </c>
      <c r="AP628" s="76"/>
      <c r="AQ628" s="76"/>
      <c r="AR628" s="76"/>
      <c r="AS628" s="76"/>
      <c r="AT628" s="76"/>
      <c r="AU628" s="76"/>
      <c r="AV628" s="76">
        <v>1.64660221450322E+18</v>
      </c>
      <c r="AW628" s="76"/>
      <c r="AX628" s="76" t="b">
        <v>0</v>
      </c>
      <c r="AY628" s="76"/>
      <c r="AZ628" s="76"/>
      <c r="BA628" s="76" t="b">
        <v>1</v>
      </c>
      <c r="BB628" s="76" t="b">
        <v>0</v>
      </c>
      <c r="BC628" s="76" t="b">
        <v>0</v>
      </c>
      <c r="BD628" s="76" t="b">
        <v>0</v>
      </c>
      <c r="BE628" s="76" t="b">
        <v>1</v>
      </c>
      <c r="BF628" s="76" t="b">
        <v>0</v>
      </c>
      <c r="BG628" s="76" t="b">
        <v>0</v>
      </c>
      <c r="BH628" s="82" t="str">
        <f>HYPERLINK("https://pbs.twimg.com/profile_banners/2822869686/1486833855")</f>
        <v>https://pbs.twimg.com/profile_banners/2822869686/1486833855</v>
      </c>
      <c r="BI628" s="76"/>
      <c r="BJ628" s="76" t="s">
        <v>14450</v>
      </c>
      <c r="BK628" s="76" t="b">
        <v>0</v>
      </c>
      <c r="BL628" s="76"/>
      <c r="BM628" s="76" t="s">
        <v>66</v>
      </c>
      <c r="BN628" s="76" t="s">
        <v>14452</v>
      </c>
      <c r="BO628" s="82" t="str">
        <f>HYPERLINK("https://twitter.com/feral_82")</f>
        <v>https://twitter.com/feral_82</v>
      </c>
      <c r="BP628" s="2"/>
    </row>
    <row r="629" spans="1:68" x14ac:dyDescent="0.25">
      <c r="A629" s="62" t="s">
        <v>761</v>
      </c>
      <c r="B629" s="63"/>
      <c r="C629" s="63"/>
      <c r="D629" s="64"/>
      <c r="E629" s="66"/>
      <c r="F629" s="103" t="str">
        <f>HYPERLINK("https://pbs.twimg.com/profile_images/1681124614037032960/XPllAfBu_normal.png")</f>
        <v>https://pbs.twimg.com/profile_images/1681124614037032960/XPllAfBu_normal.png</v>
      </c>
      <c r="G629" s="63"/>
      <c r="H629" s="67"/>
      <c r="I629" s="68"/>
      <c r="J629" s="68"/>
      <c r="K629" s="67" t="s">
        <v>15078</v>
      </c>
      <c r="L629" s="71"/>
      <c r="M629" s="72"/>
      <c r="N629" s="72"/>
      <c r="O629" s="73"/>
      <c r="P629" s="74"/>
      <c r="Q629" s="74"/>
      <c r="R629" s="87"/>
      <c r="S629" s="87"/>
      <c r="T629" s="87"/>
      <c r="U629" s="87"/>
      <c r="V629" s="48"/>
      <c r="W629" s="48"/>
      <c r="X629" s="48"/>
      <c r="Y629" s="48"/>
      <c r="Z629" s="47"/>
      <c r="AA629" s="69">
        <v>629</v>
      </c>
      <c r="AB629" s="69"/>
      <c r="AC629" s="70"/>
      <c r="AD629" s="76" t="s">
        <v>12355</v>
      </c>
      <c r="AE629" s="80" t="s">
        <v>11665</v>
      </c>
      <c r="AF629" s="76">
        <v>0</v>
      </c>
      <c r="AG629" s="76">
        <v>9</v>
      </c>
      <c r="AH629" s="76">
        <v>3</v>
      </c>
      <c r="AI629" s="76">
        <v>0</v>
      </c>
      <c r="AJ629" s="76">
        <v>2</v>
      </c>
      <c r="AK629" s="76">
        <v>0</v>
      </c>
      <c r="AL629" s="76" t="b">
        <v>0</v>
      </c>
      <c r="AM629" s="78">
        <v>45125.091620370367</v>
      </c>
      <c r="AN629" s="76"/>
      <c r="AO629" s="76"/>
      <c r="AP629" s="76"/>
      <c r="AQ629" s="76"/>
      <c r="AR629" s="76"/>
      <c r="AS629" s="76"/>
      <c r="AT629" s="76"/>
      <c r="AU629" s="76"/>
      <c r="AV629" s="76"/>
      <c r="AW629" s="76"/>
      <c r="AX629" s="76" t="b">
        <v>0</v>
      </c>
      <c r="AY629" s="76"/>
      <c r="AZ629" s="76"/>
      <c r="BA629" s="76" t="b">
        <v>0</v>
      </c>
      <c r="BB629" s="76" t="b">
        <v>1</v>
      </c>
      <c r="BC629" s="76" t="b">
        <v>1</v>
      </c>
      <c r="BD629" s="76" t="b">
        <v>0</v>
      </c>
      <c r="BE629" s="76" t="b">
        <v>0</v>
      </c>
      <c r="BF629" s="76" t="b">
        <v>0</v>
      </c>
      <c r="BG629" s="76" t="b">
        <v>0</v>
      </c>
      <c r="BH629" s="76"/>
      <c r="BI629" s="76"/>
      <c r="BJ629" s="76" t="s">
        <v>14450</v>
      </c>
      <c r="BK629" s="76" t="b">
        <v>0</v>
      </c>
      <c r="BL629" s="76"/>
      <c r="BM629" s="76" t="s">
        <v>66</v>
      </c>
      <c r="BN629" s="76" t="s">
        <v>14452</v>
      </c>
      <c r="BO629" s="82" t="str">
        <f>HYPERLINK("https://twitter.com/sammuelfogaca")</f>
        <v>https://twitter.com/sammuelfogaca</v>
      </c>
      <c r="BP629" s="2"/>
    </row>
    <row r="630" spans="1:68" x14ac:dyDescent="0.25">
      <c r="A630" s="62" t="s">
        <v>762</v>
      </c>
      <c r="B630" s="63"/>
      <c r="C630" s="63"/>
      <c r="D630" s="64"/>
      <c r="E630" s="66"/>
      <c r="F630" s="103" t="str">
        <f>HYPERLINK("https://pbs.twimg.com/profile_images/1357708651700568069/o-_OPxPm_normal.jpg")</f>
        <v>https://pbs.twimg.com/profile_images/1357708651700568069/o-_OPxPm_normal.jpg</v>
      </c>
      <c r="G630" s="63"/>
      <c r="H630" s="67"/>
      <c r="I630" s="68"/>
      <c r="J630" s="68"/>
      <c r="K630" s="67" t="s">
        <v>15079</v>
      </c>
      <c r="L630" s="71"/>
      <c r="M630" s="72"/>
      <c r="N630" s="72"/>
      <c r="O630" s="73"/>
      <c r="P630" s="74"/>
      <c r="Q630" s="74"/>
      <c r="R630" s="87"/>
      <c r="S630" s="87"/>
      <c r="T630" s="87"/>
      <c r="U630" s="87"/>
      <c r="V630" s="48"/>
      <c r="W630" s="48"/>
      <c r="X630" s="48"/>
      <c r="Y630" s="48"/>
      <c r="Z630" s="47"/>
      <c r="AA630" s="69">
        <v>630</v>
      </c>
      <c r="AB630" s="69"/>
      <c r="AC630" s="70"/>
      <c r="AD630" s="76" t="s">
        <v>12356</v>
      </c>
      <c r="AE630" s="80" t="s">
        <v>12801</v>
      </c>
      <c r="AF630" s="76">
        <v>1898</v>
      </c>
      <c r="AG630" s="76">
        <v>536</v>
      </c>
      <c r="AH630" s="76">
        <v>40558</v>
      </c>
      <c r="AI630" s="76">
        <v>14</v>
      </c>
      <c r="AJ630" s="76">
        <v>178</v>
      </c>
      <c r="AK630" s="76">
        <v>11688</v>
      </c>
      <c r="AL630" s="76" t="b">
        <v>0</v>
      </c>
      <c r="AM630" s="78">
        <v>40593.700115740743</v>
      </c>
      <c r="AN630" s="76" t="s">
        <v>13173</v>
      </c>
      <c r="AO630" s="76" t="s">
        <v>13798</v>
      </c>
      <c r="AP630" s="82" t="str">
        <f>HYPERLINK("https://t.co/LJV6C8qemO")</f>
        <v>https://t.co/LJV6C8qemO</v>
      </c>
      <c r="AQ630" s="82" t="str">
        <f>HYPERLINK("https://www.elcucodigital.com/")</f>
        <v>https://www.elcucodigital.com/</v>
      </c>
      <c r="AR630" s="76" t="s">
        <v>4337</v>
      </c>
      <c r="AS630" s="76"/>
      <c r="AT630" s="76"/>
      <c r="AU630" s="76"/>
      <c r="AV630" s="76"/>
      <c r="AW630" s="82" t="str">
        <f>HYPERLINK("https://t.co/LJV6C8qemO")</f>
        <v>https://t.co/LJV6C8qemO</v>
      </c>
      <c r="AX630" s="76" t="b">
        <v>0</v>
      </c>
      <c r="AY630" s="76"/>
      <c r="AZ630" s="76"/>
      <c r="BA630" s="76" t="b">
        <v>0</v>
      </c>
      <c r="BB630" s="76" t="b">
        <v>1</v>
      </c>
      <c r="BC630" s="76" t="b">
        <v>0</v>
      </c>
      <c r="BD630" s="76" t="b">
        <v>0</v>
      </c>
      <c r="BE630" s="76" t="b">
        <v>0</v>
      </c>
      <c r="BF630" s="76" t="b">
        <v>0</v>
      </c>
      <c r="BG630" s="76" t="b">
        <v>0</v>
      </c>
      <c r="BH630" s="82" t="str">
        <f>HYPERLINK("https://pbs.twimg.com/profile_banners/254611669/1612537944")</f>
        <v>https://pbs.twimg.com/profile_banners/254611669/1612537944</v>
      </c>
      <c r="BI630" s="76"/>
      <c r="BJ630" s="76" t="s">
        <v>14450</v>
      </c>
      <c r="BK630" s="76" t="b">
        <v>0</v>
      </c>
      <c r="BL630" s="76"/>
      <c r="BM630" s="76" t="s">
        <v>66</v>
      </c>
      <c r="BN630" s="76" t="s">
        <v>14452</v>
      </c>
      <c r="BO630" s="82" t="str">
        <f>HYPERLINK("https://twitter.com/elcucodigital")</f>
        <v>https://twitter.com/elcucodigital</v>
      </c>
      <c r="BP630" s="2"/>
    </row>
    <row r="631" spans="1:68" x14ac:dyDescent="0.25">
      <c r="A631" s="62" t="s">
        <v>763</v>
      </c>
      <c r="B631" s="63"/>
      <c r="C631" s="63"/>
      <c r="D631" s="64"/>
      <c r="E631" s="66"/>
      <c r="F631" s="103" t="str">
        <f>HYPERLINK("https://pbs.twimg.com/profile_images/1655299563811397632/ybOOZxXt_normal.jpg")</f>
        <v>https://pbs.twimg.com/profile_images/1655299563811397632/ybOOZxXt_normal.jpg</v>
      </c>
      <c r="G631" s="63"/>
      <c r="H631" s="67"/>
      <c r="I631" s="68"/>
      <c r="J631" s="68"/>
      <c r="K631" s="67" t="s">
        <v>15080</v>
      </c>
      <c r="L631" s="71"/>
      <c r="M631" s="72"/>
      <c r="N631" s="72"/>
      <c r="O631" s="73"/>
      <c r="P631" s="74"/>
      <c r="Q631" s="74"/>
      <c r="R631" s="87"/>
      <c r="S631" s="87"/>
      <c r="T631" s="87"/>
      <c r="U631" s="87"/>
      <c r="V631" s="48"/>
      <c r="W631" s="48"/>
      <c r="X631" s="48"/>
      <c r="Y631" s="48"/>
      <c r="Z631" s="47"/>
      <c r="AA631" s="69">
        <v>631</v>
      </c>
      <c r="AB631" s="69"/>
      <c r="AC631" s="70"/>
      <c r="AD631" s="76" t="s">
        <v>12357</v>
      </c>
      <c r="AE631" s="80" t="s">
        <v>12802</v>
      </c>
      <c r="AF631" s="76">
        <v>71</v>
      </c>
      <c r="AG631" s="76">
        <v>473</v>
      </c>
      <c r="AH631" s="76">
        <v>546</v>
      </c>
      <c r="AI631" s="76">
        <v>0</v>
      </c>
      <c r="AJ631" s="76">
        <v>1214</v>
      </c>
      <c r="AK631" s="76">
        <v>149</v>
      </c>
      <c r="AL631" s="76" t="b">
        <v>0</v>
      </c>
      <c r="AM631" s="78">
        <v>40225.55395833333</v>
      </c>
      <c r="AN631" s="76" t="s">
        <v>13174</v>
      </c>
      <c r="AO631" s="76" t="s">
        <v>13799</v>
      </c>
      <c r="AP631" s="82" t="str">
        <f>HYPERLINK("https://t.co/h3mttLZwt4")</f>
        <v>https://t.co/h3mttLZwt4</v>
      </c>
      <c r="AQ631" s="82" t="str">
        <f>HYPERLINK("http://www.pintomotaadvocacia.com.br")</f>
        <v>http://www.pintomotaadvocacia.com.br</v>
      </c>
      <c r="AR631" s="76" t="s">
        <v>14290</v>
      </c>
      <c r="AS631" s="76"/>
      <c r="AT631" s="76"/>
      <c r="AU631" s="76"/>
      <c r="AV631" s="76"/>
      <c r="AW631" s="82" t="str">
        <f>HYPERLINK("https://t.co/h3mttLZwt4")</f>
        <v>https://t.co/h3mttLZwt4</v>
      </c>
      <c r="AX631" s="76" t="b">
        <v>0</v>
      </c>
      <c r="AY631" s="76"/>
      <c r="AZ631" s="76"/>
      <c r="BA631" s="76" t="b">
        <v>0</v>
      </c>
      <c r="BB631" s="76" t="b">
        <v>1</v>
      </c>
      <c r="BC631" s="76" t="b">
        <v>1</v>
      </c>
      <c r="BD631" s="76" t="b">
        <v>0</v>
      </c>
      <c r="BE631" s="76" t="b">
        <v>0</v>
      </c>
      <c r="BF631" s="76" t="b">
        <v>0</v>
      </c>
      <c r="BG631" s="76" t="b">
        <v>0</v>
      </c>
      <c r="BH631" s="76"/>
      <c r="BI631" s="76"/>
      <c r="BJ631" s="76" t="s">
        <v>14450</v>
      </c>
      <c r="BK631" s="76" t="b">
        <v>0</v>
      </c>
      <c r="BL631" s="76"/>
      <c r="BM631" s="76" t="s">
        <v>66</v>
      </c>
      <c r="BN631" s="76" t="s">
        <v>14452</v>
      </c>
      <c r="BO631" s="82" t="str">
        <f>HYPERLINK("https://twitter.com/renatinhomota")</f>
        <v>https://twitter.com/renatinhomota</v>
      </c>
      <c r="BP631" s="2"/>
    </row>
    <row r="632" spans="1:68" x14ac:dyDescent="0.25">
      <c r="A632" s="62" t="s">
        <v>764</v>
      </c>
      <c r="B632" s="63"/>
      <c r="C632" s="63"/>
      <c r="D632" s="64"/>
      <c r="E632" s="66"/>
      <c r="F632" s="103" t="str">
        <f>HYPERLINK("https://pbs.twimg.com/profile_images/1706704101629947904/F5SkC3Pf_normal.jpg")</f>
        <v>https://pbs.twimg.com/profile_images/1706704101629947904/F5SkC3Pf_normal.jpg</v>
      </c>
      <c r="G632" s="63"/>
      <c r="H632" s="67"/>
      <c r="I632" s="68"/>
      <c r="J632" s="68"/>
      <c r="K632" s="67" t="s">
        <v>15081</v>
      </c>
      <c r="L632" s="71"/>
      <c r="M632" s="72"/>
      <c r="N632" s="72"/>
      <c r="O632" s="73"/>
      <c r="P632" s="74"/>
      <c r="Q632" s="74"/>
      <c r="R632" s="87"/>
      <c r="S632" s="87"/>
      <c r="T632" s="87"/>
      <c r="U632" s="87"/>
      <c r="V632" s="48"/>
      <c r="W632" s="48"/>
      <c r="X632" s="48"/>
      <c r="Y632" s="48"/>
      <c r="Z632" s="47"/>
      <c r="AA632" s="69">
        <v>632</v>
      </c>
      <c r="AB632" s="69"/>
      <c r="AC632" s="70"/>
      <c r="AD632" s="76" t="s">
        <v>12358</v>
      </c>
      <c r="AE632" s="80" t="s">
        <v>12803</v>
      </c>
      <c r="AF632" s="76">
        <v>436</v>
      </c>
      <c r="AG632" s="76">
        <v>539</v>
      </c>
      <c r="AH632" s="76">
        <v>3685</v>
      </c>
      <c r="AI632" s="76">
        <v>66</v>
      </c>
      <c r="AJ632" s="76">
        <v>298</v>
      </c>
      <c r="AK632" s="76">
        <v>2141</v>
      </c>
      <c r="AL632" s="76" t="b">
        <v>0</v>
      </c>
      <c r="AM632" s="78">
        <v>40067.150856481479</v>
      </c>
      <c r="AN632" s="76" t="s">
        <v>7767</v>
      </c>
      <c r="AO632" s="76" t="s">
        <v>13800</v>
      </c>
      <c r="AP632" s="82" t="str">
        <f>HYPERLINK("https://t.co/c1FuB5JW6m")</f>
        <v>https://t.co/c1FuB5JW6m</v>
      </c>
      <c r="AQ632" s="82" t="str">
        <f>HYPERLINK("http://www.atx.mx")</f>
        <v>http://www.atx.mx</v>
      </c>
      <c r="AR632" s="76" t="s">
        <v>14291</v>
      </c>
      <c r="AS632" s="76"/>
      <c r="AT632" s="76"/>
      <c r="AU632" s="76"/>
      <c r="AV632" s="76"/>
      <c r="AW632" s="82" t="str">
        <f>HYPERLINK("https://t.co/c1FuB5JW6m")</f>
        <v>https://t.co/c1FuB5JW6m</v>
      </c>
      <c r="AX632" s="76" t="b">
        <v>0</v>
      </c>
      <c r="AY632" s="76"/>
      <c r="AZ632" s="76"/>
      <c r="BA632" s="76" t="b">
        <v>0</v>
      </c>
      <c r="BB632" s="76" t="b">
        <v>1</v>
      </c>
      <c r="BC632" s="76" t="b">
        <v>0</v>
      </c>
      <c r="BD632" s="76" t="b">
        <v>0</v>
      </c>
      <c r="BE632" s="76" t="b">
        <v>0</v>
      </c>
      <c r="BF632" s="76" t="b">
        <v>0</v>
      </c>
      <c r="BG632" s="76" t="b">
        <v>0</v>
      </c>
      <c r="BH632" s="82" t="str">
        <f>HYPERLINK("https://pbs.twimg.com/profile_banners/73300504/1679524723")</f>
        <v>https://pbs.twimg.com/profile_banners/73300504/1679524723</v>
      </c>
      <c r="BI632" s="76"/>
      <c r="BJ632" s="76" t="s">
        <v>14450</v>
      </c>
      <c r="BK632" s="76" t="b">
        <v>0</v>
      </c>
      <c r="BL632" s="76"/>
      <c r="BM632" s="76" t="s">
        <v>66</v>
      </c>
      <c r="BN632" s="76" t="s">
        <v>14452</v>
      </c>
      <c r="BO632" s="82" t="str">
        <f>HYPERLINK("https://twitter.com/atxbusiness")</f>
        <v>https://twitter.com/atxbusiness</v>
      </c>
      <c r="BP632" s="2"/>
    </row>
    <row r="633" spans="1:68" x14ac:dyDescent="0.25">
      <c r="A633" s="62" t="s">
        <v>765</v>
      </c>
      <c r="B633" s="63"/>
      <c r="C633" s="63"/>
      <c r="D633" s="64"/>
      <c r="E633" s="66"/>
      <c r="F633" s="103" t="str">
        <f>HYPERLINK("https://pbs.twimg.com/profile_images/1654547717907939328/x_74F4yB_normal.jpg")</f>
        <v>https://pbs.twimg.com/profile_images/1654547717907939328/x_74F4yB_normal.jpg</v>
      </c>
      <c r="G633" s="63"/>
      <c r="H633" s="67"/>
      <c r="I633" s="68"/>
      <c r="J633" s="68"/>
      <c r="K633" s="67" t="s">
        <v>15082</v>
      </c>
      <c r="L633" s="71"/>
      <c r="M633" s="72"/>
      <c r="N633" s="72"/>
      <c r="O633" s="73"/>
      <c r="P633" s="74"/>
      <c r="Q633" s="74"/>
      <c r="R633" s="87"/>
      <c r="S633" s="87"/>
      <c r="T633" s="87"/>
      <c r="U633" s="87"/>
      <c r="V633" s="48"/>
      <c r="W633" s="48"/>
      <c r="X633" s="48"/>
      <c r="Y633" s="48"/>
      <c r="Z633" s="47"/>
      <c r="AA633" s="69">
        <v>633</v>
      </c>
      <c r="AB633" s="69"/>
      <c r="AC633" s="70"/>
      <c r="AD633" s="76" t="s">
        <v>12359</v>
      </c>
      <c r="AE633" s="80" t="s">
        <v>12804</v>
      </c>
      <c r="AF633" s="76">
        <v>6041</v>
      </c>
      <c r="AG633" s="76">
        <v>2685</v>
      </c>
      <c r="AH633" s="76">
        <v>29589</v>
      </c>
      <c r="AI633" s="76">
        <v>84</v>
      </c>
      <c r="AJ633" s="76">
        <v>2144</v>
      </c>
      <c r="AK633" s="76">
        <v>6025</v>
      </c>
      <c r="AL633" s="76" t="b">
        <v>0</v>
      </c>
      <c r="AM633" s="78">
        <v>41479.773078703707</v>
      </c>
      <c r="AN633" s="76" t="s">
        <v>7767</v>
      </c>
      <c r="AO633" s="76" t="s">
        <v>13801</v>
      </c>
      <c r="AP633" s="82" t="str">
        <f>HYPERLINK("https://t.co/2TxGfNJzvp")</f>
        <v>https://t.co/2TxGfNJzvp</v>
      </c>
      <c r="AQ633" s="82" t="str">
        <f>HYPERLINK("http://www.recluit.com")</f>
        <v>http://www.recluit.com</v>
      </c>
      <c r="AR633" s="76" t="s">
        <v>14292</v>
      </c>
      <c r="AS633" s="76"/>
      <c r="AT633" s="76"/>
      <c r="AU633" s="76"/>
      <c r="AV633" s="76">
        <v>1.7071805318244101E+18</v>
      </c>
      <c r="AW633" s="82" t="str">
        <f>HYPERLINK("https://t.co/2TxGfNJzvp")</f>
        <v>https://t.co/2TxGfNJzvp</v>
      </c>
      <c r="AX633" s="76" t="b">
        <v>0</v>
      </c>
      <c r="AY633" s="76"/>
      <c r="AZ633" s="76"/>
      <c r="BA633" s="76" t="b">
        <v>0</v>
      </c>
      <c r="BB633" s="76" t="b">
        <v>1</v>
      </c>
      <c r="BC633" s="76" t="b">
        <v>0</v>
      </c>
      <c r="BD633" s="76" t="b">
        <v>0</v>
      </c>
      <c r="BE633" s="76" t="b">
        <v>1</v>
      </c>
      <c r="BF633" s="76" t="b">
        <v>0</v>
      </c>
      <c r="BG633" s="76" t="b">
        <v>0</v>
      </c>
      <c r="BH633" s="82" t="str">
        <f>HYPERLINK("https://pbs.twimg.com/profile_banners/1618336122/1675123500")</f>
        <v>https://pbs.twimg.com/profile_banners/1618336122/1675123500</v>
      </c>
      <c r="BI633" s="76"/>
      <c r="BJ633" s="76" t="s">
        <v>14450</v>
      </c>
      <c r="BK633" s="76" t="b">
        <v>0</v>
      </c>
      <c r="BL633" s="76"/>
      <c r="BM633" s="76" t="s">
        <v>66</v>
      </c>
      <c r="BN633" s="76" t="s">
        <v>14452</v>
      </c>
      <c r="BO633" s="82" t="str">
        <f>HYPERLINK("https://twitter.com/recluitmx")</f>
        <v>https://twitter.com/recluitmx</v>
      </c>
      <c r="BP633" s="2"/>
    </row>
    <row r="634" spans="1:68" x14ac:dyDescent="0.25">
      <c r="A634" s="62" t="s">
        <v>766</v>
      </c>
      <c r="B634" s="63"/>
      <c r="C634" s="63"/>
      <c r="D634" s="64"/>
      <c r="E634" s="66"/>
      <c r="F634" s="103" t="str">
        <f>HYPERLINK("https://pbs.twimg.com/profile_images/781425651656130560/FKtEG5WK_normal.jpg")</f>
        <v>https://pbs.twimg.com/profile_images/781425651656130560/FKtEG5WK_normal.jpg</v>
      </c>
      <c r="G634" s="63"/>
      <c r="H634" s="67"/>
      <c r="I634" s="68"/>
      <c r="J634" s="68"/>
      <c r="K634" s="67" t="s">
        <v>15083</v>
      </c>
      <c r="L634" s="71"/>
      <c r="M634" s="72"/>
      <c r="N634" s="72"/>
      <c r="O634" s="73"/>
      <c r="P634" s="74"/>
      <c r="Q634" s="74"/>
      <c r="R634" s="87"/>
      <c r="S634" s="87"/>
      <c r="T634" s="87"/>
      <c r="U634" s="87"/>
      <c r="V634" s="48"/>
      <c r="W634" s="48"/>
      <c r="X634" s="48"/>
      <c r="Y634" s="48"/>
      <c r="Z634" s="47"/>
      <c r="AA634" s="69">
        <v>634</v>
      </c>
      <c r="AB634" s="69"/>
      <c r="AC634" s="70"/>
      <c r="AD634" s="76" t="s">
        <v>12360</v>
      </c>
      <c r="AE634" s="80" t="s">
        <v>12805</v>
      </c>
      <c r="AF634" s="76">
        <v>5534</v>
      </c>
      <c r="AG634" s="76">
        <v>5156</v>
      </c>
      <c r="AH634" s="76">
        <v>67309</v>
      </c>
      <c r="AI634" s="76">
        <v>172</v>
      </c>
      <c r="AJ634" s="76">
        <v>263</v>
      </c>
      <c r="AK634" s="76">
        <v>10087</v>
      </c>
      <c r="AL634" s="76" t="b">
        <v>0</v>
      </c>
      <c r="AM634" s="78">
        <v>39558.689166666663</v>
      </c>
      <c r="AN634" s="76" t="s">
        <v>7873</v>
      </c>
      <c r="AO634" s="76" t="s">
        <v>13802</v>
      </c>
      <c r="AP634" s="82" t="str">
        <f>HYPERLINK("https://t.co/HATmQNsGzn")</f>
        <v>https://t.co/HATmQNsGzn</v>
      </c>
      <c r="AQ634" s="82" t="str">
        <f>HYPERLINK("https://goo.gl/aHoFmf")</f>
        <v>https://goo.gl/aHoFmf</v>
      </c>
      <c r="AR634" s="76" t="s">
        <v>14293</v>
      </c>
      <c r="AS634" s="76"/>
      <c r="AT634" s="76"/>
      <c r="AU634" s="76"/>
      <c r="AV634" s="76">
        <v>1.10335569982699E+18</v>
      </c>
      <c r="AW634" s="82" t="str">
        <f>HYPERLINK("https://t.co/HATmQNsGzn")</f>
        <v>https://t.co/HATmQNsGzn</v>
      </c>
      <c r="AX634" s="76" t="b">
        <v>0</v>
      </c>
      <c r="AY634" s="76"/>
      <c r="AZ634" s="76"/>
      <c r="BA634" s="76" t="b">
        <v>0</v>
      </c>
      <c r="BB634" s="76" t="b">
        <v>1</v>
      </c>
      <c r="BC634" s="76" t="b">
        <v>0</v>
      </c>
      <c r="BD634" s="76" t="b">
        <v>0</v>
      </c>
      <c r="BE634" s="76" t="b">
        <v>0</v>
      </c>
      <c r="BF634" s="76" t="b">
        <v>0</v>
      </c>
      <c r="BG634" s="76" t="b">
        <v>0</v>
      </c>
      <c r="BH634" s="82" t="str">
        <f>HYPERLINK("https://pbs.twimg.com/profile_banners/14452850/1475141583")</f>
        <v>https://pbs.twimg.com/profile_banners/14452850/1475141583</v>
      </c>
      <c r="BI634" s="76"/>
      <c r="BJ634" s="76" t="s">
        <v>14450</v>
      </c>
      <c r="BK634" s="76" t="b">
        <v>0</v>
      </c>
      <c r="BL634" s="76"/>
      <c r="BM634" s="76" t="s">
        <v>66</v>
      </c>
      <c r="BN634" s="76" t="s">
        <v>14452</v>
      </c>
      <c r="BO634" s="82" t="str">
        <f>HYPERLINK("https://twitter.com/gustavodost")</f>
        <v>https://twitter.com/gustavodost</v>
      </c>
      <c r="BP634" s="2"/>
    </row>
    <row r="635" spans="1:68" x14ac:dyDescent="0.25">
      <c r="A635" s="62" t="s">
        <v>767</v>
      </c>
      <c r="B635" s="63"/>
      <c r="C635" s="63"/>
      <c r="D635" s="64"/>
      <c r="E635" s="66"/>
      <c r="F635" s="103" t="str">
        <f>HYPERLINK("https://pbs.twimg.com/profile_images/1059360671387840513/RmmL_kdb_normal.jpg")</f>
        <v>https://pbs.twimg.com/profile_images/1059360671387840513/RmmL_kdb_normal.jpg</v>
      </c>
      <c r="G635" s="63"/>
      <c r="H635" s="67"/>
      <c r="I635" s="68"/>
      <c r="J635" s="68"/>
      <c r="K635" s="67" t="s">
        <v>15084</v>
      </c>
      <c r="L635" s="71"/>
      <c r="M635" s="72"/>
      <c r="N635" s="72"/>
      <c r="O635" s="73"/>
      <c r="P635" s="74"/>
      <c r="Q635" s="74"/>
      <c r="R635" s="87"/>
      <c r="S635" s="87"/>
      <c r="T635" s="87"/>
      <c r="U635" s="87"/>
      <c r="V635" s="48"/>
      <c r="W635" s="48"/>
      <c r="X635" s="48"/>
      <c r="Y635" s="48"/>
      <c r="Z635" s="47"/>
      <c r="AA635" s="69">
        <v>635</v>
      </c>
      <c r="AB635" s="69"/>
      <c r="AC635" s="70"/>
      <c r="AD635" s="76" t="s">
        <v>12361</v>
      </c>
      <c r="AE635" s="80" t="s">
        <v>11354</v>
      </c>
      <c r="AF635" s="76">
        <v>544</v>
      </c>
      <c r="AG635" s="76">
        <v>611</v>
      </c>
      <c r="AH635" s="76">
        <v>1121</v>
      </c>
      <c r="AI635" s="76">
        <v>9</v>
      </c>
      <c r="AJ635" s="76">
        <v>33</v>
      </c>
      <c r="AK635" s="76">
        <v>891</v>
      </c>
      <c r="AL635" s="76" t="b">
        <v>0</v>
      </c>
      <c r="AM635" s="78">
        <v>42072.446157407408</v>
      </c>
      <c r="AN635" s="76"/>
      <c r="AO635" s="76" t="s">
        <v>13803</v>
      </c>
      <c r="AP635" s="82" t="str">
        <f>HYPERLINK("http://t.co/iDiP6vp7JG")</f>
        <v>http://t.co/iDiP6vp7JG</v>
      </c>
      <c r="AQ635" s="82" t="str">
        <f>HYPERLINK("http://www.flexibleos.com")</f>
        <v>http://www.flexibleos.com</v>
      </c>
      <c r="AR635" s="76" t="s">
        <v>14294</v>
      </c>
      <c r="AS635" s="76"/>
      <c r="AT635" s="76"/>
      <c r="AU635" s="76"/>
      <c r="AV635" s="76"/>
      <c r="AW635" s="82" t="str">
        <f>HYPERLINK("http://t.co/iDiP6vp7JG")</f>
        <v>http://t.co/iDiP6vp7JG</v>
      </c>
      <c r="AX635" s="76" t="b">
        <v>0</v>
      </c>
      <c r="AY635" s="76"/>
      <c r="AZ635" s="76"/>
      <c r="BA635" s="76" t="b">
        <v>0</v>
      </c>
      <c r="BB635" s="76" t="b">
        <v>1</v>
      </c>
      <c r="BC635" s="76" t="b">
        <v>0</v>
      </c>
      <c r="BD635" s="76" t="b">
        <v>0</v>
      </c>
      <c r="BE635" s="76" t="b">
        <v>0</v>
      </c>
      <c r="BF635" s="76" t="b">
        <v>0</v>
      </c>
      <c r="BG635" s="76" t="b">
        <v>0</v>
      </c>
      <c r="BH635" s="82" t="str">
        <f>HYPERLINK("https://pbs.twimg.com/profile_banners/3081330005/1541406260")</f>
        <v>https://pbs.twimg.com/profile_banners/3081330005/1541406260</v>
      </c>
      <c r="BI635" s="76"/>
      <c r="BJ635" s="76" t="s">
        <v>14450</v>
      </c>
      <c r="BK635" s="76" t="b">
        <v>0</v>
      </c>
      <c r="BL635" s="76"/>
      <c r="BM635" s="76" t="s">
        <v>66</v>
      </c>
      <c r="BN635" s="76" t="s">
        <v>14452</v>
      </c>
      <c r="BO635" s="82" t="str">
        <f>HYPERLINK("https://twitter.com/flexibleos")</f>
        <v>https://twitter.com/flexibleos</v>
      </c>
      <c r="BP635" s="2"/>
    </row>
    <row r="636" spans="1:68" x14ac:dyDescent="0.25">
      <c r="A636" s="62" t="s">
        <v>768</v>
      </c>
      <c r="B636" s="63"/>
      <c r="C636" s="63"/>
      <c r="D636" s="64"/>
      <c r="E636" s="66"/>
      <c r="F636" s="103" t="str">
        <f>HYPERLINK("https://pbs.twimg.com/profile_images/1324010401235902472/pLXJW3M8_normal.jpg")</f>
        <v>https://pbs.twimg.com/profile_images/1324010401235902472/pLXJW3M8_normal.jpg</v>
      </c>
      <c r="G636" s="63"/>
      <c r="H636" s="67"/>
      <c r="I636" s="68"/>
      <c r="J636" s="68"/>
      <c r="K636" s="67" t="s">
        <v>15085</v>
      </c>
      <c r="L636" s="71"/>
      <c r="M636" s="72"/>
      <c r="N636" s="72"/>
      <c r="O636" s="73"/>
      <c r="P636" s="74"/>
      <c r="Q636" s="74"/>
      <c r="R636" s="87"/>
      <c r="S636" s="87"/>
      <c r="T636" s="87"/>
      <c r="U636" s="87"/>
      <c r="V636" s="48"/>
      <c r="W636" s="48"/>
      <c r="X636" s="48"/>
      <c r="Y636" s="48"/>
      <c r="Z636" s="47"/>
      <c r="AA636" s="69">
        <v>636</v>
      </c>
      <c r="AB636" s="69"/>
      <c r="AC636" s="70"/>
      <c r="AD636" s="76" t="s">
        <v>12362</v>
      </c>
      <c r="AE636" s="80" t="s">
        <v>12806</v>
      </c>
      <c r="AF636" s="76">
        <v>1392</v>
      </c>
      <c r="AG636" s="76">
        <v>575</v>
      </c>
      <c r="AH636" s="76">
        <v>11017</v>
      </c>
      <c r="AI636" s="76">
        <v>34</v>
      </c>
      <c r="AJ636" s="76">
        <v>90</v>
      </c>
      <c r="AK636" s="76">
        <v>410</v>
      </c>
      <c r="AL636" s="76" t="b">
        <v>0</v>
      </c>
      <c r="AM636" s="78">
        <v>40067.58121527778</v>
      </c>
      <c r="AN636" s="76" t="s">
        <v>13175</v>
      </c>
      <c r="AO636" s="76" t="s">
        <v>13804</v>
      </c>
      <c r="AP636" s="82" t="str">
        <f>HYPERLINK("http://t.co/LHMZQJOrrs")</f>
        <v>http://t.co/LHMZQJOrrs</v>
      </c>
      <c r="AQ636" s="82" t="str">
        <f>HYPERLINK("http://www.dvseditora.com.br")</f>
        <v>http://www.dvseditora.com.br</v>
      </c>
      <c r="AR636" s="76" t="s">
        <v>14295</v>
      </c>
      <c r="AS636" s="76"/>
      <c r="AT636" s="76"/>
      <c r="AU636" s="76"/>
      <c r="AV636" s="76"/>
      <c r="AW636" s="82" t="str">
        <f>HYPERLINK("http://t.co/LHMZQJOrrs")</f>
        <v>http://t.co/LHMZQJOrrs</v>
      </c>
      <c r="AX636" s="76" t="b">
        <v>0</v>
      </c>
      <c r="AY636" s="76"/>
      <c r="AZ636" s="76"/>
      <c r="BA636" s="76" t="b">
        <v>0</v>
      </c>
      <c r="BB636" s="76" t="b">
        <v>1</v>
      </c>
      <c r="BC636" s="76" t="b">
        <v>0</v>
      </c>
      <c r="BD636" s="76" t="b">
        <v>0</v>
      </c>
      <c r="BE636" s="76" t="b">
        <v>0</v>
      </c>
      <c r="BF636" s="76" t="b">
        <v>0</v>
      </c>
      <c r="BG636" s="76" t="b">
        <v>0</v>
      </c>
      <c r="BH636" s="82" t="str">
        <f>HYPERLINK("https://pbs.twimg.com/profile_banners/73390489/1604503638")</f>
        <v>https://pbs.twimg.com/profile_banners/73390489/1604503638</v>
      </c>
      <c r="BI636" s="76"/>
      <c r="BJ636" s="76" t="s">
        <v>14450</v>
      </c>
      <c r="BK636" s="76" t="b">
        <v>0</v>
      </c>
      <c r="BL636" s="76"/>
      <c r="BM636" s="76" t="s">
        <v>66</v>
      </c>
      <c r="BN636" s="76" t="s">
        <v>14452</v>
      </c>
      <c r="BO636" s="82" t="str">
        <f>HYPERLINK("https://twitter.com/dvseditora")</f>
        <v>https://twitter.com/dvseditora</v>
      </c>
      <c r="BP636" s="2"/>
    </row>
    <row r="637" spans="1:68" x14ac:dyDescent="0.25">
      <c r="A637" s="62" t="s">
        <v>769</v>
      </c>
      <c r="B637" s="63"/>
      <c r="C637" s="63"/>
      <c r="D637" s="64"/>
      <c r="E637" s="66"/>
      <c r="F637" s="103" t="str">
        <f>HYPERLINK("https://pbs.twimg.com/profile_images/1627654877483610112/_PQTXdwr_normal.jpg")</f>
        <v>https://pbs.twimg.com/profile_images/1627654877483610112/_PQTXdwr_normal.jpg</v>
      </c>
      <c r="G637" s="63"/>
      <c r="H637" s="67"/>
      <c r="I637" s="68"/>
      <c r="J637" s="68"/>
      <c r="K637" s="67" t="s">
        <v>15086</v>
      </c>
      <c r="L637" s="71"/>
      <c r="M637" s="72"/>
      <c r="N637" s="72"/>
      <c r="O637" s="73"/>
      <c r="P637" s="74"/>
      <c r="Q637" s="74"/>
      <c r="R637" s="87"/>
      <c r="S637" s="87"/>
      <c r="T637" s="87"/>
      <c r="U637" s="87"/>
      <c r="V637" s="48"/>
      <c r="W637" s="48"/>
      <c r="X637" s="48"/>
      <c r="Y637" s="48"/>
      <c r="Z637" s="47"/>
      <c r="AA637" s="69">
        <v>637</v>
      </c>
      <c r="AB637" s="69"/>
      <c r="AC637" s="70"/>
      <c r="AD637" s="76" t="s">
        <v>12363</v>
      </c>
      <c r="AE637" s="80" t="s">
        <v>11666</v>
      </c>
      <c r="AF637" s="76">
        <v>681</v>
      </c>
      <c r="AG637" s="76">
        <v>99</v>
      </c>
      <c r="AH637" s="76">
        <v>3570</v>
      </c>
      <c r="AI637" s="76">
        <v>6</v>
      </c>
      <c r="AJ637" s="76">
        <v>1520</v>
      </c>
      <c r="AK637" s="76">
        <v>2158</v>
      </c>
      <c r="AL637" s="76" t="b">
        <v>0</v>
      </c>
      <c r="AM637" s="78">
        <v>43209.83997685185</v>
      </c>
      <c r="AN637" s="76" t="s">
        <v>13176</v>
      </c>
      <c r="AO637" s="76" t="s">
        <v>13805</v>
      </c>
      <c r="AP637" s="82" t="str">
        <f>HYPERLINK("https://t.co/VgD25fKMeS")</f>
        <v>https://t.co/VgD25fKMeS</v>
      </c>
      <c r="AQ637" s="82" t="str">
        <f>HYPERLINK("http://www.empleo.gob.mx")</f>
        <v>http://www.empleo.gob.mx</v>
      </c>
      <c r="AR637" s="76" t="s">
        <v>14296</v>
      </c>
      <c r="AS637" s="76"/>
      <c r="AT637" s="76"/>
      <c r="AU637" s="76"/>
      <c r="AV637" s="76"/>
      <c r="AW637" s="82" t="str">
        <f>HYPERLINK("https://t.co/VgD25fKMeS")</f>
        <v>https://t.co/VgD25fKMeS</v>
      </c>
      <c r="AX637" s="76" t="b">
        <v>0</v>
      </c>
      <c r="AY637" s="76"/>
      <c r="AZ637" s="76"/>
      <c r="BA637" s="76" t="b">
        <v>0</v>
      </c>
      <c r="BB637" s="76" t="b">
        <v>1</v>
      </c>
      <c r="BC637" s="76" t="b">
        <v>0</v>
      </c>
      <c r="BD637" s="76" t="b">
        <v>0</v>
      </c>
      <c r="BE637" s="76" t="b">
        <v>0</v>
      </c>
      <c r="BF637" s="76" t="b">
        <v>0</v>
      </c>
      <c r="BG637" s="76" t="b">
        <v>0</v>
      </c>
      <c r="BH637" s="82" t="str">
        <f>HYPERLINK("https://pbs.twimg.com/profile_banners/987060657223753729/1695413659")</f>
        <v>https://pbs.twimg.com/profile_banners/987060657223753729/1695413659</v>
      </c>
      <c r="BI637" s="76"/>
      <c r="BJ637" s="76" t="s">
        <v>14450</v>
      </c>
      <c r="BK637" s="76" t="b">
        <v>0</v>
      </c>
      <c r="BL637" s="76"/>
      <c r="BM637" s="76" t="s">
        <v>66</v>
      </c>
      <c r="BN637" s="76" t="s">
        <v>14452</v>
      </c>
      <c r="BO637" s="82" t="str">
        <f>HYPERLINK("https://twitter.com/sne_tam")</f>
        <v>https://twitter.com/sne_tam</v>
      </c>
      <c r="BP637" s="2"/>
    </row>
    <row r="638" spans="1:68" x14ac:dyDescent="0.25">
      <c r="A638" s="62" t="s">
        <v>770</v>
      </c>
      <c r="B638" s="63"/>
      <c r="C638" s="63"/>
      <c r="D638" s="64"/>
      <c r="E638" s="66"/>
      <c r="F638" s="103" t="str">
        <f>HYPERLINK("https://pbs.twimg.com/profile_images/1685086107740856320/vM8byXn__normal.jpg")</f>
        <v>https://pbs.twimg.com/profile_images/1685086107740856320/vM8byXn__normal.jpg</v>
      </c>
      <c r="G638" s="63"/>
      <c r="H638" s="67"/>
      <c r="I638" s="68"/>
      <c r="J638" s="68"/>
      <c r="K638" s="67" t="s">
        <v>15087</v>
      </c>
      <c r="L638" s="71"/>
      <c r="M638" s="72"/>
      <c r="N638" s="72"/>
      <c r="O638" s="73"/>
      <c r="P638" s="74"/>
      <c r="Q638" s="74"/>
      <c r="R638" s="87"/>
      <c r="S638" s="87"/>
      <c r="T638" s="87"/>
      <c r="U638" s="87"/>
      <c r="V638" s="48"/>
      <c r="W638" s="48"/>
      <c r="X638" s="48"/>
      <c r="Y638" s="48"/>
      <c r="Z638" s="47"/>
      <c r="AA638" s="69">
        <v>638</v>
      </c>
      <c r="AB638" s="69"/>
      <c r="AC638" s="70"/>
      <c r="AD638" s="76" t="s">
        <v>12364</v>
      </c>
      <c r="AE638" s="80" t="s">
        <v>11667</v>
      </c>
      <c r="AF638" s="76">
        <v>6</v>
      </c>
      <c r="AG638" s="76">
        <v>9</v>
      </c>
      <c r="AH638" s="76">
        <v>89</v>
      </c>
      <c r="AI638" s="76">
        <v>0</v>
      </c>
      <c r="AJ638" s="76">
        <v>173</v>
      </c>
      <c r="AK638" s="76">
        <v>89</v>
      </c>
      <c r="AL638" s="76" t="b">
        <v>0</v>
      </c>
      <c r="AM638" s="78">
        <v>45136.022650462961</v>
      </c>
      <c r="AN638" s="76"/>
      <c r="AO638" s="76" t="s">
        <v>13806</v>
      </c>
      <c r="AP638" s="76"/>
      <c r="AQ638" s="76"/>
      <c r="AR638" s="76"/>
      <c r="AS638" s="76"/>
      <c r="AT638" s="76"/>
      <c r="AU638" s="76"/>
      <c r="AV638" s="76"/>
      <c r="AW638" s="76"/>
      <c r="AX638" s="76" t="b">
        <v>0</v>
      </c>
      <c r="AY638" s="76"/>
      <c r="AZ638" s="76"/>
      <c r="BA638" s="76" t="b">
        <v>0</v>
      </c>
      <c r="BB638" s="76" t="b">
        <v>1</v>
      </c>
      <c r="BC638" s="76" t="b">
        <v>1</v>
      </c>
      <c r="BD638" s="76" t="b">
        <v>0</v>
      </c>
      <c r="BE638" s="76" t="b">
        <v>0</v>
      </c>
      <c r="BF638" s="76" t="b">
        <v>0</v>
      </c>
      <c r="BG638" s="76" t="b">
        <v>0</v>
      </c>
      <c r="BH638" s="82" t="str">
        <f>HYPERLINK("https://pbs.twimg.com/profile_banners/1685085832321843200/1690592631")</f>
        <v>https://pbs.twimg.com/profile_banners/1685085832321843200/1690592631</v>
      </c>
      <c r="BI638" s="76"/>
      <c r="BJ638" s="76" t="s">
        <v>14450</v>
      </c>
      <c r="BK638" s="76" t="b">
        <v>0</v>
      </c>
      <c r="BL638" s="76"/>
      <c r="BM638" s="76" t="s">
        <v>66</v>
      </c>
      <c r="BN638" s="76" t="s">
        <v>14452</v>
      </c>
      <c r="BO638" s="82" t="str">
        <f>HYPERLINK("https://twitter.com/performandovida")</f>
        <v>https://twitter.com/performandovida</v>
      </c>
      <c r="BP638" s="2"/>
    </row>
    <row r="639" spans="1:68" x14ac:dyDescent="0.25">
      <c r="A639" s="62" t="s">
        <v>771</v>
      </c>
      <c r="B639" s="63"/>
      <c r="C639" s="63"/>
      <c r="D639" s="64"/>
      <c r="E639" s="66"/>
      <c r="F639" s="103" t="str">
        <f>HYPERLINK("https://pbs.twimg.com/profile_images/1696978855779520512/Hcgv3msF_normal.jpg")</f>
        <v>https://pbs.twimg.com/profile_images/1696978855779520512/Hcgv3msF_normal.jpg</v>
      </c>
      <c r="G639" s="63"/>
      <c r="H639" s="67"/>
      <c r="I639" s="68"/>
      <c r="J639" s="68"/>
      <c r="K639" s="67" t="s">
        <v>15088</v>
      </c>
      <c r="L639" s="71"/>
      <c r="M639" s="72"/>
      <c r="N639" s="72"/>
      <c r="O639" s="73"/>
      <c r="P639" s="74"/>
      <c r="Q639" s="74"/>
      <c r="R639" s="87"/>
      <c r="S639" s="87"/>
      <c r="T639" s="87"/>
      <c r="U639" s="87"/>
      <c r="V639" s="48"/>
      <c r="W639" s="48"/>
      <c r="X639" s="48"/>
      <c r="Y639" s="48"/>
      <c r="Z639" s="47"/>
      <c r="AA639" s="69">
        <v>639</v>
      </c>
      <c r="AB639" s="69"/>
      <c r="AC639" s="70"/>
      <c r="AD639" s="76" t="s">
        <v>12365</v>
      </c>
      <c r="AE639" s="80" t="s">
        <v>12807</v>
      </c>
      <c r="AF639" s="76">
        <v>263</v>
      </c>
      <c r="AG639" s="76">
        <v>196</v>
      </c>
      <c r="AH639" s="76">
        <v>2432</v>
      </c>
      <c r="AI639" s="76">
        <v>0</v>
      </c>
      <c r="AJ639" s="76">
        <v>81</v>
      </c>
      <c r="AK639" s="76">
        <v>321</v>
      </c>
      <c r="AL639" s="76" t="b">
        <v>0</v>
      </c>
      <c r="AM639" s="78">
        <v>40162.562685185185</v>
      </c>
      <c r="AN639" s="76" t="s">
        <v>13177</v>
      </c>
      <c r="AO639" s="76" t="s">
        <v>13807</v>
      </c>
      <c r="AP639" s="82" t="str">
        <f>HYPERLINK("https://t.co/jL8RkYTBlV")</f>
        <v>https://t.co/jL8RkYTBlV</v>
      </c>
      <c r="AQ639" s="82" t="str">
        <f>HYPERLINK("https://www.youtube.com/@RogerioMoura")</f>
        <v>https://www.youtube.com/@RogerioMoura</v>
      </c>
      <c r="AR639" s="76" t="s">
        <v>14297</v>
      </c>
      <c r="AS639" s="76"/>
      <c r="AT639" s="76"/>
      <c r="AU639" s="76"/>
      <c r="AV639" s="76"/>
      <c r="AW639" s="82" t="str">
        <f>HYPERLINK("https://t.co/jL8RkYTBlV")</f>
        <v>https://t.co/jL8RkYTBlV</v>
      </c>
      <c r="AX639" s="76" t="b">
        <v>0</v>
      </c>
      <c r="AY639" s="76"/>
      <c r="AZ639" s="76"/>
      <c r="BA639" s="76" t="b">
        <v>0</v>
      </c>
      <c r="BB639" s="76" t="b">
        <v>1</v>
      </c>
      <c r="BC639" s="76" t="b">
        <v>0</v>
      </c>
      <c r="BD639" s="76" t="b">
        <v>0</v>
      </c>
      <c r="BE639" s="76" t="b">
        <v>0</v>
      </c>
      <c r="BF639" s="76" t="b">
        <v>0</v>
      </c>
      <c r="BG639" s="76" t="b">
        <v>0</v>
      </c>
      <c r="BH639" s="82" t="str">
        <f>HYPERLINK("https://pbs.twimg.com/profile_banners/96980871/1693415148")</f>
        <v>https://pbs.twimg.com/profile_banners/96980871/1693415148</v>
      </c>
      <c r="BI639" s="76"/>
      <c r="BJ639" s="76" t="s">
        <v>14450</v>
      </c>
      <c r="BK639" s="76" t="b">
        <v>0</v>
      </c>
      <c r="BL639" s="76"/>
      <c r="BM639" s="76" t="s">
        <v>66</v>
      </c>
      <c r="BN639" s="76" t="s">
        <v>14452</v>
      </c>
      <c r="BO639" s="82" t="str">
        <f>HYPERLINK("https://twitter.com/rogmoura")</f>
        <v>https://twitter.com/rogmoura</v>
      </c>
      <c r="BP639" s="2"/>
    </row>
    <row r="640" spans="1:68" x14ac:dyDescent="0.25">
      <c r="A640" s="62" t="s">
        <v>772</v>
      </c>
      <c r="B640" s="63"/>
      <c r="C640" s="63"/>
      <c r="D640" s="64"/>
      <c r="E640" s="66"/>
      <c r="F640" s="103" t="str">
        <f>HYPERLINK("https://pbs.twimg.com/profile_images/1073227149522419712/pirQs24b_normal.jpg")</f>
        <v>https://pbs.twimg.com/profile_images/1073227149522419712/pirQs24b_normal.jpg</v>
      </c>
      <c r="G640" s="63"/>
      <c r="H640" s="67"/>
      <c r="I640" s="68"/>
      <c r="J640" s="68"/>
      <c r="K640" s="67" t="s">
        <v>15089</v>
      </c>
      <c r="L640" s="71"/>
      <c r="M640" s="72"/>
      <c r="N640" s="72"/>
      <c r="O640" s="73"/>
      <c r="P640" s="74"/>
      <c r="Q640" s="74"/>
      <c r="R640" s="87"/>
      <c r="S640" s="87"/>
      <c r="T640" s="87"/>
      <c r="U640" s="87"/>
      <c r="V640" s="48"/>
      <c r="W640" s="48"/>
      <c r="X640" s="48"/>
      <c r="Y640" s="48"/>
      <c r="Z640" s="47"/>
      <c r="AA640" s="69">
        <v>640</v>
      </c>
      <c r="AB640" s="69"/>
      <c r="AC640" s="70"/>
      <c r="AD640" s="76" t="s">
        <v>12366</v>
      </c>
      <c r="AE640" s="80" t="s">
        <v>12808</v>
      </c>
      <c r="AF640" s="76">
        <v>174</v>
      </c>
      <c r="AG640" s="76">
        <v>47</v>
      </c>
      <c r="AH640" s="76">
        <v>5096</v>
      </c>
      <c r="AI640" s="76">
        <v>1</v>
      </c>
      <c r="AJ640" s="76">
        <v>277</v>
      </c>
      <c r="AK640" s="76">
        <v>2213</v>
      </c>
      <c r="AL640" s="76" t="b">
        <v>0</v>
      </c>
      <c r="AM640" s="78">
        <v>41015.807685185187</v>
      </c>
      <c r="AN640" s="76" t="s">
        <v>13178</v>
      </c>
      <c r="AO640" s="76" t="s">
        <v>13808</v>
      </c>
      <c r="AP640" s="82" t="str">
        <f>HYPERLINK("https://t.co/hpyZr7YfcN")</f>
        <v>https://t.co/hpyZr7YfcN</v>
      </c>
      <c r="AQ640" s="82" t="str">
        <f>HYPERLINK("https://www.rogeriomoura.com/")</f>
        <v>https://www.rogeriomoura.com/</v>
      </c>
      <c r="AR640" s="76" t="s">
        <v>14298</v>
      </c>
      <c r="AS640" s="76"/>
      <c r="AT640" s="76"/>
      <c r="AU640" s="76"/>
      <c r="AV640" s="76"/>
      <c r="AW640" s="82" t="str">
        <f>HYPERLINK("https://t.co/hpyZr7YfcN")</f>
        <v>https://t.co/hpyZr7YfcN</v>
      </c>
      <c r="AX640" s="76" t="b">
        <v>0</v>
      </c>
      <c r="AY640" s="76"/>
      <c r="AZ640" s="76"/>
      <c r="BA640" s="76" t="b">
        <v>1</v>
      </c>
      <c r="BB640" s="76" t="b">
        <v>0</v>
      </c>
      <c r="BC640" s="76" t="b">
        <v>0</v>
      </c>
      <c r="BD640" s="76" t="b">
        <v>0</v>
      </c>
      <c r="BE640" s="76" t="b">
        <v>0</v>
      </c>
      <c r="BF640" s="76" t="b">
        <v>0</v>
      </c>
      <c r="BG640" s="76" t="b">
        <v>0</v>
      </c>
      <c r="BH640" s="82" t="str">
        <f>HYPERLINK("https://pbs.twimg.com/profile_banners/555359108/1643298527")</f>
        <v>https://pbs.twimg.com/profile_banners/555359108/1643298527</v>
      </c>
      <c r="BI640" s="76"/>
      <c r="BJ640" s="76" t="s">
        <v>14450</v>
      </c>
      <c r="BK640" s="76" t="b">
        <v>0</v>
      </c>
      <c r="BL640" s="76"/>
      <c r="BM640" s="76" t="s">
        <v>66</v>
      </c>
      <c r="BN640" s="76" t="s">
        <v>14452</v>
      </c>
      <c r="BO640" s="82" t="str">
        <f>HYPERLINK("https://twitter.com/rogeriomouraa")</f>
        <v>https://twitter.com/rogeriomouraa</v>
      </c>
      <c r="BP640" s="2"/>
    </row>
    <row r="641" spans="1:68" x14ac:dyDescent="0.25">
      <c r="A641" s="62" t="s">
        <v>773</v>
      </c>
      <c r="B641" s="63"/>
      <c r="C641" s="63"/>
      <c r="D641" s="64"/>
      <c r="E641" s="66"/>
      <c r="F641" s="103" t="str">
        <f>HYPERLINK("https://pbs.twimg.com/profile_images/1611021810807590912/A13BO61o_normal.jpg")</f>
        <v>https://pbs.twimg.com/profile_images/1611021810807590912/A13BO61o_normal.jpg</v>
      </c>
      <c r="G641" s="63"/>
      <c r="H641" s="67"/>
      <c r="I641" s="68"/>
      <c r="J641" s="68"/>
      <c r="K641" s="67" t="s">
        <v>15090</v>
      </c>
      <c r="L641" s="71"/>
      <c r="M641" s="72"/>
      <c r="N641" s="72"/>
      <c r="O641" s="73"/>
      <c r="P641" s="74"/>
      <c r="Q641" s="74"/>
      <c r="R641" s="87"/>
      <c r="S641" s="87"/>
      <c r="T641" s="87"/>
      <c r="U641" s="87"/>
      <c r="V641" s="48"/>
      <c r="W641" s="48"/>
      <c r="X641" s="48"/>
      <c r="Y641" s="48"/>
      <c r="Z641" s="47"/>
      <c r="AA641" s="69">
        <v>641</v>
      </c>
      <c r="AB641" s="69"/>
      <c r="AC641" s="70"/>
      <c r="AD641" s="76" t="s">
        <v>12367</v>
      </c>
      <c r="AE641" s="80" t="s">
        <v>12809</v>
      </c>
      <c r="AF641" s="76">
        <v>955092</v>
      </c>
      <c r="AG641" s="76">
        <v>3876</v>
      </c>
      <c r="AH641" s="76">
        <v>383853</v>
      </c>
      <c r="AI641" s="76">
        <v>1724</v>
      </c>
      <c r="AJ641" s="76">
        <v>481</v>
      </c>
      <c r="AK641" s="76">
        <v>98437</v>
      </c>
      <c r="AL641" s="76" t="b">
        <v>0</v>
      </c>
      <c r="AM641" s="78">
        <v>39934.620694444442</v>
      </c>
      <c r="AN641" s="76" t="s">
        <v>13179</v>
      </c>
      <c r="AO641" s="76" t="s">
        <v>13809</v>
      </c>
      <c r="AP641" s="82" t="str">
        <f>HYPERLINK("https://t.co/Cw4GWmm8tn")</f>
        <v>https://t.co/Cw4GWmm8tn</v>
      </c>
      <c r="AQ641" s="82" t="str">
        <f>HYPERLINK("http://www.elcaribe.com.do")</f>
        <v>http://www.elcaribe.com.do</v>
      </c>
      <c r="AR641" s="76" t="s">
        <v>14299</v>
      </c>
      <c r="AS641" s="76" t="s">
        <v>14377</v>
      </c>
      <c r="AT641" s="76" t="s">
        <v>14389</v>
      </c>
      <c r="AU641" s="76" t="s">
        <v>14444</v>
      </c>
      <c r="AV641" s="76">
        <v>1.7071722487993001E+18</v>
      </c>
      <c r="AW641" s="82" t="str">
        <f>HYPERLINK("https://t.co/Cw4GWmm8tn")</f>
        <v>https://t.co/Cw4GWmm8tn</v>
      </c>
      <c r="AX641" s="76" t="b">
        <v>0</v>
      </c>
      <c r="AY641" s="76"/>
      <c r="AZ641" s="76"/>
      <c r="BA641" s="76" t="b">
        <v>0</v>
      </c>
      <c r="BB641" s="76" t="b">
        <v>1</v>
      </c>
      <c r="BC641" s="76" t="b">
        <v>0</v>
      </c>
      <c r="BD641" s="76" t="b">
        <v>0</v>
      </c>
      <c r="BE641" s="76" t="b">
        <v>0</v>
      </c>
      <c r="BF641" s="76" t="b">
        <v>0</v>
      </c>
      <c r="BG641" s="76" t="b">
        <v>0</v>
      </c>
      <c r="BH641" s="82" t="str">
        <f>HYPERLINK("https://pbs.twimg.com/profile_banners/36958479/1686755222")</f>
        <v>https://pbs.twimg.com/profile_banners/36958479/1686755222</v>
      </c>
      <c r="BI641" s="76"/>
      <c r="BJ641" s="76" t="s">
        <v>14450</v>
      </c>
      <c r="BK641" s="76" t="b">
        <v>0</v>
      </c>
      <c r="BL641" s="76"/>
      <c r="BM641" s="76" t="s">
        <v>66</v>
      </c>
      <c r="BN641" s="76" t="s">
        <v>14452</v>
      </c>
      <c r="BO641" s="82" t="str">
        <f>HYPERLINK("https://twitter.com/elcariberd")</f>
        <v>https://twitter.com/elcariberd</v>
      </c>
      <c r="BP641" s="2"/>
    </row>
    <row r="642" spans="1:68" x14ac:dyDescent="0.25">
      <c r="A642" s="62" t="s">
        <v>774</v>
      </c>
      <c r="B642" s="63"/>
      <c r="C642" s="63"/>
      <c r="D642" s="64"/>
      <c r="E642" s="66"/>
      <c r="F642" s="103" t="str">
        <f>HYPERLINK("https://pbs.twimg.com/profile_images/1262172376642523139/NLqB36kJ_normal.jpg")</f>
        <v>https://pbs.twimg.com/profile_images/1262172376642523139/NLqB36kJ_normal.jpg</v>
      </c>
      <c r="G642" s="63"/>
      <c r="H642" s="67"/>
      <c r="I642" s="68"/>
      <c r="J642" s="68"/>
      <c r="K642" s="67" t="s">
        <v>15091</v>
      </c>
      <c r="L642" s="71"/>
      <c r="M642" s="72"/>
      <c r="N642" s="72"/>
      <c r="O642" s="73"/>
      <c r="P642" s="74"/>
      <c r="Q642" s="74"/>
      <c r="R642" s="87"/>
      <c r="S642" s="87"/>
      <c r="T642" s="87"/>
      <c r="U642" s="87"/>
      <c r="V642" s="48"/>
      <c r="W642" s="48"/>
      <c r="X642" s="48"/>
      <c r="Y642" s="48"/>
      <c r="Z642" s="47"/>
      <c r="AA642" s="69">
        <v>642</v>
      </c>
      <c r="AB642" s="69"/>
      <c r="AC642" s="70"/>
      <c r="AD642" s="76" t="s">
        <v>12368</v>
      </c>
      <c r="AE642" s="80" t="s">
        <v>12810</v>
      </c>
      <c r="AF642" s="76">
        <v>989</v>
      </c>
      <c r="AG642" s="76">
        <v>93</v>
      </c>
      <c r="AH642" s="76">
        <v>732</v>
      </c>
      <c r="AI642" s="76">
        <v>4</v>
      </c>
      <c r="AJ642" s="76">
        <v>385</v>
      </c>
      <c r="AK642" s="76">
        <v>235</v>
      </c>
      <c r="AL642" s="76" t="b">
        <v>0</v>
      </c>
      <c r="AM642" s="78">
        <v>41334.163217592592</v>
      </c>
      <c r="AN642" s="76" t="s">
        <v>7816</v>
      </c>
      <c r="AO642" s="76" t="s">
        <v>13810</v>
      </c>
      <c r="AP642" s="82" t="str">
        <f>HYPERLINK("https://t.co/LPmiIbuSdi")</f>
        <v>https://t.co/LPmiIbuSdi</v>
      </c>
      <c r="AQ642" s="82" t="str">
        <f>HYPERLINK("https://www.picaperu.com")</f>
        <v>https://www.picaperu.com</v>
      </c>
      <c r="AR642" s="76" t="s">
        <v>14300</v>
      </c>
      <c r="AS642" s="76"/>
      <c r="AT642" s="76"/>
      <c r="AU642" s="76"/>
      <c r="AV642" s="76"/>
      <c r="AW642" s="82" t="str">
        <f>HYPERLINK("https://t.co/LPmiIbuSdi")</f>
        <v>https://t.co/LPmiIbuSdi</v>
      </c>
      <c r="AX642" s="76" t="b">
        <v>0</v>
      </c>
      <c r="AY642" s="76"/>
      <c r="AZ642" s="76"/>
      <c r="BA642" s="76" t="b">
        <v>0</v>
      </c>
      <c r="BB642" s="76" t="b">
        <v>1</v>
      </c>
      <c r="BC642" s="76" t="b">
        <v>0</v>
      </c>
      <c r="BD642" s="76" t="b">
        <v>0</v>
      </c>
      <c r="BE642" s="76" t="b">
        <v>1</v>
      </c>
      <c r="BF642" s="76" t="b">
        <v>0</v>
      </c>
      <c r="BG642" s="76" t="b">
        <v>0</v>
      </c>
      <c r="BH642" s="82" t="str">
        <f>HYPERLINK("https://pbs.twimg.com/profile_banners/1228954766/1676500719")</f>
        <v>https://pbs.twimg.com/profile_banners/1228954766/1676500719</v>
      </c>
      <c r="BI642" s="76"/>
      <c r="BJ642" s="76" t="s">
        <v>14450</v>
      </c>
      <c r="BK642" s="76" t="b">
        <v>0</v>
      </c>
      <c r="BL642" s="76"/>
      <c r="BM642" s="76" t="s">
        <v>66</v>
      </c>
      <c r="BN642" s="76" t="s">
        <v>14452</v>
      </c>
      <c r="BO642" s="82" t="str">
        <f>HYPERLINK("https://twitter.com/picaperumedios")</f>
        <v>https://twitter.com/picaperumedios</v>
      </c>
      <c r="BP642" s="2"/>
    </row>
    <row r="643" spans="1:68" x14ac:dyDescent="0.25">
      <c r="A643" s="62" t="s">
        <v>775</v>
      </c>
      <c r="B643" s="63"/>
      <c r="C643" s="63"/>
      <c r="D643" s="64"/>
      <c r="E643" s="66"/>
      <c r="F643" s="103" t="str">
        <f>HYPERLINK("https://pbs.twimg.com/profile_images/1585771663404171265/mbargQWH_normal.jpg")</f>
        <v>https://pbs.twimg.com/profile_images/1585771663404171265/mbargQWH_normal.jpg</v>
      </c>
      <c r="G643" s="63"/>
      <c r="H643" s="67"/>
      <c r="I643" s="68"/>
      <c r="J643" s="68"/>
      <c r="K643" s="67" t="s">
        <v>15092</v>
      </c>
      <c r="L643" s="71"/>
      <c r="M643" s="72"/>
      <c r="N643" s="72"/>
      <c r="O643" s="73"/>
      <c r="P643" s="74"/>
      <c r="Q643" s="74"/>
      <c r="R643" s="87"/>
      <c r="S643" s="87"/>
      <c r="T643" s="87"/>
      <c r="U643" s="87"/>
      <c r="V643" s="48"/>
      <c r="W643" s="48"/>
      <c r="X643" s="48"/>
      <c r="Y643" s="48"/>
      <c r="Z643" s="47"/>
      <c r="AA643" s="69">
        <v>643</v>
      </c>
      <c r="AB643" s="69"/>
      <c r="AC643" s="70"/>
      <c r="AD643" s="76" t="s">
        <v>12369</v>
      </c>
      <c r="AE643" s="80" t="s">
        <v>11668</v>
      </c>
      <c r="AF643" s="76">
        <v>0</v>
      </c>
      <c r="AG643" s="76">
        <v>5</v>
      </c>
      <c r="AH643" s="76">
        <v>36</v>
      </c>
      <c r="AI643" s="76">
        <v>0</v>
      </c>
      <c r="AJ643" s="76">
        <v>0</v>
      </c>
      <c r="AK643" s="76">
        <v>36</v>
      </c>
      <c r="AL643" s="76" t="b">
        <v>0</v>
      </c>
      <c r="AM643" s="78">
        <v>44861.964837962965</v>
      </c>
      <c r="AN643" s="76"/>
      <c r="AO643" s="76"/>
      <c r="AP643" s="76"/>
      <c r="AQ643" s="76"/>
      <c r="AR643" s="76"/>
      <c r="AS643" s="76"/>
      <c r="AT643" s="76"/>
      <c r="AU643" s="76"/>
      <c r="AV643" s="76"/>
      <c r="AW643" s="76"/>
      <c r="AX643" s="76" t="b">
        <v>0</v>
      </c>
      <c r="AY643" s="76"/>
      <c r="AZ643" s="76"/>
      <c r="BA643" s="76" t="b">
        <v>0</v>
      </c>
      <c r="BB643" s="76" t="b">
        <v>1</v>
      </c>
      <c r="BC643" s="76" t="b">
        <v>1</v>
      </c>
      <c r="BD643" s="76" t="b">
        <v>0</v>
      </c>
      <c r="BE643" s="76" t="b">
        <v>0</v>
      </c>
      <c r="BF643" s="76" t="b">
        <v>0</v>
      </c>
      <c r="BG643" s="76" t="b">
        <v>0</v>
      </c>
      <c r="BH643" s="82" t="str">
        <f>HYPERLINK("https://pbs.twimg.com/profile_banners/1585770590757130241/1666913024")</f>
        <v>https://pbs.twimg.com/profile_banners/1585770590757130241/1666913024</v>
      </c>
      <c r="BI643" s="76"/>
      <c r="BJ643" s="76" t="s">
        <v>14450</v>
      </c>
      <c r="BK643" s="76" t="b">
        <v>0</v>
      </c>
      <c r="BL643" s="76"/>
      <c r="BM643" s="76" t="s">
        <v>66</v>
      </c>
      <c r="BN643" s="76" t="s">
        <v>14452</v>
      </c>
      <c r="BO643" s="82" t="str">
        <f>HYPERLINK("https://twitter.com/emmagonzalezrc")</f>
        <v>https://twitter.com/emmagonzalezrc</v>
      </c>
      <c r="BP643" s="2"/>
    </row>
    <row r="644" spans="1:68" x14ac:dyDescent="0.25">
      <c r="A644" s="62" t="s">
        <v>776</v>
      </c>
      <c r="B644" s="63"/>
      <c r="C644" s="63"/>
      <c r="D644" s="64"/>
      <c r="E644" s="66"/>
      <c r="F644" s="103" t="str">
        <f>HYPERLINK("https://pbs.twimg.com/profile_images/1681318565469884419/73Hnl_8O_normal.jpg")</f>
        <v>https://pbs.twimg.com/profile_images/1681318565469884419/73Hnl_8O_normal.jpg</v>
      </c>
      <c r="G644" s="63"/>
      <c r="H644" s="67"/>
      <c r="I644" s="68"/>
      <c r="J644" s="68"/>
      <c r="K644" s="67" t="s">
        <v>15093</v>
      </c>
      <c r="L644" s="71"/>
      <c r="M644" s="72"/>
      <c r="N644" s="72"/>
      <c r="O644" s="73"/>
      <c r="P644" s="74"/>
      <c r="Q644" s="74"/>
      <c r="R644" s="87"/>
      <c r="S644" s="87"/>
      <c r="T644" s="87"/>
      <c r="U644" s="87"/>
      <c r="V644" s="48"/>
      <c r="W644" s="48"/>
      <c r="X644" s="48"/>
      <c r="Y644" s="48"/>
      <c r="Z644" s="47"/>
      <c r="AA644" s="69">
        <v>644</v>
      </c>
      <c r="AB644" s="69"/>
      <c r="AC644" s="70"/>
      <c r="AD644" s="76" t="s">
        <v>12370</v>
      </c>
      <c r="AE644" s="80" t="s">
        <v>11669</v>
      </c>
      <c r="AF644" s="76">
        <v>39</v>
      </c>
      <c r="AG644" s="76">
        <v>166</v>
      </c>
      <c r="AH644" s="76">
        <v>1728</v>
      </c>
      <c r="AI644" s="76">
        <v>0</v>
      </c>
      <c r="AJ644" s="76">
        <v>1017</v>
      </c>
      <c r="AK644" s="76">
        <v>589</v>
      </c>
      <c r="AL644" s="76" t="b">
        <v>0</v>
      </c>
      <c r="AM644" s="78">
        <v>44867.661886574075</v>
      </c>
      <c r="AN644" s="76" t="s">
        <v>13180</v>
      </c>
      <c r="AO644" s="76" t="s">
        <v>13811</v>
      </c>
      <c r="AP644" s="76"/>
      <c r="AQ644" s="76"/>
      <c r="AR644" s="76"/>
      <c r="AS644" s="76"/>
      <c r="AT644" s="76"/>
      <c r="AU644" s="76"/>
      <c r="AV644" s="76"/>
      <c r="AW644" s="76"/>
      <c r="AX644" s="76" t="b">
        <v>0</v>
      </c>
      <c r="AY644" s="76"/>
      <c r="AZ644" s="76"/>
      <c r="BA644" s="76" t="b">
        <v>0</v>
      </c>
      <c r="BB644" s="76" t="b">
        <v>1</v>
      </c>
      <c r="BC644" s="76" t="b">
        <v>1</v>
      </c>
      <c r="BD644" s="76" t="b">
        <v>0</v>
      </c>
      <c r="BE644" s="76" t="b">
        <v>1</v>
      </c>
      <c r="BF644" s="76" t="b">
        <v>0</v>
      </c>
      <c r="BG644" s="76" t="b">
        <v>0</v>
      </c>
      <c r="BH644" s="82" t="str">
        <f>HYPERLINK("https://pbs.twimg.com/profile_banners/1587835104612720641/1680799956")</f>
        <v>https://pbs.twimg.com/profile_banners/1587835104612720641/1680799956</v>
      </c>
      <c r="BI644" s="76"/>
      <c r="BJ644" s="76" t="s">
        <v>14450</v>
      </c>
      <c r="BK644" s="76" t="b">
        <v>0</v>
      </c>
      <c r="BL644" s="76"/>
      <c r="BM644" s="76" t="s">
        <v>66</v>
      </c>
      <c r="BN644" s="76" t="s">
        <v>14452</v>
      </c>
      <c r="BO644" s="82" t="str">
        <f>HYPERLINK("https://twitter.com/advzimmermann")</f>
        <v>https://twitter.com/advzimmermann</v>
      </c>
      <c r="BP644" s="2"/>
    </row>
    <row r="645" spans="1:68" x14ac:dyDescent="0.25">
      <c r="A645" s="62" t="s">
        <v>777</v>
      </c>
      <c r="B645" s="63"/>
      <c r="C645" s="63"/>
      <c r="D645" s="64"/>
      <c r="E645" s="66"/>
      <c r="F645" s="103" t="str">
        <f>HYPERLINK("https://pbs.twimg.com/profile_images/1618322979577815055/tyL6RedL_normal.jpg")</f>
        <v>https://pbs.twimg.com/profile_images/1618322979577815055/tyL6RedL_normal.jpg</v>
      </c>
      <c r="G645" s="63"/>
      <c r="H645" s="67"/>
      <c r="I645" s="68"/>
      <c r="J645" s="68"/>
      <c r="K645" s="67" t="s">
        <v>15094</v>
      </c>
      <c r="L645" s="71"/>
      <c r="M645" s="72"/>
      <c r="N645" s="72"/>
      <c r="O645" s="73"/>
      <c r="P645" s="74"/>
      <c r="Q645" s="74"/>
      <c r="R645" s="87"/>
      <c r="S645" s="87"/>
      <c r="T645" s="87"/>
      <c r="U645" s="87"/>
      <c r="V645" s="48"/>
      <c r="W645" s="48"/>
      <c r="X645" s="48"/>
      <c r="Y645" s="48"/>
      <c r="Z645" s="47"/>
      <c r="AA645" s="69">
        <v>645</v>
      </c>
      <c r="AB645" s="69"/>
      <c r="AC645" s="70"/>
      <c r="AD645" s="76" t="s">
        <v>12371</v>
      </c>
      <c r="AE645" s="80" t="s">
        <v>12811</v>
      </c>
      <c r="AF645" s="76">
        <v>867</v>
      </c>
      <c r="AG645" s="76">
        <v>1299</v>
      </c>
      <c r="AH645" s="76">
        <v>7728</v>
      </c>
      <c r="AI645" s="76">
        <v>35</v>
      </c>
      <c r="AJ645" s="76">
        <v>460</v>
      </c>
      <c r="AK645" s="76">
        <v>1015</v>
      </c>
      <c r="AL645" s="76" t="b">
        <v>0</v>
      </c>
      <c r="AM645" s="78">
        <v>40830.567013888889</v>
      </c>
      <c r="AN645" s="76" t="s">
        <v>13181</v>
      </c>
      <c r="AO645" s="76" t="s">
        <v>13812</v>
      </c>
      <c r="AP645" s="82" t="str">
        <f>HYPERLINK("https://t.co/YGQSuJFxWV")</f>
        <v>https://t.co/YGQSuJFxWV</v>
      </c>
      <c r="AQ645" s="82" t="str">
        <f>HYPERLINK("http://www.interaccionhumana.es/suscribete")</f>
        <v>http://www.interaccionhumana.es/suscribete</v>
      </c>
      <c r="AR645" s="76" t="s">
        <v>14301</v>
      </c>
      <c r="AS645" s="82" t="str">
        <f>HYPERLINK("https://t.co/EvJ9Rr4si5")</f>
        <v>https://t.co/EvJ9Rr4si5</v>
      </c>
      <c r="AT645" s="82" t="str">
        <f>HYPERLINK("http://interaccionhumana.es/suscribete")</f>
        <v>http://interaccionhumana.es/suscribete</v>
      </c>
      <c r="AU645" s="76" t="s">
        <v>14301</v>
      </c>
      <c r="AV645" s="76"/>
      <c r="AW645" s="82" t="str">
        <f>HYPERLINK("https://t.co/YGQSuJFxWV")</f>
        <v>https://t.co/YGQSuJFxWV</v>
      </c>
      <c r="AX645" s="76" t="b">
        <v>0</v>
      </c>
      <c r="AY645" s="76"/>
      <c r="AZ645" s="76"/>
      <c r="BA645" s="76" t="b">
        <v>0</v>
      </c>
      <c r="BB645" s="76" t="b">
        <v>1</v>
      </c>
      <c r="BC645" s="76" t="b">
        <v>0</v>
      </c>
      <c r="BD645" s="76" t="b">
        <v>0</v>
      </c>
      <c r="BE645" s="76" t="b">
        <v>1</v>
      </c>
      <c r="BF645" s="76" t="b">
        <v>0</v>
      </c>
      <c r="BG645" s="76" t="b">
        <v>0</v>
      </c>
      <c r="BH645" s="82" t="str">
        <f>HYPERLINK("https://pbs.twimg.com/profile_banners/390737687/1462009522")</f>
        <v>https://pbs.twimg.com/profile_banners/390737687/1462009522</v>
      </c>
      <c r="BI645" s="76"/>
      <c r="BJ645" s="76" t="s">
        <v>14450</v>
      </c>
      <c r="BK645" s="76" t="b">
        <v>0</v>
      </c>
      <c r="BL645" s="76"/>
      <c r="BM645" s="76" t="s">
        <v>66</v>
      </c>
      <c r="BN645" s="76" t="s">
        <v>14452</v>
      </c>
      <c r="BO645" s="82" t="str">
        <f>HYPERLINK("https://twitter.com/interaccionhuma")</f>
        <v>https://twitter.com/interaccionhuma</v>
      </c>
      <c r="BP645" s="2"/>
    </row>
    <row r="646" spans="1:68" x14ac:dyDescent="0.25">
      <c r="A646" s="62" t="s">
        <v>778</v>
      </c>
      <c r="B646" s="63"/>
      <c r="C646" s="63"/>
      <c r="D646" s="64"/>
      <c r="E646" s="66"/>
      <c r="F646" s="103" t="str">
        <f>HYPERLINK("https://pbs.twimg.com/profile_images/1113497803202990081/-y7CfFA5_normal.jpg")</f>
        <v>https://pbs.twimg.com/profile_images/1113497803202990081/-y7CfFA5_normal.jpg</v>
      </c>
      <c r="G646" s="63"/>
      <c r="H646" s="67"/>
      <c r="I646" s="68"/>
      <c r="J646" s="68"/>
      <c r="K646" s="67" t="s">
        <v>15095</v>
      </c>
      <c r="L646" s="71"/>
      <c r="M646" s="72"/>
      <c r="N646" s="72"/>
      <c r="O646" s="73"/>
      <c r="P646" s="74"/>
      <c r="Q646" s="74"/>
      <c r="R646" s="87"/>
      <c r="S646" s="87"/>
      <c r="T646" s="87"/>
      <c r="U646" s="87"/>
      <c r="V646" s="48"/>
      <c r="W646" s="48"/>
      <c r="X646" s="48"/>
      <c r="Y646" s="48"/>
      <c r="Z646" s="47"/>
      <c r="AA646" s="69">
        <v>646</v>
      </c>
      <c r="AB646" s="69"/>
      <c r="AC646" s="70"/>
      <c r="AD646" s="76" t="s">
        <v>12372</v>
      </c>
      <c r="AE646" s="80" t="s">
        <v>12812</v>
      </c>
      <c r="AF646" s="76">
        <v>1343</v>
      </c>
      <c r="AG646" s="76">
        <v>4855</v>
      </c>
      <c r="AH646" s="76">
        <v>2395</v>
      </c>
      <c r="AI646" s="76">
        <v>1</v>
      </c>
      <c r="AJ646" s="76">
        <v>417</v>
      </c>
      <c r="AK646" s="76">
        <v>881</v>
      </c>
      <c r="AL646" s="76" t="b">
        <v>0</v>
      </c>
      <c r="AM646" s="78">
        <v>40288.238506944443</v>
      </c>
      <c r="AN646" s="76" t="s">
        <v>13182</v>
      </c>
      <c r="AO646" s="76" t="s">
        <v>13813</v>
      </c>
      <c r="AP646" s="82" t="str">
        <f>HYPERLINK("https://t.co/3R3ujgolaQ")</f>
        <v>https://t.co/3R3ujgolaQ</v>
      </c>
      <c r="AQ646" s="82" t="str">
        <f>HYPERLINK("https://fgvariedadespravc.lojavirtualnuvem.com.br/")</f>
        <v>https://fgvariedadespravc.lojavirtualnuvem.com.br/</v>
      </c>
      <c r="AR646" s="76" t="s">
        <v>14302</v>
      </c>
      <c r="AS646" s="76"/>
      <c r="AT646" s="76"/>
      <c r="AU646" s="76"/>
      <c r="AV646" s="76"/>
      <c r="AW646" s="82" t="str">
        <f>HYPERLINK("https://t.co/3R3ujgolaQ")</f>
        <v>https://t.co/3R3ujgolaQ</v>
      </c>
      <c r="AX646" s="76" t="b">
        <v>0</v>
      </c>
      <c r="AY646" s="76"/>
      <c r="AZ646" s="76"/>
      <c r="BA646" s="76" t="b">
        <v>0</v>
      </c>
      <c r="BB646" s="76" t="b">
        <v>1</v>
      </c>
      <c r="BC646" s="76" t="b">
        <v>0</v>
      </c>
      <c r="BD646" s="76" t="b">
        <v>0</v>
      </c>
      <c r="BE646" s="76" t="b">
        <v>1</v>
      </c>
      <c r="BF646" s="76" t="b">
        <v>0</v>
      </c>
      <c r="BG646" s="76" t="b">
        <v>0</v>
      </c>
      <c r="BH646" s="82" t="str">
        <f>HYPERLINK("https://pbs.twimg.com/profile_banners/135049513/1370067984")</f>
        <v>https://pbs.twimg.com/profile_banners/135049513/1370067984</v>
      </c>
      <c r="BI646" s="76"/>
      <c r="BJ646" s="76" t="s">
        <v>14450</v>
      </c>
      <c r="BK646" s="76" t="b">
        <v>0</v>
      </c>
      <c r="BL646" s="76"/>
      <c r="BM646" s="76" t="s">
        <v>66</v>
      </c>
      <c r="BN646" s="76" t="s">
        <v>14452</v>
      </c>
      <c r="BO646" s="82" t="str">
        <f>HYPERLINK("https://twitter.com/fgdecristo")</f>
        <v>https://twitter.com/fgdecristo</v>
      </c>
      <c r="BP646" s="2"/>
    </row>
    <row r="647" spans="1:68" x14ac:dyDescent="0.25">
      <c r="A647" s="62" t="s">
        <v>779</v>
      </c>
      <c r="B647" s="63"/>
      <c r="C647" s="63"/>
      <c r="D647" s="64"/>
      <c r="E647" s="66"/>
      <c r="F647" s="103" t="str">
        <f>HYPERLINK("https://pbs.twimg.com/profile_images/536566471900422145/ouYkwJDA_normal.jpeg")</f>
        <v>https://pbs.twimg.com/profile_images/536566471900422145/ouYkwJDA_normal.jpeg</v>
      </c>
      <c r="G647" s="63"/>
      <c r="H647" s="67"/>
      <c r="I647" s="68"/>
      <c r="J647" s="68"/>
      <c r="K647" s="67" t="s">
        <v>15096</v>
      </c>
      <c r="L647" s="71"/>
      <c r="M647" s="72"/>
      <c r="N647" s="72"/>
      <c r="O647" s="73"/>
      <c r="P647" s="74"/>
      <c r="Q647" s="74"/>
      <c r="R647" s="87"/>
      <c r="S647" s="87"/>
      <c r="T647" s="87"/>
      <c r="U647" s="87"/>
      <c r="V647" s="48"/>
      <c r="W647" s="48"/>
      <c r="X647" s="48"/>
      <c r="Y647" s="48"/>
      <c r="Z647" s="47"/>
      <c r="AA647" s="69">
        <v>647</v>
      </c>
      <c r="AB647" s="69"/>
      <c r="AC647" s="70"/>
      <c r="AD647" s="76" t="s">
        <v>12373</v>
      </c>
      <c r="AE647" s="80" t="s">
        <v>12813</v>
      </c>
      <c r="AF647" s="76">
        <v>399</v>
      </c>
      <c r="AG647" s="76">
        <v>523</v>
      </c>
      <c r="AH647" s="76">
        <v>10234</v>
      </c>
      <c r="AI647" s="76">
        <v>0</v>
      </c>
      <c r="AJ647" s="76">
        <v>758</v>
      </c>
      <c r="AK647" s="76">
        <v>34</v>
      </c>
      <c r="AL647" s="76" t="b">
        <v>0</v>
      </c>
      <c r="AM647" s="78">
        <v>40730.443506944444</v>
      </c>
      <c r="AN647" s="76" t="s">
        <v>13183</v>
      </c>
      <c r="AO647" s="76" t="s">
        <v>13814</v>
      </c>
      <c r="AP647" s="82" t="str">
        <f>HYPERLINK("https://t.co/QBr2FztHJy")</f>
        <v>https://t.co/QBr2FztHJy</v>
      </c>
      <c r="AQ647" s="82" t="str">
        <f>HYPERLINK("http://www.apasiona-t.co")</f>
        <v>http://www.apasiona-t.co</v>
      </c>
      <c r="AR647" s="76" t="s">
        <v>14303</v>
      </c>
      <c r="AS647" s="76"/>
      <c r="AT647" s="76"/>
      <c r="AU647" s="76"/>
      <c r="AV647" s="76"/>
      <c r="AW647" s="82" t="str">
        <f>HYPERLINK("https://t.co/QBr2FztHJy")</f>
        <v>https://t.co/QBr2FztHJy</v>
      </c>
      <c r="AX647" s="76" t="b">
        <v>0</v>
      </c>
      <c r="AY647" s="76"/>
      <c r="AZ647" s="76"/>
      <c r="BA647" s="76" t="b">
        <v>0</v>
      </c>
      <c r="BB647" s="76" t="b">
        <v>1</v>
      </c>
      <c r="BC647" s="76" t="b">
        <v>0</v>
      </c>
      <c r="BD647" s="76" t="b">
        <v>0</v>
      </c>
      <c r="BE647" s="76" t="b">
        <v>0</v>
      </c>
      <c r="BF647" s="76" t="b">
        <v>0</v>
      </c>
      <c r="BG647" s="76" t="b">
        <v>0</v>
      </c>
      <c r="BH647" s="82" t="str">
        <f>HYPERLINK("https://pbs.twimg.com/profile_banners/330255306/1645368159")</f>
        <v>https://pbs.twimg.com/profile_banners/330255306/1645368159</v>
      </c>
      <c r="BI647" s="76"/>
      <c r="BJ647" s="76" t="s">
        <v>14450</v>
      </c>
      <c r="BK647" s="76" t="b">
        <v>0</v>
      </c>
      <c r="BL647" s="76"/>
      <c r="BM647" s="76" t="s">
        <v>66</v>
      </c>
      <c r="BN647" s="76" t="s">
        <v>14452</v>
      </c>
      <c r="BO647" s="82" t="str">
        <f>HYPERLINK("https://twitter.com/chemavich")</f>
        <v>https://twitter.com/chemavich</v>
      </c>
      <c r="BP647" s="2"/>
    </row>
    <row r="648" spans="1:68" x14ac:dyDescent="0.25">
      <c r="A648" s="62" t="s">
        <v>955</v>
      </c>
      <c r="B648" s="63"/>
      <c r="C648" s="63"/>
      <c r="D648" s="64"/>
      <c r="E648" s="66"/>
      <c r="F648" s="103" t="str">
        <f>HYPERLINK("https://pbs.twimg.com/profile_images/1542864121628164099/6qAJJ5Lj_normal.jpg")</f>
        <v>https://pbs.twimg.com/profile_images/1542864121628164099/6qAJJ5Lj_normal.jpg</v>
      </c>
      <c r="G648" s="63"/>
      <c r="H648" s="67"/>
      <c r="I648" s="68"/>
      <c r="J648" s="68"/>
      <c r="K648" s="67" t="s">
        <v>15097</v>
      </c>
      <c r="L648" s="71"/>
      <c r="M648" s="72"/>
      <c r="N648" s="72"/>
      <c r="O648" s="73"/>
      <c r="P648" s="74"/>
      <c r="Q648" s="74"/>
      <c r="R648" s="87"/>
      <c r="S648" s="87"/>
      <c r="T648" s="87"/>
      <c r="U648" s="87"/>
      <c r="V648" s="48"/>
      <c r="W648" s="48"/>
      <c r="X648" s="48"/>
      <c r="Y648" s="48"/>
      <c r="Z648" s="47"/>
      <c r="AA648" s="69">
        <v>648</v>
      </c>
      <c r="AB648" s="69"/>
      <c r="AC648" s="70"/>
      <c r="AD648" s="76" t="s">
        <v>12374</v>
      </c>
      <c r="AE648" s="80" t="s">
        <v>12814</v>
      </c>
      <c r="AF648" s="76">
        <v>289</v>
      </c>
      <c r="AG648" s="76">
        <v>815</v>
      </c>
      <c r="AH648" s="76">
        <v>11198</v>
      </c>
      <c r="AI648" s="76">
        <v>3</v>
      </c>
      <c r="AJ648" s="76">
        <v>80163</v>
      </c>
      <c r="AK648" s="76">
        <v>484</v>
      </c>
      <c r="AL648" s="76" t="b">
        <v>0</v>
      </c>
      <c r="AM648" s="78">
        <v>40501.950057870374</v>
      </c>
      <c r="AN648" s="76" t="s">
        <v>13064</v>
      </c>
      <c r="AO648" s="76" t="s">
        <v>13815</v>
      </c>
      <c r="AP648" s="82" t="str">
        <f>HYPERLINK("https://t.co/sCgtrdYhB4")</f>
        <v>https://t.co/sCgtrdYhB4</v>
      </c>
      <c r="AQ648" s="82" t="str">
        <f>HYPERLINK("https://linktr.ee/diegoiturralderrivadeneira")</f>
        <v>https://linktr.ee/diegoiturralderrivadeneira</v>
      </c>
      <c r="AR648" s="76" t="s">
        <v>14304</v>
      </c>
      <c r="AS648" s="82" t="str">
        <f>HYPERLINK("https://t.co/CZogFV6GQS")</f>
        <v>https://t.co/CZogFV6GQS</v>
      </c>
      <c r="AT648" s="82" t="str">
        <f>HYPERLINK("http://linkedin.com")</f>
        <v>http://linkedin.com</v>
      </c>
      <c r="AU648" s="76" t="s">
        <v>4218</v>
      </c>
      <c r="AV648" s="76"/>
      <c r="AW648" s="82" t="str">
        <f>HYPERLINK("https://t.co/sCgtrdYhB4")</f>
        <v>https://t.co/sCgtrdYhB4</v>
      </c>
      <c r="AX648" s="76" t="b">
        <v>0</v>
      </c>
      <c r="AY648" s="76"/>
      <c r="AZ648" s="76"/>
      <c r="BA648" s="76" t="b">
        <v>0</v>
      </c>
      <c r="BB648" s="76" t="b">
        <v>1</v>
      </c>
      <c r="BC648" s="76" t="b">
        <v>0</v>
      </c>
      <c r="BD648" s="76" t="b">
        <v>0</v>
      </c>
      <c r="BE648" s="76" t="b">
        <v>1</v>
      </c>
      <c r="BF648" s="76" t="b">
        <v>0</v>
      </c>
      <c r="BG648" s="76" t="b">
        <v>1</v>
      </c>
      <c r="BH648" s="82" t="str">
        <f>HYPERLINK("https://pbs.twimg.com/profile_banners/217581644/1500691692")</f>
        <v>https://pbs.twimg.com/profile_banners/217581644/1500691692</v>
      </c>
      <c r="BI648" s="76"/>
      <c r="BJ648" s="76" t="s">
        <v>14450</v>
      </c>
      <c r="BK648" s="76" t="b">
        <v>0</v>
      </c>
      <c r="BL648" s="76"/>
      <c r="BM648" s="76" t="s">
        <v>65</v>
      </c>
      <c r="BN648" s="76" t="s">
        <v>14452</v>
      </c>
      <c r="BO648" s="82" t="str">
        <f>HYPERLINK("https://twitter.com/diegoiturralde_")</f>
        <v>https://twitter.com/diegoiturralde_</v>
      </c>
      <c r="BP648" s="2"/>
    </row>
    <row r="649" spans="1:68" x14ac:dyDescent="0.25">
      <c r="A649" s="62" t="s">
        <v>956</v>
      </c>
      <c r="B649" s="63"/>
      <c r="C649" s="63"/>
      <c r="D649" s="64"/>
      <c r="E649" s="66"/>
      <c r="F649" s="103" t="str">
        <f>HYPERLINK("https://pbs.twimg.com/profile_images/1515449586458013696/o88SQVIc_normal.jpg")</f>
        <v>https://pbs.twimg.com/profile_images/1515449586458013696/o88SQVIc_normal.jpg</v>
      </c>
      <c r="G649" s="63"/>
      <c r="H649" s="67"/>
      <c r="I649" s="68"/>
      <c r="J649" s="68"/>
      <c r="K649" s="67" t="s">
        <v>15098</v>
      </c>
      <c r="L649" s="71"/>
      <c r="M649" s="72"/>
      <c r="N649" s="72"/>
      <c r="O649" s="73"/>
      <c r="P649" s="74"/>
      <c r="Q649" s="74"/>
      <c r="R649" s="87"/>
      <c r="S649" s="87"/>
      <c r="T649" s="87"/>
      <c r="U649" s="87"/>
      <c r="V649" s="48"/>
      <c r="W649" s="48"/>
      <c r="X649" s="48"/>
      <c r="Y649" s="48"/>
      <c r="Z649" s="47"/>
      <c r="AA649" s="69">
        <v>649</v>
      </c>
      <c r="AB649" s="69"/>
      <c r="AC649" s="70"/>
      <c r="AD649" s="76" t="s">
        <v>12375</v>
      </c>
      <c r="AE649" s="80" t="s">
        <v>12815</v>
      </c>
      <c r="AF649" s="76">
        <v>17</v>
      </c>
      <c r="AG649" s="76">
        <v>64</v>
      </c>
      <c r="AH649" s="76">
        <v>13</v>
      </c>
      <c r="AI649" s="76">
        <v>1</v>
      </c>
      <c r="AJ649" s="76">
        <v>6</v>
      </c>
      <c r="AK649" s="76">
        <v>1</v>
      </c>
      <c r="AL649" s="76" t="b">
        <v>0</v>
      </c>
      <c r="AM649" s="78">
        <v>44526.452974537038</v>
      </c>
      <c r="AN649" s="76"/>
      <c r="AO649" s="76" t="s">
        <v>13816</v>
      </c>
      <c r="AP649" s="76"/>
      <c r="AQ649" s="76"/>
      <c r="AR649" s="76"/>
      <c r="AS649" s="76"/>
      <c r="AT649" s="76"/>
      <c r="AU649" s="76"/>
      <c r="AV649" s="76"/>
      <c r="AW649" s="76"/>
      <c r="AX649" s="76" t="b">
        <v>0</v>
      </c>
      <c r="AY649" s="76"/>
      <c r="AZ649" s="76"/>
      <c r="BA649" s="76" t="b">
        <v>0</v>
      </c>
      <c r="BB649" s="76" t="b">
        <v>1</v>
      </c>
      <c r="BC649" s="76" t="b">
        <v>1</v>
      </c>
      <c r="BD649" s="76" t="b">
        <v>0</v>
      </c>
      <c r="BE649" s="76" t="b">
        <v>0</v>
      </c>
      <c r="BF649" s="76" t="b">
        <v>0</v>
      </c>
      <c r="BG649" s="76" t="b">
        <v>0</v>
      </c>
      <c r="BH649" s="82" t="str">
        <f>HYPERLINK("https://pbs.twimg.com/profile_banners/1464185177064853504/1637926282")</f>
        <v>https://pbs.twimg.com/profile_banners/1464185177064853504/1637926282</v>
      </c>
      <c r="BI649" s="76"/>
      <c r="BJ649" s="76" t="s">
        <v>14450</v>
      </c>
      <c r="BK649" s="76" t="b">
        <v>0</v>
      </c>
      <c r="BL649" s="76"/>
      <c r="BM649" s="76" t="s">
        <v>65</v>
      </c>
      <c r="BN649" s="76" t="s">
        <v>14452</v>
      </c>
      <c r="BO649" s="82" t="str">
        <f>HYPERLINK("https://twitter.com/constanzaibiet2")</f>
        <v>https://twitter.com/constanzaibiet2</v>
      </c>
      <c r="BP649" s="2"/>
    </row>
    <row r="650" spans="1:68" x14ac:dyDescent="0.25">
      <c r="A650" s="62" t="s">
        <v>780</v>
      </c>
      <c r="B650" s="63"/>
      <c r="C650" s="63"/>
      <c r="D650" s="64"/>
      <c r="E650" s="66"/>
      <c r="F650" s="103" t="str">
        <f>HYPERLINK("https://pbs.twimg.com/profile_images/1648736167800471584/Xj9o87-S_normal.jpg")</f>
        <v>https://pbs.twimg.com/profile_images/1648736167800471584/Xj9o87-S_normal.jpg</v>
      </c>
      <c r="G650" s="63"/>
      <c r="H650" s="67"/>
      <c r="I650" s="68"/>
      <c r="J650" s="68"/>
      <c r="K650" s="67" t="s">
        <v>15099</v>
      </c>
      <c r="L650" s="71"/>
      <c r="M650" s="72"/>
      <c r="N650" s="72"/>
      <c r="O650" s="73"/>
      <c r="P650" s="74"/>
      <c r="Q650" s="74"/>
      <c r="R650" s="87"/>
      <c r="S650" s="87"/>
      <c r="T650" s="87"/>
      <c r="U650" s="87"/>
      <c r="V650" s="48"/>
      <c r="W650" s="48"/>
      <c r="X650" s="48"/>
      <c r="Y650" s="48"/>
      <c r="Z650" s="47"/>
      <c r="AA650" s="69">
        <v>650</v>
      </c>
      <c r="AB650" s="69"/>
      <c r="AC650" s="70"/>
      <c r="AD650" s="76" t="s">
        <v>12376</v>
      </c>
      <c r="AE650" s="80" t="s">
        <v>11670</v>
      </c>
      <c r="AF650" s="76">
        <v>2</v>
      </c>
      <c r="AG650" s="76">
        <v>1</v>
      </c>
      <c r="AH650" s="76">
        <v>41</v>
      </c>
      <c r="AI650" s="76">
        <v>0</v>
      </c>
      <c r="AJ650" s="76">
        <v>0</v>
      </c>
      <c r="AK650" s="76">
        <v>6</v>
      </c>
      <c r="AL650" s="76" t="b">
        <v>0</v>
      </c>
      <c r="AM650" s="78">
        <v>45035.71371527778</v>
      </c>
      <c r="AN650" s="76"/>
      <c r="AO650" s="76" t="s">
        <v>13817</v>
      </c>
      <c r="AP650" s="82" t="str">
        <f>HYPERLINK("https://t.co/qCtWwqgRIT")</f>
        <v>https://t.co/qCtWwqgRIT</v>
      </c>
      <c r="AQ650" s="82" t="str">
        <f>HYPERLINK("http://heromidia.com")</f>
        <v>http://heromidia.com</v>
      </c>
      <c r="AR650" s="76" t="s">
        <v>14305</v>
      </c>
      <c r="AS650" s="76"/>
      <c r="AT650" s="76"/>
      <c r="AU650" s="76"/>
      <c r="AV650" s="76"/>
      <c r="AW650" s="82" t="str">
        <f>HYPERLINK("https://t.co/qCtWwqgRIT")</f>
        <v>https://t.co/qCtWwqgRIT</v>
      </c>
      <c r="AX650" s="76" t="b">
        <v>0</v>
      </c>
      <c r="AY650" s="76"/>
      <c r="AZ650" s="76"/>
      <c r="BA650" s="76" t="b">
        <v>0</v>
      </c>
      <c r="BB650" s="76" t="b">
        <v>1</v>
      </c>
      <c r="BC650" s="76" t="b">
        <v>1</v>
      </c>
      <c r="BD650" s="76" t="b">
        <v>0</v>
      </c>
      <c r="BE650" s="76" t="b">
        <v>0</v>
      </c>
      <c r="BF650" s="76" t="b">
        <v>0</v>
      </c>
      <c r="BG650" s="76" t="b">
        <v>0</v>
      </c>
      <c r="BH650" s="82" t="str">
        <f>HYPERLINK("https://pbs.twimg.com/profile_banners/1648734908116762634/1682365234")</f>
        <v>https://pbs.twimg.com/profile_banners/1648734908116762634/1682365234</v>
      </c>
      <c r="BI650" s="76"/>
      <c r="BJ650" s="76" t="s">
        <v>14450</v>
      </c>
      <c r="BK650" s="76" t="b">
        <v>0</v>
      </c>
      <c r="BL650" s="76"/>
      <c r="BM650" s="76" t="s">
        <v>66</v>
      </c>
      <c r="BN650" s="76" t="s">
        <v>14452</v>
      </c>
      <c r="BO650" s="82" t="str">
        <f>HYPERLINK("https://twitter.com/heromidiamkt")</f>
        <v>https://twitter.com/heromidiamkt</v>
      </c>
      <c r="BP650" s="2"/>
    </row>
    <row r="651" spans="1:68" x14ac:dyDescent="0.25">
      <c r="A651" s="62" t="s">
        <v>781</v>
      </c>
      <c r="B651" s="63"/>
      <c r="C651" s="63"/>
      <c r="D651" s="64"/>
      <c r="E651" s="66"/>
      <c r="F651" s="103" t="str">
        <f>HYPERLINK("https://pbs.twimg.com/profile_images/626549986881327104/0sbRzSxc_normal.png")</f>
        <v>https://pbs.twimg.com/profile_images/626549986881327104/0sbRzSxc_normal.png</v>
      </c>
      <c r="G651" s="63"/>
      <c r="H651" s="67"/>
      <c r="I651" s="68"/>
      <c r="J651" s="68"/>
      <c r="K651" s="67" t="s">
        <v>15100</v>
      </c>
      <c r="L651" s="71"/>
      <c r="M651" s="72"/>
      <c r="N651" s="72"/>
      <c r="O651" s="73"/>
      <c r="P651" s="74"/>
      <c r="Q651" s="74"/>
      <c r="R651" s="87"/>
      <c r="S651" s="87"/>
      <c r="T651" s="87"/>
      <c r="U651" s="87"/>
      <c r="V651" s="48"/>
      <c r="W651" s="48"/>
      <c r="X651" s="48"/>
      <c r="Y651" s="48"/>
      <c r="Z651" s="47"/>
      <c r="AA651" s="69">
        <v>651</v>
      </c>
      <c r="AB651" s="69"/>
      <c r="AC651" s="70"/>
      <c r="AD651" s="76" t="s">
        <v>12377</v>
      </c>
      <c r="AE651" s="80" t="s">
        <v>12816</v>
      </c>
      <c r="AF651" s="76">
        <v>62</v>
      </c>
      <c r="AG651" s="76">
        <v>81</v>
      </c>
      <c r="AH651" s="76">
        <v>151</v>
      </c>
      <c r="AI651" s="76">
        <v>0</v>
      </c>
      <c r="AJ651" s="76">
        <v>54</v>
      </c>
      <c r="AK651" s="76">
        <v>20</v>
      </c>
      <c r="AL651" s="76" t="b">
        <v>0</v>
      </c>
      <c r="AM651" s="78">
        <v>42181.599560185183</v>
      </c>
      <c r="AN651" s="76" t="s">
        <v>7791</v>
      </c>
      <c r="AO651" s="76" t="s">
        <v>13818</v>
      </c>
      <c r="AP651" s="82" t="str">
        <f>HYPERLINK("https://t.co/iM6ZN2jTMW")</f>
        <v>https://t.co/iM6ZN2jTMW</v>
      </c>
      <c r="AQ651" s="82" t="str">
        <f>HYPERLINK("http://www.luisfpfreitas.com.br")</f>
        <v>http://www.luisfpfreitas.com.br</v>
      </c>
      <c r="AR651" s="76" t="s">
        <v>14306</v>
      </c>
      <c r="AS651" s="76"/>
      <c r="AT651" s="76"/>
      <c r="AU651" s="76"/>
      <c r="AV651" s="76"/>
      <c r="AW651" s="82" t="str">
        <f>HYPERLINK("https://t.co/iM6ZN2jTMW")</f>
        <v>https://t.co/iM6ZN2jTMW</v>
      </c>
      <c r="AX651" s="76" t="b">
        <v>0</v>
      </c>
      <c r="AY651" s="76"/>
      <c r="AZ651" s="76"/>
      <c r="BA651" s="76" t="b">
        <v>0</v>
      </c>
      <c r="BB651" s="76" t="b">
        <v>1</v>
      </c>
      <c r="BC651" s="76" t="b">
        <v>1</v>
      </c>
      <c r="BD651" s="76" t="b">
        <v>0</v>
      </c>
      <c r="BE651" s="76" t="b">
        <v>0</v>
      </c>
      <c r="BF651" s="76" t="b">
        <v>0</v>
      </c>
      <c r="BG651" s="76" t="b">
        <v>0</v>
      </c>
      <c r="BH651" s="82" t="str">
        <f>HYPERLINK("https://pbs.twimg.com/profile_banners/3346566197/1438216192")</f>
        <v>https://pbs.twimg.com/profile_banners/3346566197/1438216192</v>
      </c>
      <c r="BI651" s="76"/>
      <c r="BJ651" s="76" t="s">
        <v>14450</v>
      </c>
      <c r="BK651" s="76" t="b">
        <v>0</v>
      </c>
      <c r="BL651" s="76"/>
      <c r="BM651" s="76" t="s">
        <v>66</v>
      </c>
      <c r="BN651" s="76" t="s">
        <v>14452</v>
      </c>
      <c r="BO651" s="82" t="str">
        <f>HYPERLINK("https://twitter.com/luisfpfreitas")</f>
        <v>https://twitter.com/luisfpfreitas</v>
      </c>
      <c r="BP651" s="2"/>
    </row>
    <row r="652" spans="1:68" x14ac:dyDescent="0.25">
      <c r="A652" s="62" t="s">
        <v>782</v>
      </c>
      <c r="B652" s="63"/>
      <c r="C652" s="63"/>
      <c r="D652" s="64"/>
      <c r="E652" s="66"/>
      <c r="F652" s="103" t="str">
        <f>HYPERLINK("https://pbs.twimg.com/profile_images/1661799732992409600/bBCz10id_normal.jpg")</f>
        <v>https://pbs.twimg.com/profile_images/1661799732992409600/bBCz10id_normal.jpg</v>
      </c>
      <c r="G652" s="63"/>
      <c r="H652" s="67"/>
      <c r="I652" s="68"/>
      <c r="J652" s="68"/>
      <c r="K652" s="67" t="s">
        <v>15101</v>
      </c>
      <c r="L652" s="71"/>
      <c r="M652" s="72"/>
      <c r="N652" s="72"/>
      <c r="O652" s="73"/>
      <c r="P652" s="74"/>
      <c r="Q652" s="74"/>
      <c r="R652" s="87"/>
      <c r="S652" s="87"/>
      <c r="T652" s="87"/>
      <c r="U652" s="87"/>
      <c r="V652" s="48"/>
      <c r="W652" s="48"/>
      <c r="X652" s="48"/>
      <c r="Y652" s="48"/>
      <c r="Z652" s="47"/>
      <c r="AA652" s="69">
        <v>652</v>
      </c>
      <c r="AB652" s="69"/>
      <c r="AC652" s="70"/>
      <c r="AD652" s="76" t="s">
        <v>12378</v>
      </c>
      <c r="AE652" s="80" t="s">
        <v>12817</v>
      </c>
      <c r="AF652" s="76">
        <v>9521</v>
      </c>
      <c r="AG652" s="76">
        <v>663</v>
      </c>
      <c r="AH652" s="76">
        <v>58528</v>
      </c>
      <c r="AI652" s="76">
        <v>94</v>
      </c>
      <c r="AJ652" s="76">
        <v>69</v>
      </c>
      <c r="AK652" s="76">
        <v>5599</v>
      </c>
      <c r="AL652" s="76" t="b">
        <v>0</v>
      </c>
      <c r="AM652" s="78">
        <v>40200.052395833336</v>
      </c>
      <c r="AN652" s="76" t="s">
        <v>13184</v>
      </c>
      <c r="AO652" s="76" t="s">
        <v>13819</v>
      </c>
      <c r="AP652" s="82" t="str">
        <f>HYPERLINK("https://t.co/suWhgcInCP")</f>
        <v>https://t.co/suWhgcInCP</v>
      </c>
      <c r="AQ652" s="82" t="str">
        <f>HYPERLINK("http://www.diariodelyaqui.mx")</f>
        <v>http://www.diariodelyaqui.mx</v>
      </c>
      <c r="AR652" s="76" t="s">
        <v>14307</v>
      </c>
      <c r="AS652" s="76"/>
      <c r="AT652" s="76"/>
      <c r="AU652" s="76"/>
      <c r="AV652" s="76"/>
      <c r="AW652" s="82" t="str">
        <f>HYPERLINK("https://t.co/suWhgcInCP")</f>
        <v>https://t.co/suWhgcInCP</v>
      </c>
      <c r="AX652" s="76" t="b">
        <v>0</v>
      </c>
      <c r="AY652" s="76"/>
      <c r="AZ652" s="76"/>
      <c r="BA652" s="76" t="b">
        <v>0</v>
      </c>
      <c r="BB652" s="76" t="b">
        <v>1</v>
      </c>
      <c r="BC652" s="76" t="b">
        <v>0</v>
      </c>
      <c r="BD652" s="76" t="b">
        <v>0</v>
      </c>
      <c r="BE652" s="76" t="b">
        <v>1</v>
      </c>
      <c r="BF652" s="76" t="b">
        <v>0</v>
      </c>
      <c r="BG652" s="76" t="b">
        <v>0</v>
      </c>
      <c r="BH652" s="82" t="str">
        <f>HYPERLINK("https://pbs.twimg.com/profile_banners/107265881/1624997518")</f>
        <v>https://pbs.twimg.com/profile_banners/107265881/1624997518</v>
      </c>
      <c r="BI652" s="76"/>
      <c r="BJ652" s="76" t="s">
        <v>14450</v>
      </c>
      <c r="BK652" s="76" t="b">
        <v>0</v>
      </c>
      <c r="BL652" s="76"/>
      <c r="BM652" s="76" t="s">
        <v>66</v>
      </c>
      <c r="BN652" s="76" t="s">
        <v>14452</v>
      </c>
      <c r="BO652" s="82" t="str">
        <f>HYPERLINK("https://twitter.com/diarioyaqui")</f>
        <v>https://twitter.com/diarioyaqui</v>
      </c>
      <c r="BP652" s="2"/>
    </row>
    <row r="653" spans="1:68" x14ac:dyDescent="0.25">
      <c r="A653" s="62" t="s">
        <v>783</v>
      </c>
      <c r="B653" s="63"/>
      <c r="C653" s="63"/>
      <c r="D653" s="64"/>
      <c r="E653" s="66"/>
      <c r="F653" s="103" t="str">
        <f>HYPERLINK("https://pbs.twimg.com/profile_images/1635696050538262529/WKNUu5vg_normal.png")</f>
        <v>https://pbs.twimg.com/profile_images/1635696050538262529/WKNUu5vg_normal.png</v>
      </c>
      <c r="G653" s="63"/>
      <c r="H653" s="67"/>
      <c r="I653" s="68"/>
      <c r="J653" s="68"/>
      <c r="K653" s="67" t="s">
        <v>15102</v>
      </c>
      <c r="L653" s="71"/>
      <c r="M653" s="72"/>
      <c r="N653" s="72"/>
      <c r="O653" s="73"/>
      <c r="P653" s="74"/>
      <c r="Q653" s="74"/>
      <c r="R653" s="87"/>
      <c r="S653" s="87"/>
      <c r="T653" s="87"/>
      <c r="U653" s="87"/>
      <c r="V653" s="48"/>
      <c r="W653" s="48"/>
      <c r="X653" s="48"/>
      <c r="Y653" s="48"/>
      <c r="Z653" s="47"/>
      <c r="AA653" s="69">
        <v>653</v>
      </c>
      <c r="AB653" s="69"/>
      <c r="AC653" s="70"/>
      <c r="AD653" s="76" t="s">
        <v>12379</v>
      </c>
      <c r="AE653" s="80" t="s">
        <v>11355</v>
      </c>
      <c r="AF653" s="76">
        <v>2</v>
      </c>
      <c r="AG653" s="76">
        <v>0</v>
      </c>
      <c r="AH653" s="76">
        <v>36</v>
      </c>
      <c r="AI653" s="76">
        <v>0</v>
      </c>
      <c r="AJ653" s="76">
        <v>0</v>
      </c>
      <c r="AK653" s="76">
        <v>22</v>
      </c>
      <c r="AL653" s="76" t="b">
        <v>0</v>
      </c>
      <c r="AM653" s="78">
        <v>44999.732476851852</v>
      </c>
      <c r="AN653" s="76"/>
      <c r="AO653" s="76" t="s">
        <v>13820</v>
      </c>
      <c r="AP653" s="76"/>
      <c r="AQ653" s="76"/>
      <c r="AR653" s="76"/>
      <c r="AS653" s="76"/>
      <c r="AT653" s="76"/>
      <c r="AU653" s="76"/>
      <c r="AV653" s="76"/>
      <c r="AW653" s="76"/>
      <c r="AX653" s="76" t="b">
        <v>0</v>
      </c>
      <c r="AY653" s="76"/>
      <c r="AZ653" s="76"/>
      <c r="BA653" s="76" t="b">
        <v>0</v>
      </c>
      <c r="BB653" s="76" t="b">
        <v>1</v>
      </c>
      <c r="BC653" s="76" t="b">
        <v>1</v>
      </c>
      <c r="BD653" s="76" t="b">
        <v>0</v>
      </c>
      <c r="BE653" s="76" t="b">
        <v>0</v>
      </c>
      <c r="BF653" s="76" t="b">
        <v>0</v>
      </c>
      <c r="BG653" s="76" t="b">
        <v>0</v>
      </c>
      <c r="BH653" s="82" t="str">
        <f>HYPERLINK("https://pbs.twimg.com/profile_banners/1635695915305512981/1678816169")</f>
        <v>https://pbs.twimg.com/profile_banners/1635695915305512981/1678816169</v>
      </c>
      <c r="BI653" s="76"/>
      <c r="BJ653" s="76" t="s">
        <v>14450</v>
      </c>
      <c r="BK653" s="76" t="b">
        <v>0</v>
      </c>
      <c r="BL653" s="76"/>
      <c r="BM653" s="76" t="s">
        <v>66</v>
      </c>
      <c r="BN653" s="76" t="s">
        <v>14452</v>
      </c>
      <c r="BO653" s="82" t="str">
        <f>HYPERLINK("https://twitter.com/vexadooficial")</f>
        <v>https://twitter.com/vexadooficial</v>
      </c>
      <c r="BP653" s="2"/>
    </row>
    <row r="654" spans="1:68" x14ac:dyDescent="0.25">
      <c r="A654" s="62" t="s">
        <v>784</v>
      </c>
      <c r="B654" s="63"/>
      <c r="C654" s="63"/>
      <c r="D654" s="64"/>
      <c r="E654" s="66"/>
      <c r="F654" s="103" t="str">
        <f>HYPERLINK("https://pbs.twimg.com/profile_images/958048751884603392/DUVR9Q70_normal.jpg")</f>
        <v>https://pbs.twimg.com/profile_images/958048751884603392/DUVR9Q70_normal.jpg</v>
      </c>
      <c r="G654" s="63"/>
      <c r="H654" s="67"/>
      <c r="I654" s="68"/>
      <c r="J654" s="68"/>
      <c r="K654" s="67" t="s">
        <v>15103</v>
      </c>
      <c r="L654" s="71"/>
      <c r="M654" s="72"/>
      <c r="N654" s="72"/>
      <c r="O654" s="73"/>
      <c r="P654" s="74"/>
      <c r="Q654" s="74"/>
      <c r="R654" s="87"/>
      <c r="S654" s="87"/>
      <c r="T654" s="87"/>
      <c r="U654" s="87"/>
      <c r="V654" s="48"/>
      <c r="W654" s="48"/>
      <c r="X654" s="48"/>
      <c r="Y654" s="48"/>
      <c r="Z654" s="47"/>
      <c r="AA654" s="69">
        <v>654</v>
      </c>
      <c r="AB654" s="69"/>
      <c r="AC654" s="70"/>
      <c r="AD654" s="76" t="s">
        <v>12380</v>
      </c>
      <c r="AE654" s="80" t="s">
        <v>12818</v>
      </c>
      <c r="AF654" s="76">
        <v>618</v>
      </c>
      <c r="AG654" s="76">
        <v>318</v>
      </c>
      <c r="AH654" s="76">
        <v>12958</v>
      </c>
      <c r="AI654" s="76">
        <v>55</v>
      </c>
      <c r="AJ654" s="76">
        <v>1165</v>
      </c>
      <c r="AK654" s="76">
        <v>1638</v>
      </c>
      <c r="AL654" s="76" t="b">
        <v>0</v>
      </c>
      <c r="AM654" s="78">
        <v>39888.632349537038</v>
      </c>
      <c r="AN654" s="76" t="s">
        <v>13185</v>
      </c>
      <c r="AO654" s="76" t="s">
        <v>13821</v>
      </c>
      <c r="AP654" s="82" t="str">
        <f>HYPERLINK("https://t.co/YqV7kFiFdb")</f>
        <v>https://t.co/YqV7kFiFdb</v>
      </c>
      <c r="AQ654" s="82" t="str">
        <f>HYPERLINK("http://www.gruposupera.com.br")</f>
        <v>http://www.gruposupera.com.br</v>
      </c>
      <c r="AR654" s="76" t="s">
        <v>14308</v>
      </c>
      <c r="AS654" s="76"/>
      <c r="AT654" s="76"/>
      <c r="AU654" s="76"/>
      <c r="AV654" s="76"/>
      <c r="AW654" s="82" t="str">
        <f>HYPERLINK("https://t.co/YqV7kFiFdb")</f>
        <v>https://t.co/YqV7kFiFdb</v>
      </c>
      <c r="AX654" s="76" t="b">
        <v>0</v>
      </c>
      <c r="AY654" s="76"/>
      <c r="AZ654" s="76"/>
      <c r="BA654" s="76" t="b">
        <v>0</v>
      </c>
      <c r="BB654" s="76" t="b">
        <v>1</v>
      </c>
      <c r="BC654" s="76" t="b">
        <v>0</v>
      </c>
      <c r="BD654" s="76" t="b">
        <v>0</v>
      </c>
      <c r="BE654" s="76" t="b">
        <v>0</v>
      </c>
      <c r="BF654" s="76" t="b">
        <v>0</v>
      </c>
      <c r="BG654" s="76" t="b">
        <v>0</v>
      </c>
      <c r="BH654" s="82" t="str">
        <f>HYPERLINK("https://pbs.twimg.com/profile_banners/24704755/1464563788")</f>
        <v>https://pbs.twimg.com/profile_banners/24704755/1464563788</v>
      </c>
      <c r="BI654" s="76"/>
      <c r="BJ654" s="76" t="s">
        <v>14450</v>
      </c>
      <c r="BK654" s="76" t="b">
        <v>0</v>
      </c>
      <c r="BL654" s="76"/>
      <c r="BM654" s="76" t="s">
        <v>66</v>
      </c>
      <c r="BN654" s="76" t="s">
        <v>14452</v>
      </c>
      <c r="BO654" s="82" t="str">
        <f>HYPERLINK("https://twitter.com/lsbusato")</f>
        <v>https://twitter.com/lsbusato</v>
      </c>
      <c r="BP654" s="2"/>
    </row>
    <row r="655" spans="1:68" x14ac:dyDescent="0.25">
      <c r="A655" s="62" t="s">
        <v>785</v>
      </c>
      <c r="B655" s="63"/>
      <c r="C655" s="63"/>
      <c r="D655" s="64"/>
      <c r="E655" s="66"/>
      <c r="F655" s="103" t="str">
        <f>HYPERLINK("https://pbs.twimg.com/profile_images/939321462841679874/MVirAG46_normal.jpg")</f>
        <v>https://pbs.twimg.com/profile_images/939321462841679874/MVirAG46_normal.jpg</v>
      </c>
      <c r="G655" s="63"/>
      <c r="H655" s="67"/>
      <c r="I655" s="68"/>
      <c r="J655" s="68"/>
      <c r="K655" s="67" t="s">
        <v>15104</v>
      </c>
      <c r="L655" s="71"/>
      <c r="M655" s="72"/>
      <c r="N655" s="72"/>
      <c r="O655" s="73"/>
      <c r="P655" s="74"/>
      <c r="Q655" s="74"/>
      <c r="R655" s="87"/>
      <c r="S655" s="87"/>
      <c r="T655" s="87"/>
      <c r="U655" s="87"/>
      <c r="V655" s="48"/>
      <c r="W655" s="48"/>
      <c r="X655" s="48"/>
      <c r="Y655" s="48"/>
      <c r="Z655" s="47"/>
      <c r="AA655" s="69">
        <v>655</v>
      </c>
      <c r="AB655" s="69"/>
      <c r="AC655" s="70"/>
      <c r="AD655" s="76" t="s">
        <v>12381</v>
      </c>
      <c r="AE655" s="80" t="s">
        <v>11671</v>
      </c>
      <c r="AF655" s="76">
        <v>236</v>
      </c>
      <c r="AG655" s="76">
        <v>52</v>
      </c>
      <c r="AH655" s="76">
        <v>2066</v>
      </c>
      <c r="AI655" s="76">
        <v>0</v>
      </c>
      <c r="AJ655" s="76">
        <v>11602</v>
      </c>
      <c r="AK655" s="76">
        <v>70</v>
      </c>
      <c r="AL655" s="76" t="b">
        <v>0</v>
      </c>
      <c r="AM655" s="78">
        <v>43078.082453703704</v>
      </c>
      <c r="AN655" s="76" t="s">
        <v>13186</v>
      </c>
      <c r="AO655" s="76" t="s">
        <v>13822</v>
      </c>
      <c r="AP655" s="82" t="str">
        <f>HYPERLINK("https://t.co/KqMQoKe3aV")</f>
        <v>https://t.co/KqMQoKe3aV</v>
      </c>
      <c r="AQ655" s="82" t="str">
        <f>HYPERLINK("http://festivaldelacopla.com")</f>
        <v>http://festivaldelacopla.com</v>
      </c>
      <c r="AR655" s="76" t="s">
        <v>14309</v>
      </c>
      <c r="AS655" s="76"/>
      <c r="AT655" s="76"/>
      <c r="AU655" s="76"/>
      <c r="AV655" s="76"/>
      <c r="AW655" s="82" t="str">
        <f>HYPERLINK("https://t.co/KqMQoKe3aV")</f>
        <v>https://t.co/KqMQoKe3aV</v>
      </c>
      <c r="AX655" s="76" t="b">
        <v>0</v>
      </c>
      <c r="AY655" s="76"/>
      <c r="AZ655" s="76"/>
      <c r="BA655" s="76" t="b">
        <v>1</v>
      </c>
      <c r="BB655" s="76" t="b">
        <v>0</v>
      </c>
      <c r="BC655" s="76" t="b">
        <v>1</v>
      </c>
      <c r="BD655" s="76" t="b">
        <v>0</v>
      </c>
      <c r="BE655" s="76" t="b">
        <v>1</v>
      </c>
      <c r="BF655" s="76" t="b">
        <v>0</v>
      </c>
      <c r="BG655" s="76" t="b">
        <v>0</v>
      </c>
      <c r="BH655" s="76"/>
      <c r="BI655" s="76"/>
      <c r="BJ655" s="76" t="s">
        <v>14450</v>
      </c>
      <c r="BK655" s="76" t="b">
        <v>0</v>
      </c>
      <c r="BL655" s="76"/>
      <c r="BM655" s="76" t="s">
        <v>66</v>
      </c>
      <c r="BN655" s="76" t="s">
        <v>14452</v>
      </c>
      <c r="BO655" s="82" t="str">
        <f>HYPERLINK("https://twitter.com/festicopla")</f>
        <v>https://twitter.com/festicopla</v>
      </c>
      <c r="BP655" s="2"/>
    </row>
    <row r="656" spans="1:68" x14ac:dyDescent="0.25">
      <c r="A656" s="62" t="s">
        <v>787</v>
      </c>
      <c r="B656" s="63"/>
      <c r="C656" s="63"/>
      <c r="D656" s="64"/>
      <c r="E656" s="66"/>
      <c r="F656" s="103" t="str">
        <f>HYPERLINK("https://pbs.twimg.com/profile_images/1644460631628677127/0iUpx2vo_normal.jpg")</f>
        <v>https://pbs.twimg.com/profile_images/1644460631628677127/0iUpx2vo_normal.jpg</v>
      </c>
      <c r="G656" s="63"/>
      <c r="H656" s="67"/>
      <c r="I656" s="68"/>
      <c r="J656" s="68"/>
      <c r="K656" s="67" t="s">
        <v>15105</v>
      </c>
      <c r="L656" s="71"/>
      <c r="M656" s="72"/>
      <c r="N656" s="72"/>
      <c r="O656" s="73"/>
      <c r="P656" s="74"/>
      <c r="Q656" s="74"/>
      <c r="R656" s="87"/>
      <c r="S656" s="87"/>
      <c r="T656" s="87"/>
      <c r="U656" s="87"/>
      <c r="V656" s="48"/>
      <c r="W656" s="48"/>
      <c r="X656" s="48"/>
      <c r="Y656" s="48"/>
      <c r="Z656" s="47"/>
      <c r="AA656" s="69">
        <v>656</v>
      </c>
      <c r="AB656" s="69"/>
      <c r="AC656" s="70"/>
      <c r="AD656" s="76" t="s">
        <v>12382</v>
      </c>
      <c r="AE656" s="80" t="s">
        <v>11672</v>
      </c>
      <c r="AF656" s="76">
        <v>2</v>
      </c>
      <c r="AG656" s="76">
        <v>10</v>
      </c>
      <c r="AH656" s="76">
        <v>21</v>
      </c>
      <c r="AI656" s="76">
        <v>0</v>
      </c>
      <c r="AJ656" s="76">
        <v>7</v>
      </c>
      <c r="AK656" s="76">
        <v>21</v>
      </c>
      <c r="AL656" s="76" t="b">
        <v>0</v>
      </c>
      <c r="AM656" s="78">
        <v>45022.970949074072</v>
      </c>
      <c r="AN656" s="76" t="s">
        <v>13187</v>
      </c>
      <c r="AO656" s="76" t="s">
        <v>13823</v>
      </c>
      <c r="AP656" s="82" t="str">
        <f>HYPERLINK("https://t.co/NZJZM6G8kn")</f>
        <v>https://t.co/NZJZM6G8kn</v>
      </c>
      <c r="AQ656" s="82" t="str">
        <f>HYPERLINK("https://www.evovend.com.br/")</f>
        <v>https://www.evovend.com.br/</v>
      </c>
      <c r="AR656" s="76" t="s">
        <v>14310</v>
      </c>
      <c r="AS656" s="76"/>
      <c r="AT656" s="76"/>
      <c r="AU656" s="76"/>
      <c r="AV656" s="76"/>
      <c r="AW656" s="82" t="str">
        <f>HYPERLINK("https://t.co/NZJZM6G8kn")</f>
        <v>https://t.co/NZJZM6G8kn</v>
      </c>
      <c r="AX656" s="76" t="b">
        <v>0</v>
      </c>
      <c r="AY656" s="76"/>
      <c r="AZ656" s="76"/>
      <c r="BA656" s="76" t="b">
        <v>0</v>
      </c>
      <c r="BB656" s="76" t="b">
        <v>1</v>
      </c>
      <c r="BC656" s="76" t="b">
        <v>1</v>
      </c>
      <c r="BD656" s="76" t="b">
        <v>0</v>
      </c>
      <c r="BE656" s="76" t="b">
        <v>0</v>
      </c>
      <c r="BF656" s="76" t="b">
        <v>0</v>
      </c>
      <c r="BG656" s="76" t="b">
        <v>0</v>
      </c>
      <c r="BH656" s="82" t="str">
        <f>HYPERLINK("https://pbs.twimg.com/profile_banners/1644117248850771979/1680908651")</f>
        <v>https://pbs.twimg.com/profile_banners/1644117248850771979/1680908651</v>
      </c>
      <c r="BI656" s="76"/>
      <c r="BJ656" s="76" t="s">
        <v>14450</v>
      </c>
      <c r="BK656" s="76" t="b">
        <v>0</v>
      </c>
      <c r="BL656" s="76"/>
      <c r="BM656" s="76" t="s">
        <v>66</v>
      </c>
      <c r="BN656" s="76" t="s">
        <v>14452</v>
      </c>
      <c r="BO656" s="82" t="str">
        <f>HYPERLINK("https://twitter.com/evovendsho")</f>
        <v>https://twitter.com/evovendsho</v>
      </c>
      <c r="BP656" s="2"/>
    </row>
    <row r="657" spans="1:68" x14ac:dyDescent="0.25">
      <c r="A657" s="62" t="s">
        <v>788</v>
      </c>
      <c r="B657" s="63"/>
      <c r="C657" s="63"/>
      <c r="D657" s="64"/>
      <c r="E657" s="66"/>
      <c r="F657" s="103" t="str">
        <f>HYPERLINK("https://pbs.twimg.com/profile_images/950461978950160384/vBU9yDhv_normal.jpg")</f>
        <v>https://pbs.twimg.com/profile_images/950461978950160384/vBU9yDhv_normal.jpg</v>
      </c>
      <c r="G657" s="63"/>
      <c r="H657" s="67"/>
      <c r="I657" s="68"/>
      <c r="J657" s="68"/>
      <c r="K657" s="67" t="s">
        <v>15106</v>
      </c>
      <c r="L657" s="71"/>
      <c r="M657" s="72"/>
      <c r="N657" s="72"/>
      <c r="O657" s="73"/>
      <c r="P657" s="74"/>
      <c r="Q657" s="74"/>
      <c r="R657" s="87"/>
      <c r="S657" s="87"/>
      <c r="T657" s="87"/>
      <c r="U657" s="87"/>
      <c r="V657" s="48"/>
      <c r="W657" s="48"/>
      <c r="X657" s="48"/>
      <c r="Y657" s="48"/>
      <c r="Z657" s="47"/>
      <c r="AA657" s="69">
        <v>657</v>
      </c>
      <c r="AB657" s="69"/>
      <c r="AC657" s="70"/>
      <c r="AD657" s="76" t="s">
        <v>12383</v>
      </c>
      <c r="AE657" s="80" t="s">
        <v>11673</v>
      </c>
      <c r="AF657" s="76">
        <v>33426</v>
      </c>
      <c r="AG657" s="76">
        <v>23</v>
      </c>
      <c r="AH657" s="76">
        <v>127181</v>
      </c>
      <c r="AI657" s="76">
        <v>41</v>
      </c>
      <c r="AJ657" s="76">
        <v>140</v>
      </c>
      <c r="AK657" s="76">
        <v>13337</v>
      </c>
      <c r="AL657" s="76" t="b">
        <v>0</v>
      </c>
      <c r="AM657" s="78">
        <v>42859.741689814815</v>
      </c>
      <c r="AN657" s="76" t="s">
        <v>12902</v>
      </c>
      <c r="AO657" s="76" t="s">
        <v>13824</v>
      </c>
      <c r="AP657" s="82" t="str">
        <f>HYPERLINK("https://t.co/3s4Hxrcton")</f>
        <v>https://t.co/3s4Hxrcton</v>
      </c>
      <c r="AQ657" s="82" t="str">
        <f>HYPERLINK("http://www.chapintv.com")</f>
        <v>http://www.chapintv.com</v>
      </c>
      <c r="AR657" s="76" t="s">
        <v>14163</v>
      </c>
      <c r="AS657" s="82" t="str">
        <f>HYPERLINK("https://t.co/mN6zsEanUR")</f>
        <v>https://t.co/mN6zsEanUR</v>
      </c>
      <c r="AT657" s="82" t="str">
        <f>HYPERLINK("http://chapintv.com")</f>
        <v>http://chapintv.com</v>
      </c>
      <c r="AU657" s="76" t="s">
        <v>14163</v>
      </c>
      <c r="AV657" s="76">
        <v>1.52093586612178E+18</v>
      </c>
      <c r="AW657" s="82" t="str">
        <f>HYPERLINK("https://t.co/3s4Hxrcton")</f>
        <v>https://t.co/3s4Hxrcton</v>
      </c>
      <c r="AX657" s="76" t="b">
        <v>0</v>
      </c>
      <c r="AY657" s="76"/>
      <c r="AZ657" s="76"/>
      <c r="BA657" s="76" t="b">
        <v>0</v>
      </c>
      <c r="BB657" s="76" t="b">
        <v>1</v>
      </c>
      <c r="BC657" s="76" t="b">
        <v>0</v>
      </c>
      <c r="BD657" s="76" t="b">
        <v>0</v>
      </c>
      <c r="BE657" s="76" t="b">
        <v>0</v>
      </c>
      <c r="BF657" s="76" t="b">
        <v>0</v>
      </c>
      <c r="BG657" s="76" t="b">
        <v>0</v>
      </c>
      <c r="BH657" s="82" t="str">
        <f>HYPERLINK("https://pbs.twimg.com/profile_banners/860189289166106628/1515442708")</f>
        <v>https://pbs.twimg.com/profile_banners/860189289166106628/1515442708</v>
      </c>
      <c r="BI657" s="76"/>
      <c r="BJ657" s="76" t="s">
        <v>14450</v>
      </c>
      <c r="BK657" s="76" t="b">
        <v>0</v>
      </c>
      <c r="BL657" s="76"/>
      <c r="BM657" s="76" t="s">
        <v>66</v>
      </c>
      <c r="BN657" s="76" t="s">
        <v>14452</v>
      </c>
      <c r="BO657" s="82" t="str">
        <f>HYPERLINK("https://twitter.com/chapintv_")</f>
        <v>https://twitter.com/chapintv_</v>
      </c>
      <c r="BP657" s="2"/>
    </row>
    <row r="658" spans="1:68" x14ac:dyDescent="0.25">
      <c r="A658" s="62" t="s">
        <v>789</v>
      </c>
      <c r="B658" s="63"/>
      <c r="C658" s="63"/>
      <c r="D658" s="64"/>
      <c r="E658" s="66"/>
      <c r="F658" s="103" t="str">
        <f>HYPERLINK("https://pbs.twimg.com/profile_images/1590536034793803776/EBFXJZDY_normal.jpg")</f>
        <v>https://pbs.twimg.com/profile_images/1590536034793803776/EBFXJZDY_normal.jpg</v>
      </c>
      <c r="G658" s="63"/>
      <c r="H658" s="67"/>
      <c r="I658" s="68"/>
      <c r="J658" s="68"/>
      <c r="K658" s="67" t="s">
        <v>15107</v>
      </c>
      <c r="L658" s="71"/>
      <c r="M658" s="72"/>
      <c r="N658" s="72"/>
      <c r="O658" s="73"/>
      <c r="P658" s="74"/>
      <c r="Q658" s="74"/>
      <c r="R658" s="87"/>
      <c r="S658" s="87"/>
      <c r="T658" s="87"/>
      <c r="U658" s="87"/>
      <c r="V658" s="48"/>
      <c r="W658" s="48"/>
      <c r="X658" s="48"/>
      <c r="Y658" s="48"/>
      <c r="Z658" s="47"/>
      <c r="AA658" s="69">
        <v>658</v>
      </c>
      <c r="AB658" s="69"/>
      <c r="AC658" s="70"/>
      <c r="AD658" s="76" t="s">
        <v>12384</v>
      </c>
      <c r="AE658" s="80" t="s">
        <v>12819</v>
      </c>
      <c r="AF658" s="76">
        <v>65</v>
      </c>
      <c r="AG658" s="76">
        <v>499</v>
      </c>
      <c r="AH658" s="76">
        <v>559</v>
      </c>
      <c r="AI658" s="76">
        <v>0</v>
      </c>
      <c r="AJ658" s="76">
        <v>303</v>
      </c>
      <c r="AK658" s="76">
        <v>35</v>
      </c>
      <c r="AL658" s="76" t="b">
        <v>0</v>
      </c>
      <c r="AM658" s="78">
        <v>40054.708275462966</v>
      </c>
      <c r="AN658" s="76" t="s">
        <v>12909</v>
      </c>
      <c r="AO658" s="76" t="s">
        <v>13825</v>
      </c>
      <c r="AP658" s="82" t="str">
        <f>HYPERLINK("https://t.co/k1o4dXXlb4")</f>
        <v>https://t.co/k1o4dXXlb4</v>
      </c>
      <c r="AQ658" s="82" t="str">
        <f>HYPERLINK("https://www.linkedin.com/in/vanessa-almeida-625bb980/")</f>
        <v>https://www.linkedin.com/in/vanessa-almeida-625bb980/</v>
      </c>
      <c r="AR658" s="76" t="s">
        <v>14311</v>
      </c>
      <c r="AS658" s="76"/>
      <c r="AT658" s="76"/>
      <c r="AU658" s="76"/>
      <c r="AV658" s="76">
        <v>1.3314012367221801E+18</v>
      </c>
      <c r="AW658" s="82" t="str">
        <f>HYPERLINK("https://t.co/k1o4dXXlb4")</f>
        <v>https://t.co/k1o4dXXlb4</v>
      </c>
      <c r="AX658" s="76" t="b">
        <v>0</v>
      </c>
      <c r="AY658" s="76"/>
      <c r="AZ658" s="76"/>
      <c r="BA658" s="76" t="b">
        <v>1</v>
      </c>
      <c r="BB658" s="76" t="b">
        <v>0</v>
      </c>
      <c r="BC658" s="76" t="b">
        <v>0</v>
      </c>
      <c r="BD658" s="76" t="b">
        <v>0</v>
      </c>
      <c r="BE658" s="76" t="b">
        <v>0</v>
      </c>
      <c r="BF658" s="76" t="b">
        <v>0</v>
      </c>
      <c r="BG658" s="76" t="b">
        <v>1</v>
      </c>
      <c r="BH658" s="82" t="str">
        <f>HYPERLINK("https://pbs.twimg.com/profile_banners/69910132/1657926583")</f>
        <v>https://pbs.twimg.com/profile_banners/69910132/1657926583</v>
      </c>
      <c r="BI658" s="76"/>
      <c r="BJ658" s="76" t="s">
        <v>14450</v>
      </c>
      <c r="BK658" s="76" t="b">
        <v>0</v>
      </c>
      <c r="BL658" s="76"/>
      <c r="BM658" s="76" t="s">
        <v>66</v>
      </c>
      <c r="BN658" s="76" t="s">
        <v>14452</v>
      </c>
      <c r="BO658" s="82" t="str">
        <f>HYPERLINK("https://twitter.com/vanessa21br")</f>
        <v>https://twitter.com/vanessa21br</v>
      </c>
      <c r="BP658" s="2"/>
    </row>
    <row r="659" spans="1:68" x14ac:dyDescent="0.25">
      <c r="A659" s="62" t="s">
        <v>790</v>
      </c>
      <c r="B659" s="63"/>
      <c r="C659" s="63"/>
      <c r="D659" s="64"/>
      <c r="E659" s="66"/>
      <c r="F659" s="103" t="str">
        <f>HYPERLINK("https://pbs.twimg.com/profile_images/1703777780956114945/KVbZklA0_normal.jpg")</f>
        <v>https://pbs.twimg.com/profile_images/1703777780956114945/KVbZklA0_normal.jpg</v>
      </c>
      <c r="G659" s="63"/>
      <c r="H659" s="67"/>
      <c r="I659" s="68"/>
      <c r="J659" s="68"/>
      <c r="K659" s="67" t="s">
        <v>15108</v>
      </c>
      <c r="L659" s="71"/>
      <c r="M659" s="72"/>
      <c r="N659" s="72"/>
      <c r="O659" s="73"/>
      <c r="P659" s="74"/>
      <c r="Q659" s="74"/>
      <c r="R659" s="87"/>
      <c r="S659" s="87"/>
      <c r="T659" s="87"/>
      <c r="U659" s="87"/>
      <c r="V659" s="48"/>
      <c r="W659" s="48"/>
      <c r="X659" s="48"/>
      <c r="Y659" s="48"/>
      <c r="Z659" s="47"/>
      <c r="AA659" s="69">
        <v>659</v>
      </c>
      <c r="AB659" s="69"/>
      <c r="AC659" s="70"/>
      <c r="AD659" s="76" t="s">
        <v>12385</v>
      </c>
      <c r="AE659" s="80" t="s">
        <v>12820</v>
      </c>
      <c r="AF659" s="76">
        <v>721</v>
      </c>
      <c r="AG659" s="76">
        <v>588</v>
      </c>
      <c r="AH659" s="76">
        <v>3264</v>
      </c>
      <c r="AI659" s="76">
        <v>6</v>
      </c>
      <c r="AJ659" s="76">
        <v>233</v>
      </c>
      <c r="AK659" s="76">
        <v>1379</v>
      </c>
      <c r="AL659" s="76" t="b">
        <v>0</v>
      </c>
      <c r="AM659" s="78">
        <v>42243.758449074077</v>
      </c>
      <c r="AN659" s="76" t="s">
        <v>13188</v>
      </c>
      <c r="AO659" s="76" t="s">
        <v>13826</v>
      </c>
      <c r="AP659" s="76"/>
      <c r="AQ659" s="76"/>
      <c r="AR659" s="76"/>
      <c r="AS659" s="76"/>
      <c r="AT659" s="76"/>
      <c r="AU659" s="76"/>
      <c r="AV659" s="76"/>
      <c r="AW659" s="76"/>
      <c r="AX659" s="76" t="b">
        <v>0</v>
      </c>
      <c r="AY659" s="76"/>
      <c r="AZ659" s="76"/>
      <c r="BA659" s="76" t="b">
        <v>0</v>
      </c>
      <c r="BB659" s="76" t="b">
        <v>1</v>
      </c>
      <c r="BC659" s="76" t="b">
        <v>1</v>
      </c>
      <c r="BD659" s="76" t="b">
        <v>0</v>
      </c>
      <c r="BE659" s="76" t="b">
        <v>0</v>
      </c>
      <c r="BF659" s="76" t="b">
        <v>0</v>
      </c>
      <c r="BG659" s="76" t="b">
        <v>0</v>
      </c>
      <c r="BH659" s="82" t="str">
        <f>HYPERLINK("https://pbs.twimg.com/profile_banners/3362078833/1695047253")</f>
        <v>https://pbs.twimg.com/profile_banners/3362078833/1695047253</v>
      </c>
      <c r="BI659" s="76"/>
      <c r="BJ659" s="76" t="s">
        <v>14450</v>
      </c>
      <c r="BK659" s="76" t="b">
        <v>0</v>
      </c>
      <c r="BL659" s="76"/>
      <c r="BM659" s="76" t="s">
        <v>66</v>
      </c>
      <c r="BN659" s="76" t="s">
        <v>14452</v>
      </c>
      <c r="BO659" s="82" t="str">
        <f>HYPERLINK("https://twitter.com/tveocanal41")</f>
        <v>https://twitter.com/tveocanal41</v>
      </c>
      <c r="BP659" s="2"/>
    </row>
    <row r="660" spans="1:68" x14ac:dyDescent="0.25">
      <c r="A660" s="62" t="s">
        <v>791</v>
      </c>
      <c r="B660" s="63"/>
      <c r="C660" s="63"/>
      <c r="D660" s="64"/>
      <c r="E660" s="66"/>
      <c r="F660" s="103" t="str">
        <f>HYPERLINK("https://pbs.twimg.com/profile_images/1167819521/bandebolivia_normal.JPG")</f>
        <v>https://pbs.twimg.com/profile_images/1167819521/bandebolivia_normal.JPG</v>
      </c>
      <c r="G660" s="63"/>
      <c r="H660" s="67"/>
      <c r="I660" s="68"/>
      <c r="J660" s="68"/>
      <c r="K660" s="67" t="s">
        <v>15109</v>
      </c>
      <c r="L660" s="71"/>
      <c r="M660" s="72"/>
      <c r="N660" s="72"/>
      <c r="O660" s="73"/>
      <c r="P660" s="74"/>
      <c r="Q660" s="74"/>
      <c r="R660" s="87"/>
      <c r="S660" s="87"/>
      <c r="T660" s="87"/>
      <c r="U660" s="87"/>
      <c r="V660" s="48"/>
      <c r="W660" s="48"/>
      <c r="X660" s="48"/>
      <c r="Y660" s="48"/>
      <c r="Z660" s="47"/>
      <c r="AA660" s="69">
        <v>660</v>
      </c>
      <c r="AB660" s="69"/>
      <c r="AC660" s="70"/>
      <c r="AD660" s="76" t="s">
        <v>12386</v>
      </c>
      <c r="AE660" s="80" t="s">
        <v>12821</v>
      </c>
      <c r="AF660" s="76">
        <v>32825</v>
      </c>
      <c r="AG660" s="76">
        <v>6290</v>
      </c>
      <c r="AH660" s="76">
        <v>26628</v>
      </c>
      <c r="AI660" s="76">
        <v>179</v>
      </c>
      <c r="AJ660" s="76">
        <v>639</v>
      </c>
      <c r="AK660" s="76">
        <v>1976</v>
      </c>
      <c r="AL660" s="76" t="b">
        <v>0</v>
      </c>
      <c r="AM660" s="78">
        <v>40497.653692129628</v>
      </c>
      <c r="AN660" s="76" t="s">
        <v>13189</v>
      </c>
      <c r="AO660" s="76" t="s">
        <v>13827</v>
      </c>
      <c r="AP660" s="82" t="str">
        <f>HYPERLINK("https://t.co/LIUmHVofmu")</f>
        <v>https://t.co/LIUmHVofmu</v>
      </c>
      <c r="AQ660" s="82" t="str">
        <f>HYPERLINK("http://digitaldebolivia.blogspot.com")</f>
        <v>http://digitaldebolivia.blogspot.com</v>
      </c>
      <c r="AR660" s="76" t="s">
        <v>14312</v>
      </c>
      <c r="AS660" s="76"/>
      <c r="AT660" s="76"/>
      <c r="AU660" s="76"/>
      <c r="AV660" s="76"/>
      <c r="AW660" s="82" t="str">
        <f>HYPERLINK("https://t.co/LIUmHVofmu")</f>
        <v>https://t.co/LIUmHVofmu</v>
      </c>
      <c r="AX660" s="76" t="b">
        <v>0</v>
      </c>
      <c r="AY660" s="76"/>
      <c r="AZ660" s="76"/>
      <c r="BA660" s="76" t="b">
        <v>0</v>
      </c>
      <c r="BB660" s="76" t="b">
        <v>1</v>
      </c>
      <c r="BC660" s="76" t="b">
        <v>1</v>
      </c>
      <c r="BD660" s="76" t="b">
        <v>0</v>
      </c>
      <c r="BE660" s="76" t="b">
        <v>0</v>
      </c>
      <c r="BF660" s="76" t="b">
        <v>0</v>
      </c>
      <c r="BG660" s="76" t="b">
        <v>0</v>
      </c>
      <c r="BH660" s="82" t="str">
        <f>HYPERLINK("https://pbs.twimg.com/profile_banners/216018961/1398520160")</f>
        <v>https://pbs.twimg.com/profile_banners/216018961/1398520160</v>
      </c>
      <c r="BI660" s="76"/>
      <c r="BJ660" s="76" t="s">
        <v>14450</v>
      </c>
      <c r="BK660" s="76" t="b">
        <v>0</v>
      </c>
      <c r="BL660" s="76"/>
      <c r="BM660" s="76" t="s">
        <v>66</v>
      </c>
      <c r="BN660" s="76" t="s">
        <v>14452</v>
      </c>
      <c r="BO660" s="82" t="str">
        <f>HYPERLINK("https://twitter.com/notibolivia")</f>
        <v>https://twitter.com/notibolivia</v>
      </c>
      <c r="BP660" s="2"/>
    </row>
    <row r="661" spans="1:68" x14ac:dyDescent="0.25">
      <c r="A661" s="62" t="s">
        <v>792</v>
      </c>
      <c r="B661" s="63"/>
      <c r="C661" s="63"/>
      <c r="D661" s="64"/>
      <c r="E661" s="66"/>
      <c r="F661" s="103" t="str">
        <f>HYPERLINK("https://pbs.twimg.com/profile_images/1703784700165214208/9aaGWpU__normal.jpg")</f>
        <v>https://pbs.twimg.com/profile_images/1703784700165214208/9aaGWpU__normal.jpg</v>
      </c>
      <c r="G661" s="63"/>
      <c r="H661" s="67"/>
      <c r="I661" s="68"/>
      <c r="J661" s="68"/>
      <c r="K661" s="67" t="s">
        <v>15110</v>
      </c>
      <c r="L661" s="71"/>
      <c r="M661" s="72"/>
      <c r="N661" s="72"/>
      <c r="O661" s="73"/>
      <c r="P661" s="74"/>
      <c r="Q661" s="74"/>
      <c r="R661" s="87"/>
      <c r="S661" s="87"/>
      <c r="T661" s="87"/>
      <c r="U661" s="87"/>
      <c r="V661" s="48"/>
      <c r="W661" s="48"/>
      <c r="X661" s="48"/>
      <c r="Y661" s="48"/>
      <c r="Z661" s="47"/>
      <c r="AA661" s="69">
        <v>661</v>
      </c>
      <c r="AB661" s="69"/>
      <c r="AC661" s="70"/>
      <c r="AD661" s="76" t="s">
        <v>12387</v>
      </c>
      <c r="AE661" s="80" t="s">
        <v>11674</v>
      </c>
      <c r="AF661" s="76">
        <v>3</v>
      </c>
      <c r="AG661" s="76">
        <v>34</v>
      </c>
      <c r="AH661" s="76">
        <v>65</v>
      </c>
      <c r="AI661" s="76">
        <v>0</v>
      </c>
      <c r="AJ661" s="76">
        <v>8</v>
      </c>
      <c r="AK661" s="76">
        <v>6</v>
      </c>
      <c r="AL661" s="76" t="b">
        <v>0</v>
      </c>
      <c r="AM661" s="78">
        <v>44765.623159722221</v>
      </c>
      <c r="AN661" s="76"/>
      <c r="AO661" s="76" t="s">
        <v>13828</v>
      </c>
      <c r="AP661" s="76"/>
      <c r="AQ661" s="76"/>
      <c r="AR661" s="76"/>
      <c r="AS661" s="76"/>
      <c r="AT661" s="76"/>
      <c r="AU661" s="76"/>
      <c r="AV661" s="76"/>
      <c r="AW661" s="76"/>
      <c r="AX661" s="76" t="b">
        <v>0</v>
      </c>
      <c r="AY661" s="76"/>
      <c r="AZ661" s="76"/>
      <c r="BA661" s="76" t="b">
        <v>0</v>
      </c>
      <c r="BB661" s="76" t="b">
        <v>1</v>
      </c>
      <c r="BC661" s="76" t="b">
        <v>1</v>
      </c>
      <c r="BD661" s="76" t="b">
        <v>0</v>
      </c>
      <c r="BE661" s="76" t="b">
        <v>0</v>
      </c>
      <c r="BF661" s="76" t="b">
        <v>0</v>
      </c>
      <c r="BG661" s="76" t="b">
        <v>0</v>
      </c>
      <c r="BH661" s="82" t="str">
        <f>HYPERLINK("https://pbs.twimg.com/profile_banners/1550857530611580930/1658591308")</f>
        <v>https://pbs.twimg.com/profile_banners/1550857530611580930/1658591308</v>
      </c>
      <c r="BI661" s="76"/>
      <c r="BJ661" s="76" t="s">
        <v>14450</v>
      </c>
      <c r="BK661" s="76" t="b">
        <v>0</v>
      </c>
      <c r="BL661" s="76"/>
      <c r="BM661" s="76" t="s">
        <v>66</v>
      </c>
      <c r="BN661" s="76" t="s">
        <v>14452</v>
      </c>
      <c r="BO661" s="82" t="str">
        <f>HYPERLINK("https://twitter.com/pamplin60079201")</f>
        <v>https://twitter.com/pamplin60079201</v>
      </c>
      <c r="BP661" s="2"/>
    </row>
    <row r="662" spans="1:68" x14ac:dyDescent="0.25">
      <c r="A662" s="62" t="s">
        <v>793</v>
      </c>
      <c r="B662" s="63"/>
      <c r="C662" s="63"/>
      <c r="D662" s="64"/>
      <c r="E662" s="66"/>
      <c r="F662" s="103" t="str">
        <f>HYPERLINK("https://pbs.twimg.com/profile_images/928357012186034176/vVMFyNWG_normal.jpg")</f>
        <v>https://pbs.twimg.com/profile_images/928357012186034176/vVMFyNWG_normal.jpg</v>
      </c>
      <c r="G662" s="63"/>
      <c r="H662" s="67"/>
      <c r="I662" s="68"/>
      <c r="J662" s="68"/>
      <c r="K662" s="67" t="s">
        <v>15111</v>
      </c>
      <c r="L662" s="71"/>
      <c r="M662" s="72"/>
      <c r="N662" s="72"/>
      <c r="O662" s="73"/>
      <c r="P662" s="74"/>
      <c r="Q662" s="74"/>
      <c r="R662" s="87"/>
      <c r="S662" s="87"/>
      <c r="T662" s="87"/>
      <c r="U662" s="87"/>
      <c r="V662" s="48"/>
      <c r="W662" s="48"/>
      <c r="X662" s="48"/>
      <c r="Y662" s="48"/>
      <c r="Z662" s="47"/>
      <c r="AA662" s="69">
        <v>662</v>
      </c>
      <c r="AB662" s="69"/>
      <c r="AC662" s="70"/>
      <c r="AD662" s="76" t="s">
        <v>12388</v>
      </c>
      <c r="AE662" s="80" t="s">
        <v>12822</v>
      </c>
      <c r="AF662" s="76">
        <v>147</v>
      </c>
      <c r="AG662" s="76">
        <v>561</v>
      </c>
      <c r="AH662" s="76">
        <v>9341</v>
      </c>
      <c r="AI662" s="76">
        <v>0</v>
      </c>
      <c r="AJ662" s="76">
        <v>2212</v>
      </c>
      <c r="AK662" s="76">
        <v>7268</v>
      </c>
      <c r="AL662" s="76" t="b">
        <v>0</v>
      </c>
      <c r="AM662" s="78">
        <v>40689.65216435185</v>
      </c>
      <c r="AN662" s="76"/>
      <c r="AO662" s="76"/>
      <c r="AP662" s="76"/>
      <c r="AQ662" s="76"/>
      <c r="AR662" s="76"/>
      <c r="AS662" s="76"/>
      <c r="AT662" s="76"/>
      <c r="AU662" s="76"/>
      <c r="AV662" s="76"/>
      <c r="AW662" s="76"/>
      <c r="AX662" s="76" t="b">
        <v>0</v>
      </c>
      <c r="AY662" s="76"/>
      <c r="AZ662" s="76"/>
      <c r="BA662" s="76" t="b">
        <v>1</v>
      </c>
      <c r="BB662" s="76" t="b">
        <v>1</v>
      </c>
      <c r="BC662" s="76" t="b">
        <v>1</v>
      </c>
      <c r="BD662" s="76" t="b">
        <v>0</v>
      </c>
      <c r="BE662" s="76" t="b">
        <v>0</v>
      </c>
      <c r="BF662" s="76" t="b">
        <v>0</v>
      </c>
      <c r="BG662" s="76" t="b">
        <v>0</v>
      </c>
      <c r="BH662" s="82" t="str">
        <f>HYPERLINK("https://pbs.twimg.com/profile_banners/305653088/1510172418")</f>
        <v>https://pbs.twimg.com/profile_banners/305653088/1510172418</v>
      </c>
      <c r="BI662" s="76"/>
      <c r="BJ662" s="76" t="s">
        <v>14450</v>
      </c>
      <c r="BK662" s="76" t="b">
        <v>0</v>
      </c>
      <c r="BL662" s="76"/>
      <c r="BM662" s="76" t="s">
        <v>66</v>
      </c>
      <c r="BN662" s="76" t="s">
        <v>14452</v>
      </c>
      <c r="BO662" s="82" t="str">
        <f>HYPERLINK("https://twitter.com/diegocandi")</f>
        <v>https://twitter.com/diegocandi</v>
      </c>
      <c r="BP662" s="2"/>
    </row>
    <row r="663" spans="1:68" x14ac:dyDescent="0.25">
      <c r="A663" s="62" t="s">
        <v>794</v>
      </c>
      <c r="B663" s="63"/>
      <c r="C663" s="63"/>
      <c r="D663" s="64"/>
      <c r="E663" s="66"/>
      <c r="F663" s="103" t="str">
        <f>HYPERLINK("https://pbs.twimg.com/profile_images/956917300518641665/w9a7WeFL_normal.jpg")</f>
        <v>https://pbs.twimg.com/profile_images/956917300518641665/w9a7WeFL_normal.jpg</v>
      </c>
      <c r="G663" s="63"/>
      <c r="H663" s="67"/>
      <c r="I663" s="68"/>
      <c r="J663" s="68"/>
      <c r="K663" s="67" t="s">
        <v>15112</v>
      </c>
      <c r="L663" s="71"/>
      <c r="M663" s="72"/>
      <c r="N663" s="72"/>
      <c r="O663" s="73"/>
      <c r="P663" s="74"/>
      <c r="Q663" s="74"/>
      <c r="R663" s="87"/>
      <c r="S663" s="87"/>
      <c r="T663" s="87"/>
      <c r="U663" s="87"/>
      <c r="V663" s="48"/>
      <c r="W663" s="48"/>
      <c r="X663" s="48"/>
      <c r="Y663" s="48"/>
      <c r="Z663" s="47"/>
      <c r="AA663" s="69">
        <v>663</v>
      </c>
      <c r="AB663" s="69"/>
      <c r="AC663" s="70"/>
      <c r="AD663" s="76" t="s">
        <v>12389</v>
      </c>
      <c r="AE663" s="80" t="s">
        <v>11356</v>
      </c>
      <c r="AF663" s="76">
        <v>67</v>
      </c>
      <c r="AG663" s="76">
        <v>596</v>
      </c>
      <c r="AH663" s="76">
        <v>1132</v>
      </c>
      <c r="AI663" s="76">
        <v>0</v>
      </c>
      <c r="AJ663" s="76">
        <v>1368</v>
      </c>
      <c r="AK663" s="76">
        <v>228</v>
      </c>
      <c r="AL663" s="76" t="b">
        <v>0</v>
      </c>
      <c r="AM663" s="78">
        <v>40407.735497685186</v>
      </c>
      <c r="AN663" s="76" t="s">
        <v>12875</v>
      </c>
      <c r="AO663" s="76"/>
      <c r="AP663" s="76"/>
      <c r="AQ663" s="76"/>
      <c r="AR663" s="76"/>
      <c r="AS663" s="76"/>
      <c r="AT663" s="76"/>
      <c r="AU663" s="76"/>
      <c r="AV663" s="76"/>
      <c r="AW663" s="76"/>
      <c r="AX663" s="76" t="b">
        <v>0</v>
      </c>
      <c r="AY663" s="76"/>
      <c r="AZ663" s="76"/>
      <c r="BA663" s="76" t="b">
        <v>0</v>
      </c>
      <c r="BB663" s="76" t="b">
        <v>1</v>
      </c>
      <c r="BC663" s="76" t="b">
        <v>1</v>
      </c>
      <c r="BD663" s="76" t="b">
        <v>0</v>
      </c>
      <c r="BE663" s="76" t="b">
        <v>0</v>
      </c>
      <c r="BF663" s="76" t="b">
        <v>0</v>
      </c>
      <c r="BG663" s="76" t="b">
        <v>0</v>
      </c>
      <c r="BH663" s="82" t="str">
        <f>HYPERLINK("https://pbs.twimg.com/profile_banners/179595367/1581178897")</f>
        <v>https://pbs.twimg.com/profile_banners/179595367/1581178897</v>
      </c>
      <c r="BI663" s="76"/>
      <c r="BJ663" s="76" t="s">
        <v>14450</v>
      </c>
      <c r="BK663" s="76" t="b">
        <v>0</v>
      </c>
      <c r="BL663" s="76"/>
      <c r="BM663" s="76" t="s">
        <v>66</v>
      </c>
      <c r="BN663" s="76" t="s">
        <v>14452</v>
      </c>
      <c r="BO663" s="82" t="str">
        <f>HYPERLINK("https://twitter.com/choby03")</f>
        <v>https://twitter.com/choby03</v>
      </c>
      <c r="BP663" s="2"/>
    </row>
    <row r="664" spans="1:68" x14ac:dyDescent="0.25">
      <c r="A664" s="62" t="s">
        <v>795</v>
      </c>
      <c r="B664" s="63"/>
      <c r="C664" s="63"/>
      <c r="D664" s="64"/>
      <c r="E664" s="66"/>
      <c r="F664" s="103" t="str">
        <f>HYPERLINK("https://pbs.twimg.com/profile_images/463975370610339840/YKhO0Mzo_normal.jpeg")</f>
        <v>https://pbs.twimg.com/profile_images/463975370610339840/YKhO0Mzo_normal.jpeg</v>
      </c>
      <c r="G664" s="63"/>
      <c r="H664" s="67"/>
      <c r="I664" s="68"/>
      <c r="J664" s="68"/>
      <c r="K664" s="67" t="s">
        <v>15113</v>
      </c>
      <c r="L664" s="71"/>
      <c r="M664" s="72"/>
      <c r="N664" s="72"/>
      <c r="O664" s="73"/>
      <c r="P664" s="74"/>
      <c r="Q664" s="74"/>
      <c r="R664" s="87"/>
      <c r="S664" s="87"/>
      <c r="T664" s="87"/>
      <c r="U664" s="87"/>
      <c r="V664" s="48"/>
      <c r="W664" s="48"/>
      <c r="X664" s="48"/>
      <c r="Y664" s="48"/>
      <c r="Z664" s="47"/>
      <c r="AA664" s="69">
        <v>664</v>
      </c>
      <c r="AB664" s="69"/>
      <c r="AC664" s="70"/>
      <c r="AD664" s="76" t="s">
        <v>12390</v>
      </c>
      <c r="AE664" s="80" t="s">
        <v>12823</v>
      </c>
      <c r="AF664" s="76">
        <v>547</v>
      </c>
      <c r="AG664" s="76">
        <v>604</v>
      </c>
      <c r="AH664" s="76">
        <v>6562</v>
      </c>
      <c r="AI664" s="76">
        <v>23</v>
      </c>
      <c r="AJ664" s="76">
        <v>1423</v>
      </c>
      <c r="AK664" s="76">
        <v>199</v>
      </c>
      <c r="AL664" s="76" t="b">
        <v>0</v>
      </c>
      <c r="AM664" s="78">
        <v>40890.518553240741</v>
      </c>
      <c r="AN664" s="76" t="s">
        <v>13190</v>
      </c>
      <c r="AO664" s="76" t="s">
        <v>13829</v>
      </c>
      <c r="AP664" s="82" t="str">
        <f>HYPERLINK("https://t.co/S7So6HHq1I")</f>
        <v>https://t.co/S7So6HHq1I</v>
      </c>
      <c r="AQ664" s="82" t="str">
        <f>HYPERLINK("https://about.me/lauravaropastor")</f>
        <v>https://about.me/lauravaropastor</v>
      </c>
      <c r="AR664" s="76" t="s">
        <v>14313</v>
      </c>
      <c r="AS664" s="76" t="s">
        <v>14378</v>
      </c>
      <c r="AT664" s="76" t="s">
        <v>14390</v>
      </c>
      <c r="AU664" s="76" t="s">
        <v>14445</v>
      </c>
      <c r="AV664" s="76">
        <v>1.30688005774767E+18</v>
      </c>
      <c r="AW664" s="82" t="str">
        <f>HYPERLINK("https://t.co/S7So6HHq1I")</f>
        <v>https://t.co/S7So6HHq1I</v>
      </c>
      <c r="AX664" s="76" t="b">
        <v>0</v>
      </c>
      <c r="AY664" s="76"/>
      <c r="AZ664" s="76"/>
      <c r="BA664" s="76" t="b">
        <v>0</v>
      </c>
      <c r="BB664" s="76" t="b">
        <v>1</v>
      </c>
      <c r="BC664" s="76" t="b">
        <v>0</v>
      </c>
      <c r="BD664" s="76" t="b">
        <v>0</v>
      </c>
      <c r="BE664" s="76" t="b">
        <v>0</v>
      </c>
      <c r="BF664" s="76" t="b">
        <v>0</v>
      </c>
      <c r="BG664" s="76" t="b">
        <v>0</v>
      </c>
      <c r="BH664" s="82" t="str">
        <f>HYPERLINK("https://pbs.twimg.com/profile_banners/435767047/1399906032")</f>
        <v>https://pbs.twimg.com/profile_banners/435767047/1399906032</v>
      </c>
      <c r="BI664" s="76"/>
      <c r="BJ664" s="76" t="s">
        <v>14450</v>
      </c>
      <c r="BK664" s="76" t="b">
        <v>0</v>
      </c>
      <c r="BL664" s="76"/>
      <c r="BM664" s="76" t="s">
        <v>66</v>
      </c>
      <c r="BN664" s="76" t="s">
        <v>14452</v>
      </c>
      <c r="BO664" s="82" t="str">
        <f>HYPERLINK("https://twitter.com/varolaura")</f>
        <v>https://twitter.com/varolaura</v>
      </c>
      <c r="BP664" s="2"/>
    </row>
    <row r="665" spans="1:68" x14ac:dyDescent="0.25">
      <c r="A665" s="62" t="s">
        <v>796</v>
      </c>
      <c r="B665" s="63"/>
      <c r="C665" s="63"/>
      <c r="D665" s="64"/>
      <c r="E665" s="66"/>
      <c r="F665" s="103" t="str">
        <f>HYPERLINK("https://pbs.twimg.com/profile_images/1540136228598824961/t0qrpTA3_normal.jpg")</f>
        <v>https://pbs.twimg.com/profile_images/1540136228598824961/t0qrpTA3_normal.jpg</v>
      </c>
      <c r="G665" s="63"/>
      <c r="H665" s="67"/>
      <c r="I665" s="68"/>
      <c r="J665" s="68"/>
      <c r="K665" s="67" t="s">
        <v>15114</v>
      </c>
      <c r="L665" s="71"/>
      <c r="M665" s="72"/>
      <c r="N665" s="72"/>
      <c r="O665" s="73"/>
      <c r="P665" s="74"/>
      <c r="Q665" s="74"/>
      <c r="R665" s="87"/>
      <c r="S665" s="87"/>
      <c r="T665" s="87"/>
      <c r="U665" s="87"/>
      <c r="V665" s="48"/>
      <c r="W665" s="48"/>
      <c r="X665" s="48"/>
      <c r="Y665" s="48"/>
      <c r="Z665" s="47"/>
      <c r="AA665" s="69">
        <v>665</v>
      </c>
      <c r="AB665" s="69"/>
      <c r="AC665" s="70"/>
      <c r="AD665" s="76" t="s">
        <v>12391</v>
      </c>
      <c r="AE665" s="80" t="s">
        <v>12824</v>
      </c>
      <c r="AF665" s="76">
        <v>128</v>
      </c>
      <c r="AG665" s="76">
        <v>257</v>
      </c>
      <c r="AH665" s="76">
        <v>2884</v>
      </c>
      <c r="AI665" s="76">
        <v>2</v>
      </c>
      <c r="AJ665" s="76">
        <v>1035</v>
      </c>
      <c r="AK665" s="76">
        <v>1147</v>
      </c>
      <c r="AL665" s="76" t="b">
        <v>0</v>
      </c>
      <c r="AM665" s="78">
        <v>40096.620381944442</v>
      </c>
      <c r="AN665" s="76" t="s">
        <v>13191</v>
      </c>
      <c r="AO665" s="76" t="s">
        <v>13830</v>
      </c>
      <c r="AP665" s="82" t="str">
        <f>HYPERLINK("https://t.co/uFj516czIp")</f>
        <v>https://t.co/uFj516czIp</v>
      </c>
      <c r="AQ665" s="82" t="str">
        <f>HYPERLINK("https://www.youtube.com/channel/UCN-qUjp2_3no7Ni4jZmGliQ")</f>
        <v>https://www.youtube.com/channel/UCN-qUjp2_3no7Ni4jZmGliQ</v>
      </c>
      <c r="AR665" s="76" t="s">
        <v>14314</v>
      </c>
      <c r="AS665" s="76"/>
      <c r="AT665" s="76"/>
      <c r="AU665" s="76"/>
      <c r="AV665" s="76"/>
      <c r="AW665" s="82" t="str">
        <f>HYPERLINK("https://t.co/uFj516czIp")</f>
        <v>https://t.co/uFj516czIp</v>
      </c>
      <c r="AX665" s="76" t="b">
        <v>0</v>
      </c>
      <c r="AY665" s="76"/>
      <c r="AZ665" s="76"/>
      <c r="BA665" s="76" t="b">
        <v>0</v>
      </c>
      <c r="BB665" s="76" t="b">
        <v>0</v>
      </c>
      <c r="BC665" s="76" t="b">
        <v>0</v>
      </c>
      <c r="BD665" s="76" t="b">
        <v>0</v>
      </c>
      <c r="BE665" s="76" t="b">
        <v>1</v>
      </c>
      <c r="BF665" s="76" t="b">
        <v>0</v>
      </c>
      <c r="BG665" s="76" t="b">
        <v>0</v>
      </c>
      <c r="BH665" s="82" t="str">
        <f>HYPERLINK("https://pbs.twimg.com/profile_banners/81370619/1656031641")</f>
        <v>https://pbs.twimg.com/profile_banners/81370619/1656031641</v>
      </c>
      <c r="BI665" s="76"/>
      <c r="BJ665" s="76" t="s">
        <v>14450</v>
      </c>
      <c r="BK665" s="76" t="b">
        <v>0</v>
      </c>
      <c r="BL665" s="76"/>
      <c r="BM665" s="76" t="s">
        <v>66</v>
      </c>
      <c r="BN665" s="76" t="s">
        <v>14452</v>
      </c>
      <c r="BO665" s="82" t="str">
        <f>HYPERLINK("https://twitter.com/rafalui")</f>
        <v>https://twitter.com/rafalui</v>
      </c>
      <c r="BP665" s="2"/>
    </row>
    <row r="666" spans="1:68" x14ac:dyDescent="0.25">
      <c r="A666" s="62" t="s">
        <v>797</v>
      </c>
      <c r="B666" s="63"/>
      <c r="C666" s="63"/>
      <c r="D666" s="64"/>
      <c r="E666" s="66"/>
      <c r="F666" s="103" t="str">
        <f>HYPERLINK("https://pbs.twimg.com/profile_images/1546711178302427141/mK7hvsQ__normal.jpg")</f>
        <v>https://pbs.twimg.com/profile_images/1546711178302427141/mK7hvsQ__normal.jpg</v>
      </c>
      <c r="G666" s="63"/>
      <c r="H666" s="67"/>
      <c r="I666" s="68"/>
      <c r="J666" s="68"/>
      <c r="K666" s="67" t="s">
        <v>15115</v>
      </c>
      <c r="L666" s="71"/>
      <c r="M666" s="72"/>
      <c r="N666" s="72"/>
      <c r="O666" s="73"/>
      <c r="P666" s="74"/>
      <c r="Q666" s="74"/>
      <c r="R666" s="87"/>
      <c r="S666" s="87"/>
      <c r="T666" s="87"/>
      <c r="U666" s="87"/>
      <c r="V666" s="48"/>
      <c r="W666" s="48"/>
      <c r="X666" s="48"/>
      <c r="Y666" s="48"/>
      <c r="Z666" s="47"/>
      <c r="AA666" s="69">
        <v>666</v>
      </c>
      <c r="AB666" s="69"/>
      <c r="AC666" s="70"/>
      <c r="AD666" s="76" t="s">
        <v>12392</v>
      </c>
      <c r="AE666" s="80" t="s">
        <v>11675</v>
      </c>
      <c r="AF666" s="76">
        <v>57</v>
      </c>
      <c r="AG666" s="76">
        <v>57</v>
      </c>
      <c r="AH666" s="76">
        <v>5131</v>
      </c>
      <c r="AI666" s="76">
        <v>0</v>
      </c>
      <c r="AJ666" s="76">
        <v>102</v>
      </c>
      <c r="AK666" s="76">
        <v>288</v>
      </c>
      <c r="AL666" s="76" t="b">
        <v>0</v>
      </c>
      <c r="AM666" s="78">
        <v>44491.064351851855</v>
      </c>
      <c r="AN666" s="76"/>
      <c r="AO666" s="76" t="s">
        <v>13831</v>
      </c>
      <c r="AP666" s="76"/>
      <c r="AQ666" s="76"/>
      <c r="AR666" s="76"/>
      <c r="AS666" s="76"/>
      <c r="AT666" s="76"/>
      <c r="AU666" s="76"/>
      <c r="AV666" s="76"/>
      <c r="AW666" s="76"/>
      <c r="AX666" s="76" t="b">
        <v>0</v>
      </c>
      <c r="AY666" s="76"/>
      <c r="AZ666" s="76"/>
      <c r="BA666" s="76" t="b">
        <v>0</v>
      </c>
      <c r="BB666" s="76" t="b">
        <v>1</v>
      </c>
      <c r="BC666" s="76" t="b">
        <v>1</v>
      </c>
      <c r="BD666" s="76" t="b">
        <v>0</v>
      </c>
      <c r="BE666" s="76" t="b">
        <v>0</v>
      </c>
      <c r="BF666" s="76" t="b">
        <v>0</v>
      </c>
      <c r="BG666" s="76" t="b">
        <v>0</v>
      </c>
      <c r="BH666" s="82" t="str">
        <f>HYPERLINK("https://pbs.twimg.com/profile_banners/1451360711712641025/1658807345")</f>
        <v>https://pbs.twimg.com/profile_banners/1451360711712641025/1658807345</v>
      </c>
      <c r="BI666" s="76"/>
      <c r="BJ666" s="76" t="s">
        <v>14450</v>
      </c>
      <c r="BK666" s="76" t="b">
        <v>0</v>
      </c>
      <c r="BL666" s="76"/>
      <c r="BM666" s="76" t="s">
        <v>66</v>
      </c>
      <c r="BN666" s="76" t="s">
        <v>14452</v>
      </c>
      <c r="BO666" s="82" t="str">
        <f>HYPERLINK("https://twitter.com/diana_va_ar")</f>
        <v>https://twitter.com/diana_va_ar</v>
      </c>
      <c r="BP666" s="2"/>
    </row>
    <row r="667" spans="1:68" x14ac:dyDescent="0.25">
      <c r="A667" s="62" t="s">
        <v>798</v>
      </c>
      <c r="B667" s="63"/>
      <c r="C667" s="63"/>
      <c r="D667" s="64"/>
      <c r="E667" s="66"/>
      <c r="F667" s="103" t="str">
        <f>HYPERLINK("https://pbs.twimg.com/profile_images/1611050295269679105/h3Dq-kJ3_normal.png")</f>
        <v>https://pbs.twimg.com/profile_images/1611050295269679105/h3Dq-kJ3_normal.png</v>
      </c>
      <c r="G667" s="63"/>
      <c r="H667" s="67"/>
      <c r="I667" s="68"/>
      <c r="J667" s="68"/>
      <c r="K667" s="67" t="s">
        <v>15116</v>
      </c>
      <c r="L667" s="71"/>
      <c r="M667" s="72"/>
      <c r="N667" s="72"/>
      <c r="O667" s="73"/>
      <c r="P667" s="74"/>
      <c r="Q667" s="74"/>
      <c r="R667" s="87"/>
      <c r="S667" s="87"/>
      <c r="T667" s="87"/>
      <c r="U667" s="87"/>
      <c r="V667" s="48"/>
      <c r="W667" s="48"/>
      <c r="X667" s="48"/>
      <c r="Y667" s="48"/>
      <c r="Z667" s="47"/>
      <c r="AA667" s="69">
        <v>667</v>
      </c>
      <c r="AB667" s="69"/>
      <c r="AC667" s="70"/>
      <c r="AD667" s="76" t="s">
        <v>12393</v>
      </c>
      <c r="AE667" s="80" t="s">
        <v>11676</v>
      </c>
      <c r="AF667" s="76">
        <v>0</v>
      </c>
      <c r="AG667" s="76">
        <v>0</v>
      </c>
      <c r="AH667" s="76">
        <v>6</v>
      </c>
      <c r="AI667" s="76">
        <v>0</v>
      </c>
      <c r="AJ667" s="76">
        <v>0</v>
      </c>
      <c r="AK667" s="76">
        <v>6</v>
      </c>
      <c r="AL667" s="76" t="b">
        <v>0</v>
      </c>
      <c r="AM667" s="78">
        <v>44931.721712962964</v>
      </c>
      <c r="AN667" s="76"/>
      <c r="AO667" s="76" t="s">
        <v>13832</v>
      </c>
      <c r="AP667" s="76"/>
      <c r="AQ667" s="76"/>
      <c r="AR667" s="76"/>
      <c r="AS667" s="76"/>
      <c r="AT667" s="76"/>
      <c r="AU667" s="76"/>
      <c r="AV667" s="76"/>
      <c r="AW667" s="76"/>
      <c r="AX667" s="76" t="b">
        <v>0</v>
      </c>
      <c r="AY667" s="76"/>
      <c r="AZ667" s="76"/>
      <c r="BA667" s="76" t="b">
        <v>0</v>
      </c>
      <c r="BB667" s="76" t="b">
        <v>1</v>
      </c>
      <c r="BC667" s="76" t="b">
        <v>1</v>
      </c>
      <c r="BD667" s="76" t="b">
        <v>0</v>
      </c>
      <c r="BE667" s="76" t="b">
        <v>0</v>
      </c>
      <c r="BF667" s="76" t="b">
        <v>0</v>
      </c>
      <c r="BG667" s="76" t="b">
        <v>0</v>
      </c>
      <c r="BH667" s="76"/>
      <c r="BI667" s="76"/>
      <c r="BJ667" s="76" t="s">
        <v>14450</v>
      </c>
      <c r="BK667" s="76" t="b">
        <v>0</v>
      </c>
      <c r="BL667" s="76"/>
      <c r="BM667" s="76" t="s">
        <v>66</v>
      </c>
      <c r="BN667" s="76" t="s">
        <v>14452</v>
      </c>
      <c r="BO667" s="82" t="str">
        <f>HYPERLINK("https://twitter.com/recorrentep")</f>
        <v>https://twitter.com/recorrentep</v>
      </c>
      <c r="BP667" s="2"/>
    </row>
    <row r="668" spans="1:68" x14ac:dyDescent="0.25">
      <c r="A668" s="62" t="s">
        <v>799</v>
      </c>
      <c r="B668" s="63"/>
      <c r="C668" s="63"/>
      <c r="D668" s="64"/>
      <c r="E668" s="66"/>
      <c r="F668" s="103" t="str">
        <f>HYPERLINK("https://pbs.twimg.com/profile_images/1479519547023577089/zZSA2jxv_normal.jpg")</f>
        <v>https://pbs.twimg.com/profile_images/1479519547023577089/zZSA2jxv_normal.jpg</v>
      </c>
      <c r="G668" s="63"/>
      <c r="H668" s="67"/>
      <c r="I668" s="68"/>
      <c r="J668" s="68"/>
      <c r="K668" s="67" t="s">
        <v>15117</v>
      </c>
      <c r="L668" s="71"/>
      <c r="M668" s="72"/>
      <c r="N668" s="72"/>
      <c r="O668" s="73"/>
      <c r="P668" s="74"/>
      <c r="Q668" s="74"/>
      <c r="R668" s="87"/>
      <c r="S668" s="87"/>
      <c r="T668" s="87"/>
      <c r="U668" s="87"/>
      <c r="V668" s="48"/>
      <c r="W668" s="48"/>
      <c r="X668" s="48"/>
      <c r="Y668" s="48"/>
      <c r="Z668" s="47"/>
      <c r="AA668" s="69">
        <v>668</v>
      </c>
      <c r="AB668" s="69"/>
      <c r="AC668" s="70"/>
      <c r="AD668" s="76" t="s">
        <v>12394</v>
      </c>
      <c r="AE668" s="80" t="s">
        <v>12825</v>
      </c>
      <c r="AF668" s="76">
        <v>421</v>
      </c>
      <c r="AG668" s="76">
        <v>705</v>
      </c>
      <c r="AH668" s="76">
        <v>2269</v>
      </c>
      <c r="AI668" s="76">
        <v>3</v>
      </c>
      <c r="AJ668" s="76">
        <v>2042</v>
      </c>
      <c r="AK668" s="76">
        <v>117</v>
      </c>
      <c r="AL668" s="76" t="b">
        <v>0</v>
      </c>
      <c r="AM668" s="78">
        <v>41172.737233796295</v>
      </c>
      <c r="AN668" s="76" t="s">
        <v>7769</v>
      </c>
      <c r="AO668" s="76" t="s">
        <v>13833</v>
      </c>
      <c r="AP668" s="82" t="str">
        <f>HYPERLINK("https://t.co/vWhKKzCEu8")</f>
        <v>https://t.co/vWhKKzCEu8</v>
      </c>
      <c r="AQ668" s="82" t="str">
        <f>HYPERLINK("http://www.humanoendesarrollo.blogspot.com")</f>
        <v>http://www.humanoendesarrollo.blogspot.com</v>
      </c>
      <c r="AR668" s="76" t="s">
        <v>14315</v>
      </c>
      <c r="AS668" s="76"/>
      <c r="AT668" s="76"/>
      <c r="AU668" s="76"/>
      <c r="AV668" s="76">
        <v>7.9310752943802701E+17</v>
      </c>
      <c r="AW668" s="82" t="str">
        <f>HYPERLINK("https://t.co/vWhKKzCEu8")</f>
        <v>https://t.co/vWhKKzCEu8</v>
      </c>
      <c r="AX668" s="76" t="b">
        <v>0</v>
      </c>
      <c r="AY668" s="76"/>
      <c r="AZ668" s="76"/>
      <c r="BA668" s="76" t="b">
        <v>0</v>
      </c>
      <c r="BB668" s="76" t="b">
        <v>1</v>
      </c>
      <c r="BC668" s="76" t="b">
        <v>1</v>
      </c>
      <c r="BD668" s="76" t="b">
        <v>0</v>
      </c>
      <c r="BE668" s="76" t="b">
        <v>1</v>
      </c>
      <c r="BF668" s="76" t="b">
        <v>0</v>
      </c>
      <c r="BG668" s="76" t="b">
        <v>0</v>
      </c>
      <c r="BH668" s="82" t="str">
        <f>HYPERLINK("https://pbs.twimg.com/profile_banners/836025380/1507557202")</f>
        <v>https://pbs.twimg.com/profile_banners/836025380/1507557202</v>
      </c>
      <c r="BI668" s="76"/>
      <c r="BJ668" s="76" t="s">
        <v>14450</v>
      </c>
      <c r="BK668" s="76" t="b">
        <v>0</v>
      </c>
      <c r="BL668" s="76"/>
      <c r="BM668" s="76" t="s">
        <v>66</v>
      </c>
      <c r="BN668" s="76" t="s">
        <v>14452</v>
      </c>
      <c r="BO668" s="82" t="str">
        <f>HYPERLINK("https://twitter.com/humanoendesarro")</f>
        <v>https://twitter.com/humanoendesarro</v>
      </c>
      <c r="BP668" s="2"/>
    </row>
    <row r="669" spans="1:68" x14ac:dyDescent="0.25">
      <c r="A669" s="62" t="s">
        <v>800</v>
      </c>
      <c r="B669" s="63"/>
      <c r="C669" s="63"/>
      <c r="D669" s="64"/>
      <c r="E669" s="66"/>
      <c r="F669" s="103" t="str">
        <f>HYPERLINK("https://pbs.twimg.com/profile_images/1684673808920129536/iuKby5MX_normal.jpg")</f>
        <v>https://pbs.twimg.com/profile_images/1684673808920129536/iuKby5MX_normal.jpg</v>
      </c>
      <c r="G669" s="63"/>
      <c r="H669" s="67"/>
      <c r="I669" s="68"/>
      <c r="J669" s="68"/>
      <c r="K669" s="67" t="s">
        <v>15118</v>
      </c>
      <c r="L669" s="71"/>
      <c r="M669" s="72"/>
      <c r="N669" s="72"/>
      <c r="O669" s="73"/>
      <c r="P669" s="74"/>
      <c r="Q669" s="74"/>
      <c r="R669" s="87"/>
      <c r="S669" s="87"/>
      <c r="T669" s="87"/>
      <c r="U669" s="87"/>
      <c r="V669" s="48"/>
      <c r="W669" s="48"/>
      <c r="X669" s="48"/>
      <c r="Y669" s="48"/>
      <c r="Z669" s="47"/>
      <c r="AA669" s="69">
        <v>669</v>
      </c>
      <c r="AB669" s="69"/>
      <c r="AC669" s="70"/>
      <c r="AD669" s="76" t="s">
        <v>12395</v>
      </c>
      <c r="AE669" s="80" t="s">
        <v>12826</v>
      </c>
      <c r="AF669" s="76">
        <v>30402</v>
      </c>
      <c r="AG669" s="76">
        <v>18671</v>
      </c>
      <c r="AH669" s="76">
        <v>74236</v>
      </c>
      <c r="AI669" s="76">
        <v>158</v>
      </c>
      <c r="AJ669" s="76">
        <v>1205</v>
      </c>
      <c r="AK669" s="76">
        <v>34676</v>
      </c>
      <c r="AL669" s="76" t="b">
        <v>0</v>
      </c>
      <c r="AM669" s="78">
        <v>40224.6871875</v>
      </c>
      <c r="AN669" s="76" t="s">
        <v>13192</v>
      </c>
      <c r="AO669" s="76" t="s">
        <v>13834</v>
      </c>
      <c r="AP669" s="82" t="str">
        <f>HYPERLINK("https://t.co/CSpbwKo15K")</f>
        <v>https://t.co/CSpbwKo15K</v>
      </c>
      <c r="AQ669" s="82" t="str">
        <f>HYPERLINK("http://www.contrastesdepuebla.mx")</f>
        <v>http://www.contrastesdepuebla.mx</v>
      </c>
      <c r="AR669" s="76" t="s">
        <v>14316</v>
      </c>
      <c r="AS669" s="76"/>
      <c r="AT669" s="76"/>
      <c r="AU669" s="76"/>
      <c r="AV669" s="76">
        <v>1.70723610835696E+18</v>
      </c>
      <c r="AW669" s="82" t="str">
        <f>HYPERLINK("https://t.co/CSpbwKo15K")</f>
        <v>https://t.co/CSpbwKo15K</v>
      </c>
      <c r="AX669" s="76" t="b">
        <v>1</v>
      </c>
      <c r="AY669" s="76"/>
      <c r="AZ669" s="76"/>
      <c r="BA669" s="76" t="b">
        <v>1</v>
      </c>
      <c r="BB669" s="76" t="b">
        <v>1</v>
      </c>
      <c r="BC669" s="76" t="b">
        <v>0</v>
      </c>
      <c r="BD669" s="76" t="b">
        <v>0</v>
      </c>
      <c r="BE669" s="76" t="b">
        <v>0</v>
      </c>
      <c r="BF669" s="76" t="b">
        <v>0</v>
      </c>
      <c r="BG669" s="76" t="b">
        <v>1</v>
      </c>
      <c r="BH669" s="82" t="str">
        <f>HYPERLINK("https://pbs.twimg.com/profile_banners/114498335/1692681445")</f>
        <v>https://pbs.twimg.com/profile_banners/114498335/1692681445</v>
      </c>
      <c r="BI669" s="76" t="s">
        <v>14449</v>
      </c>
      <c r="BJ669" s="76" t="s">
        <v>14450</v>
      </c>
      <c r="BK669" s="76" t="b">
        <v>0</v>
      </c>
      <c r="BL669" s="76"/>
      <c r="BM669" s="76" t="s">
        <v>66</v>
      </c>
      <c r="BN669" s="76" t="s">
        <v>14452</v>
      </c>
      <c r="BO669" s="82" t="str">
        <f>HYPERLINK("https://twitter.com/gomezcarlos79")</f>
        <v>https://twitter.com/gomezcarlos79</v>
      </c>
      <c r="BP669" s="2"/>
    </row>
    <row r="670" spans="1:68" x14ac:dyDescent="0.25">
      <c r="A670" s="62" t="s">
        <v>801</v>
      </c>
      <c r="B670" s="63"/>
      <c r="C670" s="63"/>
      <c r="D670" s="64"/>
      <c r="E670" s="66"/>
      <c r="F670" s="103" t="str">
        <f>HYPERLINK("https://pbs.twimg.com/profile_images/1664269510780796932/qnb-pmVx_normal.jpg")</f>
        <v>https://pbs.twimg.com/profile_images/1664269510780796932/qnb-pmVx_normal.jpg</v>
      </c>
      <c r="G670" s="63"/>
      <c r="H670" s="67"/>
      <c r="I670" s="68"/>
      <c r="J670" s="68"/>
      <c r="K670" s="67" t="s">
        <v>15119</v>
      </c>
      <c r="L670" s="71"/>
      <c r="M670" s="72"/>
      <c r="N670" s="72"/>
      <c r="O670" s="73"/>
      <c r="P670" s="74"/>
      <c r="Q670" s="74"/>
      <c r="R670" s="87"/>
      <c r="S670" s="87"/>
      <c r="T670" s="87"/>
      <c r="U670" s="87"/>
      <c r="V670" s="48"/>
      <c r="W670" s="48"/>
      <c r="X670" s="48"/>
      <c r="Y670" s="48"/>
      <c r="Z670" s="47"/>
      <c r="AA670" s="69">
        <v>670</v>
      </c>
      <c r="AB670" s="69"/>
      <c r="AC670" s="70"/>
      <c r="AD670" s="76" t="s">
        <v>12396</v>
      </c>
      <c r="AE670" s="80" t="s">
        <v>11677</v>
      </c>
      <c r="AF670" s="76">
        <v>0</v>
      </c>
      <c r="AG670" s="76">
        <v>9</v>
      </c>
      <c r="AH670" s="76">
        <v>33</v>
      </c>
      <c r="AI670" s="76">
        <v>0</v>
      </c>
      <c r="AJ670" s="76">
        <v>0</v>
      </c>
      <c r="AK670" s="76">
        <v>29</v>
      </c>
      <c r="AL670" s="76" t="b">
        <v>0</v>
      </c>
      <c r="AM670" s="78">
        <v>45078.575740740744</v>
      </c>
      <c r="AN670" s="76"/>
      <c r="AO670" s="76" t="s">
        <v>13835</v>
      </c>
      <c r="AP670" s="82" t="str">
        <f>HYPERLINK("https://t.co/Pytw3oxgNb")</f>
        <v>https://t.co/Pytw3oxgNb</v>
      </c>
      <c r="AQ670" s="82" t="str">
        <f>HYPERLINK("http://www.rodrigobaldoino.com")</f>
        <v>http://www.rodrigobaldoino.com</v>
      </c>
      <c r="AR670" s="76" t="s">
        <v>14317</v>
      </c>
      <c r="AS670" s="76"/>
      <c r="AT670" s="76"/>
      <c r="AU670" s="76"/>
      <c r="AV670" s="76"/>
      <c r="AW670" s="82" t="str">
        <f>HYPERLINK("https://t.co/Pytw3oxgNb")</f>
        <v>https://t.co/Pytw3oxgNb</v>
      </c>
      <c r="AX670" s="76" t="b">
        <v>0</v>
      </c>
      <c r="AY670" s="76"/>
      <c r="AZ670" s="76"/>
      <c r="BA670" s="76" t="b">
        <v>0</v>
      </c>
      <c r="BB670" s="76" t="b">
        <v>1</v>
      </c>
      <c r="BC670" s="76" t="b">
        <v>1</v>
      </c>
      <c r="BD670" s="76" t="b">
        <v>0</v>
      </c>
      <c r="BE670" s="76" t="b">
        <v>0</v>
      </c>
      <c r="BF670" s="76" t="b">
        <v>0</v>
      </c>
      <c r="BG670" s="76" t="b">
        <v>0</v>
      </c>
      <c r="BH670" s="82" t="str">
        <f>HYPERLINK("https://pbs.twimg.com/profile_banners/1664267702398226432/1685627757")</f>
        <v>https://pbs.twimg.com/profile_banners/1664267702398226432/1685627757</v>
      </c>
      <c r="BI670" s="76"/>
      <c r="BJ670" s="76" t="s">
        <v>14450</v>
      </c>
      <c r="BK670" s="76" t="b">
        <v>0</v>
      </c>
      <c r="BL670" s="76"/>
      <c r="BM670" s="76" t="s">
        <v>66</v>
      </c>
      <c r="BN670" s="76" t="s">
        <v>14452</v>
      </c>
      <c r="BO670" s="82" t="str">
        <f>HYPERLINK("https://twitter.com/rodrigo_diario")</f>
        <v>https://twitter.com/rodrigo_diario</v>
      </c>
      <c r="BP670" s="2"/>
    </row>
    <row r="671" spans="1:68" x14ac:dyDescent="0.25">
      <c r="A671" s="62" t="s">
        <v>802</v>
      </c>
      <c r="B671" s="63"/>
      <c r="C671" s="63"/>
      <c r="D671" s="64"/>
      <c r="E671" s="66"/>
      <c r="F671" s="103" t="str">
        <f>HYPERLINK("https://pbs.twimg.com/profile_images/1620175719073566720/NqY-cRAn_normal.jpg")</f>
        <v>https://pbs.twimg.com/profile_images/1620175719073566720/NqY-cRAn_normal.jpg</v>
      </c>
      <c r="G671" s="63"/>
      <c r="H671" s="67"/>
      <c r="I671" s="68"/>
      <c r="J671" s="68"/>
      <c r="K671" s="67" t="s">
        <v>15120</v>
      </c>
      <c r="L671" s="71"/>
      <c r="M671" s="72"/>
      <c r="N671" s="72"/>
      <c r="O671" s="73"/>
      <c r="P671" s="74"/>
      <c r="Q671" s="74"/>
      <c r="R671" s="87"/>
      <c r="S671" s="87"/>
      <c r="T671" s="87"/>
      <c r="U671" s="87"/>
      <c r="V671" s="48"/>
      <c r="W671" s="48"/>
      <c r="X671" s="48"/>
      <c r="Y671" s="48"/>
      <c r="Z671" s="47"/>
      <c r="AA671" s="69">
        <v>671</v>
      </c>
      <c r="AB671" s="69"/>
      <c r="AC671" s="70"/>
      <c r="AD671" s="76" t="s">
        <v>12397</v>
      </c>
      <c r="AE671" s="80" t="s">
        <v>11678</v>
      </c>
      <c r="AF671" s="76">
        <v>11</v>
      </c>
      <c r="AG671" s="76">
        <v>69</v>
      </c>
      <c r="AH671" s="76">
        <v>69</v>
      </c>
      <c r="AI671" s="76">
        <v>0</v>
      </c>
      <c r="AJ671" s="76">
        <v>19</v>
      </c>
      <c r="AK671" s="76">
        <v>68</v>
      </c>
      <c r="AL671" s="76" t="b">
        <v>0</v>
      </c>
      <c r="AM671" s="78">
        <v>44872.803969907407</v>
      </c>
      <c r="AN671" s="76" t="s">
        <v>7811</v>
      </c>
      <c r="AO671" s="76"/>
      <c r="AP671" s="76"/>
      <c r="AQ671" s="76"/>
      <c r="AR671" s="76"/>
      <c r="AS671" s="76"/>
      <c r="AT671" s="76"/>
      <c r="AU671" s="76"/>
      <c r="AV671" s="76"/>
      <c r="AW671" s="76"/>
      <c r="AX671" s="76" t="b">
        <v>0</v>
      </c>
      <c r="AY671" s="76"/>
      <c r="AZ671" s="76"/>
      <c r="BA671" s="76" t="b">
        <v>0</v>
      </c>
      <c r="BB671" s="76" t="b">
        <v>1</v>
      </c>
      <c r="BC671" s="76" t="b">
        <v>1</v>
      </c>
      <c r="BD671" s="76" t="b">
        <v>0</v>
      </c>
      <c r="BE671" s="76" t="b">
        <v>0</v>
      </c>
      <c r="BF671" s="76" t="b">
        <v>0</v>
      </c>
      <c r="BG671" s="76" t="b">
        <v>0</v>
      </c>
      <c r="BH671" s="82" t="str">
        <f>HYPERLINK("https://pbs.twimg.com/profile_banners/1589698572332695552/1667850191")</f>
        <v>https://pbs.twimg.com/profile_banners/1589698572332695552/1667850191</v>
      </c>
      <c r="BI671" s="76"/>
      <c r="BJ671" s="76" t="s">
        <v>14450</v>
      </c>
      <c r="BK671" s="76" t="b">
        <v>0</v>
      </c>
      <c r="BL671" s="76"/>
      <c r="BM671" s="76" t="s">
        <v>66</v>
      </c>
      <c r="BN671" s="76" t="s">
        <v>14452</v>
      </c>
      <c r="BO671" s="82" t="str">
        <f>HYPERLINK("https://twitter.com/joseluisgodoyph")</f>
        <v>https://twitter.com/joseluisgodoyph</v>
      </c>
      <c r="BP671" s="2"/>
    </row>
    <row r="672" spans="1:68" x14ac:dyDescent="0.25">
      <c r="A672" s="62" t="s">
        <v>803</v>
      </c>
      <c r="B672" s="63"/>
      <c r="C672" s="63"/>
      <c r="D672" s="64"/>
      <c r="E672" s="66"/>
      <c r="F672" s="103" t="str">
        <f>HYPERLINK("https://pbs.twimg.com/profile_images/1511382573468905476/UVivRWRp_normal.jpg")</f>
        <v>https://pbs.twimg.com/profile_images/1511382573468905476/UVivRWRp_normal.jpg</v>
      </c>
      <c r="G672" s="63"/>
      <c r="H672" s="67"/>
      <c r="I672" s="68"/>
      <c r="J672" s="68"/>
      <c r="K672" s="67" t="s">
        <v>15121</v>
      </c>
      <c r="L672" s="71"/>
      <c r="M672" s="72"/>
      <c r="N672" s="72"/>
      <c r="O672" s="73"/>
      <c r="P672" s="74"/>
      <c r="Q672" s="74"/>
      <c r="R672" s="87"/>
      <c r="S672" s="87"/>
      <c r="T672" s="87"/>
      <c r="U672" s="87"/>
      <c r="V672" s="48"/>
      <c r="W672" s="48"/>
      <c r="X672" s="48"/>
      <c r="Y672" s="48"/>
      <c r="Z672" s="47"/>
      <c r="AA672" s="69">
        <v>672</v>
      </c>
      <c r="AB672" s="69"/>
      <c r="AC672" s="70"/>
      <c r="AD672" s="76" t="s">
        <v>12398</v>
      </c>
      <c r="AE672" s="80" t="s">
        <v>12827</v>
      </c>
      <c r="AF672" s="76">
        <v>43604</v>
      </c>
      <c r="AG672" s="76">
        <v>131</v>
      </c>
      <c r="AH672" s="76">
        <v>238631</v>
      </c>
      <c r="AI672" s="76">
        <v>327</v>
      </c>
      <c r="AJ672" s="76">
        <v>18</v>
      </c>
      <c r="AK672" s="76">
        <v>35448</v>
      </c>
      <c r="AL672" s="76" t="b">
        <v>0</v>
      </c>
      <c r="AM672" s="78">
        <v>40284.543946759259</v>
      </c>
      <c r="AN672" s="76" t="s">
        <v>13193</v>
      </c>
      <c r="AO672" s="76" t="s">
        <v>13836</v>
      </c>
      <c r="AP672" s="82" t="str">
        <f>HYPERLINK("https://t.co/SlT10K7zMc")</f>
        <v>https://t.co/SlT10K7zMc</v>
      </c>
      <c r="AQ672" s="82" t="str">
        <f>HYPERLINK("http://lmneuquen.com")</f>
        <v>http://lmneuquen.com</v>
      </c>
      <c r="AR672" s="76" t="s">
        <v>4344</v>
      </c>
      <c r="AS672" s="76"/>
      <c r="AT672" s="76"/>
      <c r="AU672" s="76"/>
      <c r="AV672" s="76"/>
      <c r="AW672" s="82" t="str">
        <f>HYPERLINK("https://t.co/SlT10K7zMc")</f>
        <v>https://t.co/SlT10K7zMc</v>
      </c>
      <c r="AX672" s="76" t="b">
        <v>1</v>
      </c>
      <c r="AY672" s="76"/>
      <c r="AZ672" s="76"/>
      <c r="BA672" s="76" t="b">
        <v>0</v>
      </c>
      <c r="BB672" s="76" t="b">
        <v>1</v>
      </c>
      <c r="BC672" s="76" t="b">
        <v>0</v>
      </c>
      <c r="BD672" s="76" t="b">
        <v>0</v>
      </c>
      <c r="BE672" s="76" t="b">
        <v>1</v>
      </c>
      <c r="BF672" s="76" t="b">
        <v>0</v>
      </c>
      <c r="BG672" s="76" t="b">
        <v>1</v>
      </c>
      <c r="BH672" s="82" t="str">
        <f>HYPERLINK("https://pbs.twimg.com/profile_banners/133714571/1648571277")</f>
        <v>https://pbs.twimg.com/profile_banners/133714571/1648571277</v>
      </c>
      <c r="BI672" s="76"/>
      <c r="BJ672" s="76" t="s">
        <v>14450</v>
      </c>
      <c r="BK672" s="76" t="b">
        <v>0</v>
      </c>
      <c r="BL672" s="76"/>
      <c r="BM672" s="76" t="s">
        <v>66</v>
      </c>
      <c r="BN672" s="76" t="s">
        <v>14452</v>
      </c>
      <c r="BO672" s="82" t="str">
        <f>HYPERLINK("https://twitter.com/lmneuquen")</f>
        <v>https://twitter.com/lmneuquen</v>
      </c>
      <c r="BP672" s="2"/>
    </row>
    <row r="673" spans="1:68" x14ac:dyDescent="0.25">
      <c r="A673" s="62" t="s">
        <v>804</v>
      </c>
      <c r="B673" s="63"/>
      <c r="C673" s="63"/>
      <c r="D673" s="64"/>
      <c r="E673" s="66"/>
      <c r="F673" s="103" t="str">
        <f>HYPERLINK("https://pbs.twimg.com/profile_images/1351795757775548417/tgo6RYr3_normal.jpg")</f>
        <v>https://pbs.twimg.com/profile_images/1351795757775548417/tgo6RYr3_normal.jpg</v>
      </c>
      <c r="G673" s="63"/>
      <c r="H673" s="67"/>
      <c r="I673" s="68"/>
      <c r="J673" s="68"/>
      <c r="K673" s="67" t="s">
        <v>15122</v>
      </c>
      <c r="L673" s="71"/>
      <c r="M673" s="72"/>
      <c r="N673" s="72"/>
      <c r="O673" s="73"/>
      <c r="P673" s="74"/>
      <c r="Q673" s="74"/>
      <c r="R673" s="87"/>
      <c r="S673" s="87"/>
      <c r="T673" s="87"/>
      <c r="U673" s="87"/>
      <c r="V673" s="48"/>
      <c r="W673" s="48"/>
      <c r="X673" s="48"/>
      <c r="Y673" s="48"/>
      <c r="Z673" s="47"/>
      <c r="AA673" s="69">
        <v>673</v>
      </c>
      <c r="AB673" s="69"/>
      <c r="AC673" s="70"/>
      <c r="AD673" s="76" t="s">
        <v>12399</v>
      </c>
      <c r="AE673" s="80" t="s">
        <v>12828</v>
      </c>
      <c r="AF673" s="76">
        <v>334</v>
      </c>
      <c r="AG673" s="76">
        <v>388</v>
      </c>
      <c r="AH673" s="76">
        <v>5901</v>
      </c>
      <c r="AI673" s="76">
        <v>11</v>
      </c>
      <c r="AJ673" s="76">
        <v>1434</v>
      </c>
      <c r="AK673" s="76">
        <v>328</v>
      </c>
      <c r="AL673" s="76" t="b">
        <v>0</v>
      </c>
      <c r="AM673" s="78">
        <v>40455.537546296298</v>
      </c>
      <c r="AN673" s="76"/>
      <c r="AO673" s="76" t="s">
        <v>13837</v>
      </c>
      <c r="AP673" s="76"/>
      <c r="AQ673" s="76"/>
      <c r="AR673" s="76"/>
      <c r="AS673" s="76"/>
      <c r="AT673" s="76"/>
      <c r="AU673" s="76"/>
      <c r="AV673" s="76"/>
      <c r="AW673" s="76"/>
      <c r="AX673" s="76" t="b">
        <v>0</v>
      </c>
      <c r="AY673" s="76"/>
      <c r="AZ673" s="76"/>
      <c r="BA673" s="76" t="b">
        <v>0</v>
      </c>
      <c r="BB673" s="76" t="b">
        <v>1</v>
      </c>
      <c r="BC673" s="76" t="b">
        <v>0</v>
      </c>
      <c r="BD673" s="76" t="b">
        <v>0</v>
      </c>
      <c r="BE673" s="76" t="b">
        <v>0</v>
      </c>
      <c r="BF673" s="76" t="b">
        <v>0</v>
      </c>
      <c r="BG673" s="76" t="b">
        <v>0</v>
      </c>
      <c r="BH673" s="82" t="str">
        <f>HYPERLINK("https://pbs.twimg.com/profile_banners/198483525/1611659133")</f>
        <v>https://pbs.twimg.com/profile_banners/198483525/1611659133</v>
      </c>
      <c r="BI673" s="76"/>
      <c r="BJ673" s="76" t="s">
        <v>14450</v>
      </c>
      <c r="BK673" s="76" t="b">
        <v>0</v>
      </c>
      <c r="BL673" s="76"/>
      <c r="BM673" s="76" t="s">
        <v>66</v>
      </c>
      <c r="BN673" s="76" t="s">
        <v>14452</v>
      </c>
      <c r="BO673" s="82" t="str">
        <f>HYPERLINK("https://twitter.com/dutrilla")</f>
        <v>https://twitter.com/dutrilla</v>
      </c>
      <c r="BP673" s="2"/>
    </row>
    <row r="674" spans="1:68" x14ac:dyDescent="0.25">
      <c r="A674" s="62" t="s">
        <v>805</v>
      </c>
      <c r="B674" s="63"/>
      <c r="C674" s="63"/>
      <c r="D674" s="64"/>
      <c r="E674" s="66"/>
      <c r="F674" s="103" t="str">
        <f>HYPERLINK("https://pbs.twimg.com/profile_images/1650993291725242368/JdUXuSgt_normal.jpg")</f>
        <v>https://pbs.twimg.com/profile_images/1650993291725242368/JdUXuSgt_normal.jpg</v>
      </c>
      <c r="G674" s="63"/>
      <c r="H674" s="67"/>
      <c r="I674" s="68"/>
      <c r="J674" s="68"/>
      <c r="K674" s="67" t="s">
        <v>15123</v>
      </c>
      <c r="L674" s="71"/>
      <c r="M674" s="72"/>
      <c r="N674" s="72"/>
      <c r="O674" s="73"/>
      <c r="P674" s="74"/>
      <c r="Q674" s="74"/>
      <c r="R674" s="87"/>
      <c r="S674" s="87"/>
      <c r="T674" s="87"/>
      <c r="U674" s="87"/>
      <c r="V674" s="48"/>
      <c r="W674" s="48"/>
      <c r="X674" s="48"/>
      <c r="Y674" s="48"/>
      <c r="Z674" s="47"/>
      <c r="AA674" s="69">
        <v>674</v>
      </c>
      <c r="AB674" s="69"/>
      <c r="AC674" s="70"/>
      <c r="AD674" s="76" t="s">
        <v>12400</v>
      </c>
      <c r="AE674" s="80" t="s">
        <v>11679</v>
      </c>
      <c r="AF674" s="76">
        <v>2</v>
      </c>
      <c r="AG674" s="76">
        <v>3</v>
      </c>
      <c r="AH674" s="76">
        <v>343</v>
      </c>
      <c r="AI674" s="76">
        <v>0</v>
      </c>
      <c r="AJ674" s="76">
        <v>1</v>
      </c>
      <c r="AK674" s="76">
        <v>10</v>
      </c>
      <c r="AL674" s="76" t="b">
        <v>0</v>
      </c>
      <c r="AM674" s="78">
        <v>45041.944502314815</v>
      </c>
      <c r="AN674" s="76"/>
      <c r="AO674" s="76"/>
      <c r="AP674" s="76"/>
      <c r="AQ674" s="76"/>
      <c r="AR674" s="76"/>
      <c r="AS674" s="76"/>
      <c r="AT674" s="76"/>
      <c r="AU674" s="76"/>
      <c r="AV674" s="76"/>
      <c r="AW674" s="76"/>
      <c r="AX674" s="76" t="b">
        <v>0</v>
      </c>
      <c r="AY674" s="76"/>
      <c r="AZ674" s="76"/>
      <c r="BA674" s="76" t="b">
        <v>0</v>
      </c>
      <c r="BB674" s="76" t="b">
        <v>1</v>
      </c>
      <c r="BC674" s="76" t="b">
        <v>1</v>
      </c>
      <c r="BD674" s="76" t="b">
        <v>0</v>
      </c>
      <c r="BE674" s="76" t="b">
        <v>0</v>
      </c>
      <c r="BF674" s="76" t="b">
        <v>0</v>
      </c>
      <c r="BG674" s="76" t="b">
        <v>0</v>
      </c>
      <c r="BH674" s="76"/>
      <c r="BI674" s="76"/>
      <c r="BJ674" s="76" t="s">
        <v>14450</v>
      </c>
      <c r="BK674" s="76" t="b">
        <v>0</v>
      </c>
      <c r="BL674" s="76"/>
      <c r="BM674" s="76" t="s">
        <v>66</v>
      </c>
      <c r="BN674" s="76" t="s">
        <v>14452</v>
      </c>
      <c r="BO674" s="82" t="str">
        <f>HYPERLINK("https://twitter.com/actionclient")</f>
        <v>https://twitter.com/actionclient</v>
      </c>
      <c r="BP674" s="2"/>
    </row>
    <row r="675" spans="1:68" x14ac:dyDescent="0.25">
      <c r="A675" s="62" t="s">
        <v>806</v>
      </c>
      <c r="B675" s="63"/>
      <c r="C675" s="63"/>
      <c r="D675" s="64"/>
      <c r="E675" s="66"/>
      <c r="F675" s="103" t="str">
        <f>HYPERLINK("https://pbs.twimg.com/profile_images/1655586265419399172/fesDi5MQ_normal.jpg")</f>
        <v>https://pbs.twimg.com/profile_images/1655586265419399172/fesDi5MQ_normal.jpg</v>
      </c>
      <c r="G675" s="63"/>
      <c r="H675" s="67"/>
      <c r="I675" s="68"/>
      <c r="J675" s="68"/>
      <c r="K675" s="67" t="s">
        <v>15124</v>
      </c>
      <c r="L675" s="71"/>
      <c r="M675" s="72"/>
      <c r="N675" s="72"/>
      <c r="O675" s="73"/>
      <c r="P675" s="74"/>
      <c r="Q675" s="74"/>
      <c r="R675" s="87"/>
      <c r="S675" s="87"/>
      <c r="T675" s="87"/>
      <c r="U675" s="87"/>
      <c r="V675" s="48"/>
      <c r="W675" s="48"/>
      <c r="X675" s="48"/>
      <c r="Y675" s="48"/>
      <c r="Z675" s="47"/>
      <c r="AA675" s="69">
        <v>675</v>
      </c>
      <c r="AB675" s="69"/>
      <c r="AC675" s="70"/>
      <c r="AD675" s="76" t="s">
        <v>12401</v>
      </c>
      <c r="AE675" s="80" t="s">
        <v>12829</v>
      </c>
      <c r="AF675" s="76">
        <v>563</v>
      </c>
      <c r="AG675" s="76">
        <v>643</v>
      </c>
      <c r="AH675" s="76">
        <v>18937</v>
      </c>
      <c r="AI675" s="76">
        <v>8</v>
      </c>
      <c r="AJ675" s="76">
        <v>16122</v>
      </c>
      <c r="AK675" s="76">
        <v>459</v>
      </c>
      <c r="AL675" s="76" t="b">
        <v>0</v>
      </c>
      <c r="AM675" s="78">
        <v>40020.981770833336</v>
      </c>
      <c r="AN675" s="76" t="s">
        <v>13194</v>
      </c>
      <c r="AO675" s="76" t="s">
        <v>13838</v>
      </c>
      <c r="AP675" s="76"/>
      <c r="AQ675" s="76"/>
      <c r="AR675" s="76"/>
      <c r="AS675" s="76"/>
      <c r="AT675" s="76"/>
      <c r="AU675" s="76"/>
      <c r="AV675" s="76">
        <v>1.50846976085762E+18</v>
      </c>
      <c r="AW675" s="76"/>
      <c r="AX675" s="76" t="b">
        <v>0</v>
      </c>
      <c r="AY675" s="76"/>
      <c r="AZ675" s="76"/>
      <c r="BA675" s="76" t="b">
        <v>1</v>
      </c>
      <c r="BB675" s="76" t="b">
        <v>1</v>
      </c>
      <c r="BC675" s="76" t="b">
        <v>0</v>
      </c>
      <c r="BD675" s="76" t="b">
        <v>0</v>
      </c>
      <c r="BE675" s="76" t="b">
        <v>0</v>
      </c>
      <c r="BF675" s="76" t="b">
        <v>0</v>
      </c>
      <c r="BG675" s="76" t="b">
        <v>0</v>
      </c>
      <c r="BH675" s="82" t="str">
        <f>HYPERLINK("https://pbs.twimg.com/profile_banners/60425748/1575170312")</f>
        <v>https://pbs.twimg.com/profile_banners/60425748/1575170312</v>
      </c>
      <c r="BI675" s="76"/>
      <c r="BJ675" s="76" t="s">
        <v>14450</v>
      </c>
      <c r="BK675" s="76" t="b">
        <v>0</v>
      </c>
      <c r="BL675" s="76"/>
      <c r="BM675" s="76" t="s">
        <v>66</v>
      </c>
      <c r="BN675" s="76" t="s">
        <v>14452</v>
      </c>
      <c r="BO675" s="82" t="str">
        <f>HYPERLINK("https://twitter.com/divasto")</f>
        <v>https://twitter.com/divasto</v>
      </c>
      <c r="BP675" s="2"/>
    </row>
    <row r="676" spans="1:68" x14ac:dyDescent="0.25">
      <c r="A676" s="62" t="s">
        <v>807</v>
      </c>
      <c r="B676" s="63"/>
      <c r="C676" s="63"/>
      <c r="D676" s="64"/>
      <c r="E676" s="66"/>
      <c r="F676" s="103" t="str">
        <f>HYPERLINK("https://pbs.twimg.com/profile_images/1653581997279780864/dGlG6Exa_normal.jpg")</f>
        <v>https://pbs.twimg.com/profile_images/1653581997279780864/dGlG6Exa_normal.jpg</v>
      </c>
      <c r="G676" s="63"/>
      <c r="H676" s="67"/>
      <c r="I676" s="68"/>
      <c r="J676" s="68"/>
      <c r="K676" s="67" t="s">
        <v>15125</v>
      </c>
      <c r="L676" s="71"/>
      <c r="M676" s="72"/>
      <c r="N676" s="72"/>
      <c r="O676" s="73"/>
      <c r="P676" s="74"/>
      <c r="Q676" s="74"/>
      <c r="R676" s="87"/>
      <c r="S676" s="87"/>
      <c r="T676" s="87"/>
      <c r="U676" s="87"/>
      <c r="V676" s="48"/>
      <c r="W676" s="48"/>
      <c r="X676" s="48"/>
      <c r="Y676" s="48"/>
      <c r="Z676" s="47"/>
      <c r="AA676" s="69">
        <v>676</v>
      </c>
      <c r="AB676" s="69"/>
      <c r="AC676" s="70"/>
      <c r="AD676" s="76" t="s">
        <v>12402</v>
      </c>
      <c r="AE676" s="80" t="s">
        <v>11680</v>
      </c>
      <c r="AF676" s="76">
        <v>59</v>
      </c>
      <c r="AG676" s="76">
        <v>143</v>
      </c>
      <c r="AH676" s="76">
        <v>477</v>
      </c>
      <c r="AI676" s="76">
        <v>0</v>
      </c>
      <c r="AJ676" s="76">
        <v>631</v>
      </c>
      <c r="AK676" s="76">
        <v>76</v>
      </c>
      <c r="AL676" s="76" t="b">
        <v>0</v>
      </c>
      <c r="AM676" s="78">
        <v>44266.872291666667</v>
      </c>
      <c r="AN676" s="76" t="s">
        <v>7812</v>
      </c>
      <c r="AO676" s="76" t="s">
        <v>13839</v>
      </c>
      <c r="AP676" s="76"/>
      <c r="AQ676" s="76"/>
      <c r="AR676" s="76"/>
      <c r="AS676" s="76"/>
      <c r="AT676" s="76"/>
      <c r="AU676" s="76"/>
      <c r="AV676" s="76"/>
      <c r="AW676" s="76"/>
      <c r="AX676" s="76" t="b">
        <v>0</v>
      </c>
      <c r="AY676" s="76"/>
      <c r="AZ676" s="76"/>
      <c r="BA676" s="76" t="b">
        <v>0</v>
      </c>
      <c r="BB676" s="76" t="b">
        <v>1</v>
      </c>
      <c r="BC676" s="76" t="b">
        <v>1</v>
      </c>
      <c r="BD676" s="76" t="b">
        <v>0</v>
      </c>
      <c r="BE676" s="76" t="b">
        <v>1</v>
      </c>
      <c r="BF676" s="76" t="b">
        <v>0</v>
      </c>
      <c r="BG676" s="76" t="b">
        <v>0</v>
      </c>
      <c r="BH676" s="82" t="str">
        <f>HYPERLINK("https://pbs.twimg.com/profile_banners/1370116245794721793/1670325853")</f>
        <v>https://pbs.twimg.com/profile_banners/1370116245794721793/1670325853</v>
      </c>
      <c r="BI676" s="76"/>
      <c r="BJ676" s="76" t="s">
        <v>14450</v>
      </c>
      <c r="BK676" s="76" t="b">
        <v>0</v>
      </c>
      <c r="BL676" s="76"/>
      <c r="BM676" s="76" t="s">
        <v>66</v>
      </c>
      <c r="BN676" s="76" t="s">
        <v>14452</v>
      </c>
      <c r="BO676" s="82" t="str">
        <f>HYPERLINK("https://twitter.com/yez_col")</f>
        <v>https://twitter.com/yez_col</v>
      </c>
      <c r="BP676" s="2"/>
    </row>
    <row r="677" spans="1:68" x14ac:dyDescent="0.25">
      <c r="A677" s="62" t="s">
        <v>808</v>
      </c>
      <c r="B677" s="63"/>
      <c r="C677" s="63"/>
      <c r="D677" s="64"/>
      <c r="E677" s="66"/>
      <c r="F677" s="103" t="str">
        <f>HYPERLINK("https://pbs.twimg.com/profile_images/1472968513732153348/MR18frbg_normal.jpg")</f>
        <v>https://pbs.twimg.com/profile_images/1472968513732153348/MR18frbg_normal.jpg</v>
      </c>
      <c r="G677" s="63"/>
      <c r="H677" s="67"/>
      <c r="I677" s="68"/>
      <c r="J677" s="68"/>
      <c r="K677" s="67" t="s">
        <v>15126</v>
      </c>
      <c r="L677" s="71"/>
      <c r="M677" s="72"/>
      <c r="N677" s="72"/>
      <c r="O677" s="73"/>
      <c r="P677" s="74"/>
      <c r="Q677" s="74"/>
      <c r="R677" s="87"/>
      <c r="S677" s="87"/>
      <c r="T677" s="87"/>
      <c r="U677" s="87"/>
      <c r="V677" s="48"/>
      <c r="W677" s="48"/>
      <c r="X677" s="48"/>
      <c r="Y677" s="48"/>
      <c r="Z677" s="47"/>
      <c r="AA677" s="69">
        <v>677</v>
      </c>
      <c r="AB677" s="69"/>
      <c r="AC677" s="70"/>
      <c r="AD677" s="76" t="s">
        <v>12403</v>
      </c>
      <c r="AE677" s="80" t="s">
        <v>12830</v>
      </c>
      <c r="AF677" s="76">
        <v>439</v>
      </c>
      <c r="AG677" s="76">
        <v>657</v>
      </c>
      <c r="AH677" s="76">
        <v>758</v>
      </c>
      <c r="AI677" s="76">
        <v>21</v>
      </c>
      <c r="AJ677" s="76">
        <v>137</v>
      </c>
      <c r="AK677" s="76">
        <v>160</v>
      </c>
      <c r="AL677" s="76" t="b">
        <v>0</v>
      </c>
      <c r="AM677" s="78">
        <v>40576.604756944442</v>
      </c>
      <c r="AN677" s="76" t="s">
        <v>13195</v>
      </c>
      <c r="AO677" s="76" t="s">
        <v>13840</v>
      </c>
      <c r="AP677" s="82" t="str">
        <f>HYPERLINK("https://t.co/2y9HoRqf6k")</f>
        <v>https://t.co/2y9HoRqf6k</v>
      </c>
      <c r="AQ677" s="82" t="str">
        <f>HYPERLINK("http://danielponceg.com")</f>
        <v>http://danielponceg.com</v>
      </c>
      <c r="AR677" s="76" t="s">
        <v>14318</v>
      </c>
      <c r="AS677" s="76"/>
      <c r="AT677" s="76"/>
      <c r="AU677" s="76"/>
      <c r="AV677" s="76"/>
      <c r="AW677" s="82" t="str">
        <f>HYPERLINK("https://t.co/2y9HoRqf6k")</f>
        <v>https://t.co/2y9HoRqf6k</v>
      </c>
      <c r="AX677" s="76" t="b">
        <v>0</v>
      </c>
      <c r="AY677" s="76"/>
      <c r="AZ677" s="76"/>
      <c r="BA677" s="76" t="b">
        <v>0</v>
      </c>
      <c r="BB677" s="76" t="b">
        <v>1</v>
      </c>
      <c r="BC677" s="76" t="b">
        <v>1</v>
      </c>
      <c r="BD677" s="76" t="b">
        <v>0</v>
      </c>
      <c r="BE677" s="76" t="b">
        <v>1</v>
      </c>
      <c r="BF677" s="76" t="b">
        <v>0</v>
      </c>
      <c r="BG677" s="76" t="b">
        <v>0</v>
      </c>
      <c r="BH677" s="82" t="str">
        <f>HYPERLINK("https://pbs.twimg.com/profile_banners/246290198/1640018035")</f>
        <v>https://pbs.twimg.com/profile_banners/246290198/1640018035</v>
      </c>
      <c r="BI677" s="76"/>
      <c r="BJ677" s="76" t="s">
        <v>14450</v>
      </c>
      <c r="BK677" s="76" t="b">
        <v>0</v>
      </c>
      <c r="BL677" s="76"/>
      <c r="BM677" s="76" t="s">
        <v>66</v>
      </c>
      <c r="BN677" s="76" t="s">
        <v>14452</v>
      </c>
      <c r="BO677" s="82" t="str">
        <f>HYPERLINK("https://twitter.com/danielponceg")</f>
        <v>https://twitter.com/danielponceg</v>
      </c>
      <c r="BP677" s="2"/>
    </row>
    <row r="678" spans="1:68" x14ac:dyDescent="0.25">
      <c r="A678" s="62" t="s">
        <v>809</v>
      </c>
      <c r="B678" s="63"/>
      <c r="C678" s="63"/>
      <c r="D678" s="64"/>
      <c r="E678" s="66"/>
      <c r="F678" s="103" t="str">
        <f>HYPERLINK("https://pbs.twimg.com/profile_images/1526404556296421376/TEMay8-3_normal.jpg")</f>
        <v>https://pbs.twimg.com/profile_images/1526404556296421376/TEMay8-3_normal.jpg</v>
      </c>
      <c r="G678" s="63"/>
      <c r="H678" s="67"/>
      <c r="I678" s="68"/>
      <c r="J678" s="68"/>
      <c r="K678" s="67" t="s">
        <v>15127</v>
      </c>
      <c r="L678" s="71"/>
      <c r="M678" s="72"/>
      <c r="N678" s="72"/>
      <c r="O678" s="73"/>
      <c r="P678" s="74"/>
      <c r="Q678" s="74"/>
      <c r="R678" s="87"/>
      <c r="S678" s="87"/>
      <c r="T678" s="87"/>
      <c r="U678" s="87"/>
      <c r="V678" s="48"/>
      <c r="W678" s="48"/>
      <c r="X678" s="48"/>
      <c r="Y678" s="48"/>
      <c r="Z678" s="47"/>
      <c r="AA678" s="69">
        <v>678</v>
      </c>
      <c r="AB678" s="69"/>
      <c r="AC678" s="70"/>
      <c r="AD678" s="76" t="s">
        <v>12404</v>
      </c>
      <c r="AE678" s="80" t="s">
        <v>11681</v>
      </c>
      <c r="AF678" s="76">
        <v>255</v>
      </c>
      <c r="AG678" s="76">
        <v>20</v>
      </c>
      <c r="AH678" s="76">
        <v>7591</v>
      </c>
      <c r="AI678" s="76">
        <v>2</v>
      </c>
      <c r="AJ678" s="76">
        <v>17</v>
      </c>
      <c r="AK678" s="76">
        <v>7330</v>
      </c>
      <c r="AL678" s="76" t="b">
        <v>0</v>
      </c>
      <c r="AM678" s="78">
        <v>44018.012048611112</v>
      </c>
      <c r="AN678" s="76" t="s">
        <v>13196</v>
      </c>
      <c r="AO678" s="76" t="s">
        <v>13841</v>
      </c>
      <c r="AP678" s="82" t="str">
        <f>HYPERLINK("https://t.co/xJP9d8HzbB")</f>
        <v>https://t.co/xJP9d8HzbB</v>
      </c>
      <c r="AQ678" s="82" t="str">
        <f>HYPERLINK("http://www.riomaframix.com.br")</f>
        <v>http://www.riomaframix.com.br</v>
      </c>
      <c r="AR678" s="76" t="s">
        <v>14319</v>
      </c>
      <c r="AS678" s="76"/>
      <c r="AT678" s="76"/>
      <c r="AU678" s="76"/>
      <c r="AV678" s="76"/>
      <c r="AW678" s="82" t="str">
        <f>HYPERLINK("https://t.co/xJP9d8HzbB")</f>
        <v>https://t.co/xJP9d8HzbB</v>
      </c>
      <c r="AX678" s="76" t="b">
        <v>0</v>
      </c>
      <c r="AY678" s="76"/>
      <c r="AZ678" s="76"/>
      <c r="BA678" s="76" t="b">
        <v>0</v>
      </c>
      <c r="BB678" s="76" t="b">
        <v>1</v>
      </c>
      <c r="BC678" s="76" t="b">
        <v>1</v>
      </c>
      <c r="BD678" s="76" t="b">
        <v>0</v>
      </c>
      <c r="BE678" s="76" t="b">
        <v>0</v>
      </c>
      <c r="BF678" s="76" t="b">
        <v>0</v>
      </c>
      <c r="BG678" s="76" t="b">
        <v>0</v>
      </c>
      <c r="BH678" s="82" t="str">
        <f>HYPERLINK("https://pbs.twimg.com/profile_banners/1279932298117423105/1652790185")</f>
        <v>https://pbs.twimg.com/profile_banners/1279932298117423105/1652790185</v>
      </c>
      <c r="BI678" s="76"/>
      <c r="BJ678" s="76" t="s">
        <v>14450</v>
      </c>
      <c r="BK678" s="76" t="b">
        <v>0</v>
      </c>
      <c r="BL678" s="76"/>
      <c r="BM678" s="76" t="s">
        <v>66</v>
      </c>
      <c r="BN678" s="76" t="s">
        <v>14452</v>
      </c>
      <c r="BO678" s="82" t="str">
        <f>HYPERLINK("https://twitter.com/riomaframix")</f>
        <v>https://twitter.com/riomaframix</v>
      </c>
      <c r="BP678" s="2"/>
    </row>
    <row r="679" spans="1:68" x14ac:dyDescent="0.25">
      <c r="A679" s="62" t="s">
        <v>810</v>
      </c>
      <c r="B679" s="63"/>
      <c r="C679" s="63"/>
      <c r="D679" s="64"/>
      <c r="E679" s="66"/>
      <c r="F679" s="103" t="str">
        <f>HYPERLINK("https://pbs.twimg.com/profile_images/1221707834414362624/yK8N1qE0_normal.jpg")</f>
        <v>https://pbs.twimg.com/profile_images/1221707834414362624/yK8N1qE0_normal.jpg</v>
      </c>
      <c r="G679" s="63"/>
      <c r="H679" s="67"/>
      <c r="I679" s="68"/>
      <c r="J679" s="68"/>
      <c r="K679" s="67" t="s">
        <v>15128</v>
      </c>
      <c r="L679" s="71"/>
      <c r="M679" s="72"/>
      <c r="N679" s="72"/>
      <c r="O679" s="73"/>
      <c r="P679" s="74"/>
      <c r="Q679" s="74"/>
      <c r="R679" s="87"/>
      <c r="S679" s="87"/>
      <c r="T679" s="87"/>
      <c r="U679" s="87"/>
      <c r="V679" s="48"/>
      <c r="W679" s="48"/>
      <c r="X679" s="48"/>
      <c r="Y679" s="48"/>
      <c r="Z679" s="47"/>
      <c r="AA679" s="69">
        <v>679</v>
      </c>
      <c r="AB679" s="69"/>
      <c r="AC679" s="70"/>
      <c r="AD679" s="76" t="s">
        <v>12405</v>
      </c>
      <c r="AE679" s="80" t="s">
        <v>12831</v>
      </c>
      <c r="AF679" s="76">
        <v>1074</v>
      </c>
      <c r="AG679" s="76">
        <v>5108</v>
      </c>
      <c r="AH679" s="76">
        <v>44017</v>
      </c>
      <c r="AI679" s="76">
        <v>85</v>
      </c>
      <c r="AJ679" s="76">
        <v>31525</v>
      </c>
      <c r="AK679" s="76">
        <v>1729</v>
      </c>
      <c r="AL679" s="76" t="b">
        <v>0</v>
      </c>
      <c r="AM679" s="78">
        <v>40529.112719907411</v>
      </c>
      <c r="AN679" s="76" t="s">
        <v>7767</v>
      </c>
      <c r="AO679" s="76" t="s">
        <v>13842</v>
      </c>
      <c r="AP679" s="82" t="str">
        <f>HYPERLINK("https://t.co/6bv0YwJh9C")</f>
        <v>https://t.co/6bv0YwJh9C</v>
      </c>
      <c r="AQ679" s="82" t="str">
        <f>HYPERLINK("https://www.comprasguitarramusicaymas.cloud/")</f>
        <v>https://www.comprasguitarramusicaymas.cloud/</v>
      </c>
      <c r="AR679" s="76" t="s">
        <v>14320</v>
      </c>
      <c r="AS679" s="76" t="s">
        <v>14379</v>
      </c>
      <c r="AT679" s="76" t="s">
        <v>14391</v>
      </c>
      <c r="AU679" s="76" t="s">
        <v>14446</v>
      </c>
      <c r="AV679" s="76">
        <v>1.28411093704195E+18</v>
      </c>
      <c r="AW679" s="82" t="str">
        <f>HYPERLINK("https://t.co/6bv0YwJh9C")</f>
        <v>https://t.co/6bv0YwJh9C</v>
      </c>
      <c r="AX679" s="76" t="b">
        <v>0</v>
      </c>
      <c r="AY679" s="76"/>
      <c r="AZ679" s="76"/>
      <c r="BA679" s="76" t="b">
        <v>0</v>
      </c>
      <c r="BB679" s="76" t="b">
        <v>0</v>
      </c>
      <c r="BC679" s="76" t="b">
        <v>0</v>
      </c>
      <c r="BD679" s="76" t="b">
        <v>0</v>
      </c>
      <c r="BE679" s="76" t="b">
        <v>1</v>
      </c>
      <c r="BF679" s="76" t="b">
        <v>0</v>
      </c>
      <c r="BG679" s="76" t="b">
        <v>0</v>
      </c>
      <c r="BH679" s="82" t="str">
        <f>HYPERLINK("https://pbs.twimg.com/profile_banners/227534134/1402638717")</f>
        <v>https://pbs.twimg.com/profile_banners/227534134/1402638717</v>
      </c>
      <c r="BI679" s="76"/>
      <c r="BJ679" s="76" t="s">
        <v>14450</v>
      </c>
      <c r="BK679" s="76" t="b">
        <v>0</v>
      </c>
      <c r="BL679" s="76"/>
      <c r="BM679" s="76" t="s">
        <v>66</v>
      </c>
      <c r="BN679" s="76" t="s">
        <v>14452</v>
      </c>
      <c r="BO679" s="82" t="str">
        <f>HYPERLINK("https://twitter.com/josue_delrio")</f>
        <v>https://twitter.com/josue_delrio</v>
      </c>
      <c r="BP679" s="2"/>
    </row>
    <row r="680" spans="1:68" x14ac:dyDescent="0.25">
      <c r="A680" s="62" t="s">
        <v>811</v>
      </c>
      <c r="B680" s="63"/>
      <c r="C680" s="63"/>
      <c r="D680" s="64"/>
      <c r="E680" s="66"/>
      <c r="F680" s="103" t="str">
        <f>HYPERLINK("https://pbs.twimg.com/profile_images/1425538597994868746/lqYO1iJX_normal.jpg")</f>
        <v>https://pbs.twimg.com/profile_images/1425538597994868746/lqYO1iJX_normal.jpg</v>
      </c>
      <c r="G680" s="63"/>
      <c r="H680" s="67"/>
      <c r="I680" s="68"/>
      <c r="J680" s="68"/>
      <c r="K680" s="67" t="s">
        <v>15129</v>
      </c>
      <c r="L680" s="71"/>
      <c r="M680" s="72"/>
      <c r="N680" s="72"/>
      <c r="O680" s="73"/>
      <c r="P680" s="74"/>
      <c r="Q680" s="74"/>
      <c r="R680" s="87"/>
      <c r="S680" s="87"/>
      <c r="T680" s="87"/>
      <c r="U680" s="87"/>
      <c r="V680" s="48"/>
      <c r="W680" s="48"/>
      <c r="X680" s="48"/>
      <c r="Y680" s="48"/>
      <c r="Z680" s="47"/>
      <c r="AA680" s="69">
        <v>680</v>
      </c>
      <c r="AB680" s="69"/>
      <c r="AC680" s="70"/>
      <c r="AD680" s="76" t="s">
        <v>12406</v>
      </c>
      <c r="AE680" s="80" t="s">
        <v>11682</v>
      </c>
      <c r="AF680" s="76">
        <v>4</v>
      </c>
      <c r="AG680" s="76">
        <v>27</v>
      </c>
      <c r="AH680" s="76">
        <v>130</v>
      </c>
      <c r="AI680" s="76">
        <v>0</v>
      </c>
      <c r="AJ680" s="76">
        <v>3</v>
      </c>
      <c r="AK680" s="76">
        <v>130</v>
      </c>
      <c r="AL680" s="76" t="b">
        <v>0</v>
      </c>
      <c r="AM680" s="78">
        <v>44392.560532407406</v>
      </c>
      <c r="AN680" s="76"/>
      <c r="AO680" s="76" t="s">
        <v>13843</v>
      </c>
      <c r="AP680" s="82" t="str">
        <f>HYPERLINK("https://t.co/HtJKo3b0Rt")</f>
        <v>https://t.co/HtJKo3b0Rt</v>
      </c>
      <c r="AQ680" s="82" t="str">
        <f>HYPERLINK("http://www.suavaga.com.br")</f>
        <v>http://www.suavaga.com.br</v>
      </c>
      <c r="AR680" s="76" t="s">
        <v>14321</v>
      </c>
      <c r="AS680" s="76"/>
      <c r="AT680" s="76"/>
      <c r="AU680" s="76"/>
      <c r="AV680" s="76"/>
      <c r="AW680" s="82" t="str">
        <f>HYPERLINK("https://t.co/HtJKo3b0Rt")</f>
        <v>https://t.co/HtJKo3b0Rt</v>
      </c>
      <c r="AX680" s="76" t="b">
        <v>0</v>
      </c>
      <c r="AY680" s="76"/>
      <c r="AZ680" s="76"/>
      <c r="BA680" s="76" t="b">
        <v>0</v>
      </c>
      <c r="BB680" s="76" t="b">
        <v>1</v>
      </c>
      <c r="BC680" s="76" t="b">
        <v>1</v>
      </c>
      <c r="BD680" s="76" t="b">
        <v>0</v>
      </c>
      <c r="BE680" s="76" t="b">
        <v>0</v>
      </c>
      <c r="BF680" s="76" t="b">
        <v>0</v>
      </c>
      <c r="BG680" s="76" t="b">
        <v>0</v>
      </c>
      <c r="BH680" s="82" t="str">
        <f>HYPERLINK("https://pbs.twimg.com/profile_banners/1415659389378301954/1628709979")</f>
        <v>https://pbs.twimg.com/profile_banners/1415659389378301954/1628709979</v>
      </c>
      <c r="BI680" s="76"/>
      <c r="BJ680" s="76" t="s">
        <v>14450</v>
      </c>
      <c r="BK680" s="76" t="b">
        <v>0</v>
      </c>
      <c r="BL680" s="76"/>
      <c r="BM680" s="76" t="s">
        <v>66</v>
      </c>
      <c r="BN680" s="76" t="s">
        <v>14452</v>
      </c>
      <c r="BO680" s="82" t="str">
        <f>HYPERLINK("https://twitter.com/vaga_sua")</f>
        <v>https://twitter.com/vaga_sua</v>
      </c>
      <c r="BP680" s="2"/>
    </row>
    <row r="681" spans="1:68" x14ac:dyDescent="0.25">
      <c r="A681" s="62" t="s">
        <v>812</v>
      </c>
      <c r="B681" s="63"/>
      <c r="C681" s="63"/>
      <c r="D681" s="64"/>
      <c r="E681" s="66"/>
      <c r="F681" s="103" t="str">
        <f>HYPERLINK("https://pbs.twimg.com/profile_images/1621540432487366657/s-1iuqzA_normal.jpg")</f>
        <v>https://pbs.twimg.com/profile_images/1621540432487366657/s-1iuqzA_normal.jpg</v>
      </c>
      <c r="G681" s="63"/>
      <c r="H681" s="67"/>
      <c r="I681" s="68"/>
      <c r="J681" s="68"/>
      <c r="K681" s="67" t="s">
        <v>15130</v>
      </c>
      <c r="L681" s="71"/>
      <c r="M681" s="72"/>
      <c r="N681" s="72"/>
      <c r="O681" s="73"/>
      <c r="P681" s="74"/>
      <c r="Q681" s="74"/>
      <c r="R681" s="87"/>
      <c r="S681" s="87"/>
      <c r="T681" s="87"/>
      <c r="U681" s="87"/>
      <c r="V681" s="48"/>
      <c r="W681" s="48"/>
      <c r="X681" s="48"/>
      <c r="Y681" s="48"/>
      <c r="Z681" s="47"/>
      <c r="AA681" s="69">
        <v>681</v>
      </c>
      <c r="AB681" s="69"/>
      <c r="AC681" s="70"/>
      <c r="AD681" s="76" t="s">
        <v>12407</v>
      </c>
      <c r="AE681" s="80" t="s">
        <v>11357</v>
      </c>
      <c r="AF681" s="76">
        <v>3013</v>
      </c>
      <c r="AG681" s="76">
        <v>1579</v>
      </c>
      <c r="AH681" s="76">
        <v>7556</v>
      </c>
      <c r="AI681" s="76">
        <v>0</v>
      </c>
      <c r="AJ681" s="76">
        <v>290</v>
      </c>
      <c r="AK681" s="76">
        <v>590</v>
      </c>
      <c r="AL681" s="76" t="b">
        <v>0</v>
      </c>
      <c r="AM681" s="78">
        <v>39937.850439814814</v>
      </c>
      <c r="AN681" s="76" t="s">
        <v>7763</v>
      </c>
      <c r="AO681" s="76" t="s">
        <v>13844</v>
      </c>
      <c r="AP681" s="82" t="str">
        <f>HYPERLINK("https://t.co/2ItlcHvpfZ")</f>
        <v>https://t.co/2ItlcHvpfZ</v>
      </c>
      <c r="AQ681" s="82" t="str">
        <f>HYPERLINK("http://leandrobranquinho.com")</f>
        <v>http://leandrobranquinho.com</v>
      </c>
      <c r="AR681" s="76" t="s">
        <v>14322</v>
      </c>
      <c r="AS681" s="76"/>
      <c r="AT681" s="76"/>
      <c r="AU681" s="76"/>
      <c r="AV681" s="76"/>
      <c r="AW681" s="82" t="str">
        <f>HYPERLINK("https://t.co/2ItlcHvpfZ")</f>
        <v>https://t.co/2ItlcHvpfZ</v>
      </c>
      <c r="AX681" s="76" t="b">
        <v>1</v>
      </c>
      <c r="AY681" s="76"/>
      <c r="AZ681" s="76"/>
      <c r="BA681" s="76" t="b">
        <v>0</v>
      </c>
      <c r="BB681" s="76" t="b">
        <v>1</v>
      </c>
      <c r="BC681" s="76" t="b">
        <v>0</v>
      </c>
      <c r="BD681" s="76" t="b">
        <v>0</v>
      </c>
      <c r="BE681" s="76" t="b">
        <v>0</v>
      </c>
      <c r="BF681" s="76" t="b">
        <v>0</v>
      </c>
      <c r="BG681" s="76" t="b">
        <v>0</v>
      </c>
      <c r="BH681" s="82" t="str">
        <f>HYPERLINK("https://pbs.twimg.com/profile_banners/37749824/1692627116")</f>
        <v>https://pbs.twimg.com/profile_banners/37749824/1692627116</v>
      </c>
      <c r="BI681" s="76"/>
      <c r="BJ681" s="76" t="s">
        <v>14450</v>
      </c>
      <c r="BK681" s="76" t="b">
        <v>0</v>
      </c>
      <c r="BL681" s="76"/>
      <c r="BM681" s="76" t="s">
        <v>66</v>
      </c>
      <c r="BN681" s="76" t="s">
        <v>14452</v>
      </c>
      <c r="BO681" s="82" t="str">
        <f>HYPERLINK("https://twitter.com/radiovendas")</f>
        <v>https://twitter.com/radiovendas</v>
      </c>
      <c r="BP681" s="2"/>
    </row>
    <row r="682" spans="1:68" x14ac:dyDescent="0.25">
      <c r="A682" s="62" t="s">
        <v>813</v>
      </c>
      <c r="B682" s="63"/>
      <c r="C682" s="63"/>
      <c r="D682" s="64"/>
      <c r="E682" s="66"/>
      <c r="F682" s="103" t="str">
        <f>HYPERLINK("https://pbs.twimg.com/profile_images/1598696825053237253/Y1Riw_uH_normal.jpg")</f>
        <v>https://pbs.twimg.com/profile_images/1598696825053237253/Y1Riw_uH_normal.jpg</v>
      </c>
      <c r="G682" s="63"/>
      <c r="H682" s="67"/>
      <c r="I682" s="68"/>
      <c r="J682" s="68"/>
      <c r="K682" s="67" t="s">
        <v>15131</v>
      </c>
      <c r="L682" s="71"/>
      <c r="M682" s="72"/>
      <c r="N682" s="72"/>
      <c r="O682" s="73"/>
      <c r="P682" s="74"/>
      <c r="Q682" s="74"/>
      <c r="R682" s="87"/>
      <c r="S682" s="87"/>
      <c r="T682" s="87"/>
      <c r="U682" s="87"/>
      <c r="V682" s="48"/>
      <c r="W682" s="48"/>
      <c r="X682" s="48"/>
      <c r="Y682" s="48"/>
      <c r="Z682" s="47"/>
      <c r="AA682" s="69">
        <v>682</v>
      </c>
      <c r="AB682" s="69"/>
      <c r="AC682" s="70"/>
      <c r="AD682" s="76" t="s">
        <v>12408</v>
      </c>
      <c r="AE682" s="80" t="s">
        <v>11683</v>
      </c>
      <c r="AF682" s="76">
        <v>263</v>
      </c>
      <c r="AG682" s="76">
        <v>183</v>
      </c>
      <c r="AH682" s="76">
        <v>20214</v>
      </c>
      <c r="AI682" s="76">
        <v>1</v>
      </c>
      <c r="AJ682" s="76">
        <v>12016</v>
      </c>
      <c r="AK682" s="76">
        <v>5540</v>
      </c>
      <c r="AL682" s="76" t="b">
        <v>0</v>
      </c>
      <c r="AM682" s="78">
        <v>44333.964895833335</v>
      </c>
      <c r="AN682" s="76" t="s">
        <v>13197</v>
      </c>
      <c r="AO682" s="76" t="s">
        <v>13845</v>
      </c>
      <c r="AP682" s="76"/>
      <c r="AQ682" s="76"/>
      <c r="AR682" s="76"/>
      <c r="AS682" s="76"/>
      <c r="AT682" s="76"/>
      <c r="AU682" s="76"/>
      <c r="AV682" s="76">
        <v>1.6599291738491699E+18</v>
      </c>
      <c r="AW682" s="76"/>
      <c r="AX682" s="76" t="b">
        <v>0</v>
      </c>
      <c r="AY682" s="76"/>
      <c r="AZ682" s="76"/>
      <c r="BA682" s="76" t="b">
        <v>0</v>
      </c>
      <c r="BB682" s="76" t="b">
        <v>1</v>
      </c>
      <c r="BC682" s="76" t="b">
        <v>1</v>
      </c>
      <c r="BD682" s="76" t="b">
        <v>0</v>
      </c>
      <c r="BE682" s="76" t="b">
        <v>1</v>
      </c>
      <c r="BF682" s="76" t="b">
        <v>0</v>
      </c>
      <c r="BG682" s="76" t="b">
        <v>0</v>
      </c>
      <c r="BH682" s="76"/>
      <c r="BI682" s="76"/>
      <c r="BJ682" s="76" t="s">
        <v>14450</v>
      </c>
      <c r="BK682" s="76" t="b">
        <v>0</v>
      </c>
      <c r="BL682" s="76"/>
      <c r="BM682" s="76" t="s">
        <v>66</v>
      </c>
      <c r="BN682" s="76" t="s">
        <v>14452</v>
      </c>
      <c r="BO682" s="82" t="str">
        <f>HYPERLINK("https://twitter.com/karite70243384")</f>
        <v>https://twitter.com/karite70243384</v>
      </c>
      <c r="BP682" s="2"/>
    </row>
    <row r="683" spans="1:68" x14ac:dyDescent="0.25">
      <c r="A683" s="62" t="s">
        <v>957</v>
      </c>
      <c r="B683" s="63"/>
      <c r="C683" s="63"/>
      <c r="D683" s="64"/>
      <c r="E683" s="66"/>
      <c r="F683" s="103" t="str">
        <f>HYPERLINK("https://pbs.twimg.com/profile_images/1405290022236950534/40eBGlsF_normal.jpg")</f>
        <v>https://pbs.twimg.com/profile_images/1405290022236950534/40eBGlsF_normal.jpg</v>
      </c>
      <c r="G683" s="63"/>
      <c r="H683" s="67"/>
      <c r="I683" s="68"/>
      <c r="J683" s="68"/>
      <c r="K683" s="67" t="s">
        <v>15132</v>
      </c>
      <c r="L683" s="71"/>
      <c r="M683" s="72"/>
      <c r="N683" s="72"/>
      <c r="O683" s="73"/>
      <c r="P683" s="74"/>
      <c r="Q683" s="74"/>
      <c r="R683" s="87"/>
      <c r="S683" s="87"/>
      <c r="T683" s="87"/>
      <c r="U683" s="87"/>
      <c r="V683" s="48"/>
      <c r="W683" s="48"/>
      <c r="X683" s="48"/>
      <c r="Y683" s="48"/>
      <c r="Z683" s="47"/>
      <c r="AA683" s="69">
        <v>683</v>
      </c>
      <c r="AB683" s="69"/>
      <c r="AC683" s="70"/>
      <c r="AD683" s="76" t="s">
        <v>12409</v>
      </c>
      <c r="AE683" s="80" t="s">
        <v>12832</v>
      </c>
      <c r="AF683" s="76">
        <v>494395</v>
      </c>
      <c r="AG683" s="76">
        <v>7777</v>
      </c>
      <c r="AH683" s="76">
        <v>46936</v>
      </c>
      <c r="AI683" s="76">
        <v>1346</v>
      </c>
      <c r="AJ683" s="76">
        <v>18128</v>
      </c>
      <c r="AK683" s="76">
        <v>13477</v>
      </c>
      <c r="AL683" s="76" t="b">
        <v>0</v>
      </c>
      <c r="AM683" s="78">
        <v>39607.816782407404</v>
      </c>
      <c r="AN683" s="76" t="s">
        <v>12884</v>
      </c>
      <c r="AO683" s="76" t="s">
        <v>13846</v>
      </c>
      <c r="AP683" s="82" t="str">
        <f>HYPERLINK("https://t.co/OdV6cggTSN")</f>
        <v>https://t.co/OdV6cggTSN</v>
      </c>
      <c r="AQ683" s="82" t="str">
        <f>HYPERLINK("https://linktr.ee/GobiernodeSantiago")</f>
        <v>https://linktr.ee/GobiernodeSantiago</v>
      </c>
      <c r="AR683" s="76" t="s">
        <v>14323</v>
      </c>
      <c r="AS683" s="76"/>
      <c r="AT683" s="76"/>
      <c r="AU683" s="76"/>
      <c r="AV683" s="76"/>
      <c r="AW683" s="82" t="str">
        <f>HYPERLINK("https://t.co/OdV6cggTSN")</f>
        <v>https://t.co/OdV6cggTSN</v>
      </c>
      <c r="AX683" s="76" t="b">
        <v>0</v>
      </c>
      <c r="AY683" s="76"/>
      <c r="AZ683" s="76"/>
      <c r="BA683" s="76" t="b">
        <v>0</v>
      </c>
      <c r="BB683" s="76" t="b">
        <v>1</v>
      </c>
      <c r="BC683" s="76" t="b">
        <v>0</v>
      </c>
      <c r="BD683" s="76" t="b">
        <v>0</v>
      </c>
      <c r="BE683" s="76" t="b">
        <v>1</v>
      </c>
      <c r="BF683" s="76" t="b">
        <v>0</v>
      </c>
      <c r="BG683" s="76" t="b">
        <v>0</v>
      </c>
      <c r="BH683" s="82" t="str">
        <f>HYPERLINK("https://pbs.twimg.com/profile_banners/15049365/1623882227")</f>
        <v>https://pbs.twimg.com/profile_banners/15049365/1623882227</v>
      </c>
      <c r="BI683" s="76"/>
      <c r="BJ683" s="76" t="s">
        <v>14450</v>
      </c>
      <c r="BK683" s="76" t="b">
        <v>0</v>
      </c>
      <c r="BL683" s="76"/>
      <c r="BM683" s="76" t="s">
        <v>65</v>
      </c>
      <c r="BN683" s="76" t="s">
        <v>14452</v>
      </c>
      <c r="BO683" s="82" t="str">
        <f>HYPERLINK("https://twitter.com/orrego")</f>
        <v>https://twitter.com/orrego</v>
      </c>
      <c r="BP683" s="2"/>
    </row>
    <row r="684" spans="1:68" x14ac:dyDescent="0.25">
      <c r="A684" s="62" t="s">
        <v>958</v>
      </c>
      <c r="B684" s="63"/>
      <c r="C684" s="63"/>
      <c r="D684" s="64"/>
      <c r="E684" s="66"/>
      <c r="F684" s="103" t="str">
        <f>HYPERLINK("https://pbs.twimg.com/profile_images/1568964542310268928/JdFBPUKA_normal.jpg")</f>
        <v>https://pbs.twimg.com/profile_images/1568964542310268928/JdFBPUKA_normal.jpg</v>
      </c>
      <c r="G684" s="63"/>
      <c r="H684" s="67"/>
      <c r="I684" s="68"/>
      <c r="J684" s="68"/>
      <c r="K684" s="67" t="s">
        <v>15133</v>
      </c>
      <c r="L684" s="71"/>
      <c r="M684" s="72"/>
      <c r="N684" s="72"/>
      <c r="O684" s="73"/>
      <c r="P684" s="74"/>
      <c r="Q684" s="74"/>
      <c r="R684" s="87"/>
      <c r="S684" s="87"/>
      <c r="T684" s="87"/>
      <c r="U684" s="87"/>
      <c r="V684" s="48"/>
      <c r="W684" s="48"/>
      <c r="X684" s="48"/>
      <c r="Y684" s="48"/>
      <c r="Z684" s="47"/>
      <c r="AA684" s="69">
        <v>684</v>
      </c>
      <c r="AB684" s="69"/>
      <c r="AC684" s="70"/>
      <c r="AD684" s="76" t="s">
        <v>12410</v>
      </c>
      <c r="AE684" s="80" t="s">
        <v>12833</v>
      </c>
      <c r="AF684" s="76">
        <v>325847</v>
      </c>
      <c r="AG684" s="76">
        <v>2922</v>
      </c>
      <c r="AH684" s="76">
        <v>23503</v>
      </c>
      <c r="AI684" s="76">
        <v>1380</v>
      </c>
      <c r="AJ684" s="76">
        <v>698</v>
      </c>
      <c r="AK684" s="76">
        <v>1349</v>
      </c>
      <c r="AL684" s="76" t="b">
        <v>0</v>
      </c>
      <c r="AM684" s="78">
        <v>40290.898831018516</v>
      </c>
      <c r="AN684" s="76" t="s">
        <v>13031</v>
      </c>
      <c r="AO684" s="76" t="s">
        <v>13847</v>
      </c>
      <c r="AP684" s="82" t="str">
        <f>HYPERLINK("https://t.co/wueZxLmD3l")</f>
        <v>https://t.co/wueZxLmD3l</v>
      </c>
      <c r="AQ684" s="82" t="str">
        <f>HYPERLINK("https://www.gob.cl/chileavanzando/")</f>
        <v>https://www.gob.cl/chileavanzando/</v>
      </c>
      <c r="AR684" s="76" t="s">
        <v>14324</v>
      </c>
      <c r="AS684" s="76"/>
      <c r="AT684" s="76"/>
      <c r="AU684" s="76"/>
      <c r="AV684" s="76"/>
      <c r="AW684" s="82" t="str">
        <f>HYPERLINK("https://t.co/wueZxLmD3l")</f>
        <v>https://t.co/wueZxLmD3l</v>
      </c>
      <c r="AX684" s="76" t="b">
        <v>0</v>
      </c>
      <c r="AY684" s="76"/>
      <c r="AZ684" s="76"/>
      <c r="BA684" s="76" t="b">
        <v>0</v>
      </c>
      <c r="BB684" s="76" t="b">
        <v>1</v>
      </c>
      <c r="BC684" s="76" t="b">
        <v>1</v>
      </c>
      <c r="BD684" s="76" t="b">
        <v>0</v>
      </c>
      <c r="BE684" s="76" t="b">
        <v>1</v>
      </c>
      <c r="BF684" s="76" t="b">
        <v>0</v>
      </c>
      <c r="BG684" s="76" t="b">
        <v>0</v>
      </c>
      <c r="BH684" s="82" t="str">
        <f>HYPERLINK("https://pbs.twimg.com/profile_banners/136034867/1695765253")</f>
        <v>https://pbs.twimg.com/profile_banners/136034867/1695765253</v>
      </c>
      <c r="BI684" s="76"/>
      <c r="BJ684" s="76" t="s">
        <v>14450</v>
      </c>
      <c r="BK684" s="76" t="b">
        <v>0</v>
      </c>
      <c r="BL684" s="76"/>
      <c r="BM684" s="76" t="s">
        <v>65</v>
      </c>
      <c r="BN684" s="76" t="s">
        <v>14452</v>
      </c>
      <c r="BO684" s="82" t="str">
        <f>HYPERLINK("https://twitter.com/carolina_toha")</f>
        <v>https://twitter.com/carolina_toha</v>
      </c>
      <c r="BP684" s="2"/>
    </row>
    <row r="685" spans="1:68" x14ac:dyDescent="0.25">
      <c r="A685" s="62" t="s">
        <v>959</v>
      </c>
      <c r="B685" s="63"/>
      <c r="C685" s="63"/>
      <c r="D685" s="64"/>
      <c r="E685" s="66"/>
      <c r="F685" s="103" t="str">
        <f>HYPERLINK("https://pbs.twimg.com/profile_images/1502323843158921219/4iaApO1I_normal.jpg")</f>
        <v>https://pbs.twimg.com/profile_images/1502323843158921219/4iaApO1I_normal.jpg</v>
      </c>
      <c r="G685" s="63"/>
      <c r="H685" s="67"/>
      <c r="I685" s="68"/>
      <c r="J685" s="68"/>
      <c r="K685" s="67" t="s">
        <v>15134</v>
      </c>
      <c r="L685" s="71"/>
      <c r="M685" s="72"/>
      <c r="N685" s="72"/>
      <c r="O685" s="73"/>
      <c r="P685" s="74"/>
      <c r="Q685" s="74"/>
      <c r="R685" s="87"/>
      <c r="S685" s="87"/>
      <c r="T685" s="87"/>
      <c r="U685" s="87"/>
      <c r="V685" s="48"/>
      <c r="W685" s="48"/>
      <c r="X685" s="48"/>
      <c r="Y685" s="48"/>
      <c r="Z685" s="47"/>
      <c r="AA685" s="69">
        <v>685</v>
      </c>
      <c r="AB685" s="69"/>
      <c r="AC685" s="70"/>
      <c r="AD685" s="76" t="s">
        <v>12411</v>
      </c>
      <c r="AE685" s="80" t="s">
        <v>12834</v>
      </c>
      <c r="AF685" s="76">
        <v>1963662</v>
      </c>
      <c r="AG685" s="76">
        <v>7797</v>
      </c>
      <c r="AH685" s="76">
        <v>64173</v>
      </c>
      <c r="AI685" s="76">
        <v>2189</v>
      </c>
      <c r="AJ685" s="76">
        <v>5395</v>
      </c>
      <c r="AK685" s="76">
        <v>4873</v>
      </c>
      <c r="AL685" s="76" t="b">
        <v>0</v>
      </c>
      <c r="AM685" s="78">
        <v>40069.901886574073</v>
      </c>
      <c r="AN685" s="76" t="s">
        <v>13198</v>
      </c>
      <c r="AO685" s="76" t="s">
        <v>13848</v>
      </c>
      <c r="AP685" s="82" t="str">
        <f>HYPERLINK("https://t.co/6T5nZyrgl9")</f>
        <v>https://t.co/6T5nZyrgl9</v>
      </c>
      <c r="AQ685" s="82" t="str">
        <f>HYPERLINK("https://mtr.bio/gabrielboric")</f>
        <v>https://mtr.bio/gabrielboric</v>
      </c>
      <c r="AR685" s="76" t="s">
        <v>14325</v>
      </c>
      <c r="AS685" s="76"/>
      <c r="AT685" s="76"/>
      <c r="AU685" s="76"/>
      <c r="AV685" s="76"/>
      <c r="AW685" s="82" t="str">
        <f>HYPERLINK("https://t.co/6T5nZyrgl9")</f>
        <v>https://t.co/6T5nZyrgl9</v>
      </c>
      <c r="AX685" s="76" t="b">
        <v>1</v>
      </c>
      <c r="AY685" s="76"/>
      <c r="AZ685" s="76"/>
      <c r="BA685" s="76" t="b">
        <v>0</v>
      </c>
      <c r="BB685" s="76" t="b">
        <v>1</v>
      </c>
      <c r="BC685" s="76" t="b">
        <v>1</v>
      </c>
      <c r="BD685" s="76" t="b">
        <v>0</v>
      </c>
      <c r="BE685" s="76" t="b">
        <v>1</v>
      </c>
      <c r="BF685" s="76" t="b">
        <v>0</v>
      </c>
      <c r="BG685" s="76" t="b">
        <v>0</v>
      </c>
      <c r="BH685" s="82" t="str">
        <f>HYPERLINK("https://pbs.twimg.com/profile_banners/73981088/1647896168")</f>
        <v>https://pbs.twimg.com/profile_banners/73981088/1647896168</v>
      </c>
      <c r="BI685" s="76"/>
      <c r="BJ685" s="76" t="s">
        <v>14450</v>
      </c>
      <c r="BK685" s="76" t="b">
        <v>0</v>
      </c>
      <c r="BL685" s="76"/>
      <c r="BM685" s="76" t="s">
        <v>65</v>
      </c>
      <c r="BN685" s="76" t="s">
        <v>14452</v>
      </c>
      <c r="BO685" s="82" t="str">
        <f>HYPERLINK("https://twitter.com/gabrielboric")</f>
        <v>https://twitter.com/gabrielboric</v>
      </c>
      <c r="BP685" s="2"/>
    </row>
    <row r="686" spans="1:68" x14ac:dyDescent="0.25">
      <c r="A686" s="62" t="s">
        <v>960</v>
      </c>
      <c r="B686" s="63"/>
      <c r="C686" s="63"/>
      <c r="D686" s="64"/>
      <c r="E686" s="66"/>
      <c r="F686" s="103" t="str">
        <f>HYPERLINK("https://pbs.twimg.com/profile_images/1484911634925555715/uX8Dr_Lw_normal.jpg")</f>
        <v>https://pbs.twimg.com/profile_images/1484911634925555715/uX8Dr_Lw_normal.jpg</v>
      </c>
      <c r="G686" s="63"/>
      <c r="H686" s="67"/>
      <c r="I686" s="68"/>
      <c r="J686" s="68"/>
      <c r="K686" s="67" t="s">
        <v>15135</v>
      </c>
      <c r="L686" s="71"/>
      <c r="M686" s="72"/>
      <c r="N686" s="72"/>
      <c r="O686" s="73"/>
      <c r="P686" s="74"/>
      <c r="Q686" s="74"/>
      <c r="R686" s="87"/>
      <c r="S686" s="87"/>
      <c r="T686" s="87"/>
      <c r="U686" s="87"/>
      <c r="V686" s="48"/>
      <c r="W686" s="48"/>
      <c r="X686" s="48"/>
      <c r="Y686" s="48"/>
      <c r="Z686" s="47"/>
      <c r="AA686" s="69">
        <v>686</v>
      </c>
      <c r="AB686" s="69"/>
      <c r="AC686" s="70"/>
      <c r="AD686" s="76" t="s">
        <v>12412</v>
      </c>
      <c r="AE686" s="80" t="s">
        <v>12835</v>
      </c>
      <c r="AF686" s="76">
        <v>38550</v>
      </c>
      <c r="AG686" s="76">
        <v>2696</v>
      </c>
      <c r="AH686" s="76">
        <v>4048</v>
      </c>
      <c r="AI686" s="76">
        <v>122</v>
      </c>
      <c r="AJ686" s="76">
        <v>14558</v>
      </c>
      <c r="AK686" s="76">
        <v>364</v>
      </c>
      <c r="AL686" s="76" t="b">
        <v>0</v>
      </c>
      <c r="AM686" s="78">
        <v>42732.971759259257</v>
      </c>
      <c r="AN686" s="76" t="s">
        <v>13031</v>
      </c>
      <c r="AO686" s="76" t="s">
        <v>13849</v>
      </c>
      <c r="AP686" s="82" t="str">
        <f>HYPERLINK("https://t.co/e9ROIm7JOK")</f>
        <v>https://t.co/e9ROIm7JOK</v>
      </c>
      <c r="AQ686" s="82" t="str">
        <f>HYPERLINK("http://www.mintrab.gob.cl")</f>
        <v>http://www.mintrab.gob.cl</v>
      </c>
      <c r="AR686" s="76" t="s">
        <v>14326</v>
      </c>
      <c r="AS686" s="76"/>
      <c r="AT686" s="76"/>
      <c r="AU686" s="76"/>
      <c r="AV686" s="76"/>
      <c r="AW686" s="82" t="str">
        <f>HYPERLINK("https://t.co/e9ROIm7JOK")</f>
        <v>https://t.co/e9ROIm7JOK</v>
      </c>
      <c r="AX686" s="76" t="b">
        <v>0</v>
      </c>
      <c r="AY686" s="76"/>
      <c r="AZ686" s="76"/>
      <c r="BA686" s="76" t="b">
        <v>0</v>
      </c>
      <c r="BB686" s="76" t="b">
        <v>0</v>
      </c>
      <c r="BC686" s="76" t="b">
        <v>1</v>
      </c>
      <c r="BD686" s="76" t="b">
        <v>0</v>
      </c>
      <c r="BE686" s="76" t="b">
        <v>1</v>
      </c>
      <c r="BF686" s="76" t="b">
        <v>0</v>
      </c>
      <c r="BG686" s="76" t="b">
        <v>0</v>
      </c>
      <c r="BH686" s="82" t="str">
        <f>HYPERLINK("https://pbs.twimg.com/profile_banners/814249401665417216/1678549806")</f>
        <v>https://pbs.twimg.com/profile_banners/814249401665417216/1678549806</v>
      </c>
      <c r="BI686" s="76"/>
      <c r="BJ686" s="76" t="s">
        <v>14450</v>
      </c>
      <c r="BK686" s="76" t="b">
        <v>0</v>
      </c>
      <c r="BL686" s="76"/>
      <c r="BM686" s="76" t="s">
        <v>65</v>
      </c>
      <c r="BN686" s="76" t="s">
        <v>14452</v>
      </c>
      <c r="BO686" s="82" t="str">
        <f>HYPERLINK("https://twitter.com/jeannette_jara")</f>
        <v>https://twitter.com/jeannette_jara</v>
      </c>
      <c r="BP686" s="2"/>
    </row>
    <row r="687" spans="1:68" x14ac:dyDescent="0.25">
      <c r="A687" s="62" t="s">
        <v>814</v>
      </c>
      <c r="B687" s="63"/>
      <c r="C687" s="63"/>
      <c r="D687" s="64"/>
      <c r="E687" s="66"/>
      <c r="F687" s="103" t="str">
        <f>HYPERLINK("https://pbs.twimg.com/profile_images/1645508547994681345/Cu2nWYBA_normal.jpg")</f>
        <v>https://pbs.twimg.com/profile_images/1645508547994681345/Cu2nWYBA_normal.jpg</v>
      </c>
      <c r="G687" s="63"/>
      <c r="H687" s="67"/>
      <c r="I687" s="68"/>
      <c r="J687" s="68"/>
      <c r="K687" s="67" t="s">
        <v>15136</v>
      </c>
      <c r="L687" s="71"/>
      <c r="M687" s="72"/>
      <c r="N687" s="72"/>
      <c r="O687" s="73"/>
      <c r="P687" s="74"/>
      <c r="Q687" s="74"/>
      <c r="R687" s="87"/>
      <c r="S687" s="87"/>
      <c r="T687" s="87"/>
      <c r="U687" s="87"/>
      <c r="V687" s="48"/>
      <c r="W687" s="48"/>
      <c r="X687" s="48"/>
      <c r="Y687" s="48"/>
      <c r="Z687" s="47"/>
      <c r="AA687" s="69">
        <v>687</v>
      </c>
      <c r="AB687" s="69"/>
      <c r="AC687" s="70"/>
      <c r="AD687" s="76" t="s">
        <v>12413</v>
      </c>
      <c r="AE687" s="80" t="s">
        <v>11684</v>
      </c>
      <c r="AF687" s="76">
        <v>10</v>
      </c>
      <c r="AG687" s="76">
        <v>36</v>
      </c>
      <c r="AH687" s="76">
        <v>518</v>
      </c>
      <c r="AI687" s="76">
        <v>0</v>
      </c>
      <c r="AJ687" s="76">
        <v>23</v>
      </c>
      <c r="AK687" s="76">
        <v>308</v>
      </c>
      <c r="AL687" s="76" t="b">
        <v>0</v>
      </c>
      <c r="AM687" s="78">
        <v>44735.674791666665</v>
      </c>
      <c r="AN687" s="76"/>
      <c r="AO687" s="76" t="s">
        <v>13850</v>
      </c>
      <c r="AP687" s="82" t="str">
        <f>HYPERLINK("https://t.co/zpjnsxfFS6")</f>
        <v>https://t.co/zpjnsxfFS6</v>
      </c>
      <c r="AQ687" s="82" t="str">
        <f>HYPERLINK("http://www.keepgrowing.com.br")</f>
        <v>http://www.keepgrowing.com.br</v>
      </c>
      <c r="AR687" s="76" t="s">
        <v>14327</v>
      </c>
      <c r="AS687" s="82" t="str">
        <f>HYPERLINK("https://t.co/c6QGORXc0J")</f>
        <v>https://t.co/c6QGORXc0J</v>
      </c>
      <c r="AT687" s="82" t="str">
        <f>HYPERLINK("http://keepgrowing.com.br")</f>
        <v>http://keepgrowing.com.br</v>
      </c>
      <c r="AU687" s="76" t="s">
        <v>14327</v>
      </c>
      <c r="AV687" s="76"/>
      <c r="AW687" s="82" t="str">
        <f>HYPERLINK("https://t.co/zpjnsxfFS6")</f>
        <v>https://t.co/zpjnsxfFS6</v>
      </c>
      <c r="AX687" s="76" t="b">
        <v>0</v>
      </c>
      <c r="AY687" s="76"/>
      <c r="AZ687" s="76"/>
      <c r="BA687" s="76" t="b">
        <v>0</v>
      </c>
      <c r="BB687" s="76" t="b">
        <v>1</v>
      </c>
      <c r="BC687" s="76" t="b">
        <v>1</v>
      </c>
      <c r="BD687" s="76" t="b">
        <v>0</v>
      </c>
      <c r="BE687" s="76" t="b">
        <v>0</v>
      </c>
      <c r="BF687" s="76" t="b">
        <v>0</v>
      </c>
      <c r="BG687" s="76" t="b">
        <v>0</v>
      </c>
      <c r="BH687" s="82" t="str">
        <f>HYPERLINK("https://pbs.twimg.com/profile_banners/1540004255012102144/1656001105")</f>
        <v>https://pbs.twimg.com/profile_banners/1540004255012102144/1656001105</v>
      </c>
      <c r="BI687" s="76"/>
      <c r="BJ687" s="76" t="s">
        <v>14450</v>
      </c>
      <c r="BK687" s="76" t="b">
        <v>0</v>
      </c>
      <c r="BL687" s="76"/>
      <c r="BM687" s="76" t="s">
        <v>66</v>
      </c>
      <c r="BN687" s="76" t="s">
        <v>14452</v>
      </c>
      <c r="BO687" s="82" t="str">
        <f>HYPERLINK("https://twitter.com/keepgrowing_")</f>
        <v>https://twitter.com/keepgrowing_</v>
      </c>
      <c r="BP687" s="2"/>
    </row>
    <row r="688" spans="1:68" x14ac:dyDescent="0.25">
      <c r="A688" s="62" t="s">
        <v>815</v>
      </c>
      <c r="B688" s="63"/>
      <c r="C688" s="63"/>
      <c r="D688" s="64"/>
      <c r="E688" s="66"/>
      <c r="F688" s="103" t="str">
        <f>HYPERLINK("https://pbs.twimg.com/profile_images/1634179479646904322/mi46yWac_normal.jpg")</f>
        <v>https://pbs.twimg.com/profile_images/1634179479646904322/mi46yWac_normal.jpg</v>
      </c>
      <c r="G688" s="63"/>
      <c r="H688" s="67"/>
      <c r="I688" s="68"/>
      <c r="J688" s="68"/>
      <c r="K688" s="67" t="s">
        <v>15137</v>
      </c>
      <c r="L688" s="71"/>
      <c r="M688" s="72"/>
      <c r="N688" s="72"/>
      <c r="O688" s="73"/>
      <c r="P688" s="74"/>
      <c r="Q688" s="74"/>
      <c r="R688" s="87"/>
      <c r="S688" s="87"/>
      <c r="T688" s="87"/>
      <c r="U688" s="87"/>
      <c r="V688" s="48"/>
      <c r="W688" s="48"/>
      <c r="X688" s="48"/>
      <c r="Y688" s="48"/>
      <c r="Z688" s="47"/>
      <c r="AA688" s="69">
        <v>688</v>
      </c>
      <c r="AB688" s="69"/>
      <c r="AC688" s="70"/>
      <c r="AD688" s="76" t="s">
        <v>12414</v>
      </c>
      <c r="AE688" s="80" t="s">
        <v>12836</v>
      </c>
      <c r="AF688" s="76">
        <v>1744</v>
      </c>
      <c r="AG688" s="76">
        <v>1196</v>
      </c>
      <c r="AH688" s="76">
        <v>11850</v>
      </c>
      <c r="AI688" s="76">
        <v>92</v>
      </c>
      <c r="AJ688" s="76">
        <v>604</v>
      </c>
      <c r="AK688" s="76">
        <v>3963</v>
      </c>
      <c r="AL688" s="76" t="b">
        <v>0</v>
      </c>
      <c r="AM688" s="78">
        <v>40283.495682870373</v>
      </c>
      <c r="AN688" s="76" t="s">
        <v>7873</v>
      </c>
      <c r="AO688" s="76" t="s">
        <v>13851</v>
      </c>
      <c r="AP688" s="82" t="str">
        <f>HYPERLINK("https://t.co/wtplHUzY3v")</f>
        <v>https://t.co/wtplHUzY3v</v>
      </c>
      <c r="AQ688" s="82" t="str">
        <f>HYPERLINK("http://www.asefarma.com")</f>
        <v>http://www.asefarma.com</v>
      </c>
      <c r="AR688" s="76" t="s">
        <v>14328</v>
      </c>
      <c r="AS688" s="76"/>
      <c r="AT688" s="76"/>
      <c r="AU688" s="76"/>
      <c r="AV688" s="76"/>
      <c r="AW688" s="82" t="str">
        <f>HYPERLINK("https://t.co/wtplHUzY3v")</f>
        <v>https://t.co/wtplHUzY3v</v>
      </c>
      <c r="AX688" s="76" t="b">
        <v>0</v>
      </c>
      <c r="AY688" s="76"/>
      <c r="AZ688" s="76"/>
      <c r="BA688" s="76" t="b">
        <v>0</v>
      </c>
      <c r="BB688" s="76" t="b">
        <v>1</v>
      </c>
      <c r="BC688" s="76" t="b">
        <v>0</v>
      </c>
      <c r="BD688" s="76" t="b">
        <v>0</v>
      </c>
      <c r="BE688" s="76" t="b">
        <v>1</v>
      </c>
      <c r="BF688" s="76" t="b">
        <v>0</v>
      </c>
      <c r="BG688" s="76" t="b">
        <v>0</v>
      </c>
      <c r="BH688" s="82" t="str">
        <f>HYPERLINK("https://pbs.twimg.com/profile_banners/133255614/1675847934")</f>
        <v>https://pbs.twimg.com/profile_banners/133255614/1675847934</v>
      </c>
      <c r="BI688" s="76"/>
      <c r="BJ688" s="76" t="s">
        <v>14450</v>
      </c>
      <c r="BK688" s="76" t="b">
        <v>0</v>
      </c>
      <c r="BL688" s="76"/>
      <c r="BM688" s="76" t="s">
        <v>66</v>
      </c>
      <c r="BN688" s="76" t="s">
        <v>14452</v>
      </c>
      <c r="BO688" s="82" t="str">
        <f>HYPERLINK("https://twitter.com/asefarma")</f>
        <v>https://twitter.com/asefarma</v>
      </c>
      <c r="BP688" s="2"/>
    </row>
    <row r="689" spans="1:68" x14ac:dyDescent="0.25">
      <c r="A689" s="62" t="s">
        <v>961</v>
      </c>
      <c r="B689" s="63"/>
      <c r="C689" s="63"/>
      <c r="D689" s="64"/>
      <c r="E689" s="66"/>
      <c r="F689" s="103" t="str">
        <f>HYPERLINK("https://pbs.twimg.com/profile_images/1675197207941881856/uCZZe07Y_normal.jpg")</f>
        <v>https://pbs.twimg.com/profile_images/1675197207941881856/uCZZe07Y_normal.jpg</v>
      </c>
      <c r="G689" s="63"/>
      <c r="H689" s="67"/>
      <c r="I689" s="68"/>
      <c r="J689" s="68"/>
      <c r="K689" s="67" t="s">
        <v>15138</v>
      </c>
      <c r="L689" s="71"/>
      <c r="M689" s="72"/>
      <c r="N689" s="72"/>
      <c r="O689" s="73"/>
      <c r="P689" s="74"/>
      <c r="Q689" s="74"/>
      <c r="R689" s="87"/>
      <c r="S689" s="87"/>
      <c r="T689" s="87"/>
      <c r="U689" s="87"/>
      <c r="V689" s="48"/>
      <c r="W689" s="48"/>
      <c r="X689" s="48"/>
      <c r="Y689" s="48"/>
      <c r="Z689" s="47"/>
      <c r="AA689" s="69">
        <v>689</v>
      </c>
      <c r="AB689" s="69"/>
      <c r="AC689" s="70"/>
      <c r="AD689" s="76" t="s">
        <v>12415</v>
      </c>
      <c r="AE689" s="80" t="s">
        <v>12837</v>
      </c>
      <c r="AF689" s="76">
        <v>982316</v>
      </c>
      <c r="AG689" s="76">
        <v>108</v>
      </c>
      <c r="AH689" s="76">
        <v>601486</v>
      </c>
      <c r="AI689" s="76">
        <v>5442</v>
      </c>
      <c r="AJ689" s="76">
        <v>5623</v>
      </c>
      <c r="AK689" s="76">
        <v>78464</v>
      </c>
      <c r="AL689" s="76" t="b">
        <v>0</v>
      </c>
      <c r="AM689" s="78">
        <v>39595.254988425928</v>
      </c>
      <c r="AN689" s="76" t="s">
        <v>13199</v>
      </c>
      <c r="AO689" s="76" t="s">
        <v>13852</v>
      </c>
      <c r="AP689" s="82" t="str">
        <f>HYPERLINK("https://t.co/7vF0wtLrjJ")</f>
        <v>https://t.co/7vF0wtLrjJ</v>
      </c>
      <c r="AQ689" s="82" t="str">
        <f>HYPERLINK("http://eleconomista.com.mx")</f>
        <v>http://eleconomista.com.mx</v>
      </c>
      <c r="AR689" s="76" t="s">
        <v>14329</v>
      </c>
      <c r="AS689" s="76"/>
      <c r="AT689" s="76"/>
      <c r="AU689" s="76"/>
      <c r="AV689" s="76">
        <v>1.7070173343203899E+18</v>
      </c>
      <c r="AW689" s="82" t="str">
        <f>HYPERLINK("https://t.co/7vF0wtLrjJ")</f>
        <v>https://t.co/7vF0wtLrjJ</v>
      </c>
      <c r="AX689" s="76" t="b">
        <v>0</v>
      </c>
      <c r="AY689" s="76"/>
      <c r="AZ689" s="76"/>
      <c r="BA689" s="76" t="b">
        <v>0</v>
      </c>
      <c r="BB689" s="76" t="b">
        <v>1</v>
      </c>
      <c r="BC689" s="76" t="b">
        <v>0</v>
      </c>
      <c r="BD689" s="76" t="b">
        <v>0</v>
      </c>
      <c r="BE689" s="76" t="b">
        <v>1</v>
      </c>
      <c r="BF689" s="76" t="b">
        <v>0</v>
      </c>
      <c r="BG689" s="76" t="b">
        <v>0</v>
      </c>
      <c r="BH689" s="82" t="str">
        <f>HYPERLINK("https://pbs.twimg.com/profile_banners/14917589/1681777944")</f>
        <v>https://pbs.twimg.com/profile_banners/14917589/1681777944</v>
      </c>
      <c r="BI689" s="76"/>
      <c r="BJ689" s="76" t="s">
        <v>14450</v>
      </c>
      <c r="BK689" s="76" t="b">
        <v>0</v>
      </c>
      <c r="BL689" s="76"/>
      <c r="BM689" s="76" t="s">
        <v>65</v>
      </c>
      <c r="BN689" s="76" t="s">
        <v>14452</v>
      </c>
      <c r="BO689" s="82" t="str">
        <f>HYPERLINK("https://twitter.com/eleconomista")</f>
        <v>https://twitter.com/eleconomista</v>
      </c>
      <c r="BP689" s="2"/>
    </row>
    <row r="690" spans="1:68" x14ac:dyDescent="0.25">
      <c r="A690" s="62" t="s">
        <v>816</v>
      </c>
      <c r="B690" s="63"/>
      <c r="C690" s="63"/>
      <c r="D690" s="64"/>
      <c r="E690" s="66"/>
      <c r="F690" s="103" t="str">
        <f>HYPERLINK("https://pbs.twimg.com/profile_images/1499712355/mujer_guapa_normal.jpg")</f>
        <v>https://pbs.twimg.com/profile_images/1499712355/mujer_guapa_normal.jpg</v>
      </c>
      <c r="G690" s="63"/>
      <c r="H690" s="67"/>
      <c r="I690" s="68"/>
      <c r="J690" s="68"/>
      <c r="K690" s="67" t="s">
        <v>15139</v>
      </c>
      <c r="L690" s="71"/>
      <c r="M690" s="72"/>
      <c r="N690" s="72"/>
      <c r="O690" s="73"/>
      <c r="P690" s="74"/>
      <c r="Q690" s="74"/>
      <c r="R690" s="87"/>
      <c r="S690" s="87"/>
      <c r="T690" s="87"/>
      <c r="U690" s="87"/>
      <c r="V690" s="48"/>
      <c r="W690" s="48"/>
      <c r="X690" s="48"/>
      <c r="Y690" s="48"/>
      <c r="Z690" s="47"/>
      <c r="AA690" s="69">
        <v>690</v>
      </c>
      <c r="AB690" s="69"/>
      <c r="AC690" s="70"/>
      <c r="AD690" s="76" t="s">
        <v>12416</v>
      </c>
      <c r="AE690" s="80" t="s">
        <v>12838</v>
      </c>
      <c r="AF690" s="76">
        <v>5431</v>
      </c>
      <c r="AG690" s="76">
        <v>3524</v>
      </c>
      <c r="AH690" s="76">
        <v>35273</v>
      </c>
      <c r="AI690" s="76">
        <v>206</v>
      </c>
      <c r="AJ690" s="76">
        <v>230</v>
      </c>
      <c r="AK690" s="76">
        <v>8448</v>
      </c>
      <c r="AL690" s="76" t="b">
        <v>0</v>
      </c>
      <c r="AM690" s="78">
        <v>40772.336018518516</v>
      </c>
      <c r="AN690" s="76" t="s">
        <v>7873</v>
      </c>
      <c r="AO690" s="76" t="s">
        <v>13853</v>
      </c>
      <c r="AP690" s="82" t="str">
        <f>HYPERLINK("https://t.co/nglI6iVqLi")</f>
        <v>https://t.co/nglI6iVqLi</v>
      </c>
      <c r="AQ690" s="82" t="str">
        <f>HYPERLINK("https://smartlink.metricool.com/public/smartlink/trabajo-desde-casa")</f>
        <v>https://smartlink.metricool.com/public/smartlink/trabajo-desde-casa</v>
      </c>
      <c r="AR690" s="76" t="s">
        <v>14330</v>
      </c>
      <c r="AS690" s="76"/>
      <c r="AT690" s="76"/>
      <c r="AU690" s="76"/>
      <c r="AV690" s="76">
        <v>9.3795686832405197E+17</v>
      </c>
      <c r="AW690" s="82" t="str">
        <f>HYPERLINK("https://t.co/nglI6iVqLi")</f>
        <v>https://t.co/nglI6iVqLi</v>
      </c>
      <c r="AX690" s="76" t="b">
        <v>0</v>
      </c>
      <c r="AY690" s="76"/>
      <c r="AZ690" s="76"/>
      <c r="BA690" s="76" t="b">
        <v>0</v>
      </c>
      <c r="BB690" s="76" t="b">
        <v>1</v>
      </c>
      <c r="BC690" s="76" t="b">
        <v>1</v>
      </c>
      <c r="BD690" s="76" t="b">
        <v>0</v>
      </c>
      <c r="BE690" s="76" t="b">
        <v>0</v>
      </c>
      <c r="BF690" s="76" t="b">
        <v>0</v>
      </c>
      <c r="BG690" s="76" t="b">
        <v>0</v>
      </c>
      <c r="BH690" s="82" t="str">
        <f>HYPERLINK("https://pbs.twimg.com/profile_banners/356720462/1509887146")</f>
        <v>https://pbs.twimg.com/profile_banners/356720462/1509887146</v>
      </c>
      <c r="BI690" s="76"/>
      <c r="BJ690" s="76" t="s">
        <v>14450</v>
      </c>
      <c r="BK690" s="76" t="b">
        <v>0</v>
      </c>
      <c r="BL690" s="76"/>
      <c r="BM690" s="76" t="s">
        <v>66</v>
      </c>
      <c r="BN690" s="76" t="s">
        <v>14452</v>
      </c>
      <c r="BO690" s="82" t="str">
        <f>HYPERLINK("https://twitter.com/trabajodesdcasa")</f>
        <v>https://twitter.com/trabajodesdcasa</v>
      </c>
      <c r="BP690" s="2"/>
    </row>
    <row r="691" spans="1:68" x14ac:dyDescent="0.25">
      <c r="A691" s="62" t="s">
        <v>817</v>
      </c>
      <c r="B691" s="63"/>
      <c r="C691" s="63"/>
      <c r="D691" s="64"/>
      <c r="E691" s="66"/>
      <c r="F691" s="103" t="str">
        <f>HYPERLINK("https://pbs.twimg.com/profile_images/610831013531516928/LLpAeUVn_normal.jpg")</f>
        <v>https://pbs.twimg.com/profile_images/610831013531516928/LLpAeUVn_normal.jpg</v>
      </c>
      <c r="G691" s="63"/>
      <c r="H691" s="67"/>
      <c r="I691" s="68"/>
      <c r="J691" s="68"/>
      <c r="K691" s="67" t="s">
        <v>15140</v>
      </c>
      <c r="L691" s="71"/>
      <c r="M691" s="72"/>
      <c r="N691" s="72"/>
      <c r="O691" s="73"/>
      <c r="P691" s="74"/>
      <c r="Q691" s="74"/>
      <c r="R691" s="87"/>
      <c r="S691" s="87"/>
      <c r="T691" s="87"/>
      <c r="U691" s="87"/>
      <c r="V691" s="48"/>
      <c r="W691" s="48"/>
      <c r="X691" s="48"/>
      <c r="Y691" s="48"/>
      <c r="Z691" s="47"/>
      <c r="AA691" s="69">
        <v>691</v>
      </c>
      <c r="AB691" s="69"/>
      <c r="AC691" s="70"/>
      <c r="AD691" s="76" t="s">
        <v>12417</v>
      </c>
      <c r="AE691" s="80" t="s">
        <v>12839</v>
      </c>
      <c r="AF691" s="76">
        <v>1410</v>
      </c>
      <c r="AG691" s="76">
        <v>136</v>
      </c>
      <c r="AH691" s="76">
        <v>2039</v>
      </c>
      <c r="AI691" s="76">
        <v>42</v>
      </c>
      <c r="AJ691" s="76">
        <v>54</v>
      </c>
      <c r="AK691" s="76">
        <v>613</v>
      </c>
      <c r="AL691" s="76" t="b">
        <v>0</v>
      </c>
      <c r="AM691" s="78">
        <v>39897.688784722224</v>
      </c>
      <c r="AN691" s="76" t="s">
        <v>13200</v>
      </c>
      <c r="AO691" s="76" t="s">
        <v>13854</v>
      </c>
      <c r="AP691" s="82" t="str">
        <f>HYPERLINK("http://t.co/i3XsvshFqm")</f>
        <v>http://t.co/i3XsvshFqm</v>
      </c>
      <c r="AQ691" s="82" t="str">
        <f>HYPERLINK("http://www.fastcommerce.com.br")</f>
        <v>http://www.fastcommerce.com.br</v>
      </c>
      <c r="AR691" s="76" t="s">
        <v>14331</v>
      </c>
      <c r="AS691" s="76"/>
      <c r="AT691" s="76"/>
      <c r="AU691" s="76"/>
      <c r="AV691" s="76"/>
      <c r="AW691" s="82" t="str">
        <f>HYPERLINK("http://t.co/i3XsvshFqm")</f>
        <v>http://t.co/i3XsvshFqm</v>
      </c>
      <c r="AX691" s="76" t="b">
        <v>0</v>
      </c>
      <c r="AY691" s="76"/>
      <c r="AZ691" s="76"/>
      <c r="BA691" s="76" t="b">
        <v>0</v>
      </c>
      <c r="BB691" s="76" t="b">
        <v>1</v>
      </c>
      <c r="BC691" s="76" t="b">
        <v>0</v>
      </c>
      <c r="BD691" s="76" t="b">
        <v>0</v>
      </c>
      <c r="BE691" s="76" t="b">
        <v>0</v>
      </c>
      <c r="BF691" s="76" t="b">
        <v>0</v>
      </c>
      <c r="BG691" s="76" t="b">
        <v>0</v>
      </c>
      <c r="BH691" s="82" t="str">
        <f>HYPERLINK("https://pbs.twimg.com/profile_banners/26531518/1434476345")</f>
        <v>https://pbs.twimg.com/profile_banners/26531518/1434476345</v>
      </c>
      <c r="BI691" s="76"/>
      <c r="BJ691" s="76" t="s">
        <v>14450</v>
      </c>
      <c r="BK691" s="76" t="b">
        <v>0</v>
      </c>
      <c r="BL691" s="76"/>
      <c r="BM691" s="76" t="s">
        <v>66</v>
      </c>
      <c r="BN691" s="76" t="s">
        <v>14452</v>
      </c>
      <c r="BO691" s="82" t="str">
        <f>HYPERLINK("https://twitter.com/fastcommercebr")</f>
        <v>https://twitter.com/fastcommercebr</v>
      </c>
      <c r="BP691" s="2"/>
    </row>
    <row r="692" spans="1:68" x14ac:dyDescent="0.25">
      <c r="A692" s="62" t="s">
        <v>818</v>
      </c>
      <c r="B692" s="63"/>
      <c r="C692" s="63"/>
      <c r="D692" s="64"/>
      <c r="E692" s="66"/>
      <c r="F692" s="103" t="str">
        <f>HYPERLINK("https://pbs.twimg.com/profile_images/1639295736415232002/IiLJpaqM_normal.jpg")</f>
        <v>https://pbs.twimg.com/profile_images/1639295736415232002/IiLJpaqM_normal.jpg</v>
      </c>
      <c r="G692" s="63"/>
      <c r="H692" s="67"/>
      <c r="I692" s="68"/>
      <c r="J692" s="68"/>
      <c r="K692" s="67" t="s">
        <v>15141</v>
      </c>
      <c r="L692" s="71"/>
      <c r="M692" s="72"/>
      <c r="N692" s="72"/>
      <c r="O692" s="73"/>
      <c r="P692" s="74"/>
      <c r="Q692" s="74"/>
      <c r="R692" s="87"/>
      <c r="S692" s="87"/>
      <c r="T692" s="87"/>
      <c r="U692" s="87"/>
      <c r="V692" s="48"/>
      <c r="W692" s="48"/>
      <c r="X692" s="48"/>
      <c r="Y692" s="48"/>
      <c r="Z692" s="47"/>
      <c r="AA692" s="69">
        <v>692</v>
      </c>
      <c r="AB692" s="69"/>
      <c r="AC692" s="70"/>
      <c r="AD692" s="76" t="s">
        <v>12418</v>
      </c>
      <c r="AE692" s="80" t="s">
        <v>11685</v>
      </c>
      <c r="AF692" s="76">
        <v>2</v>
      </c>
      <c r="AG692" s="76">
        <v>2</v>
      </c>
      <c r="AH692" s="76">
        <v>18</v>
      </c>
      <c r="AI692" s="76">
        <v>0</v>
      </c>
      <c r="AJ692" s="76">
        <v>0</v>
      </c>
      <c r="AK692" s="76">
        <v>16</v>
      </c>
      <c r="AL692" s="76" t="b">
        <v>0</v>
      </c>
      <c r="AM692" s="78">
        <v>45009.660046296296</v>
      </c>
      <c r="AN692" s="76" t="s">
        <v>13201</v>
      </c>
      <c r="AO692" s="76"/>
      <c r="AP692" s="82" t="str">
        <f>HYPERLINK("https://t.co/UE8VdadK7y")</f>
        <v>https://t.co/UE8VdadK7y</v>
      </c>
      <c r="AQ692" s="82" t="str">
        <f>HYPERLINK("https://linktr.ee/dgstreinamentos")</f>
        <v>https://linktr.ee/dgstreinamentos</v>
      </c>
      <c r="AR692" s="76" t="s">
        <v>14332</v>
      </c>
      <c r="AS692" s="76"/>
      <c r="AT692" s="76"/>
      <c r="AU692" s="76"/>
      <c r="AV692" s="76"/>
      <c r="AW692" s="82" t="str">
        <f>HYPERLINK("https://t.co/UE8VdadK7y")</f>
        <v>https://t.co/UE8VdadK7y</v>
      </c>
      <c r="AX692" s="76" t="b">
        <v>0</v>
      </c>
      <c r="AY692" s="76"/>
      <c r="AZ692" s="76"/>
      <c r="BA692" s="76" t="b">
        <v>0</v>
      </c>
      <c r="BB692" s="76" t="b">
        <v>1</v>
      </c>
      <c r="BC692" s="76" t="b">
        <v>1</v>
      </c>
      <c r="BD692" s="76" t="b">
        <v>0</v>
      </c>
      <c r="BE692" s="76" t="b">
        <v>0</v>
      </c>
      <c r="BF692" s="76" t="b">
        <v>0</v>
      </c>
      <c r="BG692" s="76" t="b">
        <v>0</v>
      </c>
      <c r="BH692" s="82" t="str">
        <f>HYPERLINK("https://pbs.twimg.com/profile_banners/1639293505804685312/1679673641")</f>
        <v>https://pbs.twimg.com/profile_banners/1639293505804685312/1679673641</v>
      </c>
      <c r="BI692" s="76"/>
      <c r="BJ692" s="76" t="s">
        <v>14450</v>
      </c>
      <c r="BK692" s="76" t="b">
        <v>0</v>
      </c>
      <c r="BL692" s="76"/>
      <c r="BM692" s="76" t="s">
        <v>66</v>
      </c>
      <c r="BN692" s="76" t="s">
        <v>14452</v>
      </c>
      <c r="BO692" s="82" t="str">
        <f>HYPERLINK("https://twitter.com/dgstreinamentos")</f>
        <v>https://twitter.com/dgstreinamentos</v>
      </c>
      <c r="BP692" s="2"/>
    </row>
    <row r="693" spans="1:68" x14ac:dyDescent="0.25">
      <c r="A693" s="62" t="s">
        <v>819</v>
      </c>
      <c r="B693" s="63"/>
      <c r="C693" s="63"/>
      <c r="D693" s="64"/>
      <c r="E693" s="66"/>
      <c r="F693" s="103" t="str">
        <f>HYPERLINK("https://pbs.twimg.com/profile_images/1317991257759752199/Qwodja2f_normal.jpg")</f>
        <v>https://pbs.twimg.com/profile_images/1317991257759752199/Qwodja2f_normal.jpg</v>
      </c>
      <c r="G693" s="63"/>
      <c r="H693" s="67"/>
      <c r="I693" s="68"/>
      <c r="J693" s="68"/>
      <c r="K693" s="67" t="s">
        <v>15142</v>
      </c>
      <c r="L693" s="71"/>
      <c r="M693" s="72"/>
      <c r="N693" s="72"/>
      <c r="O693" s="73"/>
      <c r="P693" s="74"/>
      <c r="Q693" s="74"/>
      <c r="R693" s="87"/>
      <c r="S693" s="87"/>
      <c r="T693" s="87"/>
      <c r="U693" s="87"/>
      <c r="V693" s="48"/>
      <c r="W693" s="48"/>
      <c r="X693" s="48"/>
      <c r="Y693" s="48"/>
      <c r="Z693" s="47"/>
      <c r="AA693" s="69">
        <v>693</v>
      </c>
      <c r="AB693" s="69"/>
      <c r="AC693" s="70"/>
      <c r="AD693" s="76" t="s">
        <v>12419</v>
      </c>
      <c r="AE693" s="80" t="s">
        <v>11686</v>
      </c>
      <c r="AF693" s="76">
        <v>18</v>
      </c>
      <c r="AG693" s="76">
        <v>26</v>
      </c>
      <c r="AH693" s="76">
        <v>2634</v>
      </c>
      <c r="AI693" s="76">
        <v>0</v>
      </c>
      <c r="AJ693" s="76">
        <v>250</v>
      </c>
      <c r="AK693" s="76">
        <v>1537</v>
      </c>
      <c r="AL693" s="76" t="b">
        <v>0</v>
      </c>
      <c r="AM693" s="78">
        <v>44123.033148148148</v>
      </c>
      <c r="AN693" s="76" t="s">
        <v>13101</v>
      </c>
      <c r="AO693" s="76" t="s">
        <v>13855</v>
      </c>
      <c r="AP693" s="82" t="str">
        <f>HYPERLINK("https://t.co/15L3o62BbL")</f>
        <v>https://t.co/15L3o62BbL</v>
      </c>
      <c r="AQ693" s="82" t="str">
        <f>HYPERLINK("https://jordidice.com/")</f>
        <v>https://jordidice.com/</v>
      </c>
      <c r="AR693" s="76" t="s">
        <v>14333</v>
      </c>
      <c r="AS693" s="82" t="str">
        <f>HYPERLINK("https://t.co/TGwptH8jap")</f>
        <v>https://t.co/TGwptH8jap</v>
      </c>
      <c r="AT693" s="82" t="str">
        <f>HYPERLINK("http://jordidice.com")</f>
        <v>http://jordidice.com</v>
      </c>
      <c r="AU693" s="76" t="s">
        <v>14333</v>
      </c>
      <c r="AV693" s="76">
        <v>1.5230346555992399E+18</v>
      </c>
      <c r="AW693" s="82" t="str">
        <f>HYPERLINK("https://t.co/15L3o62BbL")</f>
        <v>https://t.co/15L3o62BbL</v>
      </c>
      <c r="AX693" s="76" t="b">
        <v>0</v>
      </c>
      <c r="AY693" s="76"/>
      <c r="AZ693" s="76"/>
      <c r="BA693" s="76" t="b">
        <v>0</v>
      </c>
      <c r="BB693" s="76" t="b">
        <v>1</v>
      </c>
      <c r="BC693" s="76" t="b">
        <v>1</v>
      </c>
      <c r="BD693" s="76" t="b">
        <v>0</v>
      </c>
      <c r="BE693" s="76" t="b">
        <v>0</v>
      </c>
      <c r="BF693" s="76" t="b">
        <v>0</v>
      </c>
      <c r="BG693" s="76" t="b">
        <v>0</v>
      </c>
      <c r="BH693" s="82" t="str">
        <f>HYPERLINK("https://pbs.twimg.com/profile_banners/1317990722138755072/1603068822")</f>
        <v>https://pbs.twimg.com/profile_banners/1317990722138755072/1603068822</v>
      </c>
      <c r="BI693" s="76"/>
      <c r="BJ693" s="76" t="s">
        <v>14450</v>
      </c>
      <c r="BK693" s="76" t="b">
        <v>0</v>
      </c>
      <c r="BL693" s="76"/>
      <c r="BM693" s="76" t="s">
        <v>66</v>
      </c>
      <c r="BN693" s="76" t="s">
        <v>14452</v>
      </c>
      <c r="BO693" s="82" t="str">
        <f>HYPERLINK("https://twitter.com/jordidiceofici1")</f>
        <v>https://twitter.com/jordidiceofici1</v>
      </c>
      <c r="BP693" s="2"/>
    </row>
    <row r="694" spans="1:68" x14ac:dyDescent="0.25">
      <c r="A694" s="62" t="s">
        <v>820</v>
      </c>
      <c r="B694" s="63"/>
      <c r="C694" s="63"/>
      <c r="D694" s="64"/>
      <c r="E694" s="66"/>
      <c r="F694" s="103" t="str">
        <f>HYPERLINK("https://pbs.twimg.com/profile_images/1658136801964326913/ALHKG8_v_normal.png")</f>
        <v>https://pbs.twimg.com/profile_images/1658136801964326913/ALHKG8_v_normal.png</v>
      </c>
      <c r="G694" s="63"/>
      <c r="H694" s="67"/>
      <c r="I694" s="68"/>
      <c r="J694" s="68"/>
      <c r="K694" s="67" t="s">
        <v>15143</v>
      </c>
      <c r="L694" s="71"/>
      <c r="M694" s="72"/>
      <c r="N694" s="72"/>
      <c r="O694" s="73"/>
      <c r="P694" s="74"/>
      <c r="Q694" s="74"/>
      <c r="R694" s="87"/>
      <c r="S694" s="87"/>
      <c r="T694" s="87"/>
      <c r="U694" s="87"/>
      <c r="V694" s="48"/>
      <c r="W694" s="48"/>
      <c r="X694" s="48"/>
      <c r="Y694" s="48"/>
      <c r="Z694" s="47"/>
      <c r="AA694" s="69">
        <v>694</v>
      </c>
      <c r="AB694" s="69"/>
      <c r="AC694" s="70"/>
      <c r="AD694" s="76" t="s">
        <v>12420</v>
      </c>
      <c r="AE694" s="80" t="s">
        <v>11687</v>
      </c>
      <c r="AF694" s="76">
        <v>161</v>
      </c>
      <c r="AG694" s="76">
        <v>1280</v>
      </c>
      <c r="AH694" s="76">
        <v>234</v>
      </c>
      <c r="AI694" s="76">
        <v>1</v>
      </c>
      <c r="AJ694" s="76">
        <v>31</v>
      </c>
      <c r="AK694" s="76">
        <v>46</v>
      </c>
      <c r="AL694" s="76" t="b">
        <v>0</v>
      </c>
      <c r="AM694" s="78">
        <v>45061.657337962963</v>
      </c>
      <c r="AN694" s="76" t="s">
        <v>7768</v>
      </c>
      <c r="AO694" s="76"/>
      <c r="AP694" s="76"/>
      <c r="AQ694" s="76"/>
      <c r="AR694" s="76"/>
      <c r="AS694" s="76"/>
      <c r="AT694" s="76"/>
      <c r="AU694" s="76"/>
      <c r="AV694" s="76"/>
      <c r="AW694" s="76"/>
      <c r="AX694" s="76" t="b">
        <v>0</v>
      </c>
      <c r="AY694" s="76"/>
      <c r="AZ694" s="76"/>
      <c r="BA694" s="76" t="b">
        <v>0</v>
      </c>
      <c r="BB694" s="76" t="b">
        <v>1</v>
      </c>
      <c r="BC694" s="76" t="b">
        <v>1</v>
      </c>
      <c r="BD694" s="76" t="b">
        <v>0</v>
      </c>
      <c r="BE694" s="76" t="b">
        <v>0</v>
      </c>
      <c r="BF694" s="76" t="b">
        <v>0</v>
      </c>
      <c r="BG694" s="76" t="b">
        <v>0</v>
      </c>
      <c r="BH694" s="76"/>
      <c r="BI694" s="76"/>
      <c r="BJ694" s="76" t="s">
        <v>14450</v>
      </c>
      <c r="BK694" s="76" t="b">
        <v>0</v>
      </c>
      <c r="BL694" s="76"/>
      <c r="BM694" s="76" t="s">
        <v>66</v>
      </c>
      <c r="BN694" s="76" t="s">
        <v>14452</v>
      </c>
      <c r="BO694" s="82" t="str">
        <f>HYPERLINK("https://twitter.com/pilarmiral90552")</f>
        <v>https://twitter.com/pilarmiral90552</v>
      </c>
      <c r="BP694" s="2"/>
    </row>
    <row r="695" spans="1:68" x14ac:dyDescent="0.25">
      <c r="A695" s="62" t="s">
        <v>821</v>
      </c>
      <c r="B695" s="63"/>
      <c r="C695" s="63"/>
      <c r="D695" s="64"/>
      <c r="E695" s="66"/>
      <c r="F695" s="103" t="str">
        <f>HYPERLINK("https://pbs.twimg.com/profile_images/1285381496145149953/wBxQQSgw_normal.jpg")</f>
        <v>https://pbs.twimg.com/profile_images/1285381496145149953/wBxQQSgw_normal.jpg</v>
      </c>
      <c r="G695" s="63"/>
      <c r="H695" s="67"/>
      <c r="I695" s="68"/>
      <c r="J695" s="68"/>
      <c r="K695" s="67" t="s">
        <v>15144</v>
      </c>
      <c r="L695" s="71"/>
      <c r="M695" s="72"/>
      <c r="N695" s="72"/>
      <c r="O695" s="73"/>
      <c r="P695" s="74"/>
      <c r="Q695" s="74"/>
      <c r="R695" s="87"/>
      <c r="S695" s="87"/>
      <c r="T695" s="87"/>
      <c r="U695" s="87"/>
      <c r="V695" s="48"/>
      <c r="W695" s="48"/>
      <c r="X695" s="48"/>
      <c r="Y695" s="48"/>
      <c r="Z695" s="47"/>
      <c r="AA695" s="69">
        <v>695</v>
      </c>
      <c r="AB695" s="69"/>
      <c r="AC695" s="70"/>
      <c r="AD695" s="76" t="s">
        <v>12421</v>
      </c>
      <c r="AE695" s="80" t="s">
        <v>12840</v>
      </c>
      <c r="AF695" s="76">
        <v>616</v>
      </c>
      <c r="AG695" s="76">
        <v>314</v>
      </c>
      <c r="AH695" s="76">
        <v>49317</v>
      </c>
      <c r="AI695" s="76">
        <v>6</v>
      </c>
      <c r="AJ695" s="76">
        <v>28826</v>
      </c>
      <c r="AK695" s="76">
        <v>3579</v>
      </c>
      <c r="AL695" s="76" t="b">
        <v>0</v>
      </c>
      <c r="AM695" s="78">
        <v>40014.572800925926</v>
      </c>
      <c r="AN695" s="76" t="s">
        <v>13077</v>
      </c>
      <c r="AO695" s="76" t="s">
        <v>13856</v>
      </c>
      <c r="AP695" s="82" t="str">
        <f>HYPERLINK("https://t.co/lNrahcen8P")</f>
        <v>https://t.co/lNrahcen8P</v>
      </c>
      <c r="AQ695" s="82" t="str">
        <f>HYPERLINK("https://ananicolau.blogspot.com/")</f>
        <v>https://ananicolau.blogspot.com/</v>
      </c>
      <c r="AR695" s="76" t="s">
        <v>14334</v>
      </c>
      <c r="AS695" s="76"/>
      <c r="AT695" s="76"/>
      <c r="AU695" s="76"/>
      <c r="AV695" s="76"/>
      <c r="AW695" s="82" t="str">
        <f>HYPERLINK("https://t.co/lNrahcen8P")</f>
        <v>https://t.co/lNrahcen8P</v>
      </c>
      <c r="AX695" s="76" t="b">
        <v>0</v>
      </c>
      <c r="AY695" s="76"/>
      <c r="AZ695" s="76"/>
      <c r="BA695" s="76" t="b">
        <v>1</v>
      </c>
      <c r="BB695" s="76" t="b">
        <v>1</v>
      </c>
      <c r="BC695" s="76" t="b">
        <v>0</v>
      </c>
      <c r="BD695" s="76" t="b">
        <v>0</v>
      </c>
      <c r="BE695" s="76" t="b">
        <v>1</v>
      </c>
      <c r="BF695" s="76" t="b">
        <v>0</v>
      </c>
      <c r="BG695" s="76" t="b">
        <v>0</v>
      </c>
      <c r="BH695" s="82" t="str">
        <f>HYPERLINK("https://pbs.twimg.com/profile_banners/58476421/1661139106")</f>
        <v>https://pbs.twimg.com/profile_banners/58476421/1661139106</v>
      </c>
      <c r="BI695" s="76"/>
      <c r="BJ695" s="76" t="s">
        <v>14450</v>
      </c>
      <c r="BK695" s="76" t="b">
        <v>0</v>
      </c>
      <c r="BL695" s="76"/>
      <c r="BM695" s="76" t="s">
        <v>66</v>
      </c>
      <c r="BN695" s="76" t="s">
        <v>14452</v>
      </c>
      <c r="BO695" s="82" t="str">
        <f>HYPERLINK("https://twitter.com/analucianicolau")</f>
        <v>https://twitter.com/analucianicolau</v>
      </c>
      <c r="BP695" s="2"/>
    </row>
    <row r="696" spans="1:68" x14ac:dyDescent="0.25">
      <c r="A696" s="62" t="s">
        <v>822</v>
      </c>
      <c r="B696" s="63"/>
      <c r="C696" s="63"/>
      <c r="D696" s="64"/>
      <c r="E696" s="66"/>
      <c r="F696" s="103" t="str">
        <f>HYPERLINK("https://pbs.twimg.com/profile_images/1587967932860096513/_nFgrOnk_normal.jpg")</f>
        <v>https://pbs.twimg.com/profile_images/1587967932860096513/_nFgrOnk_normal.jpg</v>
      </c>
      <c r="G696" s="63"/>
      <c r="H696" s="67"/>
      <c r="I696" s="68"/>
      <c r="J696" s="68"/>
      <c r="K696" s="67" t="s">
        <v>15145</v>
      </c>
      <c r="L696" s="71"/>
      <c r="M696" s="72"/>
      <c r="N696" s="72"/>
      <c r="O696" s="73"/>
      <c r="P696" s="74"/>
      <c r="Q696" s="74"/>
      <c r="R696" s="87"/>
      <c r="S696" s="87"/>
      <c r="T696" s="87"/>
      <c r="U696" s="87"/>
      <c r="V696" s="48"/>
      <c r="W696" s="48"/>
      <c r="X696" s="48"/>
      <c r="Y696" s="48"/>
      <c r="Z696" s="47"/>
      <c r="AA696" s="69">
        <v>696</v>
      </c>
      <c r="AB696" s="69"/>
      <c r="AC696" s="70"/>
      <c r="AD696" s="76" t="s">
        <v>12422</v>
      </c>
      <c r="AE696" s="80" t="s">
        <v>12841</v>
      </c>
      <c r="AF696" s="76">
        <v>89</v>
      </c>
      <c r="AG696" s="76">
        <v>835</v>
      </c>
      <c r="AH696" s="76">
        <v>1949</v>
      </c>
      <c r="AI696" s="76">
        <v>1</v>
      </c>
      <c r="AJ696" s="76">
        <v>779</v>
      </c>
      <c r="AK696" s="76">
        <v>56</v>
      </c>
      <c r="AL696" s="76" t="b">
        <v>0</v>
      </c>
      <c r="AM696" s="78">
        <v>40587.619560185187</v>
      </c>
      <c r="AN696" s="76" t="s">
        <v>13202</v>
      </c>
      <c r="AO696" s="76" t="s">
        <v>13857</v>
      </c>
      <c r="AP696" s="76"/>
      <c r="AQ696" s="76"/>
      <c r="AR696" s="76"/>
      <c r="AS696" s="76"/>
      <c r="AT696" s="76"/>
      <c r="AU696" s="76"/>
      <c r="AV696" s="76"/>
      <c r="AW696" s="76"/>
      <c r="AX696" s="76" t="b">
        <v>0</v>
      </c>
      <c r="AY696" s="76"/>
      <c r="AZ696" s="76"/>
      <c r="BA696" s="76" t="b">
        <v>0</v>
      </c>
      <c r="BB696" s="76" t="b">
        <v>0</v>
      </c>
      <c r="BC696" s="76" t="b">
        <v>0</v>
      </c>
      <c r="BD696" s="76" t="b">
        <v>0</v>
      </c>
      <c r="BE696" s="76" t="b">
        <v>1</v>
      </c>
      <c r="BF696" s="76" t="b">
        <v>0</v>
      </c>
      <c r="BG696" s="76" t="b">
        <v>0</v>
      </c>
      <c r="BH696" s="82" t="str">
        <f>HYPERLINK("https://pbs.twimg.com/profile_banners/251630417/1672717722")</f>
        <v>https://pbs.twimg.com/profile_banners/251630417/1672717722</v>
      </c>
      <c r="BI696" s="76"/>
      <c r="BJ696" s="76" t="s">
        <v>14450</v>
      </c>
      <c r="BK696" s="76" t="b">
        <v>0</v>
      </c>
      <c r="BL696" s="76"/>
      <c r="BM696" s="76" t="s">
        <v>66</v>
      </c>
      <c r="BN696" s="76" t="s">
        <v>14452</v>
      </c>
      <c r="BO696" s="82" t="str">
        <f>HYPERLINK("https://twitter.com/emoes73")</f>
        <v>https://twitter.com/emoes73</v>
      </c>
      <c r="BP696" s="2"/>
    </row>
    <row r="697" spans="1:68" x14ac:dyDescent="0.25">
      <c r="A697" s="62" t="s">
        <v>823</v>
      </c>
      <c r="B697" s="63"/>
      <c r="C697" s="63"/>
      <c r="D697" s="64"/>
      <c r="E697" s="66"/>
      <c r="F697" s="103" t="str">
        <f>HYPERLINK("https://pbs.twimg.com/profile_images/1494016253605908483/zgqS1D1T_normal.jpg")</f>
        <v>https://pbs.twimg.com/profile_images/1494016253605908483/zgqS1D1T_normal.jpg</v>
      </c>
      <c r="G697" s="63"/>
      <c r="H697" s="67"/>
      <c r="I697" s="68"/>
      <c r="J697" s="68"/>
      <c r="K697" s="67" t="s">
        <v>15146</v>
      </c>
      <c r="L697" s="71"/>
      <c r="M697" s="72"/>
      <c r="N697" s="72"/>
      <c r="O697" s="73"/>
      <c r="P697" s="74"/>
      <c r="Q697" s="74"/>
      <c r="R697" s="87"/>
      <c r="S697" s="87"/>
      <c r="T697" s="87"/>
      <c r="U697" s="87"/>
      <c r="V697" s="48"/>
      <c r="W697" s="48"/>
      <c r="X697" s="48"/>
      <c r="Y697" s="48"/>
      <c r="Z697" s="47"/>
      <c r="AA697" s="69">
        <v>697</v>
      </c>
      <c r="AB697" s="69"/>
      <c r="AC697" s="70"/>
      <c r="AD697" s="76" t="s">
        <v>12423</v>
      </c>
      <c r="AE697" s="80" t="s">
        <v>12842</v>
      </c>
      <c r="AF697" s="76">
        <v>70</v>
      </c>
      <c r="AG697" s="76">
        <v>127</v>
      </c>
      <c r="AH697" s="76">
        <v>10742</v>
      </c>
      <c r="AI697" s="76">
        <v>0</v>
      </c>
      <c r="AJ697" s="76">
        <v>35157</v>
      </c>
      <c r="AK697" s="76">
        <v>127</v>
      </c>
      <c r="AL697" s="76" t="b">
        <v>0</v>
      </c>
      <c r="AM697" s="78">
        <v>40782.701388888891</v>
      </c>
      <c r="AN697" s="76"/>
      <c r="AO697" s="76" t="s">
        <v>13858</v>
      </c>
      <c r="AP697" s="76"/>
      <c r="AQ697" s="76"/>
      <c r="AR697" s="76"/>
      <c r="AS697" s="76"/>
      <c r="AT697" s="76"/>
      <c r="AU697" s="76"/>
      <c r="AV697" s="76">
        <v>1.56169135861581E+18</v>
      </c>
      <c r="AW697" s="76"/>
      <c r="AX697" s="76" t="b">
        <v>0</v>
      </c>
      <c r="AY697" s="76"/>
      <c r="AZ697" s="76"/>
      <c r="BA697" s="76" t="b">
        <v>0</v>
      </c>
      <c r="BB697" s="76" t="b">
        <v>0</v>
      </c>
      <c r="BC697" s="76" t="b">
        <v>0</v>
      </c>
      <c r="BD697" s="76" t="b">
        <v>0</v>
      </c>
      <c r="BE697" s="76" t="b">
        <v>1</v>
      </c>
      <c r="BF697" s="76" t="b">
        <v>0</v>
      </c>
      <c r="BG697" s="76" t="b">
        <v>0</v>
      </c>
      <c r="BH697" s="82" t="str">
        <f>HYPERLINK("https://pbs.twimg.com/profile_banners/363165131/1620404099")</f>
        <v>https://pbs.twimg.com/profile_banners/363165131/1620404099</v>
      </c>
      <c r="BI697" s="76"/>
      <c r="BJ697" s="76" t="s">
        <v>14450</v>
      </c>
      <c r="BK697" s="76" t="b">
        <v>0</v>
      </c>
      <c r="BL697" s="76"/>
      <c r="BM697" s="76" t="s">
        <v>66</v>
      </c>
      <c r="BN697" s="76" t="s">
        <v>14452</v>
      </c>
      <c r="BO697" s="82" t="str">
        <f>HYPERLINK("https://twitter.com/hulajop")</f>
        <v>https://twitter.com/hulajop</v>
      </c>
      <c r="BP697" s="2"/>
    </row>
    <row r="698" spans="1:68" x14ac:dyDescent="0.25">
      <c r="A698" s="62" t="s">
        <v>824</v>
      </c>
      <c r="B698" s="63"/>
      <c r="C698" s="63"/>
      <c r="D698" s="64"/>
      <c r="E698" s="66"/>
      <c r="F698" s="103" t="str">
        <f>HYPERLINK("https://pbs.twimg.com/profile_images/1632673557007278080/n2Lcmdr5_normal.jpg")</f>
        <v>https://pbs.twimg.com/profile_images/1632673557007278080/n2Lcmdr5_normal.jpg</v>
      </c>
      <c r="G698" s="63"/>
      <c r="H698" s="67"/>
      <c r="I698" s="68"/>
      <c r="J698" s="68"/>
      <c r="K698" s="67" t="s">
        <v>15147</v>
      </c>
      <c r="L698" s="71"/>
      <c r="M698" s="72"/>
      <c r="N698" s="72"/>
      <c r="O698" s="73"/>
      <c r="P698" s="74"/>
      <c r="Q698" s="74"/>
      <c r="R698" s="87"/>
      <c r="S698" s="87"/>
      <c r="T698" s="87"/>
      <c r="U698" s="87"/>
      <c r="V698" s="48"/>
      <c r="W698" s="48"/>
      <c r="X698" s="48"/>
      <c r="Y698" s="48"/>
      <c r="Z698" s="47"/>
      <c r="AA698" s="69">
        <v>698</v>
      </c>
      <c r="AB698" s="69"/>
      <c r="AC698" s="70"/>
      <c r="AD698" s="76" t="s">
        <v>12424</v>
      </c>
      <c r="AE698" s="80" t="s">
        <v>12843</v>
      </c>
      <c r="AF698" s="76">
        <v>1520</v>
      </c>
      <c r="AG698" s="76">
        <v>522</v>
      </c>
      <c r="AH698" s="76">
        <v>1196</v>
      </c>
      <c r="AI698" s="76">
        <v>0</v>
      </c>
      <c r="AJ698" s="76">
        <v>3386</v>
      </c>
      <c r="AK698" s="76">
        <v>806</v>
      </c>
      <c r="AL698" s="76" t="b">
        <v>0</v>
      </c>
      <c r="AM698" s="78">
        <v>41295.312210648146</v>
      </c>
      <c r="AN698" s="76" t="s">
        <v>7814</v>
      </c>
      <c r="AO698" s="76"/>
      <c r="AP698" s="82" t="str">
        <f>HYPERLINK("https://t.co/L1ugRYSMRj")</f>
        <v>https://t.co/L1ugRYSMRj</v>
      </c>
      <c r="AQ698" s="82" t="str">
        <f>HYPERLINK("https://linktr.ee/Claudel_Vlogs")</f>
        <v>https://linktr.ee/Claudel_Vlogs</v>
      </c>
      <c r="AR698" s="76" t="s">
        <v>14335</v>
      </c>
      <c r="AS698" s="76"/>
      <c r="AT698" s="76"/>
      <c r="AU698" s="76"/>
      <c r="AV698" s="76">
        <v>1.5820503413899699E+18</v>
      </c>
      <c r="AW698" s="82" t="str">
        <f>HYPERLINK("https://t.co/L1ugRYSMRj")</f>
        <v>https://t.co/L1ugRYSMRj</v>
      </c>
      <c r="AX698" s="76" t="b">
        <v>0</v>
      </c>
      <c r="AY698" s="76"/>
      <c r="AZ698" s="76"/>
      <c r="BA698" s="76" t="b">
        <v>0</v>
      </c>
      <c r="BB698" s="76" t="b">
        <v>1</v>
      </c>
      <c r="BC698" s="76" t="b">
        <v>1</v>
      </c>
      <c r="BD698" s="76" t="b">
        <v>0</v>
      </c>
      <c r="BE698" s="76" t="b">
        <v>0</v>
      </c>
      <c r="BF698" s="76" t="b">
        <v>0</v>
      </c>
      <c r="BG698" s="76" t="b">
        <v>0</v>
      </c>
      <c r="BH698" s="76"/>
      <c r="BI698" s="76"/>
      <c r="BJ698" s="76" t="s">
        <v>14450</v>
      </c>
      <c r="BK698" s="76" t="b">
        <v>0</v>
      </c>
      <c r="BL698" s="76"/>
      <c r="BM698" s="76" t="s">
        <v>66</v>
      </c>
      <c r="BN698" s="76" t="s">
        <v>14452</v>
      </c>
      <c r="BO698" s="82" t="str">
        <f>HYPERLINK("https://twitter.com/claudel_vlogs")</f>
        <v>https://twitter.com/claudel_vlogs</v>
      </c>
      <c r="BP698" s="2"/>
    </row>
    <row r="699" spans="1:68" x14ac:dyDescent="0.25">
      <c r="A699" s="62" t="s">
        <v>825</v>
      </c>
      <c r="B699" s="63"/>
      <c r="C699" s="63"/>
      <c r="D699" s="64"/>
      <c r="E699" s="66"/>
      <c r="F699" s="103" t="str">
        <f>HYPERLINK("https://pbs.twimg.com/profile_images/1554535027857309696/OEen1xuR_normal.png")</f>
        <v>https://pbs.twimg.com/profile_images/1554535027857309696/OEen1xuR_normal.png</v>
      </c>
      <c r="G699" s="63"/>
      <c r="H699" s="67"/>
      <c r="I699" s="68"/>
      <c r="J699" s="68"/>
      <c r="K699" s="67" t="s">
        <v>15148</v>
      </c>
      <c r="L699" s="71"/>
      <c r="M699" s="72"/>
      <c r="N699" s="72"/>
      <c r="O699" s="73"/>
      <c r="P699" s="74"/>
      <c r="Q699" s="74"/>
      <c r="R699" s="87"/>
      <c r="S699" s="87"/>
      <c r="T699" s="87"/>
      <c r="U699" s="87"/>
      <c r="V699" s="48"/>
      <c r="W699" s="48"/>
      <c r="X699" s="48"/>
      <c r="Y699" s="48"/>
      <c r="Z699" s="47"/>
      <c r="AA699" s="69">
        <v>699</v>
      </c>
      <c r="AB699" s="69"/>
      <c r="AC699" s="70"/>
      <c r="AD699" s="76" t="s">
        <v>12425</v>
      </c>
      <c r="AE699" s="80" t="s">
        <v>11688</v>
      </c>
      <c r="AF699" s="76">
        <v>1</v>
      </c>
      <c r="AG699" s="76">
        <v>5</v>
      </c>
      <c r="AH699" s="76">
        <v>84</v>
      </c>
      <c r="AI699" s="76">
        <v>0</v>
      </c>
      <c r="AJ699" s="76">
        <v>18</v>
      </c>
      <c r="AK699" s="76">
        <v>84</v>
      </c>
      <c r="AL699" s="76" t="b">
        <v>0</v>
      </c>
      <c r="AM699" s="78">
        <v>44775.770914351851</v>
      </c>
      <c r="AN699" s="76" t="s">
        <v>13203</v>
      </c>
      <c r="AO699" s="76" t="s">
        <v>13859</v>
      </c>
      <c r="AP699" s="82" t="str">
        <f>HYPERLINK("https://t.co/jNlAZ9Lxqk")</f>
        <v>https://t.co/jNlAZ9Lxqk</v>
      </c>
      <c r="AQ699" s="82" t="str">
        <f>HYPERLINK("https://www.vendedortodoterreno.com")</f>
        <v>https://www.vendedortodoterreno.com</v>
      </c>
      <c r="AR699" s="76" t="s">
        <v>14336</v>
      </c>
      <c r="AS699" s="76"/>
      <c r="AT699" s="76"/>
      <c r="AU699" s="76"/>
      <c r="AV699" s="76"/>
      <c r="AW699" s="82" t="str">
        <f>HYPERLINK("https://t.co/jNlAZ9Lxqk")</f>
        <v>https://t.co/jNlAZ9Lxqk</v>
      </c>
      <c r="AX699" s="76" t="b">
        <v>0</v>
      </c>
      <c r="AY699" s="76"/>
      <c r="AZ699" s="76"/>
      <c r="BA699" s="76" t="b">
        <v>0</v>
      </c>
      <c r="BB699" s="76" t="b">
        <v>1</v>
      </c>
      <c r="BC699" s="76" t="b">
        <v>1</v>
      </c>
      <c r="BD699" s="76" t="b">
        <v>0</v>
      </c>
      <c r="BE699" s="76" t="b">
        <v>0</v>
      </c>
      <c r="BF699" s="76" t="b">
        <v>0</v>
      </c>
      <c r="BG699" s="76" t="b">
        <v>0</v>
      </c>
      <c r="BH699" s="82" t="str">
        <f>HYPERLINK("https://pbs.twimg.com/profile_banners/1554534819618488321/1659465359")</f>
        <v>https://pbs.twimg.com/profile_banners/1554534819618488321/1659465359</v>
      </c>
      <c r="BI699" s="76"/>
      <c r="BJ699" s="76" t="s">
        <v>14450</v>
      </c>
      <c r="BK699" s="76" t="b">
        <v>0</v>
      </c>
      <c r="BL699" s="76"/>
      <c r="BM699" s="76" t="s">
        <v>66</v>
      </c>
      <c r="BN699" s="76" t="s">
        <v>14452</v>
      </c>
      <c r="BO699" s="82" t="str">
        <f>HYPERLINK("https://twitter.com/vendedortodo")</f>
        <v>https://twitter.com/vendedortodo</v>
      </c>
      <c r="BP699" s="2"/>
    </row>
    <row r="700" spans="1:68" x14ac:dyDescent="0.25">
      <c r="A700" s="62" t="s">
        <v>826</v>
      </c>
      <c r="B700" s="63"/>
      <c r="C700" s="63"/>
      <c r="D700" s="64"/>
      <c r="E700" s="66"/>
      <c r="F700" s="103" t="str">
        <f>HYPERLINK("https://pbs.twimg.com/profile_images/1644129837479501827/qTp3PAb6_normal.jpg")</f>
        <v>https://pbs.twimg.com/profile_images/1644129837479501827/qTp3PAb6_normal.jpg</v>
      </c>
      <c r="G700" s="63"/>
      <c r="H700" s="67"/>
      <c r="I700" s="68"/>
      <c r="J700" s="68"/>
      <c r="K700" s="67" t="s">
        <v>15149</v>
      </c>
      <c r="L700" s="71"/>
      <c r="M700" s="72"/>
      <c r="N700" s="72"/>
      <c r="O700" s="73"/>
      <c r="P700" s="74"/>
      <c r="Q700" s="74"/>
      <c r="R700" s="87"/>
      <c r="S700" s="87"/>
      <c r="T700" s="87"/>
      <c r="U700" s="87"/>
      <c r="V700" s="48"/>
      <c r="W700" s="48"/>
      <c r="X700" s="48"/>
      <c r="Y700" s="48"/>
      <c r="Z700" s="47"/>
      <c r="AA700" s="69">
        <v>700</v>
      </c>
      <c r="AB700" s="69"/>
      <c r="AC700" s="70"/>
      <c r="AD700" s="76" t="s">
        <v>12426</v>
      </c>
      <c r="AE700" s="80" t="s">
        <v>12844</v>
      </c>
      <c r="AF700" s="76">
        <v>31589</v>
      </c>
      <c r="AG700" s="76">
        <v>13620</v>
      </c>
      <c r="AH700" s="76">
        <v>84342</v>
      </c>
      <c r="AI700" s="76">
        <v>140</v>
      </c>
      <c r="AJ700" s="76">
        <v>14384</v>
      </c>
      <c r="AK700" s="76">
        <v>20395</v>
      </c>
      <c r="AL700" s="76" t="b">
        <v>0</v>
      </c>
      <c r="AM700" s="78">
        <v>41592.07744212963</v>
      </c>
      <c r="AN700" s="76" t="s">
        <v>13204</v>
      </c>
      <c r="AO700" s="76" t="s">
        <v>13860</v>
      </c>
      <c r="AP700" s="82" t="str">
        <f>HYPERLINK("https://t.co/GXuWgfxtH6")</f>
        <v>https://t.co/GXuWgfxtH6</v>
      </c>
      <c r="AQ700" s="82" t="str">
        <f>HYPERLINK("http://www.diarioelvistazo.com/")</f>
        <v>http://www.diarioelvistazo.com/</v>
      </c>
      <c r="AR700" s="76" t="s">
        <v>14337</v>
      </c>
      <c r="AS700" s="76"/>
      <c r="AT700" s="76"/>
      <c r="AU700" s="76"/>
      <c r="AV700" s="76"/>
      <c r="AW700" s="82" t="str">
        <f>HYPERLINK("https://t.co/GXuWgfxtH6")</f>
        <v>https://t.co/GXuWgfxtH6</v>
      </c>
      <c r="AX700" s="76" t="b">
        <v>0</v>
      </c>
      <c r="AY700" s="76"/>
      <c r="AZ700" s="76"/>
      <c r="BA700" s="76" t="b">
        <v>0</v>
      </c>
      <c r="BB700" s="76" t="b">
        <v>0</v>
      </c>
      <c r="BC700" s="76" t="b">
        <v>0</v>
      </c>
      <c r="BD700" s="76" t="b">
        <v>0</v>
      </c>
      <c r="BE700" s="76" t="b">
        <v>1</v>
      </c>
      <c r="BF700" s="76" t="b">
        <v>0</v>
      </c>
      <c r="BG700" s="76" t="b">
        <v>0</v>
      </c>
      <c r="BH700" s="82" t="str">
        <f>HYPERLINK("https://pbs.twimg.com/profile_banners/2193309186/1611158317")</f>
        <v>https://pbs.twimg.com/profile_banners/2193309186/1611158317</v>
      </c>
      <c r="BI700" s="76"/>
      <c r="BJ700" s="76" t="s">
        <v>14450</v>
      </c>
      <c r="BK700" s="76" t="b">
        <v>0</v>
      </c>
      <c r="BL700" s="76"/>
      <c r="BM700" s="76" t="s">
        <v>66</v>
      </c>
      <c r="BN700" s="76" t="s">
        <v>14452</v>
      </c>
      <c r="BO700" s="82" t="str">
        <f>HYPERLINK("https://twitter.com/diarioelvistazo")</f>
        <v>https://twitter.com/diarioelvistazo</v>
      </c>
      <c r="BP700" s="2"/>
    </row>
    <row r="701" spans="1:68" x14ac:dyDescent="0.25">
      <c r="A701" s="62" t="s">
        <v>827</v>
      </c>
      <c r="B701" s="63"/>
      <c r="C701" s="63"/>
      <c r="D701" s="64"/>
      <c r="E701" s="66"/>
      <c r="F701" s="103" t="str">
        <f>HYPERLINK("https://pbs.twimg.com/profile_images/562646839615168513/qCJM-mMR_normal.jpeg")</f>
        <v>https://pbs.twimg.com/profile_images/562646839615168513/qCJM-mMR_normal.jpeg</v>
      </c>
      <c r="G701" s="63"/>
      <c r="H701" s="67"/>
      <c r="I701" s="68"/>
      <c r="J701" s="68"/>
      <c r="K701" s="67" t="s">
        <v>15150</v>
      </c>
      <c r="L701" s="71"/>
      <c r="M701" s="72"/>
      <c r="N701" s="72"/>
      <c r="O701" s="73"/>
      <c r="P701" s="74"/>
      <c r="Q701" s="74"/>
      <c r="R701" s="87"/>
      <c r="S701" s="87"/>
      <c r="T701" s="87"/>
      <c r="U701" s="87"/>
      <c r="V701" s="48"/>
      <c r="W701" s="48"/>
      <c r="X701" s="48"/>
      <c r="Y701" s="48"/>
      <c r="Z701" s="47"/>
      <c r="AA701" s="69">
        <v>701</v>
      </c>
      <c r="AB701" s="69"/>
      <c r="AC701" s="70"/>
      <c r="AD701" s="76" t="s">
        <v>12427</v>
      </c>
      <c r="AE701" s="80" t="s">
        <v>12845</v>
      </c>
      <c r="AF701" s="76">
        <v>511</v>
      </c>
      <c r="AG701" s="76">
        <v>551</v>
      </c>
      <c r="AH701" s="76">
        <v>1860</v>
      </c>
      <c r="AI701" s="76">
        <v>0</v>
      </c>
      <c r="AJ701" s="76">
        <v>135</v>
      </c>
      <c r="AK701" s="76">
        <v>837</v>
      </c>
      <c r="AL701" s="76" t="b">
        <v>0</v>
      </c>
      <c r="AM701" s="78">
        <v>41978.499479166669</v>
      </c>
      <c r="AN701" s="76" t="s">
        <v>7873</v>
      </c>
      <c r="AO701" s="76" t="s">
        <v>13861</v>
      </c>
      <c r="AP701" s="82" t="str">
        <f>HYPERLINK("https://t.co/Jbtznac42x")</f>
        <v>https://t.co/Jbtznac42x</v>
      </c>
      <c r="AQ701" s="82" t="str">
        <f>HYPERLINK("http://www.madavi.es")</f>
        <v>http://www.madavi.es</v>
      </c>
      <c r="AR701" s="76" t="s">
        <v>14338</v>
      </c>
      <c r="AS701" s="76"/>
      <c r="AT701" s="76"/>
      <c r="AU701" s="76"/>
      <c r="AV701" s="76"/>
      <c r="AW701" s="82" t="str">
        <f>HYPERLINK("https://t.co/Jbtznac42x")</f>
        <v>https://t.co/Jbtznac42x</v>
      </c>
      <c r="AX701" s="76" t="b">
        <v>0</v>
      </c>
      <c r="AY701" s="76"/>
      <c r="AZ701" s="76"/>
      <c r="BA701" s="76" t="b">
        <v>0</v>
      </c>
      <c r="BB701" s="76" t="b">
        <v>1</v>
      </c>
      <c r="BC701" s="76" t="b">
        <v>0</v>
      </c>
      <c r="BD701" s="76" t="b">
        <v>0</v>
      </c>
      <c r="BE701" s="76" t="b">
        <v>1</v>
      </c>
      <c r="BF701" s="76" t="b">
        <v>0</v>
      </c>
      <c r="BG701" s="76" t="b">
        <v>0</v>
      </c>
      <c r="BH701" s="82" t="str">
        <f>HYPERLINK("https://pbs.twimg.com/profile_banners/2906245017/1422980419")</f>
        <v>https://pbs.twimg.com/profile_banners/2906245017/1422980419</v>
      </c>
      <c r="BI701" s="76"/>
      <c r="BJ701" s="76" t="s">
        <v>14450</v>
      </c>
      <c r="BK701" s="76" t="b">
        <v>0</v>
      </c>
      <c r="BL701" s="76"/>
      <c r="BM701" s="76" t="s">
        <v>66</v>
      </c>
      <c r="BN701" s="76" t="s">
        <v>14452</v>
      </c>
      <c r="BO701" s="82" t="str">
        <f>HYPERLINK("https://twitter.com/madavicompany")</f>
        <v>https://twitter.com/madavicompany</v>
      </c>
      <c r="BP701" s="2"/>
    </row>
    <row r="702" spans="1:68" x14ac:dyDescent="0.25">
      <c r="A702" s="62" t="s">
        <v>828</v>
      </c>
      <c r="B702" s="63"/>
      <c r="C702" s="63"/>
      <c r="D702" s="64"/>
      <c r="E702" s="66"/>
      <c r="F702" s="103" t="str">
        <f>HYPERLINK("https://pbs.twimg.com/profile_images/1371149559024521216/z752GGK5_normal.jpg")</f>
        <v>https://pbs.twimg.com/profile_images/1371149559024521216/z752GGK5_normal.jpg</v>
      </c>
      <c r="G702" s="63"/>
      <c r="H702" s="67"/>
      <c r="I702" s="68"/>
      <c r="J702" s="68"/>
      <c r="K702" s="67" t="s">
        <v>15151</v>
      </c>
      <c r="L702" s="71"/>
      <c r="M702" s="72"/>
      <c r="N702" s="72"/>
      <c r="O702" s="73"/>
      <c r="P702" s="74"/>
      <c r="Q702" s="74"/>
      <c r="R702" s="87"/>
      <c r="S702" s="87"/>
      <c r="T702" s="87"/>
      <c r="U702" s="87"/>
      <c r="V702" s="48"/>
      <c r="W702" s="48"/>
      <c r="X702" s="48"/>
      <c r="Y702" s="48"/>
      <c r="Z702" s="47"/>
      <c r="AA702" s="69">
        <v>702</v>
      </c>
      <c r="AB702" s="69"/>
      <c r="AC702" s="70"/>
      <c r="AD702" s="76" t="s">
        <v>12428</v>
      </c>
      <c r="AE702" s="80" t="s">
        <v>11689</v>
      </c>
      <c r="AF702" s="76">
        <v>341</v>
      </c>
      <c r="AG702" s="76">
        <v>729</v>
      </c>
      <c r="AH702" s="76">
        <v>1362</v>
      </c>
      <c r="AI702" s="76">
        <v>1</v>
      </c>
      <c r="AJ702" s="76">
        <v>1849</v>
      </c>
      <c r="AK702" s="76">
        <v>19</v>
      </c>
      <c r="AL702" s="76" t="b">
        <v>0</v>
      </c>
      <c r="AM702" s="78">
        <v>44224.011018518519</v>
      </c>
      <c r="AN702" s="76"/>
      <c r="AO702" s="76" t="s">
        <v>13862</v>
      </c>
      <c r="AP702" s="76"/>
      <c r="AQ702" s="76"/>
      <c r="AR702" s="76"/>
      <c r="AS702" s="76"/>
      <c r="AT702" s="76"/>
      <c r="AU702" s="76"/>
      <c r="AV702" s="76"/>
      <c r="AW702" s="76"/>
      <c r="AX702" s="76" t="b">
        <v>0</v>
      </c>
      <c r="AY702" s="76"/>
      <c r="AZ702" s="76"/>
      <c r="BA702" s="76" t="b">
        <v>0</v>
      </c>
      <c r="BB702" s="76" t="b">
        <v>1</v>
      </c>
      <c r="BC702" s="76" t="b">
        <v>1</v>
      </c>
      <c r="BD702" s="76" t="b">
        <v>0</v>
      </c>
      <c r="BE702" s="76" t="b">
        <v>0</v>
      </c>
      <c r="BF702" s="76" t="b">
        <v>0</v>
      </c>
      <c r="BG702" s="76" t="b">
        <v>0</v>
      </c>
      <c r="BH702" s="82" t="str">
        <f>HYPERLINK("https://pbs.twimg.com/profile_banners/1354583861867507715/1623679452")</f>
        <v>https://pbs.twimg.com/profile_banners/1354583861867507715/1623679452</v>
      </c>
      <c r="BI702" s="76"/>
      <c r="BJ702" s="76" t="s">
        <v>14450</v>
      </c>
      <c r="BK702" s="76" t="b">
        <v>0</v>
      </c>
      <c r="BL702" s="76"/>
      <c r="BM702" s="76" t="s">
        <v>66</v>
      </c>
      <c r="BN702" s="76" t="s">
        <v>14452</v>
      </c>
      <c r="BO702" s="82" t="str">
        <f>HYPERLINK("https://twitter.com/innovadorasv")</f>
        <v>https://twitter.com/innovadorasv</v>
      </c>
      <c r="BP702" s="2"/>
    </row>
    <row r="703" spans="1:68" x14ac:dyDescent="0.25">
      <c r="A703" s="62" t="s">
        <v>829</v>
      </c>
      <c r="B703" s="63"/>
      <c r="C703" s="63"/>
      <c r="D703" s="64"/>
      <c r="E703" s="66"/>
      <c r="F703" s="103" t="str">
        <f>HYPERLINK("https://pbs.twimg.com/profile_images/1684509532733542400/khW5Ys-e_normal.jpg")</f>
        <v>https://pbs.twimg.com/profile_images/1684509532733542400/khW5Ys-e_normal.jpg</v>
      </c>
      <c r="G703" s="63"/>
      <c r="H703" s="67"/>
      <c r="I703" s="68"/>
      <c r="J703" s="68"/>
      <c r="K703" s="67" t="s">
        <v>15152</v>
      </c>
      <c r="L703" s="71"/>
      <c r="M703" s="72"/>
      <c r="N703" s="72"/>
      <c r="O703" s="73"/>
      <c r="P703" s="74"/>
      <c r="Q703" s="74"/>
      <c r="R703" s="87"/>
      <c r="S703" s="87"/>
      <c r="T703" s="87"/>
      <c r="U703" s="87"/>
      <c r="V703" s="48"/>
      <c r="W703" s="48"/>
      <c r="X703" s="48"/>
      <c r="Y703" s="48"/>
      <c r="Z703" s="47"/>
      <c r="AA703" s="69">
        <v>703</v>
      </c>
      <c r="AB703" s="69"/>
      <c r="AC703" s="70"/>
      <c r="AD703" s="76" t="s">
        <v>12429</v>
      </c>
      <c r="AE703" s="80" t="s">
        <v>11690</v>
      </c>
      <c r="AF703" s="76">
        <v>5</v>
      </c>
      <c r="AG703" s="76">
        <v>39</v>
      </c>
      <c r="AH703" s="76">
        <v>16</v>
      </c>
      <c r="AI703" s="76">
        <v>2</v>
      </c>
      <c r="AJ703" s="76">
        <v>56</v>
      </c>
      <c r="AK703" s="76">
        <v>12</v>
      </c>
      <c r="AL703" s="76" t="b">
        <v>0</v>
      </c>
      <c r="AM703" s="78">
        <v>44937.620335648149</v>
      </c>
      <c r="AN703" s="76"/>
      <c r="AO703" s="76" t="s">
        <v>13863</v>
      </c>
      <c r="AP703" s="82" t="str">
        <f>HYPERLINK("https://t.co/Lpcov41Mua")</f>
        <v>https://t.co/Lpcov41Mua</v>
      </c>
      <c r="AQ703" s="82" t="str">
        <f>HYPERLINK("https://instagram.com/rubyy_studios?igshid=NGExMmI2YTkyZg==")</f>
        <v>https://instagram.com/rubyy_studios?igshid=NGExMmI2YTkyZg==</v>
      </c>
      <c r="AR703" s="76" t="s">
        <v>14339</v>
      </c>
      <c r="AS703" s="82" t="str">
        <f>HYPERLINK("https://t.co/LimdTtQzcx")</f>
        <v>https://t.co/LimdTtQzcx</v>
      </c>
      <c r="AT703" s="82" t="str">
        <f>HYPERLINK("https://instagram.com")</f>
        <v>https://instagram.com</v>
      </c>
      <c r="AU703" s="76" t="s">
        <v>4215</v>
      </c>
      <c r="AV703" s="76"/>
      <c r="AW703" s="82" t="str">
        <f>HYPERLINK("https://t.co/Lpcov41Mua")</f>
        <v>https://t.co/Lpcov41Mua</v>
      </c>
      <c r="AX703" s="76" t="b">
        <v>0</v>
      </c>
      <c r="AY703" s="76"/>
      <c r="AZ703" s="76"/>
      <c r="BA703" s="76" t="b">
        <v>0</v>
      </c>
      <c r="BB703" s="76" t="b">
        <v>1</v>
      </c>
      <c r="BC703" s="76" t="b">
        <v>1</v>
      </c>
      <c r="BD703" s="76" t="b">
        <v>0</v>
      </c>
      <c r="BE703" s="76" t="b">
        <v>0</v>
      </c>
      <c r="BF703" s="76" t="b">
        <v>0</v>
      </c>
      <c r="BG703" s="76" t="b">
        <v>0</v>
      </c>
      <c r="BH703" s="82" t="str">
        <f>HYPERLINK("https://pbs.twimg.com/profile_banners/1613187131790315521/1682858844")</f>
        <v>https://pbs.twimg.com/profile_banners/1613187131790315521/1682858844</v>
      </c>
      <c r="BI703" s="76"/>
      <c r="BJ703" s="76" t="s">
        <v>14450</v>
      </c>
      <c r="BK703" s="76" t="b">
        <v>0</v>
      </c>
      <c r="BL703" s="76"/>
      <c r="BM703" s="76" t="s">
        <v>66</v>
      </c>
      <c r="BN703" s="76" t="s">
        <v>14452</v>
      </c>
      <c r="BO703" s="82" t="str">
        <f>HYPERLINK("https://twitter.com/rubyy_studios")</f>
        <v>https://twitter.com/rubyy_studios</v>
      </c>
      <c r="BP703" s="2"/>
    </row>
    <row r="704" spans="1:68" x14ac:dyDescent="0.25">
      <c r="A704" s="62" t="s">
        <v>830</v>
      </c>
      <c r="B704" s="63"/>
      <c r="C704" s="63"/>
      <c r="D704" s="64"/>
      <c r="E704" s="66"/>
      <c r="F704" s="103" t="str">
        <f>HYPERLINK("https://pbs.twimg.com/profile_images/1381993271229054981/a9vfG-zM_normal.jpg")</f>
        <v>https://pbs.twimg.com/profile_images/1381993271229054981/a9vfG-zM_normal.jpg</v>
      </c>
      <c r="G704" s="63"/>
      <c r="H704" s="67"/>
      <c r="I704" s="68"/>
      <c r="J704" s="68"/>
      <c r="K704" s="67" t="s">
        <v>15153</v>
      </c>
      <c r="L704" s="71"/>
      <c r="M704" s="72"/>
      <c r="N704" s="72"/>
      <c r="O704" s="73"/>
      <c r="P704" s="74"/>
      <c r="Q704" s="74"/>
      <c r="R704" s="87"/>
      <c r="S704" s="87"/>
      <c r="T704" s="87"/>
      <c r="U704" s="87"/>
      <c r="V704" s="48"/>
      <c r="W704" s="48"/>
      <c r="X704" s="48"/>
      <c r="Y704" s="48"/>
      <c r="Z704" s="47"/>
      <c r="AA704" s="69">
        <v>704</v>
      </c>
      <c r="AB704" s="69"/>
      <c r="AC704" s="70"/>
      <c r="AD704" s="76" t="s">
        <v>12430</v>
      </c>
      <c r="AE704" s="80" t="s">
        <v>12846</v>
      </c>
      <c r="AF704" s="76">
        <v>1342</v>
      </c>
      <c r="AG704" s="76">
        <v>126</v>
      </c>
      <c r="AH704" s="76">
        <v>72179</v>
      </c>
      <c r="AI704" s="76">
        <v>16</v>
      </c>
      <c r="AJ704" s="76">
        <v>3506</v>
      </c>
      <c r="AK704" s="76">
        <v>13797</v>
      </c>
      <c r="AL704" s="76" t="b">
        <v>0</v>
      </c>
      <c r="AM704" s="78">
        <v>40171.731307870374</v>
      </c>
      <c r="AN704" s="76" t="s">
        <v>12922</v>
      </c>
      <c r="AO704" s="76" t="s">
        <v>13864</v>
      </c>
      <c r="AP704" s="82" t="str">
        <f>HYPERLINK("https://t.co/rv34PuNe67")</f>
        <v>https://t.co/rv34PuNe67</v>
      </c>
      <c r="AQ704" s="82" t="str">
        <f>HYPERLINK("https://www.periodicoenfoque.com.mx/")</f>
        <v>https://www.periodicoenfoque.com.mx/</v>
      </c>
      <c r="AR704" s="76" t="s">
        <v>14340</v>
      </c>
      <c r="AS704" s="76"/>
      <c r="AT704" s="76"/>
      <c r="AU704" s="76"/>
      <c r="AV704" s="76"/>
      <c r="AW704" s="82" t="str">
        <f>HYPERLINK("https://t.co/rv34PuNe67")</f>
        <v>https://t.co/rv34PuNe67</v>
      </c>
      <c r="AX704" s="76" t="b">
        <v>0</v>
      </c>
      <c r="AY704" s="76"/>
      <c r="AZ704" s="76"/>
      <c r="BA704" s="76" t="b">
        <v>1</v>
      </c>
      <c r="BB704" s="76" t="b">
        <v>1</v>
      </c>
      <c r="BC704" s="76" t="b">
        <v>1</v>
      </c>
      <c r="BD704" s="76" t="b">
        <v>0</v>
      </c>
      <c r="BE704" s="76" t="b">
        <v>1</v>
      </c>
      <c r="BF704" s="76" t="b">
        <v>0</v>
      </c>
      <c r="BG704" s="76" t="b">
        <v>0</v>
      </c>
      <c r="BH704" s="82" t="str">
        <f>HYPERLINK("https://pbs.twimg.com/profile_banners/99141179/1672788545")</f>
        <v>https://pbs.twimg.com/profile_banners/99141179/1672788545</v>
      </c>
      <c r="BI704" s="76"/>
      <c r="BJ704" s="76" t="s">
        <v>14450</v>
      </c>
      <c r="BK704" s="76" t="b">
        <v>0</v>
      </c>
      <c r="BL704" s="76"/>
      <c r="BM704" s="76" t="s">
        <v>66</v>
      </c>
      <c r="BN704" s="76" t="s">
        <v>14452</v>
      </c>
      <c r="BO704" s="82" t="str">
        <f>HYPERLINK("https://twitter.com/p_enfoque")</f>
        <v>https://twitter.com/p_enfoque</v>
      </c>
      <c r="BP704" s="2"/>
    </row>
    <row r="705" spans="1:68" x14ac:dyDescent="0.25">
      <c r="A705" s="62" t="s">
        <v>831</v>
      </c>
      <c r="B705" s="63"/>
      <c r="C705" s="63"/>
      <c r="D705" s="64"/>
      <c r="E705" s="66"/>
      <c r="F705" s="103" t="str">
        <f>HYPERLINK("https://pbs.twimg.com/profile_images/1245053940863045642/vYMYczSw_normal.jpg")</f>
        <v>https://pbs.twimg.com/profile_images/1245053940863045642/vYMYczSw_normal.jpg</v>
      </c>
      <c r="G705" s="63"/>
      <c r="H705" s="67"/>
      <c r="I705" s="68"/>
      <c r="J705" s="68"/>
      <c r="K705" s="67" t="s">
        <v>15154</v>
      </c>
      <c r="L705" s="71"/>
      <c r="M705" s="72"/>
      <c r="N705" s="72"/>
      <c r="O705" s="73"/>
      <c r="P705" s="74"/>
      <c r="Q705" s="74"/>
      <c r="R705" s="87"/>
      <c r="S705" s="87"/>
      <c r="T705" s="87"/>
      <c r="U705" s="87"/>
      <c r="V705" s="48"/>
      <c r="W705" s="48"/>
      <c r="X705" s="48"/>
      <c r="Y705" s="48"/>
      <c r="Z705" s="47"/>
      <c r="AA705" s="69">
        <v>705</v>
      </c>
      <c r="AB705" s="69"/>
      <c r="AC705" s="70"/>
      <c r="AD705" s="76" t="s">
        <v>12431</v>
      </c>
      <c r="AE705" s="80" t="s">
        <v>12847</v>
      </c>
      <c r="AF705" s="76">
        <v>117</v>
      </c>
      <c r="AG705" s="76">
        <v>242</v>
      </c>
      <c r="AH705" s="76">
        <v>977</v>
      </c>
      <c r="AI705" s="76">
        <v>0</v>
      </c>
      <c r="AJ705" s="76">
        <v>98</v>
      </c>
      <c r="AK705" s="76">
        <v>161</v>
      </c>
      <c r="AL705" s="76" t="b">
        <v>0</v>
      </c>
      <c r="AM705" s="78">
        <v>40992.535555555558</v>
      </c>
      <c r="AN705" s="76" t="s">
        <v>13205</v>
      </c>
      <c r="AO705" s="76" t="s">
        <v>13865</v>
      </c>
      <c r="AP705" s="82" t="str">
        <f>HYPERLINK("https://t.co/wC8GLwOWRe")</f>
        <v>https://t.co/wC8GLwOWRe</v>
      </c>
      <c r="AQ705" s="82" t="str">
        <f>HYPERLINK("https://liberalyarjona.com/")</f>
        <v>https://liberalyarjona.com/</v>
      </c>
      <c r="AR705" s="76" t="s">
        <v>4351</v>
      </c>
      <c r="AS705" s="76"/>
      <c r="AT705" s="76"/>
      <c r="AU705" s="76"/>
      <c r="AV705" s="76"/>
      <c r="AW705" s="82" t="str">
        <f>HYPERLINK("https://t.co/wC8GLwOWRe")</f>
        <v>https://t.co/wC8GLwOWRe</v>
      </c>
      <c r="AX705" s="76" t="b">
        <v>0</v>
      </c>
      <c r="AY705" s="76"/>
      <c r="AZ705" s="76"/>
      <c r="BA705" s="76" t="b">
        <v>0</v>
      </c>
      <c r="BB705" s="76" t="b">
        <v>1</v>
      </c>
      <c r="BC705" s="76" t="b">
        <v>0</v>
      </c>
      <c r="BD705" s="76" t="b">
        <v>0</v>
      </c>
      <c r="BE705" s="76" t="b">
        <v>0</v>
      </c>
      <c r="BF705" s="76" t="b">
        <v>0</v>
      </c>
      <c r="BG705" s="76" t="b">
        <v>0</v>
      </c>
      <c r="BH705" s="82" t="str">
        <f>HYPERLINK("https://pbs.twimg.com/profile_banners/535399848/1585679016")</f>
        <v>https://pbs.twimg.com/profile_banners/535399848/1585679016</v>
      </c>
      <c r="BI705" s="76"/>
      <c r="BJ705" s="76" t="s">
        <v>14450</v>
      </c>
      <c r="BK705" s="76" t="b">
        <v>0</v>
      </c>
      <c r="BL705" s="76"/>
      <c r="BM705" s="76" t="s">
        <v>66</v>
      </c>
      <c r="BN705" s="76" t="s">
        <v>14452</v>
      </c>
      <c r="BO705" s="82" t="str">
        <f>HYPERLINK("https://twitter.com/liberalyarjona")</f>
        <v>https://twitter.com/liberalyarjona</v>
      </c>
      <c r="BP705" s="2"/>
    </row>
    <row r="706" spans="1:68" x14ac:dyDescent="0.25">
      <c r="A706" s="62" t="s">
        <v>832</v>
      </c>
      <c r="B706" s="63"/>
      <c r="C706" s="63"/>
      <c r="D706" s="64"/>
      <c r="E706" s="66"/>
      <c r="F706" s="103" t="str">
        <f>HYPERLINK("https://pbs.twimg.com/profile_images/1620459868359430147/5_S47SQ9_normal.jpg")</f>
        <v>https://pbs.twimg.com/profile_images/1620459868359430147/5_S47SQ9_normal.jpg</v>
      </c>
      <c r="G706" s="63"/>
      <c r="H706" s="67"/>
      <c r="I706" s="68"/>
      <c r="J706" s="68"/>
      <c r="K706" s="67" t="s">
        <v>15155</v>
      </c>
      <c r="L706" s="71"/>
      <c r="M706" s="72"/>
      <c r="N706" s="72"/>
      <c r="O706" s="73"/>
      <c r="P706" s="74"/>
      <c r="Q706" s="74"/>
      <c r="R706" s="87"/>
      <c r="S706" s="87"/>
      <c r="T706" s="87"/>
      <c r="U706" s="87"/>
      <c r="V706" s="48"/>
      <c r="W706" s="48"/>
      <c r="X706" s="48"/>
      <c r="Y706" s="48"/>
      <c r="Z706" s="47"/>
      <c r="AA706" s="69">
        <v>706</v>
      </c>
      <c r="AB706" s="69"/>
      <c r="AC706" s="70"/>
      <c r="AD706" s="76" t="s">
        <v>12432</v>
      </c>
      <c r="AE706" s="80" t="s">
        <v>11691</v>
      </c>
      <c r="AF706" s="76">
        <v>5</v>
      </c>
      <c r="AG706" s="76">
        <v>89</v>
      </c>
      <c r="AH706" s="76">
        <v>5</v>
      </c>
      <c r="AI706" s="76">
        <v>1</v>
      </c>
      <c r="AJ706" s="76">
        <v>3</v>
      </c>
      <c r="AK706" s="76">
        <v>1</v>
      </c>
      <c r="AL706" s="76" t="b">
        <v>0</v>
      </c>
      <c r="AM706" s="78">
        <v>44391.76734953704</v>
      </c>
      <c r="AN706" s="76"/>
      <c r="AO706" s="76" t="s">
        <v>13866</v>
      </c>
      <c r="AP706" s="82" t="str">
        <f>HYPERLINK("https://t.co/oj97tnPQ6T")</f>
        <v>https://t.co/oj97tnPQ6T</v>
      </c>
      <c r="AQ706" s="82" t="str">
        <f>HYPERLINK("http://solucaoimovel.com")</f>
        <v>http://solucaoimovel.com</v>
      </c>
      <c r="AR706" s="76" t="s">
        <v>14341</v>
      </c>
      <c r="AS706" s="76"/>
      <c r="AT706" s="76"/>
      <c r="AU706" s="76"/>
      <c r="AV706" s="76"/>
      <c r="AW706" s="82" t="str">
        <f>HYPERLINK("https://t.co/oj97tnPQ6T")</f>
        <v>https://t.co/oj97tnPQ6T</v>
      </c>
      <c r="AX706" s="76" t="b">
        <v>0</v>
      </c>
      <c r="AY706" s="76"/>
      <c r="AZ706" s="76"/>
      <c r="BA706" s="76" t="b">
        <v>0</v>
      </c>
      <c r="BB706" s="76" t="b">
        <v>1</v>
      </c>
      <c r="BC706" s="76" t="b">
        <v>1</v>
      </c>
      <c r="BD706" s="76" t="b">
        <v>0</v>
      </c>
      <c r="BE706" s="76" t="b">
        <v>0</v>
      </c>
      <c r="BF706" s="76" t="b">
        <v>0</v>
      </c>
      <c r="BG706" s="76" t="b">
        <v>0</v>
      </c>
      <c r="BH706" s="82" t="str">
        <f>HYPERLINK("https://pbs.twimg.com/profile_banners/1415376583184076802/1675182715")</f>
        <v>https://pbs.twimg.com/profile_banners/1415376583184076802/1675182715</v>
      </c>
      <c r="BI706" s="76"/>
      <c r="BJ706" s="76" t="s">
        <v>14450</v>
      </c>
      <c r="BK706" s="76" t="b">
        <v>0</v>
      </c>
      <c r="BL706" s="76"/>
      <c r="BM706" s="76" t="s">
        <v>66</v>
      </c>
      <c r="BN706" s="76" t="s">
        <v>14452</v>
      </c>
      <c r="BO706" s="82" t="str">
        <f>HYPERLINK("https://twitter.com/filiperosan")</f>
        <v>https://twitter.com/filiperosan</v>
      </c>
      <c r="BP706" s="2"/>
    </row>
    <row r="707" spans="1:68" x14ac:dyDescent="0.25">
      <c r="A707" s="62" t="s">
        <v>833</v>
      </c>
      <c r="B707" s="63"/>
      <c r="C707" s="63"/>
      <c r="D707" s="64"/>
      <c r="E707" s="66"/>
      <c r="F707" s="103" t="str">
        <f>HYPERLINK("https://pbs.twimg.com/profile_images/1663898171263655937/BbC2en03_normal.jpg")</f>
        <v>https://pbs.twimg.com/profile_images/1663898171263655937/BbC2en03_normal.jpg</v>
      </c>
      <c r="G707" s="63"/>
      <c r="H707" s="67"/>
      <c r="I707" s="68"/>
      <c r="J707" s="68"/>
      <c r="K707" s="67" t="s">
        <v>15156</v>
      </c>
      <c r="L707" s="71"/>
      <c r="M707" s="72"/>
      <c r="N707" s="72"/>
      <c r="O707" s="73"/>
      <c r="P707" s="74"/>
      <c r="Q707" s="74"/>
      <c r="R707" s="87"/>
      <c r="S707" s="87"/>
      <c r="T707" s="87"/>
      <c r="U707" s="87"/>
      <c r="V707" s="48"/>
      <c r="W707" s="48"/>
      <c r="X707" s="48"/>
      <c r="Y707" s="48"/>
      <c r="Z707" s="47"/>
      <c r="AA707" s="69">
        <v>707</v>
      </c>
      <c r="AB707" s="69"/>
      <c r="AC707" s="70"/>
      <c r="AD707" s="76" t="s">
        <v>12433</v>
      </c>
      <c r="AE707" s="80" t="s">
        <v>12848</v>
      </c>
      <c r="AF707" s="76">
        <v>489</v>
      </c>
      <c r="AG707" s="76">
        <v>55</v>
      </c>
      <c r="AH707" s="76">
        <v>7514</v>
      </c>
      <c r="AI707" s="76">
        <v>12</v>
      </c>
      <c r="AJ707" s="76">
        <v>2920</v>
      </c>
      <c r="AK707" s="76">
        <v>1362</v>
      </c>
      <c r="AL707" s="76" t="b">
        <v>0</v>
      </c>
      <c r="AM707" s="78">
        <v>40009.002523148149</v>
      </c>
      <c r="AN707" s="76" t="s">
        <v>13206</v>
      </c>
      <c r="AO707" s="76" t="s">
        <v>13867</v>
      </c>
      <c r="AP707" s="82" t="str">
        <f>HYPERLINK("https://t.co/aB6X6qs2tZ")</f>
        <v>https://t.co/aB6X6qs2tZ</v>
      </c>
      <c r="AQ707" s="82" t="str">
        <f>HYPERLINK("http://v4.company")</f>
        <v>http://v4.company</v>
      </c>
      <c r="AR707" s="76" t="s">
        <v>14342</v>
      </c>
      <c r="AS707" s="76"/>
      <c r="AT707" s="76"/>
      <c r="AU707" s="76"/>
      <c r="AV707" s="76"/>
      <c r="AW707" s="82" t="str">
        <f>HYPERLINK("https://t.co/aB6X6qs2tZ")</f>
        <v>https://t.co/aB6X6qs2tZ</v>
      </c>
      <c r="AX707" s="76" t="b">
        <v>0</v>
      </c>
      <c r="AY707" s="76"/>
      <c r="AZ707" s="76"/>
      <c r="BA707" s="76" t="b">
        <v>0</v>
      </c>
      <c r="BB707" s="76" t="b">
        <v>1</v>
      </c>
      <c r="BC707" s="76" t="b">
        <v>0</v>
      </c>
      <c r="BD707" s="76" t="b">
        <v>0</v>
      </c>
      <c r="BE707" s="76" t="b">
        <v>0</v>
      </c>
      <c r="BF707" s="76" t="b">
        <v>0</v>
      </c>
      <c r="BG707" s="76" t="b">
        <v>0</v>
      </c>
      <c r="BH707" s="82" t="str">
        <f>HYPERLINK("https://pbs.twimg.com/profile_banners/56862417/1675095696")</f>
        <v>https://pbs.twimg.com/profile_banners/56862417/1675095696</v>
      </c>
      <c r="BI707" s="76"/>
      <c r="BJ707" s="76" t="s">
        <v>14450</v>
      </c>
      <c r="BK707" s="76" t="b">
        <v>0</v>
      </c>
      <c r="BL707" s="76"/>
      <c r="BM707" s="76" t="s">
        <v>66</v>
      </c>
      <c r="BN707" s="76" t="s">
        <v>14452</v>
      </c>
      <c r="BO707" s="82" t="str">
        <f>HYPERLINK("https://twitter.com/romulo_of")</f>
        <v>https://twitter.com/romulo_of</v>
      </c>
      <c r="BP707" s="2"/>
    </row>
    <row r="708" spans="1:68" x14ac:dyDescent="0.25">
      <c r="A708" s="62" t="s">
        <v>834</v>
      </c>
      <c r="B708" s="63"/>
      <c r="C708" s="63"/>
      <c r="D708" s="64"/>
      <c r="E708" s="66"/>
      <c r="F708" s="103" t="str">
        <f>HYPERLINK("https://pbs.twimg.com/profile_images/1629948570060161025/i7xX9C7A_normal.jpg")</f>
        <v>https://pbs.twimg.com/profile_images/1629948570060161025/i7xX9C7A_normal.jpg</v>
      </c>
      <c r="G708" s="63"/>
      <c r="H708" s="67"/>
      <c r="I708" s="68"/>
      <c r="J708" s="68"/>
      <c r="K708" s="67" t="s">
        <v>15157</v>
      </c>
      <c r="L708" s="71"/>
      <c r="M708" s="72"/>
      <c r="N708" s="72"/>
      <c r="O708" s="73"/>
      <c r="P708" s="74"/>
      <c r="Q708" s="74"/>
      <c r="R708" s="87"/>
      <c r="S708" s="87"/>
      <c r="T708" s="87"/>
      <c r="U708" s="87"/>
      <c r="V708" s="48"/>
      <c r="W708" s="48"/>
      <c r="X708" s="48"/>
      <c r="Y708" s="48"/>
      <c r="Z708" s="47"/>
      <c r="AA708" s="69">
        <v>708</v>
      </c>
      <c r="AB708" s="69"/>
      <c r="AC708" s="70"/>
      <c r="AD708" s="76" t="s">
        <v>12434</v>
      </c>
      <c r="AE708" s="80" t="s">
        <v>11692</v>
      </c>
      <c r="AF708" s="76">
        <v>33</v>
      </c>
      <c r="AG708" s="76">
        <v>88</v>
      </c>
      <c r="AH708" s="76">
        <v>20</v>
      </c>
      <c r="AI708" s="76">
        <v>0</v>
      </c>
      <c r="AJ708" s="76">
        <v>2</v>
      </c>
      <c r="AK708" s="76">
        <v>0</v>
      </c>
      <c r="AL708" s="76" t="b">
        <v>0</v>
      </c>
      <c r="AM708" s="78">
        <v>44983.85665509259</v>
      </c>
      <c r="AN708" s="76" t="s">
        <v>12921</v>
      </c>
      <c r="AO708" s="76" t="s">
        <v>13868</v>
      </c>
      <c r="AP708" s="76"/>
      <c r="AQ708" s="76"/>
      <c r="AR708" s="76"/>
      <c r="AS708" s="76"/>
      <c r="AT708" s="76"/>
      <c r="AU708" s="76"/>
      <c r="AV708" s="76"/>
      <c r="AW708" s="76"/>
      <c r="AX708" s="76" t="b">
        <v>0</v>
      </c>
      <c r="AY708" s="76"/>
      <c r="AZ708" s="76"/>
      <c r="BA708" s="76" t="b">
        <v>0</v>
      </c>
      <c r="BB708" s="76" t="b">
        <v>1</v>
      </c>
      <c r="BC708" s="76" t="b">
        <v>1</v>
      </c>
      <c r="BD708" s="76" t="b">
        <v>0</v>
      </c>
      <c r="BE708" s="76" t="b">
        <v>0</v>
      </c>
      <c r="BF708" s="76" t="b">
        <v>0</v>
      </c>
      <c r="BG708" s="76" t="b">
        <v>0</v>
      </c>
      <c r="BH708" s="82" t="str">
        <f>HYPERLINK("https://pbs.twimg.com/profile_banners/1629942716531458049/1677444175")</f>
        <v>https://pbs.twimg.com/profile_banners/1629942716531458049/1677444175</v>
      </c>
      <c r="BI708" s="76"/>
      <c r="BJ708" s="76" t="s">
        <v>14450</v>
      </c>
      <c r="BK708" s="76" t="b">
        <v>0</v>
      </c>
      <c r="BL708" s="76"/>
      <c r="BM708" s="76" t="s">
        <v>66</v>
      </c>
      <c r="BN708" s="76" t="s">
        <v>14452</v>
      </c>
      <c r="BO708" s="82" t="str">
        <f>HYPERLINK("https://twitter.com/legal_cap")</f>
        <v>https://twitter.com/legal_cap</v>
      </c>
      <c r="BP708" s="2"/>
    </row>
    <row r="709" spans="1:68" x14ac:dyDescent="0.25">
      <c r="A709" s="62" t="s">
        <v>835</v>
      </c>
      <c r="B709" s="63"/>
      <c r="C709" s="63"/>
      <c r="D709" s="64"/>
      <c r="E709" s="66"/>
      <c r="F709" s="103" t="str">
        <f>HYPERLINK("https://pbs.twimg.com/profile_images/1703931075041361920/Nc2a8sFW_normal.jpg")</f>
        <v>https://pbs.twimg.com/profile_images/1703931075041361920/Nc2a8sFW_normal.jpg</v>
      </c>
      <c r="G709" s="63"/>
      <c r="H709" s="67"/>
      <c r="I709" s="68"/>
      <c r="J709" s="68"/>
      <c r="K709" s="67" t="s">
        <v>15158</v>
      </c>
      <c r="L709" s="71"/>
      <c r="M709" s="72"/>
      <c r="N709" s="72"/>
      <c r="O709" s="73"/>
      <c r="P709" s="74"/>
      <c r="Q709" s="74"/>
      <c r="R709" s="87"/>
      <c r="S709" s="87"/>
      <c r="T709" s="87"/>
      <c r="U709" s="87"/>
      <c r="V709" s="48"/>
      <c r="W709" s="48"/>
      <c r="X709" s="48"/>
      <c r="Y709" s="48"/>
      <c r="Z709" s="47"/>
      <c r="AA709" s="69">
        <v>709</v>
      </c>
      <c r="AB709" s="69"/>
      <c r="AC709" s="70"/>
      <c r="AD709" s="76" t="s">
        <v>12435</v>
      </c>
      <c r="AE709" s="80" t="s">
        <v>11693</v>
      </c>
      <c r="AF709" s="76">
        <v>47</v>
      </c>
      <c r="AG709" s="76">
        <v>11</v>
      </c>
      <c r="AH709" s="76">
        <v>706</v>
      </c>
      <c r="AI709" s="76">
        <v>0</v>
      </c>
      <c r="AJ709" s="76">
        <v>11</v>
      </c>
      <c r="AK709" s="76">
        <v>663</v>
      </c>
      <c r="AL709" s="76" t="b">
        <v>0</v>
      </c>
      <c r="AM709" s="78">
        <v>44473.851261574076</v>
      </c>
      <c r="AN709" s="76" t="s">
        <v>13207</v>
      </c>
      <c r="AO709" s="76" t="s">
        <v>13869</v>
      </c>
      <c r="AP709" s="82" t="str">
        <f>HYPERLINK("https://t.co/qt1Qe0z8ci")</f>
        <v>https://t.co/qt1Qe0z8ci</v>
      </c>
      <c r="AQ709" s="82" t="str">
        <f>HYPERLINK("https://unidho.mx/contacto.html")</f>
        <v>https://unidho.mx/contacto.html</v>
      </c>
      <c r="AR709" s="76" t="s">
        <v>14343</v>
      </c>
      <c r="AS709" s="76"/>
      <c r="AT709" s="76"/>
      <c r="AU709" s="76"/>
      <c r="AV709" s="76"/>
      <c r="AW709" s="82" t="str">
        <f>HYPERLINK("https://t.co/qt1Qe0z8ci")</f>
        <v>https://t.co/qt1Qe0z8ci</v>
      </c>
      <c r="AX709" s="76" t="b">
        <v>0</v>
      </c>
      <c r="AY709" s="76"/>
      <c r="AZ709" s="76"/>
      <c r="BA709" s="76" t="b">
        <v>0</v>
      </c>
      <c r="BB709" s="76" t="b">
        <v>1</v>
      </c>
      <c r="BC709" s="76" t="b">
        <v>1</v>
      </c>
      <c r="BD709" s="76" t="b">
        <v>0</v>
      </c>
      <c r="BE709" s="76" t="b">
        <v>0</v>
      </c>
      <c r="BF709" s="76" t="b">
        <v>0</v>
      </c>
      <c r="BG709" s="76" t="b">
        <v>0</v>
      </c>
      <c r="BH709" s="82" t="str">
        <f>HYPERLINK("https://pbs.twimg.com/profile_banners/1445122926672482304/1695247339")</f>
        <v>https://pbs.twimg.com/profile_banners/1445122926672482304/1695247339</v>
      </c>
      <c r="BI709" s="76"/>
      <c r="BJ709" s="76" t="s">
        <v>14450</v>
      </c>
      <c r="BK709" s="76" t="b">
        <v>0</v>
      </c>
      <c r="BL709" s="76"/>
      <c r="BM709" s="76" t="s">
        <v>66</v>
      </c>
      <c r="BN709" s="76" t="s">
        <v>14452</v>
      </c>
      <c r="BO709" s="82" t="str">
        <f>HYPERLINK("https://twitter.com/unidho")</f>
        <v>https://twitter.com/unidho</v>
      </c>
      <c r="BP709" s="2"/>
    </row>
    <row r="710" spans="1:68" x14ac:dyDescent="0.25">
      <c r="A710" s="62" t="s">
        <v>836</v>
      </c>
      <c r="B710" s="63"/>
      <c r="C710" s="63"/>
      <c r="D710" s="64"/>
      <c r="E710" s="66"/>
      <c r="F710" s="103" t="str">
        <f>HYPERLINK("https://pbs.twimg.com/profile_images/1633666387930501124/7201VJ6I_normal.jpg")</f>
        <v>https://pbs.twimg.com/profile_images/1633666387930501124/7201VJ6I_normal.jpg</v>
      </c>
      <c r="G710" s="63"/>
      <c r="H710" s="67"/>
      <c r="I710" s="68"/>
      <c r="J710" s="68"/>
      <c r="K710" s="67" t="s">
        <v>15159</v>
      </c>
      <c r="L710" s="71"/>
      <c r="M710" s="72"/>
      <c r="N710" s="72"/>
      <c r="O710" s="73"/>
      <c r="P710" s="74"/>
      <c r="Q710" s="74"/>
      <c r="R710" s="87"/>
      <c r="S710" s="87"/>
      <c r="T710" s="87"/>
      <c r="U710" s="87"/>
      <c r="V710" s="48"/>
      <c r="W710" s="48"/>
      <c r="X710" s="48"/>
      <c r="Y710" s="48"/>
      <c r="Z710" s="47"/>
      <c r="AA710" s="69">
        <v>710</v>
      </c>
      <c r="AB710" s="69"/>
      <c r="AC710" s="70"/>
      <c r="AD710" s="76" t="s">
        <v>12436</v>
      </c>
      <c r="AE710" s="80" t="s">
        <v>11694</v>
      </c>
      <c r="AF710" s="76">
        <v>2</v>
      </c>
      <c r="AG710" s="76">
        <v>19</v>
      </c>
      <c r="AH710" s="76">
        <v>5</v>
      </c>
      <c r="AI710" s="76">
        <v>0</v>
      </c>
      <c r="AJ710" s="76">
        <v>0</v>
      </c>
      <c r="AK710" s="76">
        <v>1</v>
      </c>
      <c r="AL710" s="76" t="b">
        <v>0</v>
      </c>
      <c r="AM710" s="78">
        <v>44994.130347222221</v>
      </c>
      <c r="AN710" s="76"/>
      <c r="AO710" s="76"/>
      <c r="AP710" s="76"/>
      <c r="AQ710" s="76"/>
      <c r="AR710" s="76"/>
      <c r="AS710" s="76"/>
      <c r="AT710" s="76"/>
      <c r="AU710" s="76"/>
      <c r="AV710" s="76"/>
      <c r="AW710" s="76"/>
      <c r="AX710" s="76" t="b">
        <v>0</v>
      </c>
      <c r="AY710" s="76"/>
      <c r="AZ710" s="76"/>
      <c r="BA710" s="76" t="b">
        <v>0</v>
      </c>
      <c r="BB710" s="76" t="b">
        <v>1</v>
      </c>
      <c r="BC710" s="76" t="b">
        <v>1</v>
      </c>
      <c r="BD710" s="76" t="b">
        <v>0</v>
      </c>
      <c r="BE710" s="76" t="b">
        <v>0</v>
      </c>
      <c r="BF710" s="76" t="b">
        <v>0</v>
      </c>
      <c r="BG710" s="76" t="b">
        <v>0</v>
      </c>
      <c r="BH710" s="76"/>
      <c r="BI710" s="76"/>
      <c r="BJ710" s="76" t="s">
        <v>14450</v>
      </c>
      <c r="BK710" s="76" t="b">
        <v>0</v>
      </c>
      <c r="BL710" s="76"/>
      <c r="BM710" s="76" t="s">
        <v>66</v>
      </c>
      <c r="BN710" s="76" t="s">
        <v>14452</v>
      </c>
      <c r="BO710" s="82" t="str">
        <f>HYPERLINK("https://twitter.com/jonatanbrl")</f>
        <v>https://twitter.com/jonatanbrl</v>
      </c>
      <c r="BP710" s="2"/>
    </row>
    <row r="711" spans="1:68" x14ac:dyDescent="0.25">
      <c r="A711" s="62" t="s">
        <v>837</v>
      </c>
      <c r="B711" s="63"/>
      <c r="C711" s="63"/>
      <c r="D711" s="64"/>
      <c r="E711" s="66"/>
      <c r="F711" s="103" t="str">
        <f>HYPERLINK("https://pbs.twimg.com/profile_images/1353450236220469254/XgDLL863_normal.jpg")</f>
        <v>https://pbs.twimg.com/profile_images/1353450236220469254/XgDLL863_normal.jpg</v>
      </c>
      <c r="G711" s="63"/>
      <c r="H711" s="67"/>
      <c r="I711" s="68"/>
      <c r="J711" s="68"/>
      <c r="K711" s="67" t="s">
        <v>15160</v>
      </c>
      <c r="L711" s="71"/>
      <c r="M711" s="72"/>
      <c r="N711" s="72"/>
      <c r="O711" s="73"/>
      <c r="P711" s="74"/>
      <c r="Q711" s="74"/>
      <c r="R711" s="87"/>
      <c r="S711" s="87"/>
      <c r="T711" s="87"/>
      <c r="U711" s="87"/>
      <c r="V711" s="48"/>
      <c r="W711" s="48"/>
      <c r="X711" s="48"/>
      <c r="Y711" s="48"/>
      <c r="Z711" s="47"/>
      <c r="AA711" s="69">
        <v>711</v>
      </c>
      <c r="AB711" s="69"/>
      <c r="AC711" s="70"/>
      <c r="AD711" s="76" t="s">
        <v>12437</v>
      </c>
      <c r="AE711" s="80" t="s">
        <v>12849</v>
      </c>
      <c r="AF711" s="76">
        <v>537</v>
      </c>
      <c r="AG711" s="76">
        <v>639</v>
      </c>
      <c r="AH711" s="76">
        <v>13859</v>
      </c>
      <c r="AI711" s="76">
        <v>3</v>
      </c>
      <c r="AJ711" s="76">
        <v>12654</v>
      </c>
      <c r="AK711" s="76">
        <v>551</v>
      </c>
      <c r="AL711" s="76" t="b">
        <v>0</v>
      </c>
      <c r="AM711" s="78">
        <v>40512.771990740737</v>
      </c>
      <c r="AN711" s="76" t="s">
        <v>13208</v>
      </c>
      <c r="AO711" s="76" t="s">
        <v>13870</v>
      </c>
      <c r="AP711" s="76"/>
      <c r="AQ711" s="76"/>
      <c r="AR711" s="76"/>
      <c r="AS711" s="76"/>
      <c r="AT711" s="76"/>
      <c r="AU711" s="76"/>
      <c r="AV711" s="76">
        <v>1.7009871626768499E+18</v>
      </c>
      <c r="AW711" s="76"/>
      <c r="AX711" s="76" t="b">
        <v>0</v>
      </c>
      <c r="AY711" s="76"/>
      <c r="AZ711" s="76"/>
      <c r="BA711" s="76" t="b">
        <v>1</v>
      </c>
      <c r="BB711" s="76" t="b">
        <v>1</v>
      </c>
      <c r="BC711" s="76" t="b">
        <v>1</v>
      </c>
      <c r="BD711" s="76" t="b">
        <v>0</v>
      </c>
      <c r="BE711" s="76" t="b">
        <v>1</v>
      </c>
      <c r="BF711" s="76" t="b">
        <v>0</v>
      </c>
      <c r="BG711" s="76" t="b">
        <v>0</v>
      </c>
      <c r="BH711" s="76"/>
      <c r="BI711" s="76"/>
      <c r="BJ711" s="76" t="s">
        <v>14450</v>
      </c>
      <c r="BK711" s="76" t="b">
        <v>0</v>
      </c>
      <c r="BL711" s="76"/>
      <c r="BM711" s="76" t="s">
        <v>66</v>
      </c>
      <c r="BN711" s="76" t="s">
        <v>14452</v>
      </c>
      <c r="BO711" s="82" t="str">
        <f>HYPERLINK("https://twitter.com/lmchirino")</f>
        <v>https://twitter.com/lmchirino</v>
      </c>
      <c r="BP711" s="2"/>
    </row>
    <row r="712" spans="1:68" x14ac:dyDescent="0.25">
      <c r="A712" s="62" t="s">
        <v>838</v>
      </c>
      <c r="B712" s="63"/>
      <c r="C712" s="63"/>
      <c r="D712" s="64"/>
      <c r="E712" s="66"/>
      <c r="F712" s="103" t="str">
        <f>HYPERLINK("https://pbs.twimg.com/profile_images/1655394244247388160/hrR25Aqi_normal.jpg")</f>
        <v>https://pbs.twimg.com/profile_images/1655394244247388160/hrR25Aqi_normal.jpg</v>
      </c>
      <c r="G712" s="63"/>
      <c r="H712" s="67"/>
      <c r="I712" s="68"/>
      <c r="J712" s="68"/>
      <c r="K712" s="67" t="s">
        <v>15161</v>
      </c>
      <c r="L712" s="71"/>
      <c r="M712" s="72"/>
      <c r="N712" s="72"/>
      <c r="O712" s="73"/>
      <c r="P712" s="74"/>
      <c r="Q712" s="74"/>
      <c r="R712" s="87"/>
      <c r="S712" s="87"/>
      <c r="T712" s="87"/>
      <c r="U712" s="87"/>
      <c r="V712" s="48"/>
      <c r="W712" s="48"/>
      <c r="X712" s="48"/>
      <c r="Y712" s="48"/>
      <c r="Z712" s="47"/>
      <c r="AA712" s="69">
        <v>712</v>
      </c>
      <c r="AB712" s="69"/>
      <c r="AC712" s="70"/>
      <c r="AD712" s="76" t="s">
        <v>12438</v>
      </c>
      <c r="AE712" s="80" t="s">
        <v>11695</v>
      </c>
      <c r="AF712" s="76">
        <v>1</v>
      </c>
      <c r="AG712" s="76">
        <v>28</v>
      </c>
      <c r="AH712" s="76">
        <v>10</v>
      </c>
      <c r="AI712" s="76">
        <v>0</v>
      </c>
      <c r="AJ712" s="76">
        <v>0</v>
      </c>
      <c r="AK712" s="76">
        <v>7</v>
      </c>
      <c r="AL712" s="76" t="b">
        <v>0</v>
      </c>
      <c r="AM712" s="78">
        <v>45012.062094907407</v>
      </c>
      <c r="AN712" s="76"/>
      <c r="AO712" s="76" t="s">
        <v>13871</v>
      </c>
      <c r="AP712" s="76"/>
      <c r="AQ712" s="76"/>
      <c r="AR712" s="76"/>
      <c r="AS712" s="76"/>
      <c r="AT712" s="76"/>
      <c r="AU712" s="76"/>
      <c r="AV712" s="76">
        <v>1.6401813435763699E+18</v>
      </c>
      <c r="AW712" s="76"/>
      <c r="AX712" s="76" t="b">
        <v>0</v>
      </c>
      <c r="AY712" s="76"/>
      <c r="AZ712" s="76"/>
      <c r="BA712" s="76" t="b">
        <v>0</v>
      </c>
      <c r="BB712" s="76" t="b">
        <v>1</v>
      </c>
      <c r="BC712" s="76" t="b">
        <v>1</v>
      </c>
      <c r="BD712" s="76" t="b">
        <v>0</v>
      </c>
      <c r="BE712" s="76" t="b">
        <v>0</v>
      </c>
      <c r="BF712" s="76" t="b">
        <v>0</v>
      </c>
      <c r="BG712" s="76" t="b">
        <v>0</v>
      </c>
      <c r="BH712" s="82" t="str">
        <f>HYPERLINK("https://pbs.twimg.com/profile_banners/1640163979380097025/1683511719")</f>
        <v>https://pbs.twimg.com/profile_banners/1640163979380097025/1683511719</v>
      </c>
      <c r="BI712" s="76"/>
      <c r="BJ712" s="76" t="s">
        <v>14450</v>
      </c>
      <c r="BK712" s="76" t="b">
        <v>0</v>
      </c>
      <c r="BL712" s="76"/>
      <c r="BM712" s="76" t="s">
        <v>66</v>
      </c>
      <c r="BN712" s="76" t="s">
        <v>14452</v>
      </c>
      <c r="BO712" s="82" t="str">
        <f>HYPERLINK("https://twitter.com/hunteehr")</f>
        <v>https://twitter.com/hunteehr</v>
      </c>
      <c r="BP712" s="2"/>
    </row>
    <row r="713" spans="1:68" x14ac:dyDescent="0.25">
      <c r="A713" s="62" t="s">
        <v>839</v>
      </c>
      <c r="B713" s="63"/>
      <c r="C713" s="63"/>
      <c r="D713" s="64"/>
      <c r="E713" s="66"/>
      <c r="F713" s="103" t="str">
        <f>HYPERLINK("https://pbs.twimg.com/profile_images/1695954197680664576/MoB9bohk_normal.jpg")</f>
        <v>https://pbs.twimg.com/profile_images/1695954197680664576/MoB9bohk_normal.jpg</v>
      </c>
      <c r="G713" s="63"/>
      <c r="H713" s="67"/>
      <c r="I713" s="68"/>
      <c r="J713" s="68"/>
      <c r="K713" s="67" t="s">
        <v>15162</v>
      </c>
      <c r="L713" s="71"/>
      <c r="M713" s="72"/>
      <c r="N713" s="72"/>
      <c r="O713" s="73"/>
      <c r="P713" s="74"/>
      <c r="Q713" s="74"/>
      <c r="R713" s="87"/>
      <c r="S713" s="87"/>
      <c r="T713" s="87"/>
      <c r="U713" s="87"/>
      <c r="V713" s="48"/>
      <c r="W713" s="48"/>
      <c r="X713" s="48"/>
      <c r="Y713" s="48"/>
      <c r="Z713" s="47"/>
      <c r="AA713" s="69">
        <v>713</v>
      </c>
      <c r="AB713" s="69"/>
      <c r="AC713" s="70"/>
      <c r="AD713" s="76" t="s">
        <v>12439</v>
      </c>
      <c r="AE713" s="80" t="s">
        <v>12850</v>
      </c>
      <c r="AF713" s="76">
        <v>4535</v>
      </c>
      <c r="AG713" s="76">
        <v>964</v>
      </c>
      <c r="AH713" s="76">
        <v>35118</v>
      </c>
      <c r="AI713" s="76">
        <v>38</v>
      </c>
      <c r="AJ713" s="76">
        <v>1236</v>
      </c>
      <c r="AK713" s="76">
        <v>6385</v>
      </c>
      <c r="AL713" s="76" t="b">
        <v>0</v>
      </c>
      <c r="AM713" s="78">
        <v>40443.138611111113</v>
      </c>
      <c r="AN713" s="76" t="s">
        <v>12922</v>
      </c>
      <c r="AO713" s="76" t="s">
        <v>13872</v>
      </c>
      <c r="AP713" s="82" t="str">
        <f>HYPERLINK("https://t.co/T8xYQJlift")</f>
        <v>https://t.co/T8xYQJlift</v>
      </c>
      <c r="AQ713" s="82" t="str">
        <f>HYPERLINK("http://www.farodigital.mx")</f>
        <v>http://www.farodigital.mx</v>
      </c>
      <c r="AR713" s="76" t="s">
        <v>4342</v>
      </c>
      <c r="AS713" s="76"/>
      <c r="AT713" s="76"/>
      <c r="AU713" s="76"/>
      <c r="AV713" s="76">
        <v>1.6557643045435799E+18</v>
      </c>
      <c r="AW713" s="82" t="str">
        <f>HYPERLINK("https://t.co/T8xYQJlift")</f>
        <v>https://t.co/T8xYQJlift</v>
      </c>
      <c r="AX713" s="76" t="b">
        <v>0</v>
      </c>
      <c r="AY713" s="76"/>
      <c r="AZ713" s="76"/>
      <c r="BA713" s="76" t="b">
        <v>0</v>
      </c>
      <c r="BB713" s="76" t="b">
        <v>1</v>
      </c>
      <c r="BC713" s="76" t="b">
        <v>0</v>
      </c>
      <c r="BD713" s="76" t="b">
        <v>0</v>
      </c>
      <c r="BE713" s="76" t="b">
        <v>1</v>
      </c>
      <c r="BF713" s="76" t="b">
        <v>0</v>
      </c>
      <c r="BG713" s="76" t="b">
        <v>0</v>
      </c>
      <c r="BH713" s="82" t="str">
        <f>HYPERLINK("https://pbs.twimg.com/profile_banners/193558055/1693183050")</f>
        <v>https://pbs.twimg.com/profile_banners/193558055/1693183050</v>
      </c>
      <c r="BI713" s="76"/>
      <c r="BJ713" s="76" t="s">
        <v>14450</v>
      </c>
      <c r="BK713" s="76" t="b">
        <v>0</v>
      </c>
      <c r="BL713" s="76"/>
      <c r="BM713" s="76" t="s">
        <v>66</v>
      </c>
      <c r="BN713" s="76" t="s">
        <v>14452</v>
      </c>
      <c r="BO713" s="82" t="str">
        <f>HYPERLINK("https://twitter.com/chucho_lemus1")</f>
        <v>https://twitter.com/chucho_lemus1</v>
      </c>
      <c r="BP713" s="2"/>
    </row>
    <row r="714" spans="1:68" x14ac:dyDescent="0.25">
      <c r="A714" s="62" t="s">
        <v>840</v>
      </c>
      <c r="B714" s="63"/>
      <c r="C714" s="63"/>
      <c r="D714" s="64"/>
      <c r="E714" s="66"/>
      <c r="F714" s="103" t="str">
        <f>HYPERLINK("https://pbs.twimg.com/profile_images/1658034280574976001/refq7__I_normal.jpg")</f>
        <v>https://pbs.twimg.com/profile_images/1658034280574976001/refq7__I_normal.jpg</v>
      </c>
      <c r="G714" s="63"/>
      <c r="H714" s="67"/>
      <c r="I714" s="68"/>
      <c r="J714" s="68"/>
      <c r="K714" s="67" t="s">
        <v>15163</v>
      </c>
      <c r="L714" s="71"/>
      <c r="M714" s="72"/>
      <c r="N714" s="72"/>
      <c r="O714" s="73"/>
      <c r="P714" s="74"/>
      <c r="Q714" s="74"/>
      <c r="R714" s="87"/>
      <c r="S714" s="87"/>
      <c r="T714" s="87"/>
      <c r="U714" s="87"/>
      <c r="V714" s="48"/>
      <c r="W714" s="48"/>
      <c r="X714" s="48"/>
      <c r="Y714" s="48"/>
      <c r="Z714" s="47"/>
      <c r="AA714" s="69">
        <v>714</v>
      </c>
      <c r="AB714" s="69"/>
      <c r="AC714" s="70"/>
      <c r="AD714" s="76" t="s">
        <v>12440</v>
      </c>
      <c r="AE714" s="80" t="s">
        <v>11696</v>
      </c>
      <c r="AF714" s="76">
        <v>13</v>
      </c>
      <c r="AG714" s="76">
        <v>66</v>
      </c>
      <c r="AH714" s="76">
        <v>47</v>
      </c>
      <c r="AI714" s="76">
        <v>0</v>
      </c>
      <c r="AJ714" s="76">
        <v>53</v>
      </c>
      <c r="AK714" s="76">
        <v>19</v>
      </c>
      <c r="AL714" s="76" t="b">
        <v>0</v>
      </c>
      <c r="AM714" s="78">
        <v>44959.688356481478</v>
      </c>
      <c r="AN714" s="76"/>
      <c r="AO714" s="76"/>
      <c r="AP714" s="76"/>
      <c r="AQ714" s="76"/>
      <c r="AR714" s="76"/>
      <c r="AS714" s="76"/>
      <c r="AT714" s="76"/>
      <c r="AU714" s="76"/>
      <c r="AV714" s="76"/>
      <c r="AW714" s="76"/>
      <c r="AX714" s="76" t="b">
        <v>0</v>
      </c>
      <c r="AY714" s="76"/>
      <c r="AZ714" s="76"/>
      <c r="BA714" s="76" t="b">
        <v>0</v>
      </c>
      <c r="BB714" s="76" t="b">
        <v>1</v>
      </c>
      <c r="BC714" s="76" t="b">
        <v>1</v>
      </c>
      <c r="BD714" s="76" t="b">
        <v>0</v>
      </c>
      <c r="BE714" s="76" t="b">
        <v>0</v>
      </c>
      <c r="BF714" s="76" t="b">
        <v>0</v>
      </c>
      <c r="BG714" s="76" t="b">
        <v>0</v>
      </c>
      <c r="BH714" s="76"/>
      <c r="BI714" s="76"/>
      <c r="BJ714" s="76" t="s">
        <v>14450</v>
      </c>
      <c r="BK714" s="76" t="b">
        <v>0</v>
      </c>
      <c r="BL714" s="76"/>
      <c r="BM714" s="76" t="s">
        <v>66</v>
      </c>
      <c r="BN714" s="76" t="s">
        <v>14452</v>
      </c>
      <c r="BO714" s="82" t="str">
        <f>HYPERLINK("https://twitter.com/valpere54616519")</f>
        <v>https://twitter.com/valpere54616519</v>
      </c>
      <c r="BP714" s="2"/>
    </row>
    <row r="715" spans="1:68" x14ac:dyDescent="0.25">
      <c r="A715" s="62" t="s">
        <v>841</v>
      </c>
      <c r="B715" s="63"/>
      <c r="C715" s="63"/>
      <c r="D715" s="64"/>
      <c r="E715" s="66"/>
      <c r="F715" s="103" t="str">
        <f>HYPERLINK("https://pbs.twimg.com/profile_images/1661465866498715651/gWzGuwuU_normal.jpg")</f>
        <v>https://pbs.twimg.com/profile_images/1661465866498715651/gWzGuwuU_normal.jpg</v>
      </c>
      <c r="G715" s="63"/>
      <c r="H715" s="67"/>
      <c r="I715" s="68"/>
      <c r="J715" s="68"/>
      <c r="K715" s="67" t="s">
        <v>15164</v>
      </c>
      <c r="L715" s="71"/>
      <c r="M715" s="72"/>
      <c r="N715" s="72"/>
      <c r="O715" s="73"/>
      <c r="P715" s="74"/>
      <c r="Q715" s="74"/>
      <c r="R715" s="87"/>
      <c r="S715" s="87"/>
      <c r="T715" s="87"/>
      <c r="U715" s="87"/>
      <c r="V715" s="48"/>
      <c r="W715" s="48"/>
      <c r="X715" s="48"/>
      <c r="Y715" s="48"/>
      <c r="Z715" s="47"/>
      <c r="AA715" s="69">
        <v>715</v>
      </c>
      <c r="AB715" s="69"/>
      <c r="AC715" s="70"/>
      <c r="AD715" s="76" t="s">
        <v>12441</v>
      </c>
      <c r="AE715" s="80" t="s">
        <v>11697</v>
      </c>
      <c r="AF715" s="76">
        <v>62</v>
      </c>
      <c r="AG715" s="76">
        <v>323</v>
      </c>
      <c r="AH715" s="76">
        <v>3095</v>
      </c>
      <c r="AI715" s="76">
        <v>8</v>
      </c>
      <c r="AJ715" s="76">
        <v>1330</v>
      </c>
      <c r="AK715" s="76">
        <v>472</v>
      </c>
      <c r="AL715" s="76" t="b">
        <v>0</v>
      </c>
      <c r="AM715" s="78">
        <v>44233.057870370372</v>
      </c>
      <c r="AN715" s="76" t="s">
        <v>13101</v>
      </c>
      <c r="AO715" s="76" t="s">
        <v>13873</v>
      </c>
      <c r="AP715" s="82" t="str">
        <f>HYPERLINK("https://t.co/SrhUth4CCk")</f>
        <v>https://t.co/SrhUth4CCk</v>
      </c>
      <c r="AQ715" s="82" t="str">
        <f>HYPERLINK("https://beacons.ai/javi_v7.0")</f>
        <v>https://beacons.ai/javi_v7.0</v>
      </c>
      <c r="AR715" s="76" t="s">
        <v>14344</v>
      </c>
      <c r="AS715" s="76"/>
      <c r="AT715" s="76"/>
      <c r="AU715" s="76"/>
      <c r="AV715" s="76">
        <v>1.49617073188099E+18</v>
      </c>
      <c r="AW715" s="82" t="str">
        <f>HYPERLINK("https://t.co/SrhUth4CCk")</f>
        <v>https://t.co/SrhUth4CCk</v>
      </c>
      <c r="AX715" s="76" t="b">
        <v>0</v>
      </c>
      <c r="AY715" s="76"/>
      <c r="AZ715" s="76"/>
      <c r="BA715" s="76" t="b">
        <v>0</v>
      </c>
      <c r="BB715" s="76" t="b">
        <v>1</v>
      </c>
      <c r="BC715" s="76" t="b">
        <v>1</v>
      </c>
      <c r="BD715" s="76" t="b">
        <v>0</v>
      </c>
      <c r="BE715" s="76" t="b">
        <v>0</v>
      </c>
      <c r="BF715" s="76" t="b">
        <v>0</v>
      </c>
      <c r="BG715" s="76" t="b">
        <v>0</v>
      </c>
      <c r="BH715" s="82" t="str">
        <f>HYPERLINK("https://pbs.twimg.com/profile_banners/1357862026966667264/1662663800")</f>
        <v>https://pbs.twimg.com/profile_banners/1357862026966667264/1662663800</v>
      </c>
      <c r="BI715" s="76"/>
      <c r="BJ715" s="76" t="s">
        <v>14450</v>
      </c>
      <c r="BK715" s="76" t="b">
        <v>0</v>
      </c>
      <c r="BL715" s="76"/>
      <c r="BM715" s="76" t="s">
        <v>66</v>
      </c>
      <c r="BN715" s="76" t="s">
        <v>14452</v>
      </c>
      <c r="BO715" s="82" t="str">
        <f>HYPERLINK("https://twitter.com/javi_v7")</f>
        <v>https://twitter.com/javi_v7</v>
      </c>
      <c r="BP715" s="2"/>
    </row>
    <row r="716" spans="1:68" x14ac:dyDescent="0.25">
      <c r="A716" s="62" t="s">
        <v>843</v>
      </c>
      <c r="B716" s="63"/>
      <c r="C716" s="63"/>
      <c r="D716" s="64"/>
      <c r="E716" s="66"/>
      <c r="F716" s="103" t="str">
        <f>HYPERLINK("https://pbs.twimg.com/profile_images/1610410274158174211/Uf7MFkTb_normal.jpg")</f>
        <v>https://pbs.twimg.com/profile_images/1610410274158174211/Uf7MFkTb_normal.jpg</v>
      </c>
      <c r="G716" s="63"/>
      <c r="H716" s="67"/>
      <c r="I716" s="68"/>
      <c r="J716" s="68"/>
      <c r="K716" s="67" t="s">
        <v>15165</v>
      </c>
      <c r="L716" s="71"/>
      <c r="M716" s="72"/>
      <c r="N716" s="72"/>
      <c r="O716" s="73"/>
      <c r="P716" s="74"/>
      <c r="Q716" s="74"/>
      <c r="R716" s="87"/>
      <c r="S716" s="87"/>
      <c r="T716" s="87"/>
      <c r="U716" s="87"/>
      <c r="V716" s="48"/>
      <c r="W716" s="48"/>
      <c r="X716" s="48"/>
      <c r="Y716" s="48"/>
      <c r="Z716" s="47"/>
      <c r="AA716" s="69">
        <v>716</v>
      </c>
      <c r="AB716" s="69"/>
      <c r="AC716" s="70"/>
      <c r="AD716" s="76" t="s">
        <v>12442</v>
      </c>
      <c r="AE716" s="80" t="s">
        <v>11698</v>
      </c>
      <c r="AF716" s="76">
        <v>419</v>
      </c>
      <c r="AG716" s="76">
        <v>766</v>
      </c>
      <c r="AH716" s="76">
        <v>1523</v>
      </c>
      <c r="AI716" s="76">
        <v>1</v>
      </c>
      <c r="AJ716" s="76">
        <v>3540</v>
      </c>
      <c r="AK716" s="76">
        <v>522</v>
      </c>
      <c r="AL716" s="76" t="b">
        <v>0</v>
      </c>
      <c r="AM716" s="78">
        <v>44078.610578703701</v>
      </c>
      <c r="AN716" s="76" t="s">
        <v>12974</v>
      </c>
      <c r="AO716" s="76" t="s">
        <v>13874</v>
      </c>
      <c r="AP716" s="82" t="str">
        <f>HYPERLINK("https://t.co/lorgzrsl1S")</f>
        <v>https://t.co/lorgzrsl1S</v>
      </c>
      <c r="AQ716" s="82" t="str">
        <f>HYPERLINK("https://www.portavisa.edu.sv")</f>
        <v>https://www.portavisa.edu.sv</v>
      </c>
      <c r="AR716" s="76" t="s">
        <v>14003</v>
      </c>
      <c r="AS716" s="76"/>
      <c r="AT716" s="76"/>
      <c r="AU716" s="76"/>
      <c r="AV716" s="76">
        <v>1.6783958645098099E+18</v>
      </c>
      <c r="AW716" s="82" t="str">
        <f>HYPERLINK("https://t.co/lorgzrsl1S")</f>
        <v>https://t.co/lorgzrsl1S</v>
      </c>
      <c r="AX716" s="76" t="b">
        <v>0</v>
      </c>
      <c r="AY716" s="76"/>
      <c r="AZ716" s="76"/>
      <c r="BA716" s="76" t="b">
        <v>0</v>
      </c>
      <c r="BB716" s="76" t="b">
        <v>1</v>
      </c>
      <c r="BC716" s="76" t="b">
        <v>1</v>
      </c>
      <c r="BD716" s="76" t="b">
        <v>0</v>
      </c>
      <c r="BE716" s="76" t="b">
        <v>0</v>
      </c>
      <c r="BF716" s="76" t="b">
        <v>0</v>
      </c>
      <c r="BG716" s="76" t="b">
        <v>0</v>
      </c>
      <c r="BH716" s="82" t="str">
        <f>HYPERLINK("https://pbs.twimg.com/profile_banners/1301892522386620416/1675119248")</f>
        <v>https://pbs.twimg.com/profile_banners/1301892522386620416/1675119248</v>
      </c>
      <c r="BI716" s="76"/>
      <c r="BJ716" s="76" t="s">
        <v>14450</v>
      </c>
      <c r="BK716" s="76" t="b">
        <v>0</v>
      </c>
      <c r="BL716" s="76"/>
      <c r="BM716" s="76" t="s">
        <v>66</v>
      </c>
      <c r="BN716" s="76" t="s">
        <v>14452</v>
      </c>
      <c r="BO716" s="82" t="str">
        <f>HYPERLINK("https://twitter.com/daniela78903757")</f>
        <v>https://twitter.com/daniela78903757</v>
      </c>
      <c r="BP716" s="2"/>
    </row>
    <row r="717" spans="1:68" x14ac:dyDescent="0.25">
      <c r="A717" s="62" t="s">
        <v>844</v>
      </c>
      <c r="B717" s="63"/>
      <c r="C717" s="63"/>
      <c r="D717" s="64"/>
      <c r="E717" s="66"/>
      <c r="F717" s="103" t="str">
        <f>HYPERLINK("https://abs.twimg.com/sticky/default_profile_images/default_profile_normal.png")</f>
        <v>https://abs.twimg.com/sticky/default_profile_images/default_profile_normal.png</v>
      </c>
      <c r="G717" s="63"/>
      <c r="H717" s="67"/>
      <c r="I717" s="68"/>
      <c r="J717" s="68"/>
      <c r="K717" s="67" t="s">
        <v>15166</v>
      </c>
      <c r="L717" s="71"/>
      <c r="M717" s="72"/>
      <c r="N717" s="72"/>
      <c r="O717" s="73"/>
      <c r="P717" s="74"/>
      <c r="Q717" s="74"/>
      <c r="R717" s="87"/>
      <c r="S717" s="87"/>
      <c r="T717" s="87"/>
      <c r="U717" s="87"/>
      <c r="V717" s="48"/>
      <c r="W717" s="48"/>
      <c r="X717" s="48"/>
      <c r="Y717" s="48"/>
      <c r="Z717" s="47"/>
      <c r="AA717" s="69">
        <v>717</v>
      </c>
      <c r="AB717" s="69"/>
      <c r="AC717" s="70"/>
      <c r="AD717" s="76" t="s">
        <v>12443</v>
      </c>
      <c r="AE717" s="80" t="s">
        <v>11699</v>
      </c>
      <c r="AF717" s="76">
        <v>1</v>
      </c>
      <c r="AG717" s="76">
        <v>55</v>
      </c>
      <c r="AH717" s="76">
        <v>200</v>
      </c>
      <c r="AI717" s="76">
        <v>0</v>
      </c>
      <c r="AJ717" s="76">
        <v>107</v>
      </c>
      <c r="AK717" s="76">
        <v>0</v>
      </c>
      <c r="AL717" s="76" t="b">
        <v>0</v>
      </c>
      <c r="AM717" s="78">
        <v>44532.009340277778</v>
      </c>
      <c r="AN717" s="76"/>
      <c r="AO717" s="76"/>
      <c r="AP717" s="76"/>
      <c r="AQ717" s="76"/>
      <c r="AR717" s="76"/>
      <c r="AS717" s="76"/>
      <c r="AT717" s="76"/>
      <c r="AU717" s="76"/>
      <c r="AV717" s="76"/>
      <c r="AW717" s="76"/>
      <c r="AX717" s="76" t="b">
        <v>0</v>
      </c>
      <c r="AY717" s="76"/>
      <c r="AZ717" s="76"/>
      <c r="BA717" s="76" t="b">
        <v>0</v>
      </c>
      <c r="BB717" s="76" t="b">
        <v>1</v>
      </c>
      <c r="BC717" s="76" t="b">
        <v>1</v>
      </c>
      <c r="BD717" s="76" t="b">
        <v>1</v>
      </c>
      <c r="BE717" s="76" t="b">
        <v>0</v>
      </c>
      <c r="BF717" s="76" t="b">
        <v>0</v>
      </c>
      <c r="BG717" s="76" t="b">
        <v>0</v>
      </c>
      <c r="BH717" s="76"/>
      <c r="BI717" s="76"/>
      <c r="BJ717" s="76" t="s">
        <v>14450</v>
      </c>
      <c r="BK717" s="76" t="b">
        <v>0</v>
      </c>
      <c r="BL717" s="76"/>
      <c r="BM717" s="76" t="s">
        <v>66</v>
      </c>
      <c r="BN717" s="76" t="s">
        <v>14452</v>
      </c>
      <c r="BO717" s="82" t="str">
        <f>HYPERLINK("https://twitter.com/olimpiaavila1")</f>
        <v>https://twitter.com/olimpiaavila1</v>
      </c>
      <c r="BP717" s="2"/>
    </row>
    <row r="718" spans="1:68" x14ac:dyDescent="0.25">
      <c r="A718" s="62" t="s">
        <v>845</v>
      </c>
      <c r="B718" s="63"/>
      <c r="C718" s="63"/>
      <c r="D718" s="64"/>
      <c r="E718" s="66"/>
      <c r="F718" s="103" t="str">
        <f>HYPERLINK("https://pbs.twimg.com/profile_images/990642100462063616/3j9XOdjK_normal.jpg")</f>
        <v>https://pbs.twimg.com/profile_images/990642100462063616/3j9XOdjK_normal.jpg</v>
      </c>
      <c r="G718" s="63"/>
      <c r="H718" s="67"/>
      <c r="I718" s="68"/>
      <c r="J718" s="68"/>
      <c r="K718" s="67" t="s">
        <v>15167</v>
      </c>
      <c r="L718" s="71"/>
      <c r="M718" s="72"/>
      <c r="N718" s="72"/>
      <c r="O718" s="73"/>
      <c r="P718" s="74"/>
      <c r="Q718" s="74"/>
      <c r="R718" s="87"/>
      <c r="S718" s="87"/>
      <c r="T718" s="87"/>
      <c r="U718" s="87"/>
      <c r="V718" s="48"/>
      <c r="W718" s="48"/>
      <c r="X718" s="48"/>
      <c r="Y718" s="48"/>
      <c r="Z718" s="47"/>
      <c r="AA718" s="69">
        <v>718</v>
      </c>
      <c r="AB718" s="69"/>
      <c r="AC718" s="70"/>
      <c r="AD718" s="76" t="s">
        <v>12444</v>
      </c>
      <c r="AE718" s="80" t="s">
        <v>12851</v>
      </c>
      <c r="AF718" s="76">
        <v>372</v>
      </c>
      <c r="AG718" s="76">
        <v>177</v>
      </c>
      <c r="AH718" s="76">
        <v>8263</v>
      </c>
      <c r="AI718" s="76">
        <v>10</v>
      </c>
      <c r="AJ718" s="76">
        <v>39</v>
      </c>
      <c r="AK718" s="76">
        <v>319</v>
      </c>
      <c r="AL718" s="76" t="b">
        <v>0</v>
      </c>
      <c r="AM718" s="78">
        <v>40567.790127314816</v>
      </c>
      <c r="AN718" s="76" t="s">
        <v>13209</v>
      </c>
      <c r="AO718" s="76" t="s">
        <v>13875</v>
      </c>
      <c r="AP718" s="82" t="str">
        <f>HYPERLINK("https://t.co/Ny2z6VZqBL")</f>
        <v>https://t.co/Ny2z6VZqBL</v>
      </c>
      <c r="AQ718" s="82" t="str">
        <f>HYPERLINK("http://www.angelsainz.com")</f>
        <v>http://www.angelsainz.com</v>
      </c>
      <c r="AR718" s="76" t="s">
        <v>14345</v>
      </c>
      <c r="AS718" s="76"/>
      <c r="AT718" s="76"/>
      <c r="AU718" s="76"/>
      <c r="AV718" s="76"/>
      <c r="AW718" s="82" t="str">
        <f>HYPERLINK("https://t.co/Ny2z6VZqBL")</f>
        <v>https://t.co/Ny2z6VZqBL</v>
      </c>
      <c r="AX718" s="76" t="b">
        <v>0</v>
      </c>
      <c r="AY718" s="76"/>
      <c r="AZ718" s="76"/>
      <c r="BA718" s="76" t="b">
        <v>1</v>
      </c>
      <c r="BB718" s="76" t="b">
        <v>1</v>
      </c>
      <c r="BC718" s="76" t="b">
        <v>0</v>
      </c>
      <c r="BD718" s="76" t="b">
        <v>0</v>
      </c>
      <c r="BE718" s="76" t="b">
        <v>0</v>
      </c>
      <c r="BF718" s="76" t="b">
        <v>0</v>
      </c>
      <c r="BG718" s="76" t="b">
        <v>0</v>
      </c>
      <c r="BH718" s="82" t="str">
        <f>HYPERLINK("https://pbs.twimg.com/profile_banners/242418860/1677332976")</f>
        <v>https://pbs.twimg.com/profile_banners/242418860/1677332976</v>
      </c>
      <c r="BI718" s="76"/>
      <c r="BJ718" s="76" t="s">
        <v>14450</v>
      </c>
      <c r="BK718" s="76" t="b">
        <v>0</v>
      </c>
      <c r="BL718" s="76"/>
      <c r="BM718" s="76" t="s">
        <v>66</v>
      </c>
      <c r="BN718" s="76" t="s">
        <v>14452</v>
      </c>
      <c r="BO718" s="82" t="str">
        <f>HYPERLINK("https://twitter.com/iberonat")</f>
        <v>https://twitter.com/iberonat</v>
      </c>
      <c r="BP718" s="2"/>
    </row>
    <row r="719" spans="1:68" x14ac:dyDescent="0.25">
      <c r="A719" s="62" t="s">
        <v>846</v>
      </c>
      <c r="B719" s="63"/>
      <c r="C719" s="63"/>
      <c r="D719" s="64"/>
      <c r="E719" s="66"/>
      <c r="F719" s="103" t="str">
        <f>HYPERLINK("https://pbs.twimg.com/profile_images/510355106563252225/QyaqZITq_normal.jpeg")</f>
        <v>https://pbs.twimg.com/profile_images/510355106563252225/QyaqZITq_normal.jpeg</v>
      </c>
      <c r="G719" s="63"/>
      <c r="H719" s="67"/>
      <c r="I719" s="68"/>
      <c r="J719" s="68"/>
      <c r="K719" s="67" t="s">
        <v>15168</v>
      </c>
      <c r="L719" s="71"/>
      <c r="M719" s="72"/>
      <c r="N719" s="72"/>
      <c r="O719" s="73"/>
      <c r="P719" s="74"/>
      <c r="Q719" s="74"/>
      <c r="R719" s="87"/>
      <c r="S719" s="87"/>
      <c r="T719" s="87"/>
      <c r="U719" s="87"/>
      <c r="V719" s="48"/>
      <c r="W719" s="48"/>
      <c r="X719" s="48"/>
      <c r="Y719" s="48"/>
      <c r="Z719" s="47"/>
      <c r="AA719" s="69">
        <v>719</v>
      </c>
      <c r="AB719" s="69"/>
      <c r="AC719" s="70"/>
      <c r="AD719" s="76" t="s">
        <v>12445</v>
      </c>
      <c r="AE719" s="80" t="s">
        <v>12852</v>
      </c>
      <c r="AF719" s="76">
        <v>40</v>
      </c>
      <c r="AG719" s="76">
        <v>17</v>
      </c>
      <c r="AH719" s="76">
        <v>370</v>
      </c>
      <c r="AI719" s="76">
        <v>2</v>
      </c>
      <c r="AJ719" s="76">
        <v>2</v>
      </c>
      <c r="AK719" s="76">
        <v>123</v>
      </c>
      <c r="AL719" s="76" t="b">
        <v>0</v>
      </c>
      <c r="AM719" s="78">
        <v>41291.243009259262</v>
      </c>
      <c r="AN719" s="76" t="s">
        <v>13210</v>
      </c>
      <c r="AO719" s="76" t="s">
        <v>13876</v>
      </c>
      <c r="AP719" s="82" t="str">
        <f>HYPERLINK("https://t.co/ijrKWyEDXO")</f>
        <v>https://t.co/ijrKWyEDXO</v>
      </c>
      <c r="AQ719" s="82" t="str">
        <f>HYPERLINK("https://agenciainter.net")</f>
        <v>https://agenciainter.net</v>
      </c>
      <c r="AR719" s="76" t="s">
        <v>14346</v>
      </c>
      <c r="AS719" s="76"/>
      <c r="AT719" s="76"/>
      <c r="AU719" s="76"/>
      <c r="AV719" s="76"/>
      <c r="AW719" s="82" t="str">
        <f>HYPERLINK("https://t.co/ijrKWyEDXO")</f>
        <v>https://t.co/ijrKWyEDXO</v>
      </c>
      <c r="AX719" s="76" t="b">
        <v>0</v>
      </c>
      <c r="AY719" s="76"/>
      <c r="AZ719" s="76"/>
      <c r="BA719" s="76" t="b">
        <v>0</v>
      </c>
      <c r="BB719" s="76" t="b">
        <v>1</v>
      </c>
      <c r="BC719" s="76" t="b">
        <v>1</v>
      </c>
      <c r="BD719" s="76" t="b">
        <v>0</v>
      </c>
      <c r="BE719" s="76" t="b">
        <v>0</v>
      </c>
      <c r="BF719" s="76" t="b">
        <v>0</v>
      </c>
      <c r="BG719" s="76" t="b">
        <v>0</v>
      </c>
      <c r="BH719" s="76"/>
      <c r="BI719" s="76"/>
      <c r="BJ719" s="76" t="s">
        <v>14450</v>
      </c>
      <c r="BK719" s="76" t="b">
        <v>0</v>
      </c>
      <c r="BL719" s="76"/>
      <c r="BM719" s="76" t="s">
        <v>66</v>
      </c>
      <c r="BN719" s="76" t="s">
        <v>14452</v>
      </c>
      <c r="BO719" s="82" t="str">
        <f>HYPERLINK("https://twitter.com/internetagencia")</f>
        <v>https://twitter.com/internetagencia</v>
      </c>
      <c r="BP719" s="2"/>
    </row>
    <row r="720" spans="1:68" x14ac:dyDescent="0.25">
      <c r="A720" s="62" t="s">
        <v>847</v>
      </c>
      <c r="B720" s="63"/>
      <c r="C720" s="63"/>
      <c r="D720" s="64"/>
      <c r="E720" s="66"/>
      <c r="F720" s="103" t="str">
        <f>HYPERLINK("https://pbs.twimg.com/profile_images/1614046797168578561/zA4Dc1tM_normal.jpg")</f>
        <v>https://pbs.twimg.com/profile_images/1614046797168578561/zA4Dc1tM_normal.jpg</v>
      </c>
      <c r="G720" s="63"/>
      <c r="H720" s="67"/>
      <c r="I720" s="68"/>
      <c r="J720" s="68"/>
      <c r="K720" s="67" t="s">
        <v>15169</v>
      </c>
      <c r="L720" s="71"/>
      <c r="M720" s="72"/>
      <c r="N720" s="72"/>
      <c r="O720" s="73"/>
      <c r="P720" s="74"/>
      <c r="Q720" s="74"/>
      <c r="R720" s="87"/>
      <c r="S720" s="87"/>
      <c r="T720" s="87"/>
      <c r="U720" s="87"/>
      <c r="V720" s="48"/>
      <c r="W720" s="48"/>
      <c r="X720" s="48"/>
      <c r="Y720" s="48"/>
      <c r="Z720" s="47"/>
      <c r="AA720" s="69">
        <v>720</v>
      </c>
      <c r="AB720" s="69"/>
      <c r="AC720" s="70"/>
      <c r="AD720" s="76" t="s">
        <v>12446</v>
      </c>
      <c r="AE720" s="80" t="s">
        <v>12853</v>
      </c>
      <c r="AF720" s="76">
        <v>27</v>
      </c>
      <c r="AG720" s="76">
        <v>35</v>
      </c>
      <c r="AH720" s="76">
        <v>88</v>
      </c>
      <c r="AI720" s="76">
        <v>0</v>
      </c>
      <c r="AJ720" s="76">
        <v>6</v>
      </c>
      <c r="AK720" s="76">
        <v>75</v>
      </c>
      <c r="AL720" s="76" t="b">
        <v>0</v>
      </c>
      <c r="AM720" s="78">
        <v>40994.960393518515</v>
      </c>
      <c r="AN720" s="76" t="s">
        <v>13211</v>
      </c>
      <c r="AO720" s="76" t="s">
        <v>13877</v>
      </c>
      <c r="AP720" s="82" t="str">
        <f>HYPERLINK("https://t.co/frEY2h1eEA")</f>
        <v>https://t.co/frEY2h1eEA</v>
      </c>
      <c r="AQ720" s="82" t="str">
        <f>HYPERLINK("http://www.lcrn.mx")</f>
        <v>http://www.lcrn.mx</v>
      </c>
      <c r="AR720" s="76" t="s">
        <v>14347</v>
      </c>
      <c r="AS720" s="76"/>
      <c r="AT720" s="76"/>
      <c r="AU720" s="76"/>
      <c r="AV720" s="76"/>
      <c r="AW720" s="82" t="str">
        <f>HYPERLINK("https://t.co/frEY2h1eEA")</f>
        <v>https://t.co/frEY2h1eEA</v>
      </c>
      <c r="AX720" s="76" t="b">
        <v>0</v>
      </c>
      <c r="AY720" s="76"/>
      <c r="AZ720" s="76"/>
      <c r="BA720" s="76" t="b">
        <v>0</v>
      </c>
      <c r="BB720" s="76" t="b">
        <v>1</v>
      </c>
      <c r="BC720" s="76" t="b">
        <v>1</v>
      </c>
      <c r="BD720" s="76" t="b">
        <v>0</v>
      </c>
      <c r="BE720" s="76" t="b">
        <v>0</v>
      </c>
      <c r="BF720" s="76" t="b">
        <v>0</v>
      </c>
      <c r="BG720" s="76" t="b">
        <v>0</v>
      </c>
      <c r="BH720" s="82" t="str">
        <f>HYPERLINK("https://pbs.twimg.com/profile_banners/537725688/1673653719")</f>
        <v>https://pbs.twimg.com/profile_banners/537725688/1673653719</v>
      </c>
      <c r="BI720" s="76"/>
      <c r="BJ720" s="76" t="s">
        <v>14450</v>
      </c>
      <c r="BK720" s="76" t="b">
        <v>0</v>
      </c>
      <c r="BL720" s="76"/>
      <c r="BM720" s="76" t="s">
        <v>66</v>
      </c>
      <c r="BN720" s="76" t="s">
        <v>14452</v>
      </c>
      <c r="BO720" s="82" t="str">
        <f>HYPERLINK("https://twitter.com/lcrnmx")</f>
        <v>https://twitter.com/lcrnmx</v>
      </c>
      <c r="BP720" s="2"/>
    </row>
    <row r="721" spans="1:68" x14ac:dyDescent="0.25">
      <c r="A721" s="62" t="s">
        <v>848</v>
      </c>
      <c r="B721" s="63"/>
      <c r="C721" s="63"/>
      <c r="D721" s="64"/>
      <c r="E721" s="66"/>
      <c r="F721" s="103" t="str">
        <f>HYPERLINK("https://pbs.twimg.com/profile_images/378800000703350859/7676f301a27e4b530aea0a2e7233823f_normal.jpeg")</f>
        <v>https://pbs.twimg.com/profile_images/378800000703350859/7676f301a27e4b530aea0a2e7233823f_normal.jpeg</v>
      </c>
      <c r="G721" s="63"/>
      <c r="H721" s="67"/>
      <c r="I721" s="68"/>
      <c r="J721" s="68"/>
      <c r="K721" s="67" t="s">
        <v>15170</v>
      </c>
      <c r="L721" s="71"/>
      <c r="M721" s="72"/>
      <c r="N721" s="72"/>
      <c r="O721" s="73"/>
      <c r="P721" s="74"/>
      <c r="Q721" s="74"/>
      <c r="R721" s="87"/>
      <c r="S721" s="87"/>
      <c r="T721" s="87"/>
      <c r="U721" s="87"/>
      <c r="V721" s="48"/>
      <c r="W721" s="48"/>
      <c r="X721" s="48"/>
      <c r="Y721" s="48"/>
      <c r="Z721" s="47"/>
      <c r="AA721" s="69">
        <v>721</v>
      </c>
      <c r="AB721" s="69"/>
      <c r="AC721" s="70"/>
      <c r="AD721" s="76" t="s">
        <v>12447</v>
      </c>
      <c r="AE721" s="80" t="s">
        <v>12854</v>
      </c>
      <c r="AF721" s="76">
        <v>40</v>
      </c>
      <c r="AG721" s="76">
        <v>152</v>
      </c>
      <c r="AH721" s="76">
        <v>79</v>
      </c>
      <c r="AI721" s="76">
        <v>0</v>
      </c>
      <c r="AJ721" s="76">
        <v>6</v>
      </c>
      <c r="AK721" s="76">
        <v>8</v>
      </c>
      <c r="AL721" s="76" t="b">
        <v>0</v>
      </c>
      <c r="AM721" s="78">
        <v>40030.954247685186</v>
      </c>
      <c r="AN721" s="76" t="s">
        <v>13212</v>
      </c>
      <c r="AO721" s="76" t="s">
        <v>13878</v>
      </c>
      <c r="AP721" s="76"/>
      <c r="AQ721" s="76"/>
      <c r="AR721" s="76"/>
      <c r="AS721" s="76"/>
      <c r="AT721" s="76"/>
      <c r="AU721" s="76"/>
      <c r="AV721" s="76">
        <v>1.69139632851168E+18</v>
      </c>
      <c r="AW721" s="76"/>
      <c r="AX721" s="76" t="b">
        <v>0</v>
      </c>
      <c r="AY721" s="76"/>
      <c r="AZ721" s="76"/>
      <c r="BA721" s="76" t="b">
        <v>1</v>
      </c>
      <c r="BB721" s="76" t="b">
        <v>1</v>
      </c>
      <c r="BC721" s="76" t="b">
        <v>1</v>
      </c>
      <c r="BD721" s="76" t="b">
        <v>0</v>
      </c>
      <c r="BE721" s="76" t="b">
        <v>0</v>
      </c>
      <c r="BF721" s="76" t="b">
        <v>0</v>
      </c>
      <c r="BG721" s="76" t="b">
        <v>1</v>
      </c>
      <c r="BH721" s="76"/>
      <c r="BI721" s="76"/>
      <c r="BJ721" s="76" t="s">
        <v>14450</v>
      </c>
      <c r="BK721" s="76" t="b">
        <v>0</v>
      </c>
      <c r="BL721" s="76"/>
      <c r="BM721" s="76" t="s">
        <v>66</v>
      </c>
      <c r="BN721" s="76" t="s">
        <v>14452</v>
      </c>
      <c r="BO721" s="82" t="str">
        <f>HYPERLINK("https://twitter.com/cadubraganca")</f>
        <v>https://twitter.com/cadubraganca</v>
      </c>
      <c r="BP721" s="2"/>
    </row>
    <row r="722" spans="1:68" x14ac:dyDescent="0.25">
      <c r="A722" s="62" t="s">
        <v>849</v>
      </c>
      <c r="B722" s="63"/>
      <c r="C722" s="63"/>
      <c r="D722" s="64"/>
      <c r="E722" s="66"/>
      <c r="F722" s="103" t="str">
        <f>HYPERLINK("https://pbs.twimg.com/profile_images/1704668568489541632/ItT_HsiB_normal.jpg")</f>
        <v>https://pbs.twimg.com/profile_images/1704668568489541632/ItT_HsiB_normal.jpg</v>
      </c>
      <c r="G722" s="63"/>
      <c r="H722" s="67"/>
      <c r="I722" s="68"/>
      <c r="J722" s="68"/>
      <c r="K722" s="67" t="s">
        <v>15171</v>
      </c>
      <c r="L722" s="71"/>
      <c r="M722" s="72"/>
      <c r="N722" s="72"/>
      <c r="O722" s="73"/>
      <c r="P722" s="74"/>
      <c r="Q722" s="74"/>
      <c r="R722" s="87"/>
      <c r="S722" s="87"/>
      <c r="T722" s="87"/>
      <c r="U722" s="87"/>
      <c r="V722" s="48"/>
      <c r="W722" s="48"/>
      <c r="X722" s="48"/>
      <c r="Y722" s="48"/>
      <c r="Z722" s="47"/>
      <c r="AA722" s="69">
        <v>722</v>
      </c>
      <c r="AB722" s="69"/>
      <c r="AC722" s="70"/>
      <c r="AD722" s="76" t="s">
        <v>12448</v>
      </c>
      <c r="AE722" s="80" t="s">
        <v>11700</v>
      </c>
      <c r="AF722" s="76">
        <v>31</v>
      </c>
      <c r="AG722" s="76">
        <v>146</v>
      </c>
      <c r="AH722" s="76">
        <v>579</v>
      </c>
      <c r="AI722" s="76">
        <v>0</v>
      </c>
      <c r="AJ722" s="76">
        <v>1289</v>
      </c>
      <c r="AK722" s="76">
        <v>27</v>
      </c>
      <c r="AL722" s="76" t="b">
        <v>0</v>
      </c>
      <c r="AM722" s="78">
        <v>43010.525717592594</v>
      </c>
      <c r="AN722" s="76"/>
      <c r="AO722" s="76" t="s">
        <v>13879</v>
      </c>
      <c r="AP722" s="76"/>
      <c r="AQ722" s="76"/>
      <c r="AR722" s="76"/>
      <c r="AS722" s="76"/>
      <c r="AT722" s="76"/>
      <c r="AU722" s="76"/>
      <c r="AV722" s="76"/>
      <c r="AW722" s="76"/>
      <c r="AX722" s="76" t="b">
        <v>0</v>
      </c>
      <c r="AY722" s="76"/>
      <c r="AZ722" s="76"/>
      <c r="BA722" s="76" t="b">
        <v>0</v>
      </c>
      <c r="BB722" s="76" t="b">
        <v>1</v>
      </c>
      <c r="BC722" s="76" t="b">
        <v>1</v>
      </c>
      <c r="BD722" s="76" t="b">
        <v>0</v>
      </c>
      <c r="BE722" s="76" t="b">
        <v>0</v>
      </c>
      <c r="BF722" s="76" t="b">
        <v>0</v>
      </c>
      <c r="BG722" s="76" t="b">
        <v>0</v>
      </c>
      <c r="BH722" s="82" t="str">
        <f>HYPERLINK("https://pbs.twimg.com/profile_banners/914831588403367936/1695259608")</f>
        <v>https://pbs.twimg.com/profile_banners/914831588403367936/1695259608</v>
      </c>
      <c r="BI722" s="76"/>
      <c r="BJ722" s="76" t="s">
        <v>14450</v>
      </c>
      <c r="BK722" s="76" t="b">
        <v>0</v>
      </c>
      <c r="BL722" s="76"/>
      <c r="BM722" s="76" t="s">
        <v>66</v>
      </c>
      <c r="BN722" s="76" t="s">
        <v>14452</v>
      </c>
      <c r="BO722" s="82" t="str">
        <f>HYPERLINK("https://twitter.com/chemapapupro")</f>
        <v>https://twitter.com/chemapapupro</v>
      </c>
      <c r="BP722" s="2"/>
    </row>
    <row r="723" spans="1:68" x14ac:dyDescent="0.25">
      <c r="A723" s="62" t="s">
        <v>850</v>
      </c>
      <c r="B723" s="63"/>
      <c r="C723" s="63"/>
      <c r="D723" s="64"/>
      <c r="E723" s="66"/>
      <c r="F723" s="103" t="str">
        <f>HYPERLINK("https://pbs.twimg.com/profile_images/1679876085251465218/2wgJ_DD4_normal.jpg")</f>
        <v>https://pbs.twimg.com/profile_images/1679876085251465218/2wgJ_DD4_normal.jpg</v>
      </c>
      <c r="G723" s="63"/>
      <c r="H723" s="67"/>
      <c r="I723" s="68"/>
      <c r="J723" s="68"/>
      <c r="K723" s="67" t="s">
        <v>15172</v>
      </c>
      <c r="L723" s="71"/>
      <c r="M723" s="72"/>
      <c r="N723" s="72"/>
      <c r="O723" s="73"/>
      <c r="P723" s="74"/>
      <c r="Q723" s="74"/>
      <c r="R723" s="87"/>
      <c r="S723" s="87"/>
      <c r="T723" s="87"/>
      <c r="U723" s="87"/>
      <c r="V723" s="48"/>
      <c r="W723" s="48"/>
      <c r="X723" s="48"/>
      <c r="Y723" s="48"/>
      <c r="Z723" s="47"/>
      <c r="AA723" s="69">
        <v>723</v>
      </c>
      <c r="AB723" s="69"/>
      <c r="AC723" s="70"/>
      <c r="AD723" s="76" t="s">
        <v>12449</v>
      </c>
      <c r="AE723" s="80" t="s">
        <v>11701</v>
      </c>
      <c r="AF723" s="76">
        <v>28</v>
      </c>
      <c r="AG723" s="76">
        <v>191</v>
      </c>
      <c r="AH723" s="76">
        <v>78</v>
      </c>
      <c r="AI723" s="76">
        <v>0</v>
      </c>
      <c r="AJ723" s="76">
        <v>112</v>
      </c>
      <c r="AK723" s="76">
        <v>72</v>
      </c>
      <c r="AL723" s="76" t="b">
        <v>0</v>
      </c>
      <c r="AM723" s="78">
        <v>42775.582708333335</v>
      </c>
      <c r="AN723" s="76" t="s">
        <v>7791</v>
      </c>
      <c r="AO723" s="76" t="s">
        <v>13880</v>
      </c>
      <c r="AP723" s="82" t="str">
        <f>HYPERLINK("https://t.co/mYHlLtZDoU")</f>
        <v>https://t.co/mYHlLtZDoU</v>
      </c>
      <c r="AQ723" s="82" t="str">
        <f>HYPERLINK("http://nextthouse.com.br")</f>
        <v>http://nextthouse.com.br</v>
      </c>
      <c r="AR723" s="76" t="s">
        <v>14348</v>
      </c>
      <c r="AS723" s="76"/>
      <c r="AT723" s="76"/>
      <c r="AU723" s="76"/>
      <c r="AV723" s="76"/>
      <c r="AW723" s="82" t="str">
        <f>HYPERLINK("https://t.co/mYHlLtZDoU")</f>
        <v>https://t.co/mYHlLtZDoU</v>
      </c>
      <c r="AX723" s="76" t="b">
        <v>0</v>
      </c>
      <c r="AY723" s="76"/>
      <c r="AZ723" s="76"/>
      <c r="BA723" s="76" t="b">
        <v>0</v>
      </c>
      <c r="BB723" s="76" t="b">
        <v>1</v>
      </c>
      <c r="BC723" s="76" t="b">
        <v>1</v>
      </c>
      <c r="BD723" s="76" t="b">
        <v>0</v>
      </c>
      <c r="BE723" s="76" t="b">
        <v>0</v>
      </c>
      <c r="BF723" s="76" t="b">
        <v>0</v>
      </c>
      <c r="BG723" s="76" t="b">
        <v>0</v>
      </c>
      <c r="BH723" s="82" t="str">
        <f>HYPERLINK("https://pbs.twimg.com/profile_banners/829691095789481984/1689355458")</f>
        <v>https://pbs.twimg.com/profile_banners/829691095789481984/1689355458</v>
      </c>
      <c r="BI723" s="76"/>
      <c r="BJ723" s="76" t="s">
        <v>14450</v>
      </c>
      <c r="BK723" s="76" t="b">
        <v>0</v>
      </c>
      <c r="BL723" s="76"/>
      <c r="BM723" s="76" t="s">
        <v>66</v>
      </c>
      <c r="BN723" s="76" t="s">
        <v>14452</v>
      </c>
      <c r="BO723" s="82" t="str">
        <f>HYPERLINK("https://twitter.com/nextthouse")</f>
        <v>https://twitter.com/nextthouse</v>
      </c>
      <c r="BP723" s="2"/>
    </row>
    <row r="724" spans="1:68" x14ac:dyDescent="0.25">
      <c r="A724" s="62" t="s">
        <v>851</v>
      </c>
      <c r="B724" s="63"/>
      <c r="C724" s="63"/>
      <c r="D724" s="64"/>
      <c r="E724" s="66"/>
      <c r="F724" s="103" t="str">
        <f>HYPERLINK("https://pbs.twimg.com/profile_images/1658587195387551744/pDmNusSV_normal.jpg")</f>
        <v>https://pbs.twimg.com/profile_images/1658587195387551744/pDmNusSV_normal.jpg</v>
      </c>
      <c r="G724" s="63"/>
      <c r="H724" s="67"/>
      <c r="I724" s="68"/>
      <c r="J724" s="68"/>
      <c r="K724" s="67" t="s">
        <v>15173</v>
      </c>
      <c r="L724" s="71"/>
      <c r="M724" s="72"/>
      <c r="N724" s="72"/>
      <c r="O724" s="73"/>
      <c r="P724" s="74"/>
      <c r="Q724" s="74"/>
      <c r="R724" s="87"/>
      <c r="S724" s="87"/>
      <c r="T724" s="87"/>
      <c r="U724" s="87"/>
      <c r="V724" s="48"/>
      <c r="W724" s="48"/>
      <c r="X724" s="48"/>
      <c r="Y724" s="48"/>
      <c r="Z724" s="47"/>
      <c r="AA724" s="69">
        <v>724</v>
      </c>
      <c r="AB724" s="69"/>
      <c r="AC724" s="70"/>
      <c r="AD724" s="76" t="s">
        <v>12450</v>
      </c>
      <c r="AE724" s="80" t="s">
        <v>11358</v>
      </c>
      <c r="AF724" s="76">
        <v>54924</v>
      </c>
      <c r="AG724" s="76">
        <v>2024</v>
      </c>
      <c r="AH724" s="76">
        <v>23670</v>
      </c>
      <c r="AI724" s="76">
        <v>49</v>
      </c>
      <c r="AJ724" s="76">
        <v>8871</v>
      </c>
      <c r="AK724" s="76">
        <v>6309</v>
      </c>
      <c r="AL724" s="76" t="b">
        <v>0</v>
      </c>
      <c r="AM724" s="78">
        <v>40821.962094907409</v>
      </c>
      <c r="AN724" s="76"/>
      <c r="AO724" s="76" t="s">
        <v>13881</v>
      </c>
      <c r="AP724" s="76"/>
      <c r="AQ724" s="76"/>
      <c r="AR724" s="76"/>
      <c r="AS724" s="76"/>
      <c r="AT724" s="76"/>
      <c r="AU724" s="76"/>
      <c r="AV724" s="76"/>
      <c r="AW724" s="76"/>
      <c r="AX724" s="76" t="b">
        <v>1</v>
      </c>
      <c r="AY724" s="76"/>
      <c r="AZ724" s="76"/>
      <c r="BA724" s="76" t="b">
        <v>1</v>
      </c>
      <c r="BB724" s="76" t="b">
        <v>0</v>
      </c>
      <c r="BC724" s="76" t="b">
        <v>0</v>
      </c>
      <c r="BD724" s="76" t="b">
        <v>0</v>
      </c>
      <c r="BE724" s="76" t="b">
        <v>1</v>
      </c>
      <c r="BF724" s="76" t="b">
        <v>0</v>
      </c>
      <c r="BG724" s="76" t="b">
        <v>0</v>
      </c>
      <c r="BH724" s="82" t="str">
        <f>HYPERLINK("https://pbs.twimg.com/profile_banners/385685511/1676639328")</f>
        <v>https://pbs.twimg.com/profile_banners/385685511/1676639328</v>
      </c>
      <c r="BI724" s="76"/>
      <c r="BJ724" s="76" t="s">
        <v>14450</v>
      </c>
      <c r="BK724" s="76" t="b">
        <v>0</v>
      </c>
      <c r="BL724" s="76"/>
      <c r="BM724" s="76" t="s">
        <v>66</v>
      </c>
      <c r="BN724" s="76" t="s">
        <v>14452</v>
      </c>
      <c r="BO724" s="82" t="str">
        <f>HYPERLINK("https://twitter.com/andrespb1981")</f>
        <v>https://twitter.com/andrespb1981</v>
      </c>
      <c r="BP724" s="2"/>
    </row>
    <row r="725" spans="1:68" x14ac:dyDescent="0.25">
      <c r="A725" s="62" t="s">
        <v>852</v>
      </c>
      <c r="B725" s="63"/>
      <c r="C725" s="63"/>
      <c r="D725" s="64"/>
      <c r="E725" s="66"/>
      <c r="F725" s="103" t="str">
        <f>HYPERLINK("https://pbs.twimg.com/profile_images/1600909727545933824/NX4vDp0M_normal.jpg")</f>
        <v>https://pbs.twimg.com/profile_images/1600909727545933824/NX4vDp0M_normal.jpg</v>
      </c>
      <c r="G725" s="63"/>
      <c r="H725" s="67"/>
      <c r="I725" s="68"/>
      <c r="J725" s="68"/>
      <c r="K725" s="67" t="s">
        <v>15174</v>
      </c>
      <c r="L725" s="71"/>
      <c r="M725" s="72"/>
      <c r="N725" s="72"/>
      <c r="O725" s="73"/>
      <c r="P725" s="74"/>
      <c r="Q725" s="74"/>
      <c r="R725" s="87"/>
      <c r="S725" s="87"/>
      <c r="T725" s="87"/>
      <c r="U725" s="87"/>
      <c r="V725" s="48"/>
      <c r="W725" s="48"/>
      <c r="X725" s="48"/>
      <c r="Y725" s="48"/>
      <c r="Z725" s="47"/>
      <c r="AA725" s="69">
        <v>725</v>
      </c>
      <c r="AB725" s="69"/>
      <c r="AC725" s="70"/>
      <c r="AD725" s="76" t="s">
        <v>12451</v>
      </c>
      <c r="AE725" s="80" t="s">
        <v>11702</v>
      </c>
      <c r="AF725" s="76">
        <v>28</v>
      </c>
      <c r="AG725" s="76">
        <v>190</v>
      </c>
      <c r="AH725" s="76">
        <v>2726</v>
      </c>
      <c r="AI725" s="76">
        <v>0</v>
      </c>
      <c r="AJ725" s="76">
        <v>16</v>
      </c>
      <c r="AK725" s="76">
        <v>2546</v>
      </c>
      <c r="AL725" s="76" t="b">
        <v>0</v>
      </c>
      <c r="AM725" s="78">
        <v>44903.737835648149</v>
      </c>
      <c r="AN725" s="76" t="s">
        <v>13213</v>
      </c>
      <c r="AO725" s="76" t="s">
        <v>13882</v>
      </c>
      <c r="AP725" s="82" t="str">
        <f>HYPERLINK("https://t.co/kCnmjmzmuf")</f>
        <v>https://t.co/kCnmjmzmuf</v>
      </c>
      <c r="AQ725" s="82" t="str">
        <f>HYPERLINK("https://blogpdanoticia.blogspot.com")</f>
        <v>https://blogpdanoticia.blogspot.com</v>
      </c>
      <c r="AR725" s="76" t="s">
        <v>14349</v>
      </c>
      <c r="AS725" s="76"/>
      <c r="AT725" s="76"/>
      <c r="AU725" s="76"/>
      <c r="AV725" s="76"/>
      <c r="AW725" s="82" t="str">
        <f>HYPERLINK("https://t.co/kCnmjmzmuf")</f>
        <v>https://t.co/kCnmjmzmuf</v>
      </c>
      <c r="AX725" s="76" t="b">
        <v>0</v>
      </c>
      <c r="AY725" s="76"/>
      <c r="AZ725" s="76"/>
      <c r="BA725" s="76" t="b">
        <v>0</v>
      </c>
      <c r="BB725" s="76" t="b">
        <v>1</v>
      </c>
      <c r="BC725" s="76" t="b">
        <v>1</v>
      </c>
      <c r="BD725" s="76" t="b">
        <v>0</v>
      </c>
      <c r="BE725" s="76" t="b">
        <v>0</v>
      </c>
      <c r="BF725" s="76" t="b">
        <v>0</v>
      </c>
      <c r="BG725" s="76" t="b">
        <v>0</v>
      </c>
      <c r="BH725" s="82" t="str">
        <f>HYPERLINK("https://pbs.twimg.com/profile_banners/1600908543795888128/1670521485")</f>
        <v>https://pbs.twimg.com/profile_banners/1600908543795888128/1670521485</v>
      </c>
      <c r="BI725" s="76"/>
      <c r="BJ725" s="76" t="s">
        <v>14450</v>
      </c>
      <c r="BK725" s="76" t="b">
        <v>0</v>
      </c>
      <c r="BL725" s="76"/>
      <c r="BM725" s="76" t="s">
        <v>66</v>
      </c>
      <c r="BN725" s="76" t="s">
        <v>14452</v>
      </c>
      <c r="BO725" s="82" t="str">
        <f>HYPERLINK("https://twitter.com/blogpdnoticia")</f>
        <v>https://twitter.com/blogpdnoticia</v>
      </c>
      <c r="BP725" s="2"/>
    </row>
    <row r="726" spans="1:68" x14ac:dyDescent="0.25">
      <c r="A726" s="62" t="s">
        <v>853</v>
      </c>
      <c r="B726" s="63"/>
      <c r="C726" s="63"/>
      <c r="D726" s="64"/>
      <c r="E726" s="66"/>
      <c r="F726" s="103" t="str">
        <f>HYPERLINK("https://pbs.twimg.com/profile_images/1612794077795291138/Yna4nHuN_normal.jpg")</f>
        <v>https://pbs.twimg.com/profile_images/1612794077795291138/Yna4nHuN_normal.jpg</v>
      </c>
      <c r="G726" s="63"/>
      <c r="H726" s="67"/>
      <c r="I726" s="68"/>
      <c r="J726" s="68"/>
      <c r="K726" s="67" t="s">
        <v>15175</v>
      </c>
      <c r="L726" s="71"/>
      <c r="M726" s="72"/>
      <c r="N726" s="72"/>
      <c r="O726" s="73"/>
      <c r="P726" s="74"/>
      <c r="Q726" s="74"/>
      <c r="R726" s="87"/>
      <c r="S726" s="87"/>
      <c r="T726" s="87"/>
      <c r="U726" s="87"/>
      <c r="V726" s="48"/>
      <c r="W726" s="48"/>
      <c r="X726" s="48"/>
      <c r="Y726" s="48"/>
      <c r="Z726" s="47"/>
      <c r="AA726" s="69">
        <v>726</v>
      </c>
      <c r="AB726" s="69"/>
      <c r="AC726" s="70"/>
      <c r="AD726" s="76" t="s">
        <v>12452</v>
      </c>
      <c r="AE726" s="80" t="s">
        <v>11703</v>
      </c>
      <c r="AF726" s="76">
        <v>711</v>
      </c>
      <c r="AG726" s="76">
        <v>0</v>
      </c>
      <c r="AH726" s="76">
        <v>25540</v>
      </c>
      <c r="AI726" s="76">
        <v>3</v>
      </c>
      <c r="AJ726" s="76">
        <v>52</v>
      </c>
      <c r="AK726" s="76">
        <v>17185</v>
      </c>
      <c r="AL726" s="76" t="b">
        <v>0</v>
      </c>
      <c r="AM726" s="78">
        <v>43961.134351851855</v>
      </c>
      <c r="AN726" s="76" t="s">
        <v>13214</v>
      </c>
      <c r="AO726" s="76" t="s">
        <v>13883</v>
      </c>
      <c r="AP726" s="82" t="str">
        <f>HYPERLINK("https://t.co/nLu64ikA2W")</f>
        <v>https://t.co/nLu64ikA2W</v>
      </c>
      <c r="AQ726" s="82" t="str">
        <f>HYPERLINK("http://www.empleosdeleje.com")</f>
        <v>http://www.empleosdeleje.com</v>
      </c>
      <c r="AR726" s="76" t="s">
        <v>4354</v>
      </c>
      <c r="AS726" s="76"/>
      <c r="AT726" s="76"/>
      <c r="AU726" s="76"/>
      <c r="AV726" s="76"/>
      <c r="AW726" s="82" t="str">
        <f>HYPERLINK("https://t.co/nLu64ikA2W")</f>
        <v>https://t.co/nLu64ikA2W</v>
      </c>
      <c r="AX726" s="76" t="b">
        <v>0</v>
      </c>
      <c r="AY726" s="76"/>
      <c r="AZ726" s="76"/>
      <c r="BA726" s="76" t="b">
        <v>0</v>
      </c>
      <c r="BB726" s="76" t="b">
        <v>1</v>
      </c>
      <c r="BC726" s="76" t="b">
        <v>1</v>
      </c>
      <c r="BD726" s="76" t="b">
        <v>0</v>
      </c>
      <c r="BE726" s="76" t="b">
        <v>1</v>
      </c>
      <c r="BF726" s="76" t="b">
        <v>0</v>
      </c>
      <c r="BG726" s="76" t="b">
        <v>0</v>
      </c>
      <c r="BH726" s="82" t="str">
        <f>HYPERLINK("https://pbs.twimg.com/profile_banners/1259320568664506369/1674528420")</f>
        <v>https://pbs.twimg.com/profile_banners/1259320568664506369/1674528420</v>
      </c>
      <c r="BI726" s="76"/>
      <c r="BJ726" s="76" t="s">
        <v>14450</v>
      </c>
      <c r="BK726" s="76" t="b">
        <v>0</v>
      </c>
      <c r="BL726" s="76"/>
      <c r="BM726" s="76" t="s">
        <v>66</v>
      </c>
      <c r="BN726" s="76" t="s">
        <v>14452</v>
      </c>
      <c r="BO726" s="82" t="str">
        <f>HYPERLINK("https://twitter.com/empleosdeleje")</f>
        <v>https://twitter.com/empleosdeleje</v>
      </c>
      <c r="BP726" s="2"/>
    </row>
    <row r="727" spans="1:68" x14ac:dyDescent="0.25">
      <c r="A727" s="62" t="s">
        <v>854</v>
      </c>
      <c r="B727" s="63"/>
      <c r="C727" s="63"/>
      <c r="D727" s="64"/>
      <c r="E727" s="66"/>
      <c r="F727" s="103" t="str">
        <f>HYPERLINK("https://pbs.twimg.com/profile_images/488093348717019136/5PuNKsXn_normal.jpeg")</f>
        <v>https://pbs.twimg.com/profile_images/488093348717019136/5PuNKsXn_normal.jpeg</v>
      </c>
      <c r="G727" s="63"/>
      <c r="H727" s="67"/>
      <c r="I727" s="68"/>
      <c r="J727" s="68"/>
      <c r="K727" s="67" t="s">
        <v>15176</v>
      </c>
      <c r="L727" s="71"/>
      <c r="M727" s="72"/>
      <c r="N727" s="72"/>
      <c r="O727" s="73"/>
      <c r="P727" s="74"/>
      <c r="Q727" s="74"/>
      <c r="R727" s="87"/>
      <c r="S727" s="87"/>
      <c r="T727" s="87"/>
      <c r="U727" s="87"/>
      <c r="V727" s="48"/>
      <c r="W727" s="48"/>
      <c r="X727" s="48"/>
      <c r="Y727" s="48"/>
      <c r="Z727" s="47"/>
      <c r="AA727" s="69">
        <v>727</v>
      </c>
      <c r="AB727" s="69"/>
      <c r="AC727" s="70"/>
      <c r="AD727" s="76" t="s">
        <v>12453</v>
      </c>
      <c r="AE727" s="80" t="s">
        <v>12855</v>
      </c>
      <c r="AF727" s="76">
        <v>1408</v>
      </c>
      <c r="AG727" s="76">
        <v>2943</v>
      </c>
      <c r="AH727" s="76">
        <v>79207</v>
      </c>
      <c r="AI727" s="76">
        <v>7</v>
      </c>
      <c r="AJ727" s="76">
        <v>79185</v>
      </c>
      <c r="AK727" s="76">
        <v>19356</v>
      </c>
      <c r="AL727" s="76" t="b">
        <v>0</v>
      </c>
      <c r="AM727" s="78">
        <v>40410.138807870368</v>
      </c>
      <c r="AN727" s="76" t="s">
        <v>13215</v>
      </c>
      <c r="AO727" s="76" t="s">
        <v>13884</v>
      </c>
      <c r="AP727" s="82" t="str">
        <f>HYPERLINK("https://t.co/bZ9fqC6TrG")</f>
        <v>https://t.co/bZ9fqC6TrG</v>
      </c>
      <c r="AQ727" s="82" t="str">
        <f>HYPERLINK("https://www.facebook.com/jesuseacurapvc")</f>
        <v>https://www.facebook.com/jesuseacurapvc</v>
      </c>
      <c r="AR727" s="76" t="s">
        <v>14350</v>
      </c>
      <c r="AS727" s="82" t="str">
        <f>HYPERLINK("https://t.co/LjunUQlQAM")</f>
        <v>https://t.co/LjunUQlQAM</v>
      </c>
      <c r="AT727" s="82" t="str">
        <f>HYPERLINK("https://www.facebook.com/radiokpmusicbrasil")</f>
        <v>https://www.facebook.com/radiokpmusicbrasil</v>
      </c>
      <c r="AU727" s="76" t="s">
        <v>14447</v>
      </c>
      <c r="AV727" s="76">
        <v>1.47505202065042E+18</v>
      </c>
      <c r="AW727" s="82" t="str">
        <f>HYPERLINK("https://t.co/bZ9fqC6TrG")</f>
        <v>https://t.co/bZ9fqC6TrG</v>
      </c>
      <c r="AX727" s="76" t="b">
        <v>0</v>
      </c>
      <c r="AY727" s="76"/>
      <c r="AZ727" s="76"/>
      <c r="BA727" s="76" t="b">
        <v>0</v>
      </c>
      <c r="BB727" s="76" t="b">
        <v>1</v>
      </c>
      <c r="BC727" s="76" t="b">
        <v>0</v>
      </c>
      <c r="BD727" s="76" t="b">
        <v>0</v>
      </c>
      <c r="BE727" s="76" t="b">
        <v>0</v>
      </c>
      <c r="BF727" s="76" t="b">
        <v>0</v>
      </c>
      <c r="BG727" s="76" t="b">
        <v>0</v>
      </c>
      <c r="BH727" s="82" t="str">
        <f>HYPERLINK("https://pbs.twimg.com/profile_banners/180640224/1403039778")</f>
        <v>https://pbs.twimg.com/profile_banners/180640224/1403039778</v>
      </c>
      <c r="BI727" s="76"/>
      <c r="BJ727" s="76" t="s">
        <v>14450</v>
      </c>
      <c r="BK727" s="76" t="b">
        <v>0</v>
      </c>
      <c r="BL727" s="76"/>
      <c r="BM727" s="76" t="s">
        <v>66</v>
      </c>
      <c r="BN727" s="76" t="s">
        <v>14452</v>
      </c>
      <c r="BO727" s="82" t="str">
        <f>HYPERLINK("https://twitter.com/loc_adalberto")</f>
        <v>https://twitter.com/loc_adalberto</v>
      </c>
      <c r="BP727" s="2"/>
    </row>
    <row r="728" spans="1:68" x14ac:dyDescent="0.25">
      <c r="A728" s="62" t="s">
        <v>855</v>
      </c>
      <c r="B728" s="63"/>
      <c r="C728" s="63"/>
      <c r="D728" s="64"/>
      <c r="E728" s="66"/>
      <c r="F728" s="103" t="str">
        <f>HYPERLINK("https://pbs.twimg.com/profile_images/1032545528729546752/JSQUAMvF_normal.jpg")</f>
        <v>https://pbs.twimg.com/profile_images/1032545528729546752/JSQUAMvF_normal.jpg</v>
      </c>
      <c r="G728" s="63"/>
      <c r="H728" s="67"/>
      <c r="I728" s="68"/>
      <c r="J728" s="68"/>
      <c r="K728" s="67" t="s">
        <v>15177</v>
      </c>
      <c r="L728" s="71"/>
      <c r="M728" s="72"/>
      <c r="N728" s="72"/>
      <c r="O728" s="73"/>
      <c r="P728" s="74"/>
      <c r="Q728" s="74"/>
      <c r="R728" s="87"/>
      <c r="S728" s="87"/>
      <c r="T728" s="87"/>
      <c r="U728" s="87"/>
      <c r="V728" s="48"/>
      <c r="W728" s="48"/>
      <c r="X728" s="48"/>
      <c r="Y728" s="48"/>
      <c r="Z728" s="47"/>
      <c r="AA728" s="69">
        <v>728</v>
      </c>
      <c r="AB728" s="69"/>
      <c r="AC728" s="70"/>
      <c r="AD728" s="76" t="s">
        <v>12454</v>
      </c>
      <c r="AE728" s="80" t="s">
        <v>12856</v>
      </c>
      <c r="AF728" s="76">
        <v>1053</v>
      </c>
      <c r="AG728" s="76">
        <v>929</v>
      </c>
      <c r="AH728" s="76">
        <v>9172</v>
      </c>
      <c r="AI728" s="76">
        <v>70</v>
      </c>
      <c r="AJ728" s="76">
        <v>7202</v>
      </c>
      <c r="AK728" s="76">
        <v>2714</v>
      </c>
      <c r="AL728" s="76" t="b">
        <v>0</v>
      </c>
      <c r="AM728" s="78">
        <v>41192.726412037038</v>
      </c>
      <c r="AN728" s="76" t="s">
        <v>7881</v>
      </c>
      <c r="AO728" s="76" t="s">
        <v>13885</v>
      </c>
      <c r="AP728" s="82" t="str">
        <f>HYPERLINK("https://t.co/HjcKaH8qTJ")</f>
        <v>https://t.co/HjcKaH8qTJ</v>
      </c>
      <c r="AQ728" s="82" t="str">
        <f>HYPERLINK("http://mundopauta.com.br/")</f>
        <v>http://mundopauta.com.br/</v>
      </c>
      <c r="AR728" s="76" t="s">
        <v>14351</v>
      </c>
      <c r="AS728" s="76"/>
      <c r="AT728" s="76"/>
      <c r="AU728" s="76"/>
      <c r="AV728" s="76">
        <v>1.6454394385902001E+18</v>
      </c>
      <c r="AW728" s="82" t="str">
        <f>HYPERLINK("https://t.co/HjcKaH8qTJ")</f>
        <v>https://t.co/HjcKaH8qTJ</v>
      </c>
      <c r="AX728" s="76" t="b">
        <v>0</v>
      </c>
      <c r="AY728" s="76"/>
      <c r="AZ728" s="76"/>
      <c r="BA728" s="76" t="b">
        <v>0</v>
      </c>
      <c r="BB728" s="76" t="b">
        <v>0</v>
      </c>
      <c r="BC728" s="76" t="b">
        <v>0</v>
      </c>
      <c r="BD728" s="76" t="b">
        <v>0</v>
      </c>
      <c r="BE728" s="76" t="b">
        <v>1</v>
      </c>
      <c r="BF728" s="76" t="b">
        <v>0</v>
      </c>
      <c r="BG728" s="76" t="b">
        <v>1</v>
      </c>
      <c r="BH728" s="82" t="str">
        <f>HYPERLINK("https://pbs.twimg.com/profile_banners/872193572/1535012992")</f>
        <v>https://pbs.twimg.com/profile_banners/872193572/1535012992</v>
      </c>
      <c r="BI728" s="76"/>
      <c r="BJ728" s="76" t="s">
        <v>14450</v>
      </c>
      <c r="BK728" s="76" t="b">
        <v>0</v>
      </c>
      <c r="BL728" s="76"/>
      <c r="BM728" s="76" t="s">
        <v>66</v>
      </c>
      <c r="BN728" s="76" t="s">
        <v>14452</v>
      </c>
      <c r="BO728" s="82" t="str">
        <f>HYPERLINK("https://twitter.com/mundo_pauta")</f>
        <v>https://twitter.com/mundo_pauta</v>
      </c>
      <c r="BP728" s="2"/>
    </row>
    <row r="729" spans="1:68" x14ac:dyDescent="0.25">
      <c r="A729" s="62" t="s">
        <v>856</v>
      </c>
      <c r="B729" s="63"/>
      <c r="C729" s="63"/>
      <c r="D729" s="64"/>
      <c r="E729" s="66"/>
      <c r="F729" s="103" t="str">
        <f>HYPERLINK("https://pbs.twimg.com/profile_images/1337389322614484992/PudY9b70_normal.jpg")</f>
        <v>https://pbs.twimg.com/profile_images/1337389322614484992/PudY9b70_normal.jpg</v>
      </c>
      <c r="G729" s="63"/>
      <c r="H729" s="67"/>
      <c r="I729" s="68"/>
      <c r="J729" s="68"/>
      <c r="K729" s="67" t="s">
        <v>15178</v>
      </c>
      <c r="L729" s="71"/>
      <c r="M729" s="72"/>
      <c r="N729" s="72"/>
      <c r="O729" s="73"/>
      <c r="P729" s="74"/>
      <c r="Q729" s="74"/>
      <c r="R729" s="87"/>
      <c r="S729" s="87"/>
      <c r="T729" s="87"/>
      <c r="U729" s="87"/>
      <c r="V729" s="48"/>
      <c r="W729" s="48"/>
      <c r="X729" s="48"/>
      <c r="Y729" s="48"/>
      <c r="Z729" s="47"/>
      <c r="AA729" s="69">
        <v>729</v>
      </c>
      <c r="AB729" s="69"/>
      <c r="AC729" s="70"/>
      <c r="AD729" s="76" t="s">
        <v>12455</v>
      </c>
      <c r="AE729" s="80" t="s">
        <v>12857</v>
      </c>
      <c r="AF729" s="76">
        <v>3283</v>
      </c>
      <c r="AG729" s="76">
        <v>160</v>
      </c>
      <c r="AH729" s="76">
        <v>31078</v>
      </c>
      <c r="AI729" s="76">
        <v>55</v>
      </c>
      <c r="AJ729" s="76">
        <v>28</v>
      </c>
      <c r="AK729" s="76">
        <v>198</v>
      </c>
      <c r="AL729" s="76" t="b">
        <v>0</v>
      </c>
      <c r="AM729" s="78">
        <v>39921.635405092595</v>
      </c>
      <c r="AN729" s="76" t="s">
        <v>13043</v>
      </c>
      <c r="AO729" s="76" t="s">
        <v>13886</v>
      </c>
      <c r="AP729" s="82" t="str">
        <f>HYPERLINK("https://t.co/PoQFWBEBZE")</f>
        <v>https://t.co/PoQFWBEBZE</v>
      </c>
      <c r="AQ729" s="82" t="str">
        <f>HYPERLINK("https://www.ipparaguay.com.py/")</f>
        <v>https://www.ipparaguay.com.py/</v>
      </c>
      <c r="AR729" s="76" t="s">
        <v>14107</v>
      </c>
      <c r="AS729" s="76"/>
      <c r="AT729" s="76"/>
      <c r="AU729" s="76"/>
      <c r="AV729" s="76"/>
      <c r="AW729" s="82" t="str">
        <f>HYPERLINK("https://t.co/PoQFWBEBZE")</f>
        <v>https://t.co/PoQFWBEBZE</v>
      </c>
      <c r="AX729" s="76" t="b">
        <v>0</v>
      </c>
      <c r="AY729" s="76"/>
      <c r="AZ729" s="76"/>
      <c r="BA729" s="76" t="b">
        <v>0</v>
      </c>
      <c r="BB729" s="76" t="b">
        <v>1</v>
      </c>
      <c r="BC729" s="76" t="b">
        <v>1</v>
      </c>
      <c r="BD729" s="76" t="b">
        <v>0</v>
      </c>
      <c r="BE729" s="76" t="b">
        <v>1</v>
      </c>
      <c r="BF729" s="76" t="b">
        <v>0</v>
      </c>
      <c r="BG729" s="76" t="b">
        <v>0</v>
      </c>
      <c r="BH729" s="82" t="str">
        <f>HYPERLINK("https://pbs.twimg.com/profile_banners/32910045/1611016546")</f>
        <v>https://pbs.twimg.com/profile_banners/32910045/1611016546</v>
      </c>
      <c r="BI729" s="76"/>
      <c r="BJ729" s="76" t="s">
        <v>14450</v>
      </c>
      <c r="BK729" s="76" t="b">
        <v>0</v>
      </c>
      <c r="BL729" s="76"/>
      <c r="BM729" s="76" t="s">
        <v>66</v>
      </c>
      <c r="BN729" s="76" t="s">
        <v>14452</v>
      </c>
      <c r="BO729" s="82" t="str">
        <f>HYPERLINK("https://twitter.com/cheparaguay")</f>
        <v>https://twitter.com/cheparaguay</v>
      </c>
      <c r="BP729" s="2"/>
    </row>
    <row r="730" spans="1:68" x14ac:dyDescent="0.25">
      <c r="A730" s="62" t="s">
        <v>857</v>
      </c>
      <c r="B730" s="63"/>
      <c r="C730" s="63"/>
      <c r="D730" s="64"/>
      <c r="E730" s="66"/>
      <c r="F730" s="103" t="str">
        <f>HYPERLINK("https://pbs.twimg.com/profile_images/1688676339216216064/gYwfYHEk_normal.jpg")</f>
        <v>https://pbs.twimg.com/profile_images/1688676339216216064/gYwfYHEk_normal.jpg</v>
      </c>
      <c r="G730" s="63"/>
      <c r="H730" s="67"/>
      <c r="I730" s="68"/>
      <c r="J730" s="68"/>
      <c r="K730" s="67" t="s">
        <v>15179</v>
      </c>
      <c r="L730" s="71"/>
      <c r="M730" s="72"/>
      <c r="N730" s="72"/>
      <c r="O730" s="73"/>
      <c r="P730" s="74"/>
      <c r="Q730" s="74"/>
      <c r="R730" s="87"/>
      <c r="S730" s="87"/>
      <c r="T730" s="87"/>
      <c r="U730" s="87"/>
      <c r="V730" s="48"/>
      <c r="W730" s="48"/>
      <c r="X730" s="48"/>
      <c r="Y730" s="48"/>
      <c r="Z730" s="47"/>
      <c r="AA730" s="69">
        <v>730</v>
      </c>
      <c r="AB730" s="69"/>
      <c r="AC730" s="70"/>
      <c r="AD730" s="76" t="s">
        <v>12456</v>
      </c>
      <c r="AE730" s="80" t="s">
        <v>12858</v>
      </c>
      <c r="AF730" s="76">
        <v>584</v>
      </c>
      <c r="AG730" s="76">
        <v>649</v>
      </c>
      <c r="AH730" s="76">
        <v>5275</v>
      </c>
      <c r="AI730" s="76">
        <v>5</v>
      </c>
      <c r="AJ730" s="76">
        <v>1465</v>
      </c>
      <c r="AK730" s="76">
        <v>419</v>
      </c>
      <c r="AL730" s="76" t="b">
        <v>0</v>
      </c>
      <c r="AM730" s="78">
        <v>40702.120740740742</v>
      </c>
      <c r="AN730" s="76" t="s">
        <v>7816</v>
      </c>
      <c r="AO730" s="76" t="s">
        <v>13887</v>
      </c>
      <c r="AP730" s="82" t="str">
        <f>HYPERLINK("https://t.co/oONYqpvHhg")</f>
        <v>https://t.co/oONYqpvHhg</v>
      </c>
      <c r="AQ730" s="82" t="str">
        <f>HYPERLINK("http://www.wix.com/kaiser20062/criollosyalgomas")</f>
        <v>http://www.wix.com/kaiser20062/criollosyalgomas</v>
      </c>
      <c r="AR730" s="76" t="s">
        <v>14352</v>
      </c>
      <c r="AS730" s="76"/>
      <c r="AT730" s="76"/>
      <c r="AU730" s="76"/>
      <c r="AV730" s="76"/>
      <c r="AW730" s="82" t="str">
        <f>HYPERLINK("https://t.co/oONYqpvHhg")</f>
        <v>https://t.co/oONYqpvHhg</v>
      </c>
      <c r="AX730" s="76" t="b">
        <v>0</v>
      </c>
      <c r="AY730" s="76"/>
      <c r="AZ730" s="76"/>
      <c r="BA730" s="76" t="b">
        <v>0</v>
      </c>
      <c r="BB730" s="76" t="b">
        <v>0</v>
      </c>
      <c r="BC730" s="76" t="b">
        <v>0</v>
      </c>
      <c r="BD730" s="76" t="b">
        <v>0</v>
      </c>
      <c r="BE730" s="76" t="b">
        <v>1</v>
      </c>
      <c r="BF730" s="76" t="b">
        <v>0</v>
      </c>
      <c r="BG730" s="76" t="b">
        <v>1</v>
      </c>
      <c r="BH730" s="82" t="str">
        <f>HYPERLINK("https://pbs.twimg.com/profile_banners/313062616/1682124452")</f>
        <v>https://pbs.twimg.com/profile_banners/313062616/1682124452</v>
      </c>
      <c r="BI730" s="76"/>
      <c r="BJ730" s="76" t="s">
        <v>14450</v>
      </c>
      <c r="BK730" s="76" t="b">
        <v>0</v>
      </c>
      <c r="BL730" s="76"/>
      <c r="BM730" s="76" t="s">
        <v>66</v>
      </c>
      <c r="BN730" s="76" t="s">
        <v>14452</v>
      </c>
      <c r="BO730" s="82" t="str">
        <f>HYPERLINK("https://twitter.com/sol_wong")</f>
        <v>https://twitter.com/sol_wong</v>
      </c>
      <c r="BP730" s="2"/>
    </row>
    <row r="731" spans="1:68" x14ac:dyDescent="0.25">
      <c r="A731" s="62" t="s">
        <v>858</v>
      </c>
      <c r="B731" s="63"/>
      <c r="C731" s="63"/>
      <c r="D731" s="64"/>
      <c r="E731" s="66"/>
      <c r="F731" s="103" t="str">
        <f>HYPERLINK("https://pbs.twimg.com/profile_images/1582377001373106176/Ivu-Hmj3_normal.jpg")</f>
        <v>https://pbs.twimg.com/profile_images/1582377001373106176/Ivu-Hmj3_normal.jpg</v>
      </c>
      <c r="G731" s="63"/>
      <c r="H731" s="67"/>
      <c r="I731" s="68"/>
      <c r="J731" s="68"/>
      <c r="K731" s="67" t="s">
        <v>15180</v>
      </c>
      <c r="L731" s="71"/>
      <c r="M731" s="72"/>
      <c r="N731" s="72"/>
      <c r="O731" s="73"/>
      <c r="P731" s="74"/>
      <c r="Q731" s="74"/>
      <c r="R731" s="87"/>
      <c r="S731" s="87"/>
      <c r="T731" s="87"/>
      <c r="U731" s="87"/>
      <c r="V731" s="48"/>
      <c r="W731" s="48"/>
      <c r="X731" s="48"/>
      <c r="Y731" s="48"/>
      <c r="Z731" s="47"/>
      <c r="AA731" s="69">
        <v>731</v>
      </c>
      <c r="AB731" s="69"/>
      <c r="AC731" s="70"/>
      <c r="AD731" s="76" t="s">
        <v>12457</v>
      </c>
      <c r="AE731" s="80" t="s">
        <v>12859</v>
      </c>
      <c r="AF731" s="76">
        <v>176</v>
      </c>
      <c r="AG731" s="76">
        <v>261</v>
      </c>
      <c r="AH731" s="76">
        <v>5414</v>
      </c>
      <c r="AI731" s="76">
        <v>45</v>
      </c>
      <c r="AJ731" s="76">
        <v>7073</v>
      </c>
      <c r="AK731" s="76">
        <v>802</v>
      </c>
      <c r="AL731" s="76" t="b">
        <v>0</v>
      </c>
      <c r="AM731" s="78">
        <v>42158.058495370373</v>
      </c>
      <c r="AN731" s="76" t="s">
        <v>13020</v>
      </c>
      <c r="AO731" s="76" t="s">
        <v>13888</v>
      </c>
      <c r="AP731" s="76"/>
      <c r="AQ731" s="76"/>
      <c r="AR731" s="76"/>
      <c r="AS731" s="76"/>
      <c r="AT731" s="76"/>
      <c r="AU731" s="76"/>
      <c r="AV731" s="76"/>
      <c r="AW731" s="76"/>
      <c r="AX731" s="76" t="b">
        <v>0</v>
      </c>
      <c r="AY731" s="76"/>
      <c r="AZ731" s="76"/>
      <c r="BA731" s="76" t="b">
        <v>0</v>
      </c>
      <c r="BB731" s="76" t="b">
        <v>0</v>
      </c>
      <c r="BC731" s="76" t="b">
        <v>0</v>
      </c>
      <c r="BD731" s="76" t="b">
        <v>0</v>
      </c>
      <c r="BE731" s="76" t="b">
        <v>1</v>
      </c>
      <c r="BF731" s="76" t="b">
        <v>0</v>
      </c>
      <c r="BG731" s="76" t="b">
        <v>0</v>
      </c>
      <c r="BH731" s="82" t="str">
        <f>HYPERLINK("https://pbs.twimg.com/profile_banners/3234532213/1665106439")</f>
        <v>https://pbs.twimg.com/profile_banners/3234532213/1665106439</v>
      </c>
      <c r="BI731" s="76"/>
      <c r="BJ731" s="76" t="s">
        <v>14450</v>
      </c>
      <c r="BK731" s="76" t="b">
        <v>0</v>
      </c>
      <c r="BL731" s="76"/>
      <c r="BM731" s="76" t="s">
        <v>66</v>
      </c>
      <c r="BN731" s="76" t="s">
        <v>14452</v>
      </c>
      <c r="BO731" s="82" t="str">
        <f>HYPERLINK("https://twitter.com/midimashup")</f>
        <v>https://twitter.com/midimashup</v>
      </c>
      <c r="BP731" s="2"/>
    </row>
    <row r="732" spans="1:68" x14ac:dyDescent="0.25">
      <c r="A732" s="62" t="s">
        <v>859</v>
      </c>
      <c r="B732" s="63"/>
      <c r="C732" s="63"/>
      <c r="D732" s="64"/>
      <c r="E732" s="66"/>
      <c r="F732" s="103" t="str">
        <f>HYPERLINK("https://pbs.twimg.com/profile_images/1087386977119289344/QSsu4Ao1_normal.jpg")</f>
        <v>https://pbs.twimg.com/profile_images/1087386977119289344/QSsu4Ao1_normal.jpg</v>
      </c>
      <c r="G732" s="63"/>
      <c r="H732" s="67"/>
      <c r="I732" s="68"/>
      <c r="J732" s="68"/>
      <c r="K732" s="67" t="s">
        <v>15181</v>
      </c>
      <c r="L732" s="71"/>
      <c r="M732" s="72"/>
      <c r="N732" s="72"/>
      <c r="O732" s="73"/>
      <c r="P732" s="74"/>
      <c r="Q732" s="74"/>
      <c r="R732" s="87"/>
      <c r="S732" s="87"/>
      <c r="T732" s="87"/>
      <c r="U732" s="87"/>
      <c r="V732" s="48"/>
      <c r="W732" s="48"/>
      <c r="X732" s="48"/>
      <c r="Y732" s="48"/>
      <c r="Z732" s="47"/>
      <c r="AA732" s="69">
        <v>732</v>
      </c>
      <c r="AB732" s="69"/>
      <c r="AC732" s="70"/>
      <c r="AD732" s="76" t="s">
        <v>12458</v>
      </c>
      <c r="AE732" s="80" t="s">
        <v>11704</v>
      </c>
      <c r="AF732" s="76">
        <v>3020</v>
      </c>
      <c r="AG732" s="76">
        <v>92</v>
      </c>
      <c r="AH732" s="76">
        <v>2992</v>
      </c>
      <c r="AI732" s="76">
        <v>24</v>
      </c>
      <c r="AJ732" s="76">
        <v>60</v>
      </c>
      <c r="AK732" s="76">
        <v>2285</v>
      </c>
      <c r="AL732" s="76" t="b">
        <v>0</v>
      </c>
      <c r="AM732" s="78">
        <v>43483.050532407404</v>
      </c>
      <c r="AN732" s="76" t="s">
        <v>13216</v>
      </c>
      <c r="AO732" s="76" t="s">
        <v>13889</v>
      </c>
      <c r="AP732" s="82" t="str">
        <f>HYPERLINK("https://t.co/hkolgeH6SP")</f>
        <v>https://t.co/hkolgeH6SP</v>
      </c>
      <c r="AQ732" s="82" t="str">
        <f>HYPERLINK("http://www.rededomex.com/")</f>
        <v>http://www.rededomex.com/</v>
      </c>
      <c r="AR732" s="76" t="s">
        <v>4355</v>
      </c>
      <c r="AS732" s="76"/>
      <c r="AT732" s="76"/>
      <c r="AU732" s="76"/>
      <c r="AV732" s="76">
        <v>1.70384310068514E+18</v>
      </c>
      <c r="AW732" s="82" t="str">
        <f>HYPERLINK("https://t.co/hkolgeH6SP")</f>
        <v>https://t.co/hkolgeH6SP</v>
      </c>
      <c r="AX732" s="76" t="b">
        <v>0</v>
      </c>
      <c r="AY732" s="76"/>
      <c r="AZ732" s="76"/>
      <c r="BA732" s="76" t="b">
        <v>0</v>
      </c>
      <c r="BB732" s="76" t="b">
        <v>1</v>
      </c>
      <c r="BC732" s="76" t="b">
        <v>1</v>
      </c>
      <c r="BD732" s="76" t="b">
        <v>0</v>
      </c>
      <c r="BE732" s="76" t="b">
        <v>0</v>
      </c>
      <c r="BF732" s="76" t="b">
        <v>0</v>
      </c>
      <c r="BG732" s="76" t="b">
        <v>0</v>
      </c>
      <c r="BH732" s="82" t="str">
        <f>HYPERLINK("https://pbs.twimg.com/profile_banners/1086068848921640960/1548088232")</f>
        <v>https://pbs.twimg.com/profile_banners/1086068848921640960/1548088232</v>
      </c>
      <c r="BI732" s="76"/>
      <c r="BJ732" s="76" t="s">
        <v>14450</v>
      </c>
      <c r="BK732" s="76" t="b">
        <v>0</v>
      </c>
      <c r="BL732" s="76"/>
      <c r="BM732" s="76" t="s">
        <v>66</v>
      </c>
      <c r="BN732" s="76" t="s">
        <v>14452</v>
      </c>
      <c r="BO732" s="82" t="str">
        <f>HYPERLINK("https://twitter.com/edomexred")</f>
        <v>https://twitter.com/edomexred</v>
      </c>
      <c r="BP732" s="2"/>
    </row>
    <row r="733" spans="1:68" x14ac:dyDescent="0.25">
      <c r="A733" s="62" t="s">
        <v>860</v>
      </c>
      <c r="B733" s="63"/>
      <c r="C733" s="63"/>
      <c r="D733" s="64"/>
      <c r="E733" s="66"/>
      <c r="F733" s="103" t="str">
        <f>HYPERLINK("https://pbs.twimg.com/profile_images/1504195798078300162/4TPhlxqc_normal.jpg")</f>
        <v>https://pbs.twimg.com/profile_images/1504195798078300162/4TPhlxqc_normal.jpg</v>
      </c>
      <c r="G733" s="63"/>
      <c r="H733" s="67"/>
      <c r="I733" s="68"/>
      <c r="J733" s="68"/>
      <c r="K733" s="67" t="s">
        <v>15182</v>
      </c>
      <c r="L733" s="71"/>
      <c r="M733" s="72"/>
      <c r="N733" s="72"/>
      <c r="O733" s="73"/>
      <c r="P733" s="74"/>
      <c r="Q733" s="74"/>
      <c r="R733" s="87"/>
      <c r="S733" s="87"/>
      <c r="T733" s="87"/>
      <c r="U733" s="87"/>
      <c r="V733" s="48"/>
      <c r="W733" s="48"/>
      <c r="X733" s="48"/>
      <c r="Y733" s="48"/>
      <c r="Z733" s="47"/>
      <c r="AA733" s="69">
        <v>733</v>
      </c>
      <c r="AB733" s="69"/>
      <c r="AC733" s="70"/>
      <c r="AD733" s="76" t="s">
        <v>12459</v>
      </c>
      <c r="AE733" s="80" t="s">
        <v>12860</v>
      </c>
      <c r="AF733" s="76">
        <v>2125</v>
      </c>
      <c r="AG733" s="76">
        <v>650</v>
      </c>
      <c r="AH733" s="76">
        <v>10354</v>
      </c>
      <c r="AI733" s="76">
        <v>6</v>
      </c>
      <c r="AJ733" s="76">
        <v>50</v>
      </c>
      <c r="AK733" s="76">
        <v>8268</v>
      </c>
      <c r="AL733" s="76" t="b">
        <v>0</v>
      </c>
      <c r="AM733" s="78">
        <v>40962.843171296299</v>
      </c>
      <c r="AN733" s="76" t="s">
        <v>13217</v>
      </c>
      <c r="AO733" s="76"/>
      <c r="AP733" s="82" t="str">
        <f>HYPERLINK("https://t.co/A3RuQbVn9H")</f>
        <v>https://t.co/A3RuQbVn9H</v>
      </c>
      <c r="AQ733" s="82" t="str">
        <f>HYPERLINK("http://linktr.ee/telecablecentral")</f>
        <v>http://linktr.ee/telecablecentral</v>
      </c>
      <c r="AR733" s="76" t="s">
        <v>14353</v>
      </c>
      <c r="AS733" s="76"/>
      <c r="AT733" s="76"/>
      <c r="AU733" s="76"/>
      <c r="AV733" s="76"/>
      <c r="AW733" s="82" t="str">
        <f>HYPERLINK("https://t.co/A3RuQbVn9H")</f>
        <v>https://t.co/A3RuQbVn9H</v>
      </c>
      <c r="AX733" s="76" t="b">
        <v>0</v>
      </c>
      <c r="AY733" s="76"/>
      <c r="AZ733" s="76"/>
      <c r="BA733" s="76" t="b">
        <v>0</v>
      </c>
      <c r="BB733" s="76" t="b">
        <v>1</v>
      </c>
      <c r="BC733" s="76" t="b">
        <v>0</v>
      </c>
      <c r="BD733" s="76" t="b">
        <v>0</v>
      </c>
      <c r="BE733" s="76" t="b">
        <v>0</v>
      </c>
      <c r="BF733" s="76" t="b">
        <v>0</v>
      </c>
      <c r="BG733" s="76" t="b">
        <v>0</v>
      </c>
      <c r="BH733" s="82" t="str">
        <f>HYPERLINK("https://pbs.twimg.com/profile_banners/501112614/1546520826")</f>
        <v>https://pbs.twimg.com/profile_banners/501112614/1546520826</v>
      </c>
      <c r="BI733" s="76"/>
      <c r="BJ733" s="76" t="s">
        <v>14450</v>
      </c>
      <c r="BK733" s="76" t="b">
        <v>0</v>
      </c>
      <c r="BL733" s="76"/>
      <c r="BM733" s="76" t="s">
        <v>66</v>
      </c>
      <c r="BN733" s="76" t="s">
        <v>14452</v>
      </c>
      <c r="BO733" s="82" t="str">
        <f>HYPERLINK("https://twitter.com/telecentral")</f>
        <v>https://twitter.com/telecentral</v>
      </c>
      <c r="BP733" s="2"/>
    </row>
    <row r="734" spans="1:68" x14ac:dyDescent="0.25">
      <c r="A734" s="62" t="s">
        <v>861</v>
      </c>
      <c r="B734" s="63"/>
      <c r="C734" s="63"/>
      <c r="D734" s="64"/>
      <c r="E734" s="66"/>
      <c r="F734" s="103" t="str">
        <f>HYPERLINK("https://pbs.twimg.com/profile_images/1699438389013946368/CrWeIoml_normal.jpg")</f>
        <v>https://pbs.twimg.com/profile_images/1699438389013946368/CrWeIoml_normal.jpg</v>
      </c>
      <c r="G734" s="63"/>
      <c r="H734" s="67"/>
      <c r="I734" s="68"/>
      <c r="J734" s="68"/>
      <c r="K734" s="67" t="s">
        <v>15183</v>
      </c>
      <c r="L734" s="71"/>
      <c r="M734" s="72"/>
      <c r="N734" s="72"/>
      <c r="O734" s="73"/>
      <c r="P734" s="74"/>
      <c r="Q734" s="74"/>
      <c r="R734" s="87"/>
      <c r="S734" s="87"/>
      <c r="T734" s="87"/>
      <c r="U734" s="87"/>
      <c r="V734" s="48"/>
      <c r="W734" s="48"/>
      <c r="X734" s="48"/>
      <c r="Y734" s="48"/>
      <c r="Z734" s="47"/>
      <c r="AA734" s="69">
        <v>734</v>
      </c>
      <c r="AB734" s="69"/>
      <c r="AC734" s="70"/>
      <c r="AD734" s="76" t="s">
        <v>12460</v>
      </c>
      <c r="AE734" s="80" t="s">
        <v>11705</v>
      </c>
      <c r="AF734" s="76">
        <v>16</v>
      </c>
      <c r="AG734" s="76">
        <v>15</v>
      </c>
      <c r="AH734" s="76">
        <v>402</v>
      </c>
      <c r="AI734" s="76">
        <v>0</v>
      </c>
      <c r="AJ734" s="76">
        <v>164</v>
      </c>
      <c r="AK734" s="76">
        <v>42</v>
      </c>
      <c r="AL734" s="76" t="b">
        <v>0</v>
      </c>
      <c r="AM734" s="78">
        <v>44351.583553240744</v>
      </c>
      <c r="AN734" s="76" t="s">
        <v>13218</v>
      </c>
      <c r="AO734" s="76" t="s">
        <v>13890</v>
      </c>
      <c r="AP734" s="82" t="str">
        <f>HYPERLINK("https://t.co/XpJD9zDmPO")</f>
        <v>https://t.co/XpJD9zDmPO</v>
      </c>
      <c r="AQ734" s="82" t="str">
        <f>HYPERLINK("https://payagar.negocio.site/")</f>
        <v>https://payagar.negocio.site/</v>
      </c>
      <c r="AR734" s="76" t="s">
        <v>14354</v>
      </c>
      <c r="AS734" s="76"/>
      <c r="AT734" s="76"/>
      <c r="AU734" s="76"/>
      <c r="AV734" s="76">
        <v>1.5523122594304399E+18</v>
      </c>
      <c r="AW734" s="82" t="str">
        <f>HYPERLINK("https://t.co/XpJD9zDmPO")</f>
        <v>https://t.co/XpJD9zDmPO</v>
      </c>
      <c r="AX734" s="76" t="b">
        <v>0</v>
      </c>
      <c r="AY734" s="76"/>
      <c r="AZ734" s="76"/>
      <c r="BA734" s="76" t="b">
        <v>0</v>
      </c>
      <c r="BB734" s="76" t="b">
        <v>1</v>
      </c>
      <c r="BC734" s="76" t="b">
        <v>1</v>
      </c>
      <c r="BD734" s="76" t="b">
        <v>0</v>
      </c>
      <c r="BE734" s="76" t="b">
        <v>0</v>
      </c>
      <c r="BF734" s="76" t="b">
        <v>0</v>
      </c>
      <c r="BG734" s="76" t="b">
        <v>0</v>
      </c>
      <c r="BH734" s="82" t="str">
        <f>HYPERLINK("https://pbs.twimg.com/profile_banners/1400813401367007238/1658937005")</f>
        <v>https://pbs.twimg.com/profile_banners/1400813401367007238/1658937005</v>
      </c>
      <c r="BI734" s="76"/>
      <c r="BJ734" s="76" t="s">
        <v>14450</v>
      </c>
      <c r="BK734" s="76" t="b">
        <v>0</v>
      </c>
      <c r="BL734" s="76"/>
      <c r="BM734" s="76" t="s">
        <v>66</v>
      </c>
      <c r="BN734" s="76" t="s">
        <v>14452</v>
      </c>
      <c r="BO734" s="82" t="str">
        <f>HYPERLINK("https://twitter.com/payagar_sm")</f>
        <v>https://twitter.com/payagar_sm</v>
      </c>
      <c r="BP734" s="2"/>
    </row>
    <row r="735" spans="1:68" x14ac:dyDescent="0.25">
      <c r="A735" s="62" t="s">
        <v>862</v>
      </c>
      <c r="B735" s="63"/>
      <c r="C735" s="63"/>
      <c r="D735" s="64"/>
      <c r="E735" s="66"/>
      <c r="F735" s="103" t="str">
        <f>HYPERLINK("https://pbs.twimg.com/profile_images/1422632555233296384/hnoqJlF9_normal.jpg")</f>
        <v>https://pbs.twimg.com/profile_images/1422632555233296384/hnoqJlF9_normal.jpg</v>
      </c>
      <c r="G735" s="63"/>
      <c r="H735" s="67"/>
      <c r="I735" s="68"/>
      <c r="J735" s="68"/>
      <c r="K735" s="67" t="s">
        <v>15184</v>
      </c>
      <c r="L735" s="71"/>
      <c r="M735" s="72"/>
      <c r="N735" s="72"/>
      <c r="O735" s="73"/>
      <c r="P735" s="74"/>
      <c r="Q735" s="74"/>
      <c r="R735" s="87"/>
      <c r="S735" s="87"/>
      <c r="T735" s="87"/>
      <c r="U735" s="87"/>
      <c r="V735" s="48"/>
      <c r="W735" s="48"/>
      <c r="X735" s="48"/>
      <c r="Y735" s="48"/>
      <c r="Z735" s="47"/>
      <c r="AA735" s="69">
        <v>735</v>
      </c>
      <c r="AB735" s="69"/>
      <c r="AC735" s="70"/>
      <c r="AD735" s="76" t="s">
        <v>12461</v>
      </c>
      <c r="AE735" s="80" t="s">
        <v>11706</v>
      </c>
      <c r="AF735" s="76">
        <v>162</v>
      </c>
      <c r="AG735" s="76">
        <v>1</v>
      </c>
      <c r="AH735" s="76">
        <v>1215</v>
      </c>
      <c r="AI735" s="76">
        <v>1</v>
      </c>
      <c r="AJ735" s="76">
        <v>170</v>
      </c>
      <c r="AK735" s="76">
        <v>334</v>
      </c>
      <c r="AL735" s="76" t="b">
        <v>0</v>
      </c>
      <c r="AM735" s="78">
        <v>44411.747083333335</v>
      </c>
      <c r="AN735" s="76"/>
      <c r="AO735" s="76" t="s">
        <v>13891</v>
      </c>
      <c r="AP735" s="82" t="str">
        <f>HYPERLINK("https://t.co/rwTygWwpJA")</f>
        <v>https://t.co/rwTygWwpJA</v>
      </c>
      <c r="AQ735" s="82" t="str">
        <f>HYPERLINK("https://cutt.ly/eO186nV")</f>
        <v>https://cutt.ly/eO186nV</v>
      </c>
      <c r="AR735" s="76" t="s">
        <v>14355</v>
      </c>
      <c r="AS735" s="76"/>
      <c r="AT735" s="76"/>
      <c r="AU735" s="76"/>
      <c r="AV735" s="76">
        <v>1.70384883704626E+18</v>
      </c>
      <c r="AW735" s="82" t="str">
        <f>HYPERLINK("https://t.co/rwTygWwpJA")</f>
        <v>https://t.co/rwTygWwpJA</v>
      </c>
      <c r="AX735" s="76" t="b">
        <v>0</v>
      </c>
      <c r="AY735" s="76"/>
      <c r="AZ735" s="76"/>
      <c r="BA735" s="76" t="b">
        <v>0</v>
      </c>
      <c r="BB735" s="76" t="b">
        <v>1</v>
      </c>
      <c r="BC735" s="76" t="b">
        <v>1</v>
      </c>
      <c r="BD735" s="76" t="b">
        <v>0</v>
      </c>
      <c r="BE735" s="76" t="b">
        <v>0</v>
      </c>
      <c r="BF735" s="76" t="b">
        <v>0</v>
      </c>
      <c r="BG735" s="76" t="b">
        <v>0</v>
      </c>
      <c r="BH735" s="82" t="str">
        <f>HYPERLINK("https://pbs.twimg.com/profile_banners/1422614730003333128/1692202691")</f>
        <v>https://pbs.twimg.com/profile_banners/1422614730003333128/1692202691</v>
      </c>
      <c r="BI735" s="76"/>
      <c r="BJ735" s="76" t="s">
        <v>14450</v>
      </c>
      <c r="BK735" s="76" t="b">
        <v>0</v>
      </c>
      <c r="BL735" s="76"/>
      <c r="BM735" s="76" t="s">
        <v>66</v>
      </c>
      <c r="BN735" s="76" t="s">
        <v>14452</v>
      </c>
      <c r="BO735" s="82" t="str">
        <f>HYPERLINK("https://twitter.com/migranoticiasla")</f>
        <v>https://twitter.com/migranoticiasla</v>
      </c>
      <c r="BP735" s="2"/>
    </row>
    <row r="736" spans="1:68" x14ac:dyDescent="0.25">
      <c r="A736" s="62" t="s">
        <v>962</v>
      </c>
      <c r="B736" s="63"/>
      <c r="C736" s="63"/>
      <c r="D736" s="64"/>
      <c r="E736" s="66"/>
      <c r="F736" s="103" t="str">
        <f>HYPERLINK("https://pbs.twimg.com/profile_images/1521248217106726913/h1UeFhFm_normal.jpg")</f>
        <v>https://pbs.twimg.com/profile_images/1521248217106726913/h1UeFhFm_normal.jpg</v>
      </c>
      <c r="G736" s="63"/>
      <c r="H736" s="67"/>
      <c r="I736" s="68"/>
      <c r="J736" s="68"/>
      <c r="K736" s="67" t="s">
        <v>15185</v>
      </c>
      <c r="L736" s="71"/>
      <c r="M736" s="72"/>
      <c r="N736" s="72"/>
      <c r="O736" s="73"/>
      <c r="P736" s="74"/>
      <c r="Q736" s="74"/>
      <c r="R736" s="87"/>
      <c r="S736" s="87"/>
      <c r="T736" s="87"/>
      <c r="U736" s="87"/>
      <c r="V736" s="48"/>
      <c r="W736" s="48"/>
      <c r="X736" s="48"/>
      <c r="Y736" s="48"/>
      <c r="Z736" s="47"/>
      <c r="AA736" s="69">
        <v>736</v>
      </c>
      <c r="AB736" s="69"/>
      <c r="AC736" s="70"/>
      <c r="AD736" s="76" t="s">
        <v>12462</v>
      </c>
      <c r="AE736" s="80" t="s">
        <v>12861</v>
      </c>
      <c r="AF736" s="76">
        <v>8895947</v>
      </c>
      <c r="AG736" s="76">
        <v>645</v>
      </c>
      <c r="AH736" s="76">
        <v>4083</v>
      </c>
      <c r="AI736" s="76">
        <v>1242</v>
      </c>
      <c r="AJ736" s="76">
        <v>33873</v>
      </c>
      <c r="AK736" s="76">
        <v>904</v>
      </c>
      <c r="AL736" s="76" t="b">
        <v>0</v>
      </c>
      <c r="AM736" s="78">
        <v>40160.915590277778</v>
      </c>
      <c r="AN736" s="76"/>
      <c r="AO736" s="76" t="s">
        <v>13892</v>
      </c>
      <c r="AP736" s="82" t="str">
        <f>HYPERLINK("https://t.co/qpetl7nPDj")</f>
        <v>https://t.co/qpetl7nPDj</v>
      </c>
      <c r="AQ736" s="82" t="str">
        <f>HYPERLINK("https://youtube.com/@luisitocomunica")</f>
        <v>https://youtube.com/@luisitocomunica</v>
      </c>
      <c r="AR736" s="76" t="s">
        <v>14356</v>
      </c>
      <c r="AS736" s="76"/>
      <c r="AT736" s="76"/>
      <c r="AU736" s="76"/>
      <c r="AV736" s="76">
        <v>1.23643584044592E+18</v>
      </c>
      <c r="AW736" s="82" t="str">
        <f>HYPERLINK("https://t.co/qpetl7nPDj")</f>
        <v>https://t.co/qpetl7nPDj</v>
      </c>
      <c r="AX736" s="76" t="b">
        <v>1</v>
      </c>
      <c r="AY736" s="76"/>
      <c r="AZ736" s="76"/>
      <c r="BA736" s="76" t="b">
        <v>0</v>
      </c>
      <c r="BB736" s="76" t="b">
        <v>1</v>
      </c>
      <c r="BC736" s="76" t="b">
        <v>1</v>
      </c>
      <c r="BD736" s="76" t="b">
        <v>0</v>
      </c>
      <c r="BE736" s="76" t="b">
        <v>1</v>
      </c>
      <c r="BF736" s="76" t="b">
        <v>0</v>
      </c>
      <c r="BG736" s="76" t="b">
        <v>0</v>
      </c>
      <c r="BH736" s="82" t="str">
        <f>HYPERLINK("https://pbs.twimg.com/profile_banners/96634419/1651528728")</f>
        <v>https://pbs.twimg.com/profile_banners/96634419/1651528728</v>
      </c>
      <c r="BI736" s="76"/>
      <c r="BJ736" s="76" t="s">
        <v>14451</v>
      </c>
      <c r="BK736" s="76" t="b">
        <v>0</v>
      </c>
      <c r="BL736" s="76"/>
      <c r="BM736" s="76" t="s">
        <v>65</v>
      </c>
      <c r="BN736" s="76" t="s">
        <v>14452</v>
      </c>
      <c r="BO736" s="82" t="str">
        <f>HYPERLINK("https://twitter.com/luisitocomunica")</f>
        <v>https://twitter.com/luisitocomunica</v>
      </c>
      <c r="BP736" s="2"/>
    </row>
    <row r="737" spans="1:68" x14ac:dyDescent="0.25">
      <c r="A737" s="62" t="s">
        <v>863</v>
      </c>
      <c r="B737" s="63"/>
      <c r="C737" s="63"/>
      <c r="D737" s="64"/>
      <c r="E737" s="66"/>
      <c r="F737" s="103" t="str">
        <f>HYPERLINK("https://pbs.twimg.com/profile_images/1399671855552794627/alxvjfrF_normal.jpg")</f>
        <v>https://pbs.twimg.com/profile_images/1399671855552794627/alxvjfrF_normal.jpg</v>
      </c>
      <c r="G737" s="63"/>
      <c r="H737" s="67"/>
      <c r="I737" s="68"/>
      <c r="J737" s="68"/>
      <c r="K737" s="67" t="s">
        <v>15186</v>
      </c>
      <c r="L737" s="71"/>
      <c r="M737" s="72"/>
      <c r="N737" s="72"/>
      <c r="O737" s="73"/>
      <c r="P737" s="74"/>
      <c r="Q737" s="74"/>
      <c r="R737" s="87"/>
      <c r="S737" s="87"/>
      <c r="T737" s="87"/>
      <c r="U737" s="87"/>
      <c r="V737" s="48"/>
      <c r="W737" s="48"/>
      <c r="X737" s="48"/>
      <c r="Y737" s="48"/>
      <c r="Z737" s="47"/>
      <c r="AA737" s="69">
        <v>737</v>
      </c>
      <c r="AB737" s="69"/>
      <c r="AC737" s="70"/>
      <c r="AD737" s="76" t="s">
        <v>12463</v>
      </c>
      <c r="AE737" s="80" t="s">
        <v>11707</v>
      </c>
      <c r="AF737" s="76">
        <v>842</v>
      </c>
      <c r="AG737" s="76">
        <v>966</v>
      </c>
      <c r="AH737" s="76">
        <v>2011</v>
      </c>
      <c r="AI737" s="76">
        <v>5</v>
      </c>
      <c r="AJ737" s="76">
        <v>2227</v>
      </c>
      <c r="AK737" s="76">
        <v>1406</v>
      </c>
      <c r="AL737" s="76" t="b">
        <v>0</v>
      </c>
      <c r="AM737" s="78">
        <v>43902.442060185182</v>
      </c>
      <c r="AN737" s="76" t="s">
        <v>12888</v>
      </c>
      <c r="AO737" s="76" t="s">
        <v>13893</v>
      </c>
      <c r="AP737" s="82" t="str">
        <f>HYPERLINK("https://t.co/YVqCtlOLG1")</f>
        <v>https://t.co/YVqCtlOLG1</v>
      </c>
      <c r="AQ737" s="82" t="str">
        <f>HYPERLINK("https://www.esic.edu/editorial/")</f>
        <v>https://www.esic.edu/editorial/</v>
      </c>
      <c r="AR737" s="76" t="s">
        <v>14357</v>
      </c>
      <c r="AS737" s="76"/>
      <c r="AT737" s="76"/>
      <c r="AU737" s="76"/>
      <c r="AV737" s="76">
        <v>1.7062547183207199E+18</v>
      </c>
      <c r="AW737" s="82" t="str">
        <f>HYPERLINK("https://t.co/YVqCtlOLG1")</f>
        <v>https://t.co/YVqCtlOLG1</v>
      </c>
      <c r="AX737" s="76" t="b">
        <v>0</v>
      </c>
      <c r="AY737" s="76"/>
      <c r="AZ737" s="76"/>
      <c r="BA737" s="76" t="b">
        <v>1</v>
      </c>
      <c r="BB737" s="76" t="b">
        <v>1</v>
      </c>
      <c r="BC737" s="76" t="b">
        <v>1</v>
      </c>
      <c r="BD737" s="76" t="b">
        <v>0</v>
      </c>
      <c r="BE737" s="76" t="b">
        <v>0</v>
      </c>
      <c r="BF737" s="76" t="b">
        <v>0</v>
      </c>
      <c r="BG737" s="76" t="b">
        <v>0</v>
      </c>
      <c r="BH737" s="82" t="str">
        <f>HYPERLINK("https://pbs.twimg.com/profile_banners/1238051131407900672/1622542749")</f>
        <v>https://pbs.twimg.com/profile_banners/1238051131407900672/1622542749</v>
      </c>
      <c r="BI737" s="76"/>
      <c r="BJ737" s="76" t="s">
        <v>14450</v>
      </c>
      <c r="BK737" s="76" t="b">
        <v>0</v>
      </c>
      <c r="BL737" s="76"/>
      <c r="BM737" s="76" t="s">
        <v>66</v>
      </c>
      <c r="BN737" s="76" t="s">
        <v>14452</v>
      </c>
      <c r="BO737" s="82" t="str">
        <f>HYPERLINK("https://twitter.com/esiceditorial")</f>
        <v>https://twitter.com/esiceditorial</v>
      </c>
      <c r="BP737" s="2"/>
    </row>
    <row r="738" spans="1:68" x14ac:dyDescent="0.25">
      <c r="A738" s="62" t="s">
        <v>963</v>
      </c>
      <c r="B738" s="63"/>
      <c r="C738" s="63"/>
      <c r="D738" s="64"/>
      <c r="E738" s="66"/>
      <c r="F738" s="103" t="str">
        <f>HYPERLINK("https://pbs.twimg.com/profile_images/378800000850861960/1a830c2b64c8cfaffb404f7dfabb48d1_normal.jpeg")</f>
        <v>https://pbs.twimg.com/profile_images/378800000850861960/1a830c2b64c8cfaffb404f7dfabb48d1_normal.jpeg</v>
      </c>
      <c r="G738" s="63"/>
      <c r="H738" s="67"/>
      <c r="I738" s="68"/>
      <c r="J738" s="68"/>
      <c r="K738" s="67" t="s">
        <v>15187</v>
      </c>
      <c r="L738" s="71"/>
      <c r="M738" s="72"/>
      <c r="N738" s="72"/>
      <c r="O738" s="73"/>
      <c r="P738" s="74"/>
      <c r="Q738" s="74"/>
      <c r="R738" s="87"/>
      <c r="S738" s="87"/>
      <c r="T738" s="87"/>
      <c r="U738" s="87"/>
      <c r="V738" s="48"/>
      <c r="W738" s="48"/>
      <c r="X738" s="48"/>
      <c r="Y738" s="48"/>
      <c r="Z738" s="47"/>
      <c r="AA738" s="69">
        <v>738</v>
      </c>
      <c r="AB738" s="69"/>
      <c r="AC738" s="70"/>
      <c r="AD738" s="76" t="s">
        <v>12464</v>
      </c>
      <c r="AE738" s="80" t="s">
        <v>12862</v>
      </c>
      <c r="AF738" s="76">
        <v>4038</v>
      </c>
      <c r="AG738" s="76">
        <v>1598</v>
      </c>
      <c r="AH738" s="76">
        <v>14440</v>
      </c>
      <c r="AI738" s="76">
        <v>151</v>
      </c>
      <c r="AJ738" s="76">
        <v>3514</v>
      </c>
      <c r="AK738" s="76">
        <v>4541</v>
      </c>
      <c r="AL738" s="76" t="b">
        <v>0</v>
      </c>
      <c r="AM738" s="78">
        <v>41375.707627314812</v>
      </c>
      <c r="AN738" s="76" t="s">
        <v>12888</v>
      </c>
      <c r="AO738" s="76" t="s">
        <v>13894</v>
      </c>
      <c r="AP738" s="82" t="str">
        <f>HYPERLINK("http://t.co/hihdE5PIzB")</f>
        <v>http://t.co/hihdE5PIzB</v>
      </c>
      <c r="AQ738" s="82" t="str">
        <f>HYPERLINK("http://www.retailactual.com")</f>
        <v>http://www.retailactual.com</v>
      </c>
      <c r="AR738" s="76" t="s">
        <v>14358</v>
      </c>
      <c r="AS738" s="76"/>
      <c r="AT738" s="76"/>
      <c r="AU738" s="76"/>
      <c r="AV738" s="76"/>
      <c r="AW738" s="82" t="str">
        <f>HYPERLINK("http://t.co/hihdE5PIzB")</f>
        <v>http://t.co/hihdE5PIzB</v>
      </c>
      <c r="AX738" s="76" t="b">
        <v>0</v>
      </c>
      <c r="AY738" s="76"/>
      <c r="AZ738" s="76"/>
      <c r="BA738" s="76" t="b">
        <v>0</v>
      </c>
      <c r="BB738" s="76" t="b">
        <v>1</v>
      </c>
      <c r="BC738" s="76" t="b">
        <v>0</v>
      </c>
      <c r="BD738" s="76" t="b">
        <v>0</v>
      </c>
      <c r="BE738" s="76" t="b">
        <v>1</v>
      </c>
      <c r="BF738" s="76" t="b">
        <v>0</v>
      </c>
      <c r="BG738" s="76" t="b">
        <v>0</v>
      </c>
      <c r="BH738" s="82" t="str">
        <f>HYPERLINK("https://pbs.twimg.com/profile_banners/1344819794/1559214355")</f>
        <v>https://pbs.twimg.com/profile_banners/1344819794/1559214355</v>
      </c>
      <c r="BI738" s="76"/>
      <c r="BJ738" s="76" t="s">
        <v>14450</v>
      </c>
      <c r="BK738" s="76" t="b">
        <v>0</v>
      </c>
      <c r="BL738" s="76"/>
      <c r="BM738" s="76" t="s">
        <v>65</v>
      </c>
      <c r="BN738" s="76" t="s">
        <v>14452</v>
      </c>
      <c r="BO738" s="82" t="str">
        <f>HYPERLINK("https://twitter.com/retailactual")</f>
        <v>https://twitter.com/retailactual</v>
      </c>
      <c r="BP738" s="2"/>
    </row>
    <row r="739" spans="1:68" x14ac:dyDescent="0.25">
      <c r="A739" s="62" t="s">
        <v>964</v>
      </c>
      <c r="B739" s="63"/>
      <c r="C739" s="63"/>
      <c r="D739" s="64"/>
      <c r="E739" s="66"/>
      <c r="F739" s="103" t="str">
        <f>HYPERLINK("https://pbs.twimg.com/profile_images/737337559341236224/OQOe0OQ4_normal.jpg")</f>
        <v>https://pbs.twimg.com/profile_images/737337559341236224/OQOe0OQ4_normal.jpg</v>
      </c>
      <c r="G739" s="63"/>
      <c r="H739" s="67"/>
      <c r="I739" s="68"/>
      <c r="J739" s="68"/>
      <c r="K739" s="67" t="s">
        <v>15188</v>
      </c>
      <c r="L739" s="71"/>
      <c r="M739" s="72"/>
      <c r="N739" s="72"/>
      <c r="O739" s="73"/>
      <c r="P739" s="74"/>
      <c r="Q739" s="74"/>
      <c r="R739" s="87"/>
      <c r="S739" s="87"/>
      <c r="T739" s="87"/>
      <c r="U739" s="87"/>
      <c r="V739" s="48"/>
      <c r="W739" s="48"/>
      <c r="X739" s="48"/>
      <c r="Y739" s="48"/>
      <c r="Z739" s="47"/>
      <c r="AA739" s="69">
        <v>739</v>
      </c>
      <c r="AB739" s="69"/>
      <c r="AC739" s="70"/>
      <c r="AD739" s="76" t="s">
        <v>12465</v>
      </c>
      <c r="AE739" s="80" t="s">
        <v>12863</v>
      </c>
      <c r="AF739" s="76">
        <v>283</v>
      </c>
      <c r="AG739" s="76">
        <v>313</v>
      </c>
      <c r="AH739" s="76">
        <v>279</v>
      </c>
      <c r="AI739" s="76">
        <v>11</v>
      </c>
      <c r="AJ739" s="76">
        <v>318</v>
      </c>
      <c r="AK739" s="76">
        <v>8</v>
      </c>
      <c r="AL739" s="76" t="b">
        <v>0</v>
      </c>
      <c r="AM739" s="78">
        <v>41238.846562500003</v>
      </c>
      <c r="AN739" s="76" t="s">
        <v>7879</v>
      </c>
      <c r="AO739" s="76" t="s">
        <v>13895</v>
      </c>
      <c r="AP739" s="82" t="str">
        <f>HYPERLINK("https://t.co/ZNg7THpBr2")</f>
        <v>https://t.co/ZNg7THpBr2</v>
      </c>
      <c r="AQ739" s="82" t="str">
        <f>HYPERLINK("http://www.raqueldavo.com")</f>
        <v>http://www.raqueldavo.com</v>
      </c>
      <c r="AR739" s="76" t="s">
        <v>14359</v>
      </c>
      <c r="AS739" s="76"/>
      <c r="AT739" s="76"/>
      <c r="AU739" s="76"/>
      <c r="AV739" s="76"/>
      <c r="AW739" s="82" t="str">
        <f>HYPERLINK("https://t.co/ZNg7THpBr2")</f>
        <v>https://t.co/ZNg7THpBr2</v>
      </c>
      <c r="AX739" s="76" t="b">
        <v>0</v>
      </c>
      <c r="AY739" s="76"/>
      <c r="AZ739" s="76"/>
      <c r="BA739" s="76" t="b">
        <v>0</v>
      </c>
      <c r="BB739" s="76" t="b">
        <v>0</v>
      </c>
      <c r="BC739" s="76" t="b">
        <v>1</v>
      </c>
      <c r="BD739" s="76" t="b">
        <v>0</v>
      </c>
      <c r="BE739" s="76" t="b">
        <v>1</v>
      </c>
      <c r="BF739" s="76" t="b">
        <v>0</v>
      </c>
      <c r="BG739" s="76" t="b">
        <v>0</v>
      </c>
      <c r="BH739" s="82" t="str">
        <f>HYPERLINK("https://pbs.twimg.com/profile_banners/970720129/1533915749")</f>
        <v>https://pbs.twimg.com/profile_banners/970720129/1533915749</v>
      </c>
      <c r="BI739" s="76"/>
      <c r="BJ739" s="76" t="s">
        <v>14450</v>
      </c>
      <c r="BK739" s="76" t="b">
        <v>0</v>
      </c>
      <c r="BL739" s="76"/>
      <c r="BM739" s="76" t="s">
        <v>65</v>
      </c>
      <c r="BN739" s="76" t="s">
        <v>14452</v>
      </c>
      <c r="BO739" s="82" t="str">
        <f>HYPERLINK("https://twitter.com/raquel_davo")</f>
        <v>https://twitter.com/raquel_davo</v>
      </c>
      <c r="BP739" s="2"/>
    </row>
    <row r="740" spans="1:68" x14ac:dyDescent="0.25">
      <c r="A740" s="62" t="s">
        <v>965</v>
      </c>
      <c r="B740" s="63"/>
      <c r="C740" s="63"/>
      <c r="D740" s="64"/>
      <c r="E740" s="66"/>
      <c r="F740" s="103" t="str">
        <f>HYPERLINK("https://pbs.twimg.com/profile_images/1524878522145247232/g2j6j8Zs_normal.jpg")</f>
        <v>https://pbs.twimg.com/profile_images/1524878522145247232/g2j6j8Zs_normal.jpg</v>
      </c>
      <c r="G740" s="63"/>
      <c r="H740" s="67"/>
      <c r="I740" s="68"/>
      <c r="J740" s="68"/>
      <c r="K740" s="67" t="s">
        <v>15189</v>
      </c>
      <c r="L740" s="71"/>
      <c r="M740" s="72"/>
      <c r="N740" s="72"/>
      <c r="O740" s="73"/>
      <c r="P740" s="74"/>
      <c r="Q740" s="74"/>
      <c r="R740" s="87"/>
      <c r="S740" s="87"/>
      <c r="T740" s="87"/>
      <c r="U740" s="87"/>
      <c r="V740" s="48"/>
      <c r="W740" s="48"/>
      <c r="X740" s="48"/>
      <c r="Y740" s="48"/>
      <c r="Z740" s="47"/>
      <c r="AA740" s="69">
        <v>740</v>
      </c>
      <c r="AB740" s="69"/>
      <c r="AC740" s="70"/>
      <c r="AD740" s="76" t="s">
        <v>12466</v>
      </c>
      <c r="AE740" s="80" t="s">
        <v>12864</v>
      </c>
      <c r="AF740" s="76">
        <v>32</v>
      </c>
      <c r="AG740" s="76">
        <v>103</v>
      </c>
      <c r="AH740" s="76">
        <v>183</v>
      </c>
      <c r="AI740" s="76">
        <v>0</v>
      </c>
      <c r="AJ740" s="76">
        <v>287</v>
      </c>
      <c r="AK740" s="76">
        <v>11</v>
      </c>
      <c r="AL740" s="76" t="b">
        <v>0</v>
      </c>
      <c r="AM740" s="78">
        <v>41628.832118055558</v>
      </c>
      <c r="AN740" s="76" t="s">
        <v>12888</v>
      </c>
      <c r="AO740" s="76" t="s">
        <v>13896</v>
      </c>
      <c r="AP740" s="82" t="str">
        <f>HYPERLINK("https://t.co/bSOAqNZ4fy")</f>
        <v>https://t.co/bSOAqNZ4fy</v>
      </c>
      <c r="AQ740" s="82" t="str">
        <f>HYPERLINK("http://www.jcjimenezemotions.com")</f>
        <v>http://www.jcjimenezemotions.com</v>
      </c>
      <c r="AR740" s="76" t="s">
        <v>14360</v>
      </c>
      <c r="AS740" s="76"/>
      <c r="AT740" s="76"/>
      <c r="AU740" s="76"/>
      <c r="AV740" s="76"/>
      <c r="AW740" s="82" t="str">
        <f>HYPERLINK("https://t.co/bSOAqNZ4fy")</f>
        <v>https://t.co/bSOAqNZ4fy</v>
      </c>
      <c r="AX740" s="76" t="b">
        <v>0</v>
      </c>
      <c r="AY740" s="76"/>
      <c r="AZ740" s="76"/>
      <c r="BA740" s="76" t="b">
        <v>0</v>
      </c>
      <c r="BB740" s="76" t="b">
        <v>1</v>
      </c>
      <c r="BC740" s="76" t="b">
        <v>1</v>
      </c>
      <c r="BD740" s="76" t="b">
        <v>0</v>
      </c>
      <c r="BE740" s="76" t="b">
        <v>1</v>
      </c>
      <c r="BF740" s="76" t="b">
        <v>0</v>
      </c>
      <c r="BG740" s="76" t="b">
        <v>0</v>
      </c>
      <c r="BH740" s="82" t="str">
        <f>HYPERLINK("https://pbs.twimg.com/profile_banners/2235262565/1589019617")</f>
        <v>https://pbs.twimg.com/profile_banners/2235262565/1589019617</v>
      </c>
      <c r="BI740" s="76"/>
      <c r="BJ740" s="76" t="s">
        <v>14450</v>
      </c>
      <c r="BK740" s="76" t="b">
        <v>0</v>
      </c>
      <c r="BL740" s="76"/>
      <c r="BM740" s="76" t="s">
        <v>65</v>
      </c>
      <c r="BN740" s="76" t="s">
        <v>14452</v>
      </c>
      <c r="BO740" s="82" t="str">
        <f>HYPERLINK("https://twitter.com/jcj360")</f>
        <v>https://twitter.com/jcj360</v>
      </c>
      <c r="BP740" s="2"/>
    </row>
    <row r="741" spans="1:68" x14ac:dyDescent="0.25">
      <c r="A741" s="62" t="s">
        <v>864</v>
      </c>
      <c r="B741" s="63"/>
      <c r="C741" s="63"/>
      <c r="D741" s="64"/>
      <c r="E741" s="66"/>
      <c r="F741" s="103" t="str">
        <f>HYPERLINK("https://pbs.twimg.com/profile_images/1670873499353661442/dWwTl0F7_normal.jpg")</f>
        <v>https://pbs.twimg.com/profile_images/1670873499353661442/dWwTl0F7_normal.jpg</v>
      </c>
      <c r="G741" s="63"/>
      <c r="H741" s="67"/>
      <c r="I741" s="68"/>
      <c r="J741" s="68"/>
      <c r="K741" s="67" t="s">
        <v>15190</v>
      </c>
      <c r="L741" s="71"/>
      <c r="M741" s="72"/>
      <c r="N741" s="72"/>
      <c r="O741" s="73"/>
      <c r="P741" s="74"/>
      <c r="Q741" s="74"/>
      <c r="R741" s="87"/>
      <c r="S741" s="87"/>
      <c r="T741" s="87"/>
      <c r="U741" s="87"/>
      <c r="V741" s="48"/>
      <c r="W741" s="48"/>
      <c r="X741" s="48"/>
      <c r="Y741" s="48"/>
      <c r="Z741" s="47"/>
      <c r="AA741" s="69">
        <v>741</v>
      </c>
      <c r="AB741" s="69"/>
      <c r="AC741" s="70"/>
      <c r="AD741" s="76" t="s">
        <v>12467</v>
      </c>
      <c r="AE741" s="80" t="s">
        <v>11708</v>
      </c>
      <c r="AF741" s="76">
        <v>4</v>
      </c>
      <c r="AG741" s="76">
        <v>7</v>
      </c>
      <c r="AH741" s="76">
        <v>175</v>
      </c>
      <c r="AI741" s="76">
        <v>0</v>
      </c>
      <c r="AJ741" s="76">
        <v>18</v>
      </c>
      <c r="AK741" s="76">
        <v>100</v>
      </c>
      <c r="AL741" s="76" t="b">
        <v>0</v>
      </c>
      <c r="AM741" s="78">
        <v>44690.022615740738</v>
      </c>
      <c r="AN741" s="76" t="s">
        <v>13219</v>
      </c>
      <c r="AO741" s="76" t="s">
        <v>13897</v>
      </c>
      <c r="AP741" s="82" t="str">
        <f>HYPERLINK("https://t.co/74KBJaPCSP")</f>
        <v>https://t.co/74KBJaPCSP</v>
      </c>
      <c r="AQ741" s="82" t="str">
        <f>HYPERLINK("https://instagram.com/venezianolopes?igshid=YmMyMTA2M2Y=")</f>
        <v>https://instagram.com/venezianolopes?igshid=YmMyMTA2M2Y=</v>
      </c>
      <c r="AR741" s="76" t="s">
        <v>14361</v>
      </c>
      <c r="AS741" s="76"/>
      <c r="AT741" s="76"/>
      <c r="AU741" s="76"/>
      <c r="AV741" s="76"/>
      <c r="AW741" s="82" t="str">
        <f>HYPERLINK("https://t.co/74KBJaPCSP")</f>
        <v>https://t.co/74KBJaPCSP</v>
      </c>
      <c r="AX741" s="76" t="b">
        <v>0</v>
      </c>
      <c r="AY741" s="76"/>
      <c r="AZ741" s="76"/>
      <c r="BA741" s="76" t="b">
        <v>0</v>
      </c>
      <c r="BB741" s="76" t="b">
        <v>1</v>
      </c>
      <c r="BC741" s="76" t="b">
        <v>1</v>
      </c>
      <c r="BD741" s="76" t="b">
        <v>0</v>
      </c>
      <c r="BE741" s="76" t="b">
        <v>0</v>
      </c>
      <c r="BF741" s="76" t="b">
        <v>0</v>
      </c>
      <c r="BG741" s="76" t="b">
        <v>0</v>
      </c>
      <c r="BH741" s="82" t="str">
        <f>HYPERLINK("https://pbs.twimg.com/profile_banners/1523460792477233152/1687201700")</f>
        <v>https://pbs.twimg.com/profile_banners/1523460792477233152/1687201700</v>
      </c>
      <c r="BI741" s="76"/>
      <c r="BJ741" s="76" t="s">
        <v>14450</v>
      </c>
      <c r="BK741" s="76" t="b">
        <v>0</v>
      </c>
      <c r="BL741" s="76"/>
      <c r="BM741" s="76" t="s">
        <v>66</v>
      </c>
      <c r="BN741" s="76" t="s">
        <v>14452</v>
      </c>
      <c r="BO741" s="82" t="str">
        <f>HYPERLINK("https://twitter.com/venezianolopes")</f>
        <v>https://twitter.com/venezianolopes</v>
      </c>
      <c r="BP741" s="2"/>
    </row>
    <row r="742" spans="1:68" x14ac:dyDescent="0.25">
      <c r="A742" s="62" t="s">
        <v>865</v>
      </c>
      <c r="B742" s="63"/>
      <c r="C742" s="63"/>
      <c r="D742" s="64"/>
      <c r="E742" s="66"/>
      <c r="F742" s="103" t="str">
        <f>HYPERLINK("https://pbs.twimg.com/profile_images/1655293153061085187/t47KPjQn_normal.jpg")</f>
        <v>https://pbs.twimg.com/profile_images/1655293153061085187/t47KPjQn_normal.jpg</v>
      </c>
      <c r="G742" s="63"/>
      <c r="H742" s="67"/>
      <c r="I742" s="68"/>
      <c r="J742" s="68"/>
      <c r="K742" s="67" t="s">
        <v>15191</v>
      </c>
      <c r="L742" s="71"/>
      <c r="M742" s="72"/>
      <c r="N742" s="72"/>
      <c r="O742" s="73"/>
      <c r="P742" s="74"/>
      <c r="Q742" s="74"/>
      <c r="R742" s="87"/>
      <c r="S742" s="87"/>
      <c r="T742" s="87"/>
      <c r="U742" s="87"/>
      <c r="V742" s="48"/>
      <c r="W742" s="48"/>
      <c r="X742" s="48"/>
      <c r="Y742" s="48"/>
      <c r="Z742" s="47"/>
      <c r="AA742" s="69">
        <v>742</v>
      </c>
      <c r="AB742" s="69"/>
      <c r="AC742" s="70"/>
      <c r="AD742" s="76" t="s">
        <v>12468</v>
      </c>
      <c r="AE742" s="80" t="s">
        <v>11709</v>
      </c>
      <c r="AF742" s="76">
        <v>0</v>
      </c>
      <c r="AG742" s="76">
        <v>9</v>
      </c>
      <c r="AH742" s="76">
        <v>41</v>
      </c>
      <c r="AI742" s="76">
        <v>0</v>
      </c>
      <c r="AJ742" s="76">
        <v>1</v>
      </c>
      <c r="AK742" s="76">
        <v>41</v>
      </c>
      <c r="AL742" s="76" t="b">
        <v>0</v>
      </c>
      <c r="AM742" s="78">
        <v>45053.810162037036</v>
      </c>
      <c r="AN742" s="76"/>
      <c r="AO742" s="76"/>
      <c r="AP742" s="76"/>
      <c r="AQ742" s="76"/>
      <c r="AR742" s="76"/>
      <c r="AS742" s="76"/>
      <c r="AT742" s="76"/>
      <c r="AU742" s="76"/>
      <c r="AV742" s="76"/>
      <c r="AW742" s="76"/>
      <c r="AX742" s="76" t="b">
        <v>0</v>
      </c>
      <c r="AY742" s="76"/>
      <c r="AZ742" s="76"/>
      <c r="BA742" s="76" t="b">
        <v>0</v>
      </c>
      <c r="BB742" s="76" t="b">
        <v>1</v>
      </c>
      <c r="BC742" s="76" t="b">
        <v>1</v>
      </c>
      <c r="BD742" s="76" t="b">
        <v>0</v>
      </c>
      <c r="BE742" s="76" t="b">
        <v>0</v>
      </c>
      <c r="BF742" s="76" t="b">
        <v>0</v>
      </c>
      <c r="BG742" s="76" t="b">
        <v>0</v>
      </c>
      <c r="BH742" s="76"/>
      <c r="BI742" s="76"/>
      <c r="BJ742" s="76" t="s">
        <v>14450</v>
      </c>
      <c r="BK742" s="76" t="b">
        <v>0</v>
      </c>
      <c r="BL742" s="76"/>
      <c r="BM742" s="76" t="s">
        <v>66</v>
      </c>
      <c r="BN742" s="76" t="s">
        <v>14452</v>
      </c>
      <c r="BO742" s="82" t="str">
        <f>HYPERLINK("https://twitter.com/motorvirtualgt")</f>
        <v>https://twitter.com/motorvirtualgt</v>
      </c>
      <c r="BP742" s="2"/>
    </row>
    <row r="743" spans="1:68" x14ac:dyDescent="0.25">
      <c r="A743" s="62" t="s">
        <v>866</v>
      </c>
      <c r="B743" s="63"/>
      <c r="C743" s="63"/>
      <c r="D743" s="64"/>
      <c r="E743" s="66"/>
      <c r="F743" s="103" t="str">
        <f>HYPERLINK("https://pbs.twimg.com/profile_images/1384132534225629199/jV7gk5T9_normal.jpg")</f>
        <v>https://pbs.twimg.com/profile_images/1384132534225629199/jV7gk5T9_normal.jpg</v>
      </c>
      <c r="G743" s="63"/>
      <c r="H743" s="67"/>
      <c r="I743" s="68"/>
      <c r="J743" s="68"/>
      <c r="K743" s="67" t="s">
        <v>15192</v>
      </c>
      <c r="L743" s="71"/>
      <c r="M743" s="72"/>
      <c r="N743" s="72"/>
      <c r="O743" s="73"/>
      <c r="P743" s="74"/>
      <c r="Q743" s="74"/>
      <c r="R743" s="87"/>
      <c r="S743" s="87"/>
      <c r="T743" s="87"/>
      <c r="U743" s="87"/>
      <c r="V743" s="48"/>
      <c r="W743" s="48"/>
      <c r="X743" s="48"/>
      <c r="Y743" s="48"/>
      <c r="Z743" s="47"/>
      <c r="AA743" s="69">
        <v>743</v>
      </c>
      <c r="AB743" s="69"/>
      <c r="AC743" s="70"/>
      <c r="AD743" s="76" t="s">
        <v>12469</v>
      </c>
      <c r="AE743" s="80" t="s">
        <v>12865</v>
      </c>
      <c r="AF743" s="76">
        <v>34188</v>
      </c>
      <c r="AG743" s="76">
        <v>29</v>
      </c>
      <c r="AH743" s="76">
        <v>279114</v>
      </c>
      <c r="AI743" s="76">
        <v>251</v>
      </c>
      <c r="AJ743" s="76">
        <v>1288</v>
      </c>
      <c r="AK743" s="76">
        <v>138011</v>
      </c>
      <c r="AL743" s="76" t="b">
        <v>0</v>
      </c>
      <c r="AM743" s="78">
        <v>40585.628842592596</v>
      </c>
      <c r="AN743" s="76" t="s">
        <v>13220</v>
      </c>
      <c r="AO743" s="76" t="s">
        <v>13898</v>
      </c>
      <c r="AP743" s="82" t="str">
        <f>HYPERLINK("https://t.co/5hm7wDKDte")</f>
        <v>https://t.co/5hm7wDKDte</v>
      </c>
      <c r="AQ743" s="82" t="str">
        <f>HYPERLINK("http://www.diariojornada.com.ar")</f>
        <v>http://www.diariojornada.com.ar</v>
      </c>
      <c r="AR743" s="76" t="s">
        <v>14362</v>
      </c>
      <c r="AS743" s="76"/>
      <c r="AT743" s="76"/>
      <c r="AU743" s="76"/>
      <c r="AV743" s="76"/>
      <c r="AW743" s="82" t="str">
        <f>HYPERLINK("https://t.co/5hm7wDKDte")</f>
        <v>https://t.co/5hm7wDKDte</v>
      </c>
      <c r="AX743" s="76" t="b">
        <v>0</v>
      </c>
      <c r="AY743" s="76"/>
      <c r="AZ743" s="76"/>
      <c r="BA743" s="76" t="b">
        <v>0</v>
      </c>
      <c r="BB743" s="76" t="b">
        <v>0</v>
      </c>
      <c r="BC743" s="76" t="b">
        <v>0</v>
      </c>
      <c r="BD743" s="76" t="b">
        <v>0</v>
      </c>
      <c r="BE743" s="76" t="b">
        <v>0</v>
      </c>
      <c r="BF743" s="76" t="b">
        <v>0</v>
      </c>
      <c r="BG743" s="76" t="b">
        <v>0</v>
      </c>
      <c r="BH743" s="82" t="str">
        <f>HYPERLINK("https://pbs.twimg.com/profile_banners/250662294/1615216760")</f>
        <v>https://pbs.twimg.com/profile_banners/250662294/1615216760</v>
      </c>
      <c r="BI743" s="76"/>
      <c r="BJ743" s="76" t="s">
        <v>14450</v>
      </c>
      <c r="BK743" s="76" t="b">
        <v>0</v>
      </c>
      <c r="BL743" s="76"/>
      <c r="BM743" s="76" t="s">
        <v>66</v>
      </c>
      <c r="BN743" s="76" t="s">
        <v>14452</v>
      </c>
      <c r="BO743" s="82" t="str">
        <f>HYPERLINK("https://twitter.com/jornadaweb")</f>
        <v>https://twitter.com/jornadaweb</v>
      </c>
      <c r="BP743" s="2"/>
    </row>
    <row r="744" spans="1:68" x14ac:dyDescent="0.25">
      <c r="A744" s="62" t="s">
        <v>867</v>
      </c>
      <c r="B744" s="63"/>
      <c r="C744" s="63"/>
      <c r="D744" s="64"/>
      <c r="E744" s="66"/>
      <c r="F744" s="103" t="str">
        <f>HYPERLINK("https://pbs.twimg.com/profile_images/841633848119164928/dQn_v0ng_normal.jpg")</f>
        <v>https://pbs.twimg.com/profile_images/841633848119164928/dQn_v0ng_normal.jpg</v>
      </c>
      <c r="G744" s="63"/>
      <c r="H744" s="67"/>
      <c r="I744" s="68"/>
      <c r="J744" s="68"/>
      <c r="K744" s="67" t="s">
        <v>15193</v>
      </c>
      <c r="L744" s="71"/>
      <c r="M744" s="72"/>
      <c r="N744" s="72"/>
      <c r="O744" s="73"/>
      <c r="P744" s="74"/>
      <c r="Q744" s="74"/>
      <c r="R744" s="87"/>
      <c r="S744" s="87"/>
      <c r="T744" s="87"/>
      <c r="U744" s="87"/>
      <c r="V744" s="48"/>
      <c r="W744" s="48"/>
      <c r="X744" s="48"/>
      <c r="Y744" s="48"/>
      <c r="Z744" s="47"/>
      <c r="AA744" s="69">
        <v>744</v>
      </c>
      <c r="AB744" s="69"/>
      <c r="AC744" s="70"/>
      <c r="AD744" s="76" t="s">
        <v>12470</v>
      </c>
      <c r="AE744" s="80" t="s">
        <v>12866</v>
      </c>
      <c r="AF744" s="76">
        <v>3151</v>
      </c>
      <c r="AG744" s="76">
        <v>1741</v>
      </c>
      <c r="AH744" s="76">
        <v>97859</v>
      </c>
      <c r="AI744" s="76">
        <v>18</v>
      </c>
      <c r="AJ744" s="76">
        <v>1</v>
      </c>
      <c r="AK744" s="76">
        <v>2295</v>
      </c>
      <c r="AL744" s="76" t="b">
        <v>0</v>
      </c>
      <c r="AM744" s="78">
        <v>40933.441770833335</v>
      </c>
      <c r="AN744" s="76" t="s">
        <v>13221</v>
      </c>
      <c r="AO744" s="76" t="s">
        <v>13899</v>
      </c>
      <c r="AP744" s="82" t="str">
        <f>HYPERLINK("http://t.co/h9jAvpFAnT")</f>
        <v>http://t.co/h9jAvpFAnT</v>
      </c>
      <c r="AQ744" s="82" t="str">
        <f>HYPERLINK("http://www.comunidadeempregope.com.br/")</f>
        <v>http://www.comunidadeempregope.com.br/</v>
      </c>
      <c r="AR744" s="76" t="s">
        <v>14363</v>
      </c>
      <c r="AS744" s="76"/>
      <c r="AT744" s="76"/>
      <c r="AU744" s="76"/>
      <c r="AV744" s="76">
        <v>1.7060347271933399E+18</v>
      </c>
      <c r="AW744" s="82" t="str">
        <f>HYPERLINK("http://t.co/h9jAvpFAnT")</f>
        <v>http://t.co/h9jAvpFAnT</v>
      </c>
      <c r="AX744" s="76" t="b">
        <v>0</v>
      </c>
      <c r="AY744" s="76"/>
      <c r="AZ744" s="76"/>
      <c r="BA744" s="76" t="b">
        <v>0</v>
      </c>
      <c r="BB744" s="76" t="b">
        <v>1</v>
      </c>
      <c r="BC744" s="76" t="b">
        <v>0</v>
      </c>
      <c r="BD744" s="76" t="b">
        <v>0</v>
      </c>
      <c r="BE744" s="76" t="b">
        <v>1</v>
      </c>
      <c r="BF744" s="76" t="b">
        <v>0</v>
      </c>
      <c r="BG744" s="76" t="b">
        <v>0</v>
      </c>
      <c r="BH744" s="82" t="str">
        <f>HYPERLINK("https://pbs.twimg.com/profile_banners/473803924/1489496097")</f>
        <v>https://pbs.twimg.com/profile_banners/473803924/1489496097</v>
      </c>
      <c r="BI744" s="76"/>
      <c r="BJ744" s="76" t="s">
        <v>14450</v>
      </c>
      <c r="BK744" s="76" t="b">
        <v>0</v>
      </c>
      <c r="BL744" s="76"/>
      <c r="BM744" s="76" t="s">
        <v>66</v>
      </c>
      <c r="BN744" s="76" t="s">
        <v>14452</v>
      </c>
      <c r="BO744" s="82" t="str">
        <f>HYPERLINK("https://twitter.com/comuemprego")</f>
        <v>https://twitter.com/comuemprego</v>
      </c>
      <c r="BP744" s="2"/>
    </row>
    <row r="745" spans="1:68" x14ac:dyDescent="0.25">
      <c r="A745" s="88" t="s">
        <v>868</v>
      </c>
      <c r="B745" s="89"/>
      <c r="C745" s="89"/>
      <c r="D745" s="90"/>
      <c r="E745" s="91"/>
      <c r="F745" s="104" t="str">
        <f>HYPERLINK("https://pbs.twimg.com/profile_images/1347958606315069453/6MlDwNcz_normal.jpg")</f>
        <v>https://pbs.twimg.com/profile_images/1347958606315069453/6MlDwNcz_normal.jpg</v>
      </c>
      <c r="G745" s="89"/>
      <c r="H745" s="92"/>
      <c r="I745" s="93"/>
      <c r="J745" s="93"/>
      <c r="K745" s="92" t="s">
        <v>15194</v>
      </c>
      <c r="L745" s="94"/>
      <c r="M745" s="95"/>
      <c r="N745" s="95"/>
      <c r="O745" s="96"/>
      <c r="P745" s="97"/>
      <c r="Q745" s="97"/>
      <c r="R745" s="98"/>
      <c r="S745" s="98"/>
      <c r="T745" s="98"/>
      <c r="U745" s="98"/>
      <c r="V745" s="99"/>
      <c r="W745" s="99"/>
      <c r="X745" s="99"/>
      <c r="Y745" s="99"/>
      <c r="Z745" s="100"/>
      <c r="AA745" s="101">
        <v>745</v>
      </c>
      <c r="AB745" s="101"/>
      <c r="AC745" s="102"/>
      <c r="AD745" s="76" t="s">
        <v>12471</v>
      </c>
      <c r="AE745" s="80" t="s">
        <v>11710</v>
      </c>
      <c r="AF745" s="76">
        <v>114</v>
      </c>
      <c r="AG745" s="76">
        <v>72</v>
      </c>
      <c r="AH745" s="76">
        <v>1005</v>
      </c>
      <c r="AI745" s="76">
        <v>2</v>
      </c>
      <c r="AJ745" s="76">
        <v>1</v>
      </c>
      <c r="AK745" s="76">
        <v>743</v>
      </c>
      <c r="AL745" s="76" t="b">
        <v>0</v>
      </c>
      <c r="AM745" s="78">
        <v>44018.157442129632</v>
      </c>
      <c r="AN745" s="76" t="s">
        <v>13222</v>
      </c>
      <c r="AO745" s="76" t="s">
        <v>13900</v>
      </c>
      <c r="AP745" s="82" t="str">
        <f>HYPERLINK("https://t.co/df9ATFJz0H")</f>
        <v>https://t.co/df9ATFJz0H</v>
      </c>
      <c r="AQ745" s="82" t="str">
        <f>HYPERLINK("http://www.costenses.com")</f>
        <v>http://www.costenses.com</v>
      </c>
      <c r="AR745" s="76" t="s">
        <v>4359</v>
      </c>
      <c r="AS745" s="76"/>
      <c r="AT745" s="76"/>
      <c r="AU745" s="76"/>
      <c r="AV745" s="76"/>
      <c r="AW745" s="82" t="str">
        <f>HYPERLINK("https://t.co/df9ATFJz0H")</f>
        <v>https://t.co/df9ATFJz0H</v>
      </c>
      <c r="AX745" s="76" t="b">
        <v>0</v>
      </c>
      <c r="AY745" s="76"/>
      <c r="AZ745" s="76"/>
      <c r="BA745" s="76" t="b">
        <v>0</v>
      </c>
      <c r="BB745" s="76" t="b">
        <v>1</v>
      </c>
      <c r="BC745" s="76" t="b">
        <v>1</v>
      </c>
      <c r="BD745" s="76" t="b">
        <v>0</v>
      </c>
      <c r="BE745" s="76" t="b">
        <v>0</v>
      </c>
      <c r="BF745" s="76" t="b">
        <v>0</v>
      </c>
      <c r="BG745" s="76" t="b">
        <v>0</v>
      </c>
      <c r="BH745" s="82" t="str">
        <f>HYPERLINK("https://pbs.twimg.com/profile_banners/1279985020158062592/1610213368")</f>
        <v>https://pbs.twimg.com/profile_banners/1279985020158062592/1610213368</v>
      </c>
      <c r="BI745" s="76"/>
      <c r="BJ745" s="76" t="s">
        <v>14450</v>
      </c>
      <c r="BK745" s="76" t="b">
        <v>0</v>
      </c>
      <c r="BL745" s="76"/>
      <c r="BM745" s="76" t="s">
        <v>66</v>
      </c>
      <c r="BN745" s="76" t="s">
        <v>14452</v>
      </c>
      <c r="BO745" s="82" t="str">
        <f>HYPERLINK("https://twitter.com/costenses")</f>
        <v>https://twitter.com/costenses</v>
      </c>
      <c r="BP745" s="2"/>
    </row>
    <row r="746" spans="1:68" x14ac:dyDescent="0.25">
      <c r="A746" s="62" t="s">
        <v>11711</v>
      </c>
      <c r="B746" s="63"/>
      <c r="C746" s="63"/>
      <c r="D746" s="64"/>
      <c r="E746" s="66"/>
      <c r="F746" s="103" t="str">
        <f>HYPERLINK("https://pbs.twimg.com/profile_images/668741215559557120/sq3pZJIg_normal.jpg")</f>
        <v>https://pbs.twimg.com/profile_images/668741215559557120/sq3pZJIg_normal.jpg</v>
      </c>
      <c r="G746" s="63" t="s">
        <v>51</v>
      </c>
      <c r="H746" s="67"/>
      <c r="I746" s="68"/>
      <c r="J746" s="68"/>
      <c r="K746" s="67" t="s">
        <v>15195</v>
      </c>
      <c r="L746" s="71"/>
      <c r="M746" s="72"/>
      <c r="N746" s="72"/>
      <c r="O746" s="73"/>
      <c r="P746" s="74"/>
      <c r="Q746" s="74"/>
      <c r="R746" s="87"/>
      <c r="S746" s="87"/>
      <c r="T746" s="87"/>
      <c r="U746" s="87"/>
      <c r="V746" s="48"/>
      <c r="W746" s="48"/>
      <c r="X746" s="48"/>
      <c r="Y746" s="48"/>
      <c r="Z746" s="47"/>
      <c r="AA746" s="69">
        <v>746</v>
      </c>
      <c r="AB746" s="69"/>
      <c r="AC746" s="70"/>
      <c r="AD746" s="76" t="s">
        <v>12472</v>
      </c>
      <c r="AE746" s="80" t="s">
        <v>12867</v>
      </c>
      <c r="AF746" s="76">
        <v>194687</v>
      </c>
      <c r="AG746" s="76">
        <v>344</v>
      </c>
      <c r="AH746" s="76">
        <v>55184</v>
      </c>
      <c r="AI746" s="76">
        <v>4060</v>
      </c>
      <c r="AJ746" s="76">
        <v>9482</v>
      </c>
      <c r="AK746" s="76">
        <v>12101</v>
      </c>
      <c r="AL746" s="76" t="b">
        <v>0</v>
      </c>
      <c r="AM746" s="78">
        <v>39511.746076388888</v>
      </c>
      <c r="AN746" s="76" t="s">
        <v>12888</v>
      </c>
      <c r="AO746" s="76" t="s">
        <v>13901</v>
      </c>
      <c r="AP746" s="82" t="str">
        <f>HYPERLINK("https://t.co/SFevWtLL0h")</f>
        <v>https://t.co/SFevWtLL0h</v>
      </c>
      <c r="AQ746" s="82" t="str">
        <f>HYPERLINK("http://www.infoempleo.com")</f>
        <v>http://www.infoempleo.com</v>
      </c>
      <c r="AR746" s="76" t="s">
        <v>14364</v>
      </c>
      <c r="AS746" s="76"/>
      <c r="AT746" s="76"/>
      <c r="AU746" s="76"/>
      <c r="AV746" s="76">
        <v>1.7040539888725601E+18</v>
      </c>
      <c r="AW746" s="82" t="str">
        <f>HYPERLINK("https://t.co/SFevWtLL0h")</f>
        <v>https://t.co/SFevWtLL0h</v>
      </c>
      <c r="AX746" s="76" t="b">
        <v>0</v>
      </c>
      <c r="AY746" s="76"/>
      <c r="AZ746" s="76"/>
      <c r="BA746" s="76" t="b">
        <v>1</v>
      </c>
      <c r="BB746" s="76" t="b">
        <v>1</v>
      </c>
      <c r="BC746" s="76" t="b">
        <v>0</v>
      </c>
      <c r="BD746" s="76" t="b">
        <v>0</v>
      </c>
      <c r="BE746" s="76" t="b">
        <v>1</v>
      </c>
      <c r="BF746" s="76" t="b">
        <v>0</v>
      </c>
      <c r="BG746" s="76" t="b">
        <v>0</v>
      </c>
      <c r="BH746" s="82" t="str">
        <f>HYPERLINK("https://pbs.twimg.com/profile_banners/14078973/1653646764")</f>
        <v>https://pbs.twimg.com/profile_banners/14078973/1653646764</v>
      </c>
      <c r="BI746" s="76"/>
      <c r="BJ746" s="76" t="s">
        <v>14450</v>
      </c>
      <c r="BK746" s="76" t="b">
        <v>0</v>
      </c>
      <c r="BL746" s="76"/>
      <c r="BM746" s="76" t="s">
        <v>66</v>
      </c>
      <c r="BN746" s="76" t="s">
        <v>14452</v>
      </c>
      <c r="BO746" s="82" t="str">
        <f>HYPERLINK("https://twitter.com/infoempleo")</f>
        <v>https://twitter.com/infoempleo</v>
      </c>
      <c r="BP746" s="2"/>
    </row>
    <row r="747" spans="1:68" x14ac:dyDescent="0.25">
      <c r="A747" s="62" t="s">
        <v>4364</v>
      </c>
      <c r="B747" s="63"/>
      <c r="C747" s="63"/>
      <c r="D747" s="64"/>
      <c r="E747" s="66"/>
      <c r="F747" s="103" t="str">
        <f>HYPERLINK("https://pbs.twimg.com/profile_images/1468832988444123142/xMeFBJ9H_normal.jpg")</f>
        <v>https://pbs.twimg.com/profile_images/1468832988444123142/xMeFBJ9H_normal.jpg</v>
      </c>
      <c r="G747" s="63" t="s">
        <v>51</v>
      </c>
      <c r="H747" s="67"/>
      <c r="I747" s="68"/>
      <c r="J747" s="68"/>
      <c r="K747" s="67" t="s">
        <v>15196</v>
      </c>
      <c r="L747" s="71"/>
      <c r="M747" s="72"/>
      <c r="N747" s="72"/>
      <c r="O747" s="73"/>
      <c r="P747" s="74"/>
      <c r="Q747" s="74"/>
      <c r="R747" s="87"/>
      <c r="S747" s="87"/>
      <c r="T747" s="87"/>
      <c r="U747" s="87"/>
      <c r="V747" s="48"/>
      <c r="W747" s="48"/>
      <c r="X747" s="48"/>
      <c r="Y747" s="48"/>
      <c r="Z747" s="47"/>
      <c r="AA747" s="69">
        <v>747</v>
      </c>
      <c r="AB747" s="69"/>
      <c r="AC747" s="70"/>
      <c r="AD747" s="76" t="s">
        <v>12473</v>
      </c>
      <c r="AE747" s="80" t="s">
        <v>12868</v>
      </c>
      <c r="AF747" s="76">
        <v>1299</v>
      </c>
      <c r="AG747" s="76">
        <v>524</v>
      </c>
      <c r="AH747" s="76">
        <v>6429</v>
      </c>
      <c r="AI747" s="76">
        <v>0</v>
      </c>
      <c r="AJ747" s="76">
        <v>3461</v>
      </c>
      <c r="AK747" s="76">
        <v>2422</v>
      </c>
      <c r="AL747" s="76" t="b">
        <v>0</v>
      </c>
      <c r="AM747" s="78">
        <v>40581.66233796296</v>
      </c>
      <c r="AN747" s="76" t="s">
        <v>13223</v>
      </c>
      <c r="AO747" s="76" t="s">
        <v>13902</v>
      </c>
      <c r="AP747" s="82" t="str">
        <f>HYPERLINK("https://t.co/YV2Eccq0lh")</f>
        <v>https://t.co/YV2Eccq0lh</v>
      </c>
      <c r="AQ747" s="82" t="str">
        <f>HYPERLINK("http://www.gaiasa.co/linktree")</f>
        <v>http://www.gaiasa.co/linktree</v>
      </c>
      <c r="AR747" s="76" t="s">
        <v>14365</v>
      </c>
      <c r="AS747" s="82" t="str">
        <f>HYPERLINK("https://t.co/6e5e2vRnUF")</f>
        <v>https://t.co/6e5e2vRnUF</v>
      </c>
      <c r="AT747" s="82" t="str">
        <f>HYPERLINK("http://bit.do/app-gaia")</f>
        <v>http://bit.do/app-gaia</v>
      </c>
      <c r="AU747" s="76" t="s">
        <v>14448</v>
      </c>
      <c r="AV747" s="76"/>
      <c r="AW747" s="82" t="str">
        <f>HYPERLINK("https://t.co/YV2Eccq0lh")</f>
        <v>https://t.co/YV2Eccq0lh</v>
      </c>
      <c r="AX747" s="76" t="b">
        <v>0</v>
      </c>
      <c r="AY747" s="76"/>
      <c r="AZ747" s="76"/>
      <c r="BA747" s="76" t="b">
        <v>0</v>
      </c>
      <c r="BB747" s="76" t="b">
        <v>0</v>
      </c>
      <c r="BC747" s="76" t="b">
        <v>0</v>
      </c>
      <c r="BD747" s="76" t="b">
        <v>0</v>
      </c>
      <c r="BE747" s="76" t="b">
        <v>1</v>
      </c>
      <c r="BF747" s="76" t="b">
        <v>0</v>
      </c>
      <c r="BG747" s="76" t="b">
        <v>0</v>
      </c>
      <c r="BH747" s="82" t="str">
        <f>HYPERLINK("https://pbs.twimg.com/profile_banners/248721658/1639032049")</f>
        <v>https://pbs.twimg.com/profile_banners/248721658/1639032049</v>
      </c>
      <c r="BI747" s="76"/>
      <c r="BJ747" s="76" t="s">
        <v>14450</v>
      </c>
      <c r="BK747" s="76" t="b">
        <v>0</v>
      </c>
      <c r="BL747" s="76"/>
      <c r="BM747" s="76" t="s">
        <v>65</v>
      </c>
      <c r="BN747" s="76" t="s">
        <v>14452</v>
      </c>
      <c r="BO747" s="82" t="str">
        <f>HYPERLINK("https://twitter.com/gaiaambiente")</f>
        <v>https://twitter.com/gaiaambiente</v>
      </c>
      <c r="BP747" s="2"/>
    </row>
    <row r="748" spans="1:68" x14ac:dyDescent="0.25">
      <c r="A748" s="62" t="s">
        <v>4386</v>
      </c>
      <c r="B748" s="63"/>
      <c r="C748" s="63"/>
      <c r="D748" s="64"/>
      <c r="E748" s="66"/>
      <c r="F748" s="103" t="str">
        <f>HYPERLINK("https://pbs.twimg.com/profile_images/1230181185990615042/VHVByGd9_normal.jpg")</f>
        <v>https://pbs.twimg.com/profile_images/1230181185990615042/VHVByGd9_normal.jpg</v>
      </c>
      <c r="G748" s="63" t="s">
        <v>51</v>
      </c>
      <c r="H748" s="67"/>
      <c r="I748" s="68"/>
      <c r="J748" s="68"/>
      <c r="K748" s="67" t="s">
        <v>15197</v>
      </c>
      <c r="L748" s="71"/>
      <c r="M748" s="72"/>
      <c r="N748" s="72"/>
      <c r="O748" s="73"/>
      <c r="P748" s="74"/>
      <c r="Q748" s="74"/>
      <c r="R748" s="87"/>
      <c r="S748" s="87"/>
      <c r="T748" s="87"/>
      <c r="U748" s="87"/>
      <c r="V748" s="48"/>
      <c r="W748" s="48"/>
      <c r="X748" s="48"/>
      <c r="Y748" s="48"/>
      <c r="Z748" s="47"/>
      <c r="AA748" s="69">
        <v>748</v>
      </c>
      <c r="AB748" s="69"/>
      <c r="AC748" s="70"/>
      <c r="AD748" s="76" t="s">
        <v>12474</v>
      </c>
      <c r="AE748" s="80" t="s">
        <v>12869</v>
      </c>
      <c r="AF748" s="76">
        <v>34408</v>
      </c>
      <c r="AG748" s="76">
        <v>1253</v>
      </c>
      <c r="AH748" s="76">
        <v>55750</v>
      </c>
      <c r="AI748" s="76">
        <v>135</v>
      </c>
      <c r="AJ748" s="76">
        <v>8920</v>
      </c>
      <c r="AK748" s="76">
        <v>21532</v>
      </c>
      <c r="AL748" s="76" t="b">
        <v>0</v>
      </c>
      <c r="AM748" s="78">
        <v>40239.141273148147</v>
      </c>
      <c r="AN748" s="76" t="s">
        <v>13224</v>
      </c>
      <c r="AO748" s="76" t="s">
        <v>13903</v>
      </c>
      <c r="AP748" s="82" t="str">
        <f>HYPERLINK("https://t.co/v27x20qLZ8")</f>
        <v>https://t.co/v27x20qLZ8</v>
      </c>
      <c r="AQ748" s="82" t="str">
        <f>HYPERLINK("https://www.pasto.gov.co/")</f>
        <v>https://www.pasto.gov.co/</v>
      </c>
      <c r="AR748" s="76" t="s">
        <v>14366</v>
      </c>
      <c r="AS748" s="76"/>
      <c r="AT748" s="76"/>
      <c r="AU748" s="76"/>
      <c r="AV748" s="76">
        <v>1.66981702156589E+18</v>
      </c>
      <c r="AW748" s="82" t="str">
        <f>HYPERLINK("https://t.co/v27x20qLZ8")</f>
        <v>https://t.co/v27x20qLZ8</v>
      </c>
      <c r="AX748" s="76" t="b">
        <v>0</v>
      </c>
      <c r="AY748" s="76"/>
      <c r="AZ748" s="76"/>
      <c r="BA748" s="76" t="b">
        <v>0</v>
      </c>
      <c r="BB748" s="76" t="b">
        <v>0</v>
      </c>
      <c r="BC748" s="76" t="b">
        <v>0</v>
      </c>
      <c r="BD748" s="76" t="b">
        <v>0</v>
      </c>
      <c r="BE748" s="76" t="b">
        <v>1</v>
      </c>
      <c r="BF748" s="76" t="b">
        <v>0</v>
      </c>
      <c r="BG748" s="76" t="b">
        <v>0</v>
      </c>
      <c r="BH748" s="82" t="str">
        <f>HYPERLINK("https://pbs.twimg.com/profile_banners/118920290/1694955567")</f>
        <v>https://pbs.twimg.com/profile_banners/118920290/1694955567</v>
      </c>
      <c r="BI748" s="76"/>
      <c r="BJ748" s="76" t="s">
        <v>14450</v>
      </c>
      <c r="BK748" s="76" t="b">
        <v>0</v>
      </c>
      <c r="BL748" s="76"/>
      <c r="BM748" s="76" t="s">
        <v>65</v>
      </c>
      <c r="BN748" s="76" t="s">
        <v>14452</v>
      </c>
      <c r="BO748" s="82" t="str">
        <f>HYPERLINK("https://twitter.com/alcaldiapasto")</f>
        <v>https://twitter.com/alcaldiapasto</v>
      </c>
      <c r="BP748" s="2"/>
    </row>
    <row r="749" spans="1:68" x14ac:dyDescent="0.25">
      <c r="A749" s="88" t="s">
        <v>4377</v>
      </c>
      <c r="B749" s="89"/>
      <c r="C749" s="89"/>
      <c r="D749" s="90"/>
      <c r="E749" s="91"/>
      <c r="F749" s="104" t="str">
        <f>HYPERLINK("https://pbs.twimg.com/profile_images/1616445673209237505/7EzH9trG_normal.jpg")</f>
        <v>https://pbs.twimg.com/profile_images/1616445673209237505/7EzH9trG_normal.jpg</v>
      </c>
      <c r="G749" s="89" t="s">
        <v>51</v>
      </c>
      <c r="H749" s="92"/>
      <c r="I749" s="93"/>
      <c r="J749" s="93"/>
      <c r="K749" s="92" t="s">
        <v>15198</v>
      </c>
      <c r="L749" s="94"/>
      <c r="M749" s="95"/>
      <c r="N749" s="95"/>
      <c r="O749" s="96"/>
      <c r="P749" s="97"/>
      <c r="Q749" s="97"/>
      <c r="R749" s="98"/>
      <c r="S749" s="98"/>
      <c r="T749" s="98"/>
      <c r="U749" s="98"/>
      <c r="V749" s="99"/>
      <c r="W749" s="99"/>
      <c r="X749" s="99"/>
      <c r="Y749" s="99"/>
      <c r="Z749" s="100"/>
      <c r="AA749" s="101">
        <v>749</v>
      </c>
      <c r="AB749" s="101"/>
      <c r="AC749" s="102"/>
      <c r="AD749" s="76" t="s">
        <v>12475</v>
      </c>
      <c r="AE749" s="80" t="s">
        <v>12870</v>
      </c>
      <c r="AF749" s="76">
        <v>83392</v>
      </c>
      <c r="AG749" s="76">
        <v>10977</v>
      </c>
      <c r="AH749" s="76">
        <v>60660</v>
      </c>
      <c r="AI749" s="76">
        <v>188</v>
      </c>
      <c r="AJ749" s="76">
        <v>23668</v>
      </c>
      <c r="AK749" s="76">
        <v>4016</v>
      </c>
      <c r="AL749" s="76" t="b">
        <v>0</v>
      </c>
      <c r="AM749" s="78">
        <v>40616.122858796298</v>
      </c>
      <c r="AN749" s="76" t="s">
        <v>13225</v>
      </c>
      <c r="AO749" s="76" t="s">
        <v>13904</v>
      </c>
      <c r="AP749" s="82" t="str">
        <f>HYPERLINK("https://t.co/29sKDIaCaf")</f>
        <v>https://t.co/29sKDIaCaf</v>
      </c>
      <c r="AQ749" s="82" t="str">
        <f>HYPERLINK("https://m.youtube.com/channel/UC9A_qkr84vZZULC8jrdCqRw")</f>
        <v>https://m.youtube.com/channel/UC9A_qkr84vZZULC8jrdCqRw</v>
      </c>
      <c r="AR749" s="76" t="s">
        <v>14367</v>
      </c>
      <c r="AS749" s="76"/>
      <c r="AT749" s="76"/>
      <c r="AU749" s="76"/>
      <c r="AV749" s="76"/>
      <c r="AW749" s="82" t="str">
        <f>HYPERLINK("https://t.co/29sKDIaCaf")</f>
        <v>https://t.co/29sKDIaCaf</v>
      </c>
      <c r="AX749" s="76" t="b">
        <v>1</v>
      </c>
      <c r="AY749" s="76"/>
      <c r="AZ749" s="76"/>
      <c r="BA749" s="76" t="b">
        <v>0</v>
      </c>
      <c r="BB749" s="76" t="b">
        <v>1</v>
      </c>
      <c r="BC749" s="76" t="b">
        <v>0</v>
      </c>
      <c r="BD749" s="76" t="b">
        <v>0</v>
      </c>
      <c r="BE749" s="76" t="b">
        <v>1</v>
      </c>
      <c r="BF749" s="76" t="b">
        <v>0</v>
      </c>
      <c r="BG749" s="76" t="b">
        <v>0</v>
      </c>
      <c r="BH749" s="82" t="str">
        <f>HYPERLINK("https://pbs.twimg.com/profile_banners/265752992/1612798892")</f>
        <v>https://pbs.twimg.com/profile_banners/265752992/1612798892</v>
      </c>
      <c r="BI749" s="76"/>
      <c r="BJ749" s="76" t="s">
        <v>14450</v>
      </c>
      <c r="BK749" s="76" t="b">
        <v>0</v>
      </c>
      <c r="BL749" s="76"/>
      <c r="BM749" s="76" t="s">
        <v>65</v>
      </c>
      <c r="BN749" s="76" t="s">
        <v>14452</v>
      </c>
      <c r="BO749" s="82" t="str">
        <f>HYPERLINK("https://twitter.com/catalinasuarezb")</f>
        <v>https://twitter.com/catalinasuarezb</v>
      </c>
      <c r="BP749" s="2"/>
    </row>
  </sheetData>
  <dataConsolidate/>
  <dataValidations count="20">
    <dataValidation allowBlank="1" showInputMessage="1" errorTitle="Invalid Vertex Visibility" error="You have entered an unrecognized vertex visibility.  Try selecting from the drop-down list instead." promptTitle="Vertex ID" prompt="This is a unique ID that gets filled in automatically.  Do not edit this column." sqref="AA3:AA749" xr:uid="{00000000-0002-0000-0100-000000000000}"/>
    <dataValidation allowBlank="1" errorTitle="Invalid Vertex Visibility" error="You have entered an unrecognized vertex visibility.  Try selecting from the drop-down list instead." sqref="BP3" xr:uid="{00000000-0002-0000-0100-000001000000}"/>
    <dataValidation allowBlank="1" showErrorMessage="1" sqref="BP2" xr:uid="{00000000-0002-0000-0100-000002000000}"/>
    <dataValidation type="list" allowBlank="1" showInputMessage="1" showErrorMessage="1" errorTitle="Invalid Vertex Locked" error="You have entered an invalid vertex &quot;locked.&quot;  Try selecting from the drop-down list instead." promptTitle="Vertex Locked?" prompt="Set to Yes to lock the vertex at its current location." sqref="O3:O749" xr:uid="{00000000-0002-0000-0100-000003000000}">
      <formula1>ValidBooleansDefaultFalse</formula1>
    </dataValidation>
    <dataValidation allowBlank="1" showInputMessage="1" errorTitle="Invalid Vertex Location" error="The optional vertex location's X and Y values must be whole numbers between 0 and 9999." promptTitle="Vertex Location" prompt="Enter an optional vertex location.  X and Y values should be between 0 and 9,999.  If you enter X and Y values, you should set NodeXL, Graph, Layout to &quot;None&quot; to prevent NodeXL from overwriting your values when you show the graph." sqref="M3:N749" xr:uid="{00000000-0002-0000-0100-000004000000}"/>
    <dataValidation allowBlank="1" showInputMessage="1" showErrorMessage="1" errorTitle="Invalid Vertex Visibility" error="You have entered an unrecognized vertex visibility.  Try selecting from the drop-down list instead." promptTitle="Vertex Layout Order" prompt="Enter an optional number to control the order in which the vertices are laid out and stacked in the graph." sqref="L3:L749" xr:uid="{00000000-0002-0000-0100-000005000000}"/>
    <dataValidation allowBlank="1" showInputMessage="1" errorTitle="Invalid Vertex Location" error="The optional vertex location's X and Y values must be whole numbers between 0 and 9999." promptTitle="Vertex Polar R" prompt="Enter an optional vertex polar radial coordinate.  This is used only when a Layout Type of Polar or Polar Absolute is selected in the graph pane.  Hover the mouse over the column header for more details." sqref="P3:P749" xr:uid="{00000000-0002-0000-0100-000006000000}"/>
    <dataValidation allowBlank="1" showInputMessage="1" errorTitle="Invalid Vertex Location" error="The optional vertex location's X and Y values must be whole numbers between 0 and 9999." promptTitle="Vertex Polar Angle" prompt="Enter an optional vertex polar angle coordinate, in degrees.  This is used only when a Layout Type of Polar or Polar Absolute is selected in the graph pane." sqref="Q3:Q749" xr:uid="{00000000-0002-0000-0100-000007000000}"/>
    <dataValidation allowBlank="1" showInputMessage="1" errorTitle="Invalid Vertex Image Key" promptTitle="Vertex Tooltip" prompt="Enter optional text that will pop up when the mouse is hovered over the vertex." sqref="K3:K749" xr:uid="{00000000-0002-0000-0100-000008000000}"/>
    <dataValidation allowBlank="1" errorTitle="Invalid Vertex Visibility" error="You have entered an unrecognized vertex visibility.  Try selecting from the drop-down list instead." promptTitle="Vertex ID" prompt="This is a unique ID that gets filled in automatically.  Do not edit this column." sqref="AB3:AB749" xr:uid="{00000000-0002-0000-0100-000009000000}"/>
    <dataValidation type="list" allowBlank="1" showInputMessage="1" showErrorMessage="1" errorTitle="Invalid Vertex Visibility" error="You have entered an invalid vertex visibility.  Try selecting from the drop-down list instead." promptTitle="Vertex Visibility" prompt="Select an optional vertex visibility.  Vertices are &quot;Show if in an Edge&quot; by default." sqref="G3:G749" xr:uid="{00000000-0002-0000-0100-00000A000000}">
      <formula1>ValidVertexVisibilities</formula1>
    </dataValidation>
    <dataValidation allowBlank="1" showInputMessage="1" errorTitle="Invalid Vertex Image Key" promptTitle="Vertex Label" prompt="To show a vertex as a box containing text, set the Shape to Label and enter a label.  To annotate another shape with text, set the Shape to something else and enter a label." sqref="H3:H749" xr:uid="{00000000-0002-0000-0100-00000B000000}"/>
    <dataValidation allowBlank="1" showInputMessage="1" promptTitle="Vertex Label Fill Color" prompt="To select an optional fill color for the Label shape, right-click and select Select Color on the right-click menu." sqref="I3:I749" xr:uid="{00000000-0002-0000-0100-00000C000000}"/>
    <dataValidation allowBlank="1" showInputMessage="1" errorTitle="Invalid Vertex Image Key" promptTitle="Vertex Image File" prompt="Enter the path to an image file.  Hover over the column header for examples." sqref="F3:F749" xr:uid="{00000000-0002-0000-0100-00000D000000}"/>
    <dataValidation allowBlank="1" showInputMessage="1" promptTitle="Vertex Color" prompt="To select an optional vertex color, right-click and select Select Color on the right-click menu." sqref="B3:B749" xr:uid="{00000000-0002-0000-0100-00000E000000}"/>
    <dataValidation allowBlank="1" showInputMessage="1" errorTitle="Invalid Vertex Opacity" error="The optional vertex opacity must be a whole number between 0 and 10." promptTitle="Vertex Opacity" prompt="Enter an optional vertex opacity between 0 (transparent) and 100 (opaque)." sqref="E3:E749" xr:uid="{00000000-0002-0000-0100-00000F000000}"/>
    <dataValidation type="list" allowBlank="1" showInputMessage="1" showErrorMessage="1" errorTitle="Invalid Vertex Shape" error="You have entered an invalid vertex shape.  Try selecting from the drop-down list instead." promptTitle="Vertex Shape" prompt="Select an optional vertex shape." sqref="C3:C749" xr:uid="{00000000-0002-0000-0100-000010000000}">
      <formula1>ValidVertexShapes</formula1>
    </dataValidation>
    <dataValidation allowBlank="1" showInputMessage="1" errorTitle="Invalid Vertex Size" error="The optional vertex size must be a decimal number.  Any size is acceptable, although 1 is used if the size is less than 1, and 10 is used if the size is greater than 10." promptTitle="Vertex Size" prompt="Enter an optional vertex size between 1 and 1,000." sqref="D3:D749" xr:uid="{00000000-0002-0000-0100-000011000000}"/>
    <dataValidation type="list" allowBlank="1" showInputMessage="1" showErrorMessage="1" errorTitle="Invalid Vertex Label Position" error="You have entered an invalid vertex label position.  Try selecting from the drop-down list instead." promptTitle="Vertex Label Position" prompt="Select an optional vertex label position." sqref="J3:J749" xr:uid="{00000000-0002-0000-0100-000012000000}">
      <formula1>ValidVertexLabelPositions</formula1>
    </dataValidation>
    <dataValidation allowBlank="1" showInputMessage="1" showErrorMessage="1" promptTitle="Vertex Name" prompt="Enter the name of the vertex." sqref="A3:A749" xr:uid="{00000000-0002-0000-0100-000013000000}"/>
  </dataValidations>
  <pageMargins left="0.7" right="0.7" top="0.75" bottom="0.75" header="0.3" footer="0.3"/>
  <pageSetup orientation="portrait" horizontalDpi="0" verticalDpi="0"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D21"/>
  <sheetViews>
    <sheetView workbookViewId="0"/>
  </sheetViews>
  <sheetFormatPr defaultRowHeight="15" x14ac:dyDescent="0.25"/>
  <cols>
    <col min="1" max="1" width="10.85546875" bestFit="1" customWidth="1"/>
    <col min="2" max="2" width="16.85546875" bestFit="1" customWidth="1"/>
    <col min="4" max="5" width="9.140625" customWidth="1"/>
  </cols>
  <sheetData>
    <row r="1" spans="1:1" x14ac:dyDescent="0.25">
      <c r="A1" t="s">
        <v>49</v>
      </c>
    </row>
    <row r="2" spans="1:1" ht="15" customHeight="1" x14ac:dyDescent="0.25"/>
    <row r="3" spans="1:1" ht="15" customHeight="1" x14ac:dyDescent="0.25">
      <c r="A3" s="29" t="s">
        <v>50</v>
      </c>
    </row>
    <row r="21" spans="4:4" x14ac:dyDescent="0.25">
      <c r="D21" s="6"/>
    </row>
  </sheetData>
  <dataConsolidate/>
  <dataValidations xWindow="63" yWindow="236" count="2">
    <dataValidation allowBlank="1" showInputMessage="1" showErrorMessage="1" promptTitle="Image ID" prompt="Enter a unique ID for the image." sqref="A2" xr:uid="{00000000-0002-0000-0200-000000000000}"/>
    <dataValidation allowBlank="1" showInputMessage="1" showErrorMessage="1" promptTitle="Image File Path" prompt="Enter an image file path.  Hover over the column header for examples." sqref="B2" xr:uid="{00000000-0002-0000-0200-000001000000}"/>
  </dataValidations>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X10"/>
  <sheetViews>
    <sheetView workbookViewId="0">
      <pane ySplit="2" topLeftCell="A3" activePane="bottomLeft" state="frozen"/>
      <selection pane="bottomLeft" activeCell="A3" sqref="A3"/>
    </sheetView>
  </sheetViews>
  <sheetFormatPr defaultRowHeight="15" x14ac:dyDescent="0.25"/>
  <cols>
    <col min="1" max="1" width="9.42578125" style="1" bestFit="1" customWidth="1"/>
    <col min="2" max="2" width="14.28515625" bestFit="1" customWidth="1"/>
    <col min="3" max="3" width="15" bestFit="1" customWidth="1"/>
    <col min="4" max="4" width="11.140625" bestFit="1" customWidth="1"/>
    <col min="5" max="5" width="13" bestFit="1" customWidth="1"/>
    <col min="6" max="6" width="8" bestFit="1" customWidth="1"/>
    <col min="7" max="8" width="13.5703125" hidden="1" customWidth="1"/>
    <col min="9" max="9" width="11" hidden="1" customWidth="1"/>
    <col min="10" max="10" width="12.5703125" hidden="1" customWidth="1"/>
    <col min="11" max="11" width="11" hidden="1" customWidth="1"/>
    <col min="12" max="12" width="9.7109375" hidden="1" customWidth="1"/>
    <col min="13" max="13" width="13.140625" hidden="1" customWidth="1"/>
    <col min="14" max="15" width="8.42578125" hidden="1" customWidth="1"/>
    <col min="16" max="16" width="18.28515625" hidden="1" customWidth="1"/>
    <col min="17" max="17" width="14.85546875" hidden="1" customWidth="1"/>
    <col min="18" max="18" width="14.5703125" hidden="1" customWidth="1"/>
    <col min="19" max="21" width="24.140625" hidden="1" customWidth="1"/>
    <col min="22" max="22" width="21.28515625" hidden="1" customWidth="1"/>
    <col min="23" max="23" width="19.28515625" hidden="1" customWidth="1"/>
    <col min="24" max="24" width="10" hidden="1" customWidth="1"/>
    <col min="25" max="25" width="13" customWidth="1"/>
  </cols>
  <sheetData>
    <row r="1" spans="1:24" x14ac:dyDescent="0.25">
      <c r="B1" s="52" t="s">
        <v>39</v>
      </c>
      <c r="C1" s="53"/>
      <c r="D1" s="53"/>
      <c r="E1" s="54"/>
      <c r="F1" s="51" t="s">
        <v>43</v>
      </c>
      <c r="G1" s="55" t="s">
        <v>44</v>
      </c>
      <c r="H1" s="56"/>
      <c r="I1" s="57" t="s">
        <v>40</v>
      </c>
      <c r="J1" s="58"/>
      <c r="K1" s="59" t="s">
        <v>42</v>
      </c>
      <c r="L1" s="60"/>
      <c r="M1" s="60"/>
      <c r="N1" s="60"/>
      <c r="O1" s="60"/>
      <c r="P1" s="60"/>
      <c r="Q1" s="60"/>
      <c r="R1" s="60"/>
      <c r="S1" s="60"/>
      <c r="T1" s="60"/>
      <c r="U1" s="60"/>
      <c r="V1" s="60"/>
      <c r="W1" s="60"/>
      <c r="X1" s="60"/>
    </row>
    <row r="2" spans="1:24" s="7" customFormat="1" ht="30" customHeight="1" x14ac:dyDescent="0.25">
      <c r="A2" s="10" t="s">
        <v>144</v>
      </c>
      <c r="B2" s="7" t="s">
        <v>21</v>
      </c>
      <c r="C2" s="7" t="s">
        <v>20</v>
      </c>
      <c r="D2" s="7" t="s">
        <v>11</v>
      </c>
      <c r="E2" s="7" t="s">
        <v>145</v>
      </c>
      <c r="F2" s="7" t="s">
        <v>46</v>
      </c>
      <c r="G2" s="7" t="s">
        <v>167</v>
      </c>
      <c r="H2" s="7" t="s">
        <v>168</v>
      </c>
      <c r="I2" s="7" t="s">
        <v>12</v>
      </c>
      <c r="J2" s="7" t="s">
        <v>166</v>
      </c>
      <c r="K2" s="7" t="s">
        <v>146</v>
      </c>
      <c r="L2" s="7" t="s">
        <v>148</v>
      </c>
      <c r="M2" s="7" t="s">
        <v>149</v>
      </c>
      <c r="N2" s="7" t="s">
        <v>150</v>
      </c>
      <c r="O2" s="7" t="s">
        <v>151</v>
      </c>
      <c r="P2" s="7" t="s">
        <v>170</v>
      </c>
      <c r="Q2" s="7" t="s">
        <v>171</v>
      </c>
      <c r="R2" s="7" t="s">
        <v>152</v>
      </c>
      <c r="S2" s="7" t="s">
        <v>153</v>
      </c>
      <c r="T2" s="7" t="s">
        <v>154</v>
      </c>
      <c r="U2" s="7" t="s">
        <v>155</v>
      </c>
      <c r="V2" s="7" t="s">
        <v>156</v>
      </c>
      <c r="W2" s="7" t="s">
        <v>157</v>
      </c>
      <c r="X2" s="7" t="s">
        <v>158</v>
      </c>
    </row>
    <row r="3" spans="1:24" x14ac:dyDescent="0.25">
      <c r="A3" s="11"/>
      <c r="B3" s="12"/>
      <c r="C3" s="12"/>
      <c r="D3" s="12"/>
      <c r="E3" s="12"/>
      <c r="F3" s="13"/>
      <c r="G3" s="61"/>
      <c r="H3" s="61"/>
      <c r="I3" s="49"/>
      <c r="J3" s="49"/>
      <c r="K3" s="44"/>
      <c r="L3" s="44"/>
      <c r="M3" s="44"/>
      <c r="N3" s="44"/>
      <c r="O3" s="44"/>
      <c r="P3" s="44"/>
      <c r="Q3" s="44"/>
      <c r="R3" s="44"/>
      <c r="S3" s="44"/>
      <c r="T3" s="44"/>
      <c r="U3" s="44"/>
      <c r="V3" s="44"/>
      <c r="W3" s="45"/>
      <c r="X3" s="45"/>
    </row>
    <row r="10" spans="1:24" ht="14.25" customHeight="1" x14ac:dyDescent="0.25"/>
  </sheetData>
  <dataConsolidate/>
  <dataValidations count="8">
    <dataValidation allowBlank="1" showInputMessage="1" promptTitle="Group Vertex Color" prompt="To select a color to use for all vertices in the group, right-click and select Select Color on the right-click menu." sqref="B3" xr:uid="{00000000-0002-0000-0300-000000000000}"/>
    <dataValidation type="list" allowBlank="1" showInputMessage="1" showErrorMessage="1" errorTitle="Invalid Group Vertex Shape" error="You have entered an invalid group vertex shape.  Try selecting from the drop-down list instead." promptTitle="Group Vertex Shape" prompt="Select a shape to use for all vertices in the group." sqref="C3" xr:uid="{00000000-0002-0000-0300-000001000000}">
      <formula1>ValidGroupShapes</formula1>
    </dataValidation>
    <dataValidation allowBlank="1" showInputMessage="1" showErrorMessage="1" promptTitle="Group Name" prompt="Enter the name of the group." sqref="A3" xr:uid="{00000000-0002-0000-0300-000002000000}"/>
    <dataValidation type="list" allowBlank="1" showInputMessage="1" showErrorMessage="1" errorTitle="Invalid Group Collapsed" error="You have entered an invalid group &quot;collapsed.&quot;  Try selecting from the drop-down list instead." promptTitle="Group Collapsed?" prompt="Set to Yes to collapse the group." sqref="E3" xr:uid="{00000000-0002-0000-0300-000003000000}">
      <formula1>ValidBooleansDefaultFalse</formula1>
    </dataValidation>
    <dataValidation allowBlank="1" sqref="K3" xr:uid="{00000000-0002-0000-0300-000004000000}"/>
    <dataValidation allowBlank="1" showInputMessage="1" showErrorMessage="1" errorTitle="Invalid Group Collapsed" error="You have entered an unrecognized &quot;group collapsed.&quot;  Try selecting from the drop-down list instead." promptTitle="Group Label" prompt="Enter an optional group label." sqref="F3" xr:uid="{00000000-0002-0000-0300-000005000000}"/>
    <dataValidation allowBlank="1" showInputMessage="1" showErrorMessage="1" errorTitle="Invalid Group Collapsed" error="You have entered an unrecognized &quot;group collapsed.&quot;  Try selecting from the drop-down list instead." promptTitle="Collapsed Location" prompt="Enter an optional collapsed location.  Collapsed X and Y values should be between 0 and 9,999.  If you enter Collapsed X and Y values, you should set NodeXL, Graph, Layout to &quot;None&quot; to prevent NodeXL from overwriting your values when you show the graph." sqref="G3:H3" xr:uid="{00000000-0002-0000-0300-000006000000}"/>
    <dataValidation type="list" allowBlank="1" showInputMessage="1" showErrorMessage="1" errorTitle="Invalid Group Visibility" error="You have entered an invalid group visibility.  Try selecting from the drop-down list instead." promptTitle="Group Visibility" prompt="Select an optional group visibility.  Groups are shown by default." sqref="D3" xr:uid="{00000000-0002-0000-0300-000007000000}">
      <formula1>ValidGroupVisibilities</formula1>
    </dataValidation>
  </dataValidations>
  <pageMargins left="0.7" right="0.7" top="0.75" bottom="0.75" header="0.3" footer="0.3"/>
  <pageSetup orientation="portrait" horizontalDpi="0" verticalDpi="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C1"/>
  <sheetViews>
    <sheetView workbookViewId="0">
      <selection activeCell="A2" sqref="A2"/>
    </sheetView>
  </sheetViews>
  <sheetFormatPr defaultRowHeight="15" x14ac:dyDescent="0.25"/>
  <cols>
    <col min="1" max="1" width="9.42578125" style="1" bestFit="1" customWidth="1"/>
    <col min="2" max="2" width="9.140625" style="1"/>
    <col min="3" max="3" width="11.5703125" bestFit="1" customWidth="1"/>
    <col min="4" max="4" width="9.140625" customWidth="1"/>
  </cols>
  <sheetData>
    <row r="1" spans="1:3" x14ac:dyDescent="0.25">
      <c r="A1" s="1" t="s">
        <v>144</v>
      </c>
      <c r="B1" s="1" t="s">
        <v>5</v>
      </c>
      <c r="C1" s="1" t="s">
        <v>147</v>
      </c>
    </row>
  </sheetData>
  <dataConsolidate/>
  <dataValidations xWindow="58" yWindow="226" count="3">
    <dataValidation allowBlank="1" showInputMessage="1" showErrorMessage="1" promptTitle="Group Name" prompt="Enter the name of the group.  The group name must also be entered on the Groups worksheet." sqref="A2" xr:uid="{00000000-0002-0000-0400-000000000000}"/>
    <dataValidation allowBlank="1" showInputMessage="1" showErrorMessage="1" promptTitle="Vertex Name" prompt="Enter the name of a vertex to include in the group." sqref="B2" xr:uid="{00000000-0002-0000-0400-000001000000}"/>
    <dataValidation allowBlank="1" showInputMessage="1" promptTitle="Vertex ID" prompt="This is the value of the hidden ID cell in the Vertices worksheet.  It gets filled in by the items on the NodeXL, Analysis, Groups menu." sqref="C2" xr:uid="{00000000-0002-0000-0400-000002000000}"/>
  </dataValidations>
  <pageMargins left="0.7" right="0.7" top="0.75" bottom="0.75" header="0.3" footer="0.3"/>
  <pageSetup orientation="portrait" horizontalDpi="0" verticalDpi="0"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175"/>
  <sheetViews>
    <sheetView tabSelected="1" workbookViewId="0">
      <selection activeCell="B32" sqref="B32"/>
    </sheetView>
  </sheetViews>
  <sheetFormatPr defaultRowHeight="15" x14ac:dyDescent="0.25"/>
  <cols>
    <col min="1" max="1" width="43.140625" customWidth="1"/>
    <col min="2" max="2" width="13.85546875" customWidth="1"/>
    <col min="3" max="3" width="9.140625" customWidth="1"/>
    <col min="4" max="4" width="12.85546875" hidden="1" customWidth="1"/>
    <col min="5" max="5" width="19.7109375" hidden="1" customWidth="1"/>
    <col min="6" max="6" width="15.5703125" hidden="1" customWidth="1"/>
    <col min="7" max="7" width="22.140625" hidden="1" customWidth="1"/>
    <col min="8" max="8" width="17.140625" hidden="1" customWidth="1"/>
    <col min="9" max="9" width="23.85546875" hidden="1" customWidth="1"/>
    <col min="10" max="10" width="28.28515625" hidden="1" customWidth="1"/>
    <col min="11" max="11" width="34.85546875" hidden="1" customWidth="1"/>
    <col min="12" max="12" width="25" hidden="1" customWidth="1"/>
    <col min="13" max="13" width="31.5703125" hidden="1" customWidth="1"/>
    <col min="14" max="14" width="26.5703125" hidden="1" customWidth="1"/>
    <col min="15" max="17" width="33.28515625" hidden="1" customWidth="1"/>
    <col min="18" max="18" width="26.5703125" hidden="1" customWidth="1"/>
    <col min="19" max="19" width="33" hidden="1" customWidth="1"/>
    <col min="20" max="20" width="19.5703125" hidden="1" customWidth="1"/>
    <col min="21" max="21" width="26.140625" hidden="1" customWidth="1"/>
    <col min="22" max="22" width="9.140625" hidden="1" customWidth="1"/>
    <col min="23" max="23" width="34.140625" hidden="1" customWidth="1"/>
    <col min="24" max="24" width="25.140625" hidden="1" customWidth="1"/>
  </cols>
  <sheetData>
    <row r="1" spans="1:24" ht="15" customHeight="1" thickBot="1" x14ac:dyDescent="0.3">
      <c r="A1" s="7" t="s">
        <v>162</v>
      </c>
      <c r="B1" s="7" t="s">
        <v>17</v>
      </c>
      <c r="D1" t="s">
        <v>79</v>
      </c>
      <c r="E1" t="s">
        <v>80</v>
      </c>
      <c r="F1" s="33" t="s">
        <v>86</v>
      </c>
      <c r="G1" s="34" t="s">
        <v>87</v>
      </c>
      <c r="H1" s="33" t="s">
        <v>92</v>
      </c>
      <c r="I1" s="34" t="s">
        <v>93</v>
      </c>
      <c r="J1" s="33" t="s">
        <v>98</v>
      </c>
      <c r="K1" s="34" t="s">
        <v>99</v>
      </c>
      <c r="L1" s="33" t="s">
        <v>104</v>
      </c>
      <c r="M1" s="34" t="s">
        <v>105</v>
      </c>
      <c r="N1" s="33" t="s">
        <v>110</v>
      </c>
      <c r="O1" s="34" t="s">
        <v>111</v>
      </c>
      <c r="P1" s="34" t="s">
        <v>138</v>
      </c>
      <c r="Q1" s="34" t="s">
        <v>139</v>
      </c>
      <c r="R1" s="33" t="s">
        <v>116</v>
      </c>
      <c r="S1" s="33" t="s">
        <v>117</v>
      </c>
      <c r="T1" s="33" t="s">
        <v>122</v>
      </c>
      <c r="U1" s="34" t="s">
        <v>123</v>
      </c>
      <c r="W1" t="s">
        <v>127</v>
      </c>
      <c r="X1" t="s">
        <v>17</v>
      </c>
    </row>
    <row r="2" spans="1:24" ht="15.75" thickTop="1" x14ac:dyDescent="0.25">
      <c r="A2" s="32" t="s">
        <v>15202</v>
      </c>
      <c r="B2" s="32" t="s">
        <v>15201</v>
      </c>
      <c r="D2" s="30">
        <f>MIN(Vertices[Degree])</f>
        <v>0</v>
      </c>
      <c r="E2">
        <f>COUNTIF(Vertices[Degree], "&gt;= " &amp; D2) - COUNTIF(Vertices[Degree], "&gt;=" &amp; D3)</f>
        <v>0</v>
      </c>
      <c r="F2" s="35">
        <f>MIN(Vertices[In-Degree])</f>
        <v>0</v>
      </c>
      <c r="G2" s="36">
        <f>COUNTIF(Vertices[In-Degree], "&gt;= " &amp; F2) - COUNTIF(Vertices[In-Degree], "&gt;=" &amp; F3)</f>
        <v>0</v>
      </c>
      <c r="H2" s="35">
        <f>MIN(Vertices[Out-Degree])</f>
        <v>0</v>
      </c>
      <c r="I2" s="36">
        <f>COUNTIF(Vertices[Out-Degree], "&gt;= " &amp; H2) - COUNTIF(Vertices[Out-Degree], "&gt;=" &amp; H3)</f>
        <v>0</v>
      </c>
      <c r="J2" s="35">
        <f>MIN(Vertices[Betweenness Centrality])</f>
        <v>0</v>
      </c>
      <c r="K2" s="36">
        <f>COUNTIF(Vertices[Betweenness Centrality], "&gt;= " &amp; J2) - COUNTIF(Vertices[Betweenness Centrality], "&gt;=" &amp; J3)</f>
        <v>0</v>
      </c>
      <c r="L2" s="35">
        <f>MIN(Vertices[Closeness Centrality])</f>
        <v>0</v>
      </c>
      <c r="M2" s="36">
        <f>COUNTIF(Vertices[Closeness Centrality], "&gt;= " &amp; L2) - COUNTIF(Vertices[Closeness Centrality], "&gt;=" &amp; L3)</f>
        <v>0</v>
      </c>
      <c r="N2" s="35">
        <f>MIN(Vertices[Eigenvector Centrality])</f>
        <v>0</v>
      </c>
      <c r="O2" s="36">
        <f>COUNTIF(Vertices[Eigenvector Centrality], "&gt;= " &amp; N2) - COUNTIF(Vertices[Eigenvector Centrality], "&gt;=" &amp; N3)</f>
        <v>0</v>
      </c>
      <c r="P2" s="35">
        <f>MIN(Vertices[PageRank])</f>
        <v>0</v>
      </c>
      <c r="Q2" s="36">
        <f>COUNTIF(Vertices[PageRank], "&gt;= " &amp; P2) - COUNTIF(Vertices[PageRank], "&gt;=" &amp; P3)</f>
        <v>0</v>
      </c>
      <c r="R2" s="35">
        <f>MIN(Vertices[Clustering Coefficient])</f>
        <v>0</v>
      </c>
      <c r="S2" s="41">
        <f>COUNTIF(Vertices[Clustering Coefficient], "&gt;= " &amp; R2) - COUNTIF(Vertices[Clustering Coefficient], "&gt;=" &amp; R3)</f>
        <v>0</v>
      </c>
      <c r="T2" s="35" t="e">
        <f ca="1">MIN(INDIRECT(DynamicFilterSourceColumnRange))</f>
        <v>#REF!</v>
      </c>
      <c r="U2" s="36" t="e">
        <f t="shared" ref="U2:U25" ca="1" si="0">COUNTIF(INDIRECT(DynamicFilterSourceColumnRange), "&gt;= " &amp; T2) - COUNTIF(INDIRECT(DynamicFilterSourceColumnRange), "&gt;=" &amp; T3)</f>
        <v>#REF!</v>
      </c>
      <c r="W2" t="s">
        <v>124</v>
      </c>
      <c r="X2">
        <f>ROWS(HistogramBins[Degree Bin]) - 1</f>
        <v>34</v>
      </c>
    </row>
    <row r="3" spans="1:24" x14ac:dyDescent="0.25">
      <c r="A3" s="105"/>
      <c r="B3" s="105"/>
      <c r="D3" s="30">
        <f t="shared" ref="D3:D35" si="1">D2+($D$36-$D$2)/BinDivisor</f>
        <v>0</v>
      </c>
      <c r="E3">
        <f>COUNTIF(Vertices[Degree], "&gt;= " &amp; D3) - COUNTIF(Vertices[Degree], "&gt;=" &amp; D4)</f>
        <v>0</v>
      </c>
      <c r="F3" s="37">
        <f t="shared" ref="F3:F35" si="2">F2+($F$36-$F$2)/BinDivisor</f>
        <v>0</v>
      </c>
      <c r="G3" s="38">
        <f>COUNTIF(Vertices[In-Degree], "&gt;= " &amp; F3) - COUNTIF(Vertices[In-Degree], "&gt;=" &amp; F4)</f>
        <v>0</v>
      </c>
      <c r="H3" s="37">
        <f t="shared" ref="H3:H35" si="3">H2+($H$36-$H$2)/BinDivisor</f>
        <v>0</v>
      </c>
      <c r="I3" s="38">
        <f>COUNTIF(Vertices[Out-Degree], "&gt;= " &amp; H3) - COUNTIF(Vertices[Out-Degree], "&gt;=" &amp; H4)</f>
        <v>0</v>
      </c>
      <c r="J3" s="37">
        <f t="shared" ref="J3:J35" si="4">J2+($J$36-$J$2)/BinDivisor</f>
        <v>0</v>
      </c>
      <c r="K3" s="38">
        <f>COUNTIF(Vertices[Betweenness Centrality], "&gt;= " &amp; J3) - COUNTIF(Vertices[Betweenness Centrality], "&gt;=" &amp; J4)</f>
        <v>0</v>
      </c>
      <c r="L3" s="37">
        <f t="shared" ref="L3:L35" si="5">L2+($L$36-$L$2)/BinDivisor</f>
        <v>0</v>
      </c>
      <c r="M3" s="38">
        <f>COUNTIF(Vertices[Closeness Centrality], "&gt;= " &amp; L3) - COUNTIF(Vertices[Closeness Centrality], "&gt;=" &amp; L4)</f>
        <v>0</v>
      </c>
      <c r="N3" s="37">
        <f t="shared" ref="N3:N35" si="6">N2+($N$36-$N$2)/BinDivisor</f>
        <v>0</v>
      </c>
      <c r="O3" s="38">
        <f>COUNTIF(Vertices[Eigenvector Centrality], "&gt;= " &amp; N3) - COUNTIF(Vertices[Eigenvector Centrality], "&gt;=" &amp; N4)</f>
        <v>0</v>
      </c>
      <c r="P3" s="37">
        <f t="shared" ref="P3:P35" si="7">P2+($P$36-$P$2)/BinDivisor</f>
        <v>0</v>
      </c>
      <c r="Q3" s="38">
        <f>COUNTIF(Vertices[PageRank], "&gt;= " &amp; P3) - COUNTIF(Vertices[PageRank], "&gt;=" &amp; P4)</f>
        <v>0</v>
      </c>
      <c r="R3" s="37">
        <f t="shared" ref="R3:R35" si="8">R2+($R$36-$R$2)/BinDivisor</f>
        <v>0</v>
      </c>
      <c r="S3" s="42">
        <f>COUNTIF(Vertices[Clustering Coefficient], "&gt;= " &amp; R3) - COUNTIF(Vertices[Clustering Coefficient], "&gt;=" &amp; R4)</f>
        <v>0</v>
      </c>
      <c r="T3" s="37" t="e">
        <f t="shared" ref="T3:T35" ca="1" si="9">T2+($T$36-$T$2)/BinDivisor</f>
        <v>#REF!</v>
      </c>
      <c r="U3" s="38" t="e">
        <f t="shared" ca="1" si="0"/>
        <v>#REF!</v>
      </c>
      <c r="W3" t="s">
        <v>125</v>
      </c>
      <c r="X3" t="s">
        <v>85</v>
      </c>
    </row>
    <row r="4" spans="1:24" x14ac:dyDescent="0.25">
      <c r="A4" s="32" t="s">
        <v>146</v>
      </c>
      <c r="B4" s="32">
        <v>747</v>
      </c>
      <c r="D4" s="30">
        <f t="shared" si="1"/>
        <v>0</v>
      </c>
      <c r="E4">
        <f>COUNTIF(Vertices[Degree], "&gt;= " &amp; D4) - COUNTIF(Vertices[Degree], "&gt;=" &amp; D5)</f>
        <v>0</v>
      </c>
      <c r="F4" s="35">
        <f t="shared" si="2"/>
        <v>0</v>
      </c>
      <c r="G4" s="36">
        <f>COUNTIF(Vertices[In-Degree], "&gt;= " &amp; F4) - COUNTIF(Vertices[In-Degree], "&gt;=" &amp; F5)</f>
        <v>0</v>
      </c>
      <c r="H4" s="35">
        <f t="shared" si="3"/>
        <v>0</v>
      </c>
      <c r="I4" s="36">
        <f>COUNTIF(Vertices[Out-Degree], "&gt;= " &amp; H4) - COUNTIF(Vertices[Out-Degree], "&gt;=" &amp; H5)</f>
        <v>0</v>
      </c>
      <c r="J4" s="35">
        <f t="shared" si="4"/>
        <v>0</v>
      </c>
      <c r="K4" s="36">
        <f>COUNTIF(Vertices[Betweenness Centrality], "&gt;= " &amp; J4) - COUNTIF(Vertices[Betweenness Centrality], "&gt;=" &amp; J5)</f>
        <v>0</v>
      </c>
      <c r="L4" s="35">
        <f t="shared" si="5"/>
        <v>0</v>
      </c>
      <c r="M4" s="36">
        <f>COUNTIF(Vertices[Closeness Centrality], "&gt;= " &amp; L4) - COUNTIF(Vertices[Closeness Centrality], "&gt;=" &amp; L5)</f>
        <v>0</v>
      </c>
      <c r="N4" s="35">
        <f t="shared" si="6"/>
        <v>0</v>
      </c>
      <c r="O4" s="36">
        <f>COUNTIF(Vertices[Eigenvector Centrality], "&gt;= " &amp; N4) - COUNTIF(Vertices[Eigenvector Centrality], "&gt;=" &amp; N5)</f>
        <v>0</v>
      </c>
      <c r="P4" s="35">
        <f t="shared" si="7"/>
        <v>0</v>
      </c>
      <c r="Q4" s="36">
        <f>COUNTIF(Vertices[PageRank], "&gt;= " &amp; P4) - COUNTIF(Vertices[PageRank], "&gt;=" &amp; P5)</f>
        <v>0</v>
      </c>
      <c r="R4" s="35">
        <f t="shared" si="8"/>
        <v>0</v>
      </c>
      <c r="S4" s="41">
        <f>COUNTIF(Vertices[Clustering Coefficient], "&gt;= " &amp; R4) - COUNTIF(Vertices[Clustering Coefficient], "&gt;=" &amp; R5)</f>
        <v>0</v>
      </c>
      <c r="T4" s="35" t="e">
        <f t="shared" ca="1" si="9"/>
        <v>#REF!</v>
      </c>
      <c r="U4" s="36" t="e">
        <f t="shared" ca="1" si="0"/>
        <v>#REF!</v>
      </c>
      <c r="W4" t="s">
        <v>126</v>
      </c>
      <c r="X4" t="s">
        <v>128</v>
      </c>
    </row>
    <row r="5" spans="1:24" x14ac:dyDescent="0.25">
      <c r="A5" s="105"/>
      <c r="B5" s="105"/>
      <c r="D5" s="30">
        <f t="shared" si="1"/>
        <v>0</v>
      </c>
      <c r="E5">
        <f>COUNTIF(Vertices[Degree], "&gt;= " &amp; D5) - COUNTIF(Vertices[Degree], "&gt;=" &amp; D6)</f>
        <v>0</v>
      </c>
      <c r="F5" s="37">
        <f t="shared" si="2"/>
        <v>0</v>
      </c>
      <c r="G5" s="38">
        <f>COUNTIF(Vertices[In-Degree], "&gt;= " &amp; F5) - COUNTIF(Vertices[In-Degree], "&gt;=" &amp; F6)</f>
        <v>0</v>
      </c>
      <c r="H5" s="37">
        <f t="shared" si="3"/>
        <v>0</v>
      </c>
      <c r="I5" s="38">
        <f>COUNTIF(Vertices[Out-Degree], "&gt;= " &amp; H5) - COUNTIF(Vertices[Out-Degree], "&gt;=" &amp; H6)</f>
        <v>0</v>
      </c>
      <c r="J5" s="37">
        <f t="shared" si="4"/>
        <v>0</v>
      </c>
      <c r="K5" s="38">
        <f>COUNTIF(Vertices[Betweenness Centrality], "&gt;= " &amp; J5) - COUNTIF(Vertices[Betweenness Centrality], "&gt;=" &amp; J6)</f>
        <v>0</v>
      </c>
      <c r="L5" s="37">
        <f t="shared" si="5"/>
        <v>0</v>
      </c>
      <c r="M5" s="38">
        <f>COUNTIF(Vertices[Closeness Centrality], "&gt;= " &amp; L5) - COUNTIF(Vertices[Closeness Centrality], "&gt;=" &amp; L6)</f>
        <v>0</v>
      </c>
      <c r="N5" s="37">
        <f t="shared" si="6"/>
        <v>0</v>
      </c>
      <c r="O5" s="38">
        <f>COUNTIF(Vertices[Eigenvector Centrality], "&gt;= " &amp; N5) - COUNTIF(Vertices[Eigenvector Centrality], "&gt;=" &amp; N6)</f>
        <v>0</v>
      </c>
      <c r="P5" s="37">
        <f t="shared" si="7"/>
        <v>0</v>
      </c>
      <c r="Q5" s="38">
        <f>COUNTIF(Vertices[PageRank], "&gt;= " &amp; P5) - COUNTIF(Vertices[PageRank], "&gt;=" &amp; P6)</f>
        <v>0</v>
      </c>
      <c r="R5" s="37">
        <f t="shared" si="8"/>
        <v>0</v>
      </c>
      <c r="S5" s="42">
        <f>COUNTIF(Vertices[Clustering Coefficient], "&gt;= " &amp; R5) - COUNTIF(Vertices[Clustering Coefficient], "&gt;=" &amp; R6)</f>
        <v>0</v>
      </c>
      <c r="T5" s="37" t="e">
        <f t="shared" ca="1" si="9"/>
        <v>#REF!</v>
      </c>
      <c r="U5" s="38" t="e">
        <f t="shared" ca="1" si="0"/>
        <v>#REF!</v>
      </c>
    </row>
    <row r="6" spans="1:24" x14ac:dyDescent="0.25">
      <c r="A6" s="32" t="s">
        <v>148</v>
      </c>
      <c r="B6" s="32">
        <v>517</v>
      </c>
      <c r="D6" s="30">
        <f t="shared" si="1"/>
        <v>0</v>
      </c>
      <c r="E6">
        <f>COUNTIF(Vertices[Degree], "&gt;= " &amp; D6) - COUNTIF(Vertices[Degree], "&gt;=" &amp; D7)</f>
        <v>0</v>
      </c>
      <c r="F6" s="35">
        <f t="shared" si="2"/>
        <v>0</v>
      </c>
      <c r="G6" s="36">
        <f>COUNTIF(Vertices[In-Degree], "&gt;= " &amp; F6) - COUNTIF(Vertices[In-Degree], "&gt;=" &amp; F7)</f>
        <v>0</v>
      </c>
      <c r="H6" s="35">
        <f t="shared" si="3"/>
        <v>0</v>
      </c>
      <c r="I6" s="36">
        <f>COUNTIF(Vertices[Out-Degree], "&gt;= " &amp; H6) - COUNTIF(Vertices[Out-Degree], "&gt;=" &amp; H7)</f>
        <v>0</v>
      </c>
      <c r="J6" s="35">
        <f t="shared" si="4"/>
        <v>0</v>
      </c>
      <c r="K6" s="36">
        <f>COUNTIF(Vertices[Betweenness Centrality], "&gt;= " &amp; J6) - COUNTIF(Vertices[Betweenness Centrality], "&gt;=" &amp; J7)</f>
        <v>0</v>
      </c>
      <c r="L6" s="35">
        <f t="shared" si="5"/>
        <v>0</v>
      </c>
      <c r="M6" s="36">
        <f>COUNTIF(Vertices[Closeness Centrality], "&gt;= " &amp; L6) - COUNTIF(Vertices[Closeness Centrality], "&gt;=" &amp; L7)</f>
        <v>0</v>
      </c>
      <c r="N6" s="35">
        <f t="shared" si="6"/>
        <v>0</v>
      </c>
      <c r="O6" s="36">
        <f>COUNTIF(Vertices[Eigenvector Centrality], "&gt;= " &amp; N6) - COUNTIF(Vertices[Eigenvector Centrality], "&gt;=" &amp; N7)</f>
        <v>0</v>
      </c>
      <c r="P6" s="35">
        <f t="shared" si="7"/>
        <v>0</v>
      </c>
      <c r="Q6" s="36">
        <f>COUNTIF(Vertices[PageRank], "&gt;= " &amp; P6) - COUNTIF(Vertices[PageRank], "&gt;=" &amp; P7)</f>
        <v>0</v>
      </c>
      <c r="R6" s="35">
        <f t="shared" si="8"/>
        <v>0</v>
      </c>
      <c r="S6" s="41">
        <f>COUNTIF(Vertices[Clustering Coefficient], "&gt;= " &amp; R6) - COUNTIF(Vertices[Clustering Coefficient], "&gt;=" &amp; R7)</f>
        <v>0</v>
      </c>
      <c r="T6" s="35" t="e">
        <f t="shared" ca="1" si="9"/>
        <v>#REF!</v>
      </c>
      <c r="U6" s="36" t="e">
        <f t="shared" ca="1" si="0"/>
        <v>#REF!</v>
      </c>
    </row>
    <row r="7" spans="1:24" x14ac:dyDescent="0.25">
      <c r="A7" s="32" t="s">
        <v>149</v>
      </c>
      <c r="B7" s="32">
        <v>1622</v>
      </c>
      <c r="D7" s="30">
        <f t="shared" si="1"/>
        <v>0</v>
      </c>
      <c r="E7">
        <f>COUNTIF(Vertices[Degree], "&gt;= " &amp; D7) - COUNTIF(Vertices[Degree], "&gt;=" &amp; D8)</f>
        <v>0</v>
      </c>
      <c r="F7" s="37">
        <f t="shared" si="2"/>
        <v>0</v>
      </c>
      <c r="G7" s="38">
        <f>COUNTIF(Vertices[In-Degree], "&gt;= " &amp; F7) - COUNTIF(Vertices[In-Degree], "&gt;=" &amp; F8)</f>
        <v>0</v>
      </c>
      <c r="H7" s="37">
        <f t="shared" si="3"/>
        <v>0</v>
      </c>
      <c r="I7" s="38">
        <f>COUNTIF(Vertices[Out-Degree], "&gt;= " &amp; H7) - COUNTIF(Vertices[Out-Degree], "&gt;=" &amp; H8)</f>
        <v>0</v>
      </c>
      <c r="J7" s="37">
        <f t="shared" si="4"/>
        <v>0</v>
      </c>
      <c r="K7" s="38">
        <f>COUNTIF(Vertices[Betweenness Centrality], "&gt;= " &amp; J7) - COUNTIF(Vertices[Betweenness Centrality], "&gt;=" &amp; J8)</f>
        <v>0</v>
      </c>
      <c r="L7" s="37">
        <f t="shared" si="5"/>
        <v>0</v>
      </c>
      <c r="M7" s="38">
        <f>COUNTIF(Vertices[Closeness Centrality], "&gt;= " &amp; L7) - COUNTIF(Vertices[Closeness Centrality], "&gt;=" &amp; L8)</f>
        <v>0</v>
      </c>
      <c r="N7" s="37">
        <f t="shared" si="6"/>
        <v>0</v>
      </c>
      <c r="O7" s="38">
        <f>COUNTIF(Vertices[Eigenvector Centrality], "&gt;= " &amp; N7) - COUNTIF(Vertices[Eigenvector Centrality], "&gt;=" &amp; N8)</f>
        <v>0</v>
      </c>
      <c r="P7" s="37">
        <f t="shared" si="7"/>
        <v>0</v>
      </c>
      <c r="Q7" s="38">
        <f>COUNTIF(Vertices[PageRank], "&gt;= " &amp; P7) - COUNTIF(Vertices[PageRank], "&gt;=" &amp; P8)</f>
        <v>0</v>
      </c>
      <c r="R7" s="37">
        <f t="shared" si="8"/>
        <v>0</v>
      </c>
      <c r="S7" s="42">
        <f>COUNTIF(Vertices[Clustering Coefficient], "&gt;= " &amp; R7) - COUNTIF(Vertices[Clustering Coefficient], "&gt;=" &amp; R8)</f>
        <v>0</v>
      </c>
      <c r="T7" s="37" t="e">
        <f t="shared" ca="1" si="9"/>
        <v>#REF!</v>
      </c>
      <c r="U7" s="38" t="e">
        <f t="shared" ca="1" si="0"/>
        <v>#REF!</v>
      </c>
    </row>
    <row r="8" spans="1:24" x14ac:dyDescent="0.25">
      <c r="A8" s="32" t="s">
        <v>150</v>
      </c>
      <c r="B8" s="32">
        <v>2139</v>
      </c>
      <c r="D8" s="30">
        <f t="shared" si="1"/>
        <v>0</v>
      </c>
      <c r="E8">
        <f>COUNTIF(Vertices[Degree], "&gt;= " &amp; D8) - COUNTIF(Vertices[Degree], "&gt;=" &amp; D9)</f>
        <v>0</v>
      </c>
      <c r="F8" s="35">
        <f t="shared" si="2"/>
        <v>0</v>
      </c>
      <c r="G8" s="36">
        <f>COUNTIF(Vertices[In-Degree], "&gt;= " &amp; F8) - COUNTIF(Vertices[In-Degree], "&gt;=" &amp; F9)</f>
        <v>0</v>
      </c>
      <c r="H8" s="35">
        <f t="shared" si="3"/>
        <v>0</v>
      </c>
      <c r="I8" s="36">
        <f>COUNTIF(Vertices[Out-Degree], "&gt;= " &amp; H8) - COUNTIF(Vertices[Out-Degree], "&gt;=" &amp; H9)</f>
        <v>0</v>
      </c>
      <c r="J8" s="35">
        <f t="shared" si="4"/>
        <v>0</v>
      </c>
      <c r="K8" s="36">
        <f>COUNTIF(Vertices[Betweenness Centrality], "&gt;= " &amp; J8) - COUNTIF(Vertices[Betweenness Centrality], "&gt;=" &amp; J9)</f>
        <v>0</v>
      </c>
      <c r="L8" s="35">
        <f t="shared" si="5"/>
        <v>0</v>
      </c>
      <c r="M8" s="36">
        <f>COUNTIF(Vertices[Closeness Centrality], "&gt;= " &amp; L8) - COUNTIF(Vertices[Closeness Centrality], "&gt;=" &amp; L9)</f>
        <v>0</v>
      </c>
      <c r="N8" s="35">
        <f t="shared" si="6"/>
        <v>0</v>
      </c>
      <c r="O8" s="36">
        <f>COUNTIF(Vertices[Eigenvector Centrality], "&gt;= " &amp; N8) - COUNTIF(Vertices[Eigenvector Centrality], "&gt;=" &amp; N9)</f>
        <v>0</v>
      </c>
      <c r="P8" s="35">
        <f t="shared" si="7"/>
        <v>0</v>
      </c>
      <c r="Q8" s="36">
        <f>COUNTIF(Vertices[PageRank], "&gt;= " &amp; P8) - COUNTIF(Vertices[PageRank], "&gt;=" &amp; P9)</f>
        <v>0</v>
      </c>
      <c r="R8" s="35">
        <f t="shared" si="8"/>
        <v>0</v>
      </c>
      <c r="S8" s="41">
        <f>COUNTIF(Vertices[Clustering Coefficient], "&gt;= " &amp; R8) - COUNTIF(Vertices[Clustering Coefficient], "&gt;=" &amp; R9)</f>
        <v>0</v>
      </c>
      <c r="T8" s="35" t="e">
        <f t="shared" ca="1" si="9"/>
        <v>#REF!</v>
      </c>
      <c r="U8" s="36" t="e">
        <f t="shared" ca="1" si="0"/>
        <v>#REF!</v>
      </c>
    </row>
    <row r="9" spans="1:24" x14ac:dyDescent="0.25">
      <c r="A9" s="105"/>
      <c r="B9" s="105"/>
      <c r="D9" s="30">
        <f t="shared" si="1"/>
        <v>0</v>
      </c>
      <c r="E9">
        <f>COUNTIF(Vertices[Degree], "&gt;= " &amp; D9) - COUNTIF(Vertices[Degree], "&gt;=" &amp; D10)</f>
        <v>0</v>
      </c>
      <c r="F9" s="37">
        <f t="shared" si="2"/>
        <v>0</v>
      </c>
      <c r="G9" s="38">
        <f>COUNTIF(Vertices[In-Degree], "&gt;= " &amp; F9) - COUNTIF(Vertices[In-Degree], "&gt;=" &amp; F10)</f>
        <v>0</v>
      </c>
      <c r="H9" s="37">
        <f t="shared" si="3"/>
        <v>0</v>
      </c>
      <c r="I9" s="38">
        <f>COUNTIF(Vertices[Out-Degree], "&gt;= " &amp; H9) - COUNTIF(Vertices[Out-Degree], "&gt;=" &amp; H10)</f>
        <v>0</v>
      </c>
      <c r="J9" s="37">
        <f t="shared" si="4"/>
        <v>0</v>
      </c>
      <c r="K9" s="38">
        <f>COUNTIF(Vertices[Betweenness Centrality], "&gt;= " &amp; J9) - COUNTIF(Vertices[Betweenness Centrality], "&gt;=" &amp; J10)</f>
        <v>0</v>
      </c>
      <c r="L9" s="37">
        <f t="shared" si="5"/>
        <v>0</v>
      </c>
      <c r="M9" s="38">
        <f>COUNTIF(Vertices[Closeness Centrality], "&gt;= " &amp; L9) - COUNTIF(Vertices[Closeness Centrality], "&gt;=" &amp; L10)</f>
        <v>0</v>
      </c>
      <c r="N9" s="37">
        <f t="shared" si="6"/>
        <v>0</v>
      </c>
      <c r="O9" s="38">
        <f>COUNTIF(Vertices[Eigenvector Centrality], "&gt;= " &amp; N9) - COUNTIF(Vertices[Eigenvector Centrality], "&gt;=" &amp; N10)</f>
        <v>0</v>
      </c>
      <c r="P9" s="37">
        <f t="shared" si="7"/>
        <v>0</v>
      </c>
      <c r="Q9" s="38">
        <f>COUNTIF(Vertices[PageRank], "&gt;= " &amp; P9) - COUNTIF(Vertices[PageRank], "&gt;=" &amp; P10)</f>
        <v>0</v>
      </c>
      <c r="R9" s="37">
        <f t="shared" si="8"/>
        <v>0</v>
      </c>
      <c r="S9" s="42">
        <f>COUNTIF(Vertices[Clustering Coefficient], "&gt;= " &amp; R9) - COUNTIF(Vertices[Clustering Coefficient], "&gt;=" &amp; R10)</f>
        <v>0</v>
      </c>
      <c r="T9" s="37" t="e">
        <f t="shared" ca="1" si="9"/>
        <v>#REF!</v>
      </c>
      <c r="U9" s="38" t="e">
        <f t="shared" ca="1" si="0"/>
        <v>#REF!</v>
      </c>
    </row>
    <row r="10" spans="1:24" x14ac:dyDescent="0.25">
      <c r="A10" s="32" t="s">
        <v>151</v>
      </c>
      <c r="B10" s="32">
        <v>1830</v>
      </c>
      <c r="D10" s="30">
        <f t="shared" si="1"/>
        <v>0</v>
      </c>
      <c r="E10">
        <f>COUNTIF(Vertices[Degree], "&gt;= " &amp; D10) - COUNTIF(Vertices[Degree], "&gt;=" &amp; D11)</f>
        <v>0</v>
      </c>
      <c r="F10" s="35">
        <f t="shared" si="2"/>
        <v>0</v>
      </c>
      <c r="G10" s="36">
        <f>COUNTIF(Vertices[In-Degree], "&gt;= " &amp; F10) - COUNTIF(Vertices[In-Degree], "&gt;=" &amp; F11)</f>
        <v>0</v>
      </c>
      <c r="H10" s="35">
        <f t="shared" si="3"/>
        <v>0</v>
      </c>
      <c r="I10" s="36">
        <f>COUNTIF(Vertices[Out-Degree], "&gt;= " &amp; H10) - COUNTIF(Vertices[Out-Degree], "&gt;=" &amp; H11)</f>
        <v>0</v>
      </c>
      <c r="J10" s="35">
        <f t="shared" si="4"/>
        <v>0</v>
      </c>
      <c r="K10" s="36">
        <f>COUNTIF(Vertices[Betweenness Centrality], "&gt;= " &amp; J10) - COUNTIF(Vertices[Betweenness Centrality], "&gt;=" &amp; J11)</f>
        <v>0</v>
      </c>
      <c r="L10" s="35">
        <f t="shared" si="5"/>
        <v>0</v>
      </c>
      <c r="M10" s="36">
        <f>COUNTIF(Vertices[Closeness Centrality], "&gt;= " &amp; L10) - COUNTIF(Vertices[Closeness Centrality], "&gt;=" &amp; L11)</f>
        <v>0</v>
      </c>
      <c r="N10" s="35">
        <f t="shared" si="6"/>
        <v>0</v>
      </c>
      <c r="O10" s="36">
        <f>COUNTIF(Vertices[Eigenvector Centrality], "&gt;= " &amp; N10) - COUNTIF(Vertices[Eigenvector Centrality], "&gt;=" &amp; N11)</f>
        <v>0</v>
      </c>
      <c r="P10" s="35">
        <f t="shared" si="7"/>
        <v>0</v>
      </c>
      <c r="Q10" s="36">
        <f>COUNTIF(Vertices[PageRank], "&gt;= " &amp; P10) - COUNTIF(Vertices[PageRank], "&gt;=" &amp; P11)</f>
        <v>0</v>
      </c>
      <c r="R10" s="35">
        <f t="shared" si="8"/>
        <v>0</v>
      </c>
      <c r="S10" s="41">
        <f>COUNTIF(Vertices[Clustering Coefficient], "&gt;= " &amp; R10) - COUNTIF(Vertices[Clustering Coefficient], "&gt;=" &amp; R11)</f>
        <v>0</v>
      </c>
      <c r="T10" s="35" t="e">
        <f t="shared" ca="1" si="9"/>
        <v>#REF!</v>
      </c>
      <c r="U10" s="36" t="e">
        <f t="shared" ca="1" si="0"/>
        <v>#REF!</v>
      </c>
    </row>
    <row r="11" spans="1:24" x14ac:dyDescent="0.25">
      <c r="A11" s="105"/>
      <c r="B11" s="105"/>
      <c r="D11" s="30">
        <f t="shared" si="1"/>
        <v>0</v>
      </c>
      <c r="E11">
        <f>COUNTIF(Vertices[Degree], "&gt;= " &amp; D11) - COUNTIF(Vertices[Degree], "&gt;=" &amp; D12)</f>
        <v>0</v>
      </c>
      <c r="F11" s="37">
        <f t="shared" si="2"/>
        <v>0</v>
      </c>
      <c r="G11" s="38">
        <f>COUNTIF(Vertices[In-Degree], "&gt;= " &amp; F11) - COUNTIF(Vertices[In-Degree], "&gt;=" &amp; F12)</f>
        <v>0</v>
      </c>
      <c r="H11" s="37">
        <f t="shared" si="3"/>
        <v>0</v>
      </c>
      <c r="I11" s="38">
        <f>COUNTIF(Vertices[Out-Degree], "&gt;= " &amp; H11) - COUNTIF(Vertices[Out-Degree], "&gt;=" &amp; H12)</f>
        <v>0</v>
      </c>
      <c r="J11" s="37">
        <f t="shared" si="4"/>
        <v>0</v>
      </c>
      <c r="K11" s="38">
        <f>COUNTIF(Vertices[Betweenness Centrality], "&gt;= " &amp; J11) - COUNTIF(Vertices[Betweenness Centrality], "&gt;=" &amp; J12)</f>
        <v>0</v>
      </c>
      <c r="L11" s="37">
        <f t="shared" si="5"/>
        <v>0</v>
      </c>
      <c r="M11" s="38">
        <f>COUNTIF(Vertices[Closeness Centrality], "&gt;= " &amp; L11) - COUNTIF(Vertices[Closeness Centrality], "&gt;=" &amp; L12)</f>
        <v>0</v>
      </c>
      <c r="N11" s="37">
        <f t="shared" si="6"/>
        <v>0</v>
      </c>
      <c r="O11" s="38">
        <f>COUNTIF(Vertices[Eigenvector Centrality], "&gt;= " &amp; N11) - COUNTIF(Vertices[Eigenvector Centrality], "&gt;=" &amp; N12)</f>
        <v>0</v>
      </c>
      <c r="P11" s="37">
        <f t="shared" si="7"/>
        <v>0</v>
      </c>
      <c r="Q11" s="38">
        <f>COUNTIF(Vertices[PageRank], "&gt;= " &amp; P11) - COUNTIF(Vertices[PageRank], "&gt;=" &amp; P12)</f>
        <v>0</v>
      </c>
      <c r="R11" s="37">
        <f t="shared" si="8"/>
        <v>0</v>
      </c>
      <c r="S11" s="42">
        <f>COUNTIF(Vertices[Clustering Coefficient], "&gt;= " &amp; R11) - COUNTIF(Vertices[Clustering Coefficient], "&gt;=" &amp; R12)</f>
        <v>0</v>
      </c>
      <c r="T11" s="37" t="e">
        <f t="shared" ca="1" si="9"/>
        <v>#REF!</v>
      </c>
      <c r="U11" s="38" t="e">
        <f t="shared" ca="1" si="0"/>
        <v>#REF!</v>
      </c>
    </row>
    <row r="12" spans="1:24" x14ac:dyDescent="0.25">
      <c r="A12" s="32" t="s">
        <v>170</v>
      </c>
      <c r="B12" s="32">
        <v>0</v>
      </c>
      <c r="D12" s="30">
        <f t="shared" si="1"/>
        <v>0</v>
      </c>
      <c r="E12">
        <f>COUNTIF(Vertices[Degree], "&gt;= " &amp; D12) - COUNTIF(Vertices[Degree], "&gt;=" &amp; D13)</f>
        <v>0</v>
      </c>
      <c r="F12" s="35">
        <f t="shared" si="2"/>
        <v>0</v>
      </c>
      <c r="G12" s="36">
        <f>COUNTIF(Vertices[In-Degree], "&gt;= " &amp; F12) - COUNTIF(Vertices[In-Degree], "&gt;=" &amp; F13)</f>
        <v>0</v>
      </c>
      <c r="H12" s="35">
        <f t="shared" si="3"/>
        <v>0</v>
      </c>
      <c r="I12" s="36">
        <f>COUNTIF(Vertices[Out-Degree], "&gt;= " &amp; H12) - COUNTIF(Vertices[Out-Degree], "&gt;=" &amp; H13)</f>
        <v>0</v>
      </c>
      <c r="J12" s="35">
        <f t="shared" si="4"/>
        <v>0</v>
      </c>
      <c r="K12" s="36">
        <f>COUNTIF(Vertices[Betweenness Centrality], "&gt;= " &amp; J12) - COUNTIF(Vertices[Betweenness Centrality], "&gt;=" &amp; J13)</f>
        <v>0</v>
      </c>
      <c r="L12" s="35">
        <f t="shared" si="5"/>
        <v>0</v>
      </c>
      <c r="M12" s="36">
        <f>COUNTIF(Vertices[Closeness Centrality], "&gt;= " &amp; L12) - COUNTIF(Vertices[Closeness Centrality], "&gt;=" &amp; L13)</f>
        <v>0</v>
      </c>
      <c r="N12" s="35">
        <f t="shared" si="6"/>
        <v>0</v>
      </c>
      <c r="O12" s="36">
        <f>COUNTIF(Vertices[Eigenvector Centrality], "&gt;= " &amp; N12) - COUNTIF(Vertices[Eigenvector Centrality], "&gt;=" &amp; N13)</f>
        <v>0</v>
      </c>
      <c r="P12" s="35">
        <f t="shared" si="7"/>
        <v>0</v>
      </c>
      <c r="Q12" s="36">
        <f>COUNTIF(Vertices[PageRank], "&gt;= " &amp; P12) - COUNTIF(Vertices[PageRank], "&gt;=" &amp; P13)</f>
        <v>0</v>
      </c>
      <c r="R12" s="35">
        <f t="shared" si="8"/>
        <v>0</v>
      </c>
      <c r="S12" s="41">
        <f>COUNTIF(Vertices[Clustering Coefficient], "&gt;= " &amp; R12) - COUNTIF(Vertices[Clustering Coefficient], "&gt;=" &amp; R13)</f>
        <v>0</v>
      </c>
      <c r="T12" s="35" t="e">
        <f t="shared" ca="1" si="9"/>
        <v>#REF!</v>
      </c>
      <c r="U12" s="36" t="e">
        <f t="shared" ca="1" si="0"/>
        <v>#REF!</v>
      </c>
    </row>
    <row r="13" spans="1:24" x14ac:dyDescent="0.25">
      <c r="A13" s="32" t="s">
        <v>171</v>
      </c>
      <c r="B13" s="32">
        <v>0</v>
      </c>
      <c r="D13" s="30">
        <f t="shared" si="1"/>
        <v>0</v>
      </c>
      <c r="E13">
        <f>COUNTIF(Vertices[Degree], "&gt;= " &amp; D13) - COUNTIF(Vertices[Degree], "&gt;=" &amp; D14)</f>
        <v>0</v>
      </c>
      <c r="F13" s="37">
        <f t="shared" si="2"/>
        <v>0</v>
      </c>
      <c r="G13" s="38">
        <f>COUNTIF(Vertices[In-Degree], "&gt;= " &amp; F13) - COUNTIF(Vertices[In-Degree], "&gt;=" &amp; F14)</f>
        <v>0</v>
      </c>
      <c r="H13" s="37">
        <f t="shared" si="3"/>
        <v>0</v>
      </c>
      <c r="I13" s="38">
        <f>COUNTIF(Vertices[Out-Degree], "&gt;= " &amp; H13) - COUNTIF(Vertices[Out-Degree], "&gt;=" &amp; H14)</f>
        <v>0</v>
      </c>
      <c r="J13" s="37">
        <f t="shared" si="4"/>
        <v>0</v>
      </c>
      <c r="K13" s="38">
        <f>COUNTIF(Vertices[Betweenness Centrality], "&gt;= " &amp; J13) - COUNTIF(Vertices[Betweenness Centrality], "&gt;=" &amp; J14)</f>
        <v>0</v>
      </c>
      <c r="L13" s="37">
        <f t="shared" si="5"/>
        <v>0</v>
      </c>
      <c r="M13" s="38">
        <f>COUNTIF(Vertices[Closeness Centrality], "&gt;= " &amp; L13) - COUNTIF(Vertices[Closeness Centrality], "&gt;=" &amp; L14)</f>
        <v>0</v>
      </c>
      <c r="N13" s="37">
        <f t="shared" si="6"/>
        <v>0</v>
      </c>
      <c r="O13" s="38">
        <f>COUNTIF(Vertices[Eigenvector Centrality], "&gt;= " &amp; N13) - COUNTIF(Vertices[Eigenvector Centrality], "&gt;=" &amp; N14)</f>
        <v>0</v>
      </c>
      <c r="P13" s="37">
        <f t="shared" si="7"/>
        <v>0</v>
      </c>
      <c r="Q13" s="38">
        <f>COUNTIF(Vertices[PageRank], "&gt;= " &amp; P13) - COUNTIF(Vertices[PageRank], "&gt;=" &amp; P14)</f>
        <v>0</v>
      </c>
      <c r="R13" s="37">
        <f t="shared" si="8"/>
        <v>0</v>
      </c>
      <c r="S13" s="42">
        <f>COUNTIF(Vertices[Clustering Coefficient], "&gt;= " &amp; R13) - COUNTIF(Vertices[Clustering Coefficient], "&gt;=" &amp; R14)</f>
        <v>0</v>
      </c>
      <c r="T13" s="37" t="e">
        <f t="shared" ca="1" si="9"/>
        <v>#REF!</v>
      </c>
      <c r="U13" s="38" t="e">
        <f t="shared" ca="1" si="0"/>
        <v>#REF!</v>
      </c>
    </row>
    <row r="14" spans="1:24" x14ac:dyDescent="0.25">
      <c r="A14" s="105"/>
      <c r="B14" s="105"/>
      <c r="D14" s="30">
        <f t="shared" si="1"/>
        <v>0</v>
      </c>
      <c r="E14">
        <f>COUNTIF(Vertices[Degree], "&gt;= " &amp; D14) - COUNTIF(Vertices[Degree], "&gt;=" &amp; D15)</f>
        <v>0</v>
      </c>
      <c r="F14" s="35">
        <f t="shared" si="2"/>
        <v>0</v>
      </c>
      <c r="G14" s="36">
        <f>COUNTIF(Vertices[In-Degree], "&gt;= " &amp; F14) - COUNTIF(Vertices[In-Degree], "&gt;=" &amp; F15)</f>
        <v>0</v>
      </c>
      <c r="H14" s="35">
        <f t="shared" si="3"/>
        <v>0</v>
      </c>
      <c r="I14" s="36">
        <f>COUNTIF(Vertices[Out-Degree], "&gt;= " &amp; H14) - COUNTIF(Vertices[Out-Degree], "&gt;=" &amp; H15)</f>
        <v>0</v>
      </c>
      <c r="J14" s="35">
        <f t="shared" si="4"/>
        <v>0</v>
      </c>
      <c r="K14" s="36">
        <f>COUNTIF(Vertices[Betweenness Centrality], "&gt;= " &amp; J14) - COUNTIF(Vertices[Betweenness Centrality], "&gt;=" &amp; J15)</f>
        <v>0</v>
      </c>
      <c r="L14" s="35">
        <f t="shared" si="5"/>
        <v>0</v>
      </c>
      <c r="M14" s="36">
        <f>COUNTIF(Vertices[Closeness Centrality], "&gt;= " &amp; L14) - COUNTIF(Vertices[Closeness Centrality], "&gt;=" &amp; L15)</f>
        <v>0</v>
      </c>
      <c r="N14" s="35">
        <f t="shared" si="6"/>
        <v>0</v>
      </c>
      <c r="O14" s="36">
        <f>COUNTIF(Vertices[Eigenvector Centrality], "&gt;= " &amp; N14) - COUNTIF(Vertices[Eigenvector Centrality], "&gt;=" &amp; N15)</f>
        <v>0</v>
      </c>
      <c r="P14" s="35">
        <f t="shared" si="7"/>
        <v>0</v>
      </c>
      <c r="Q14" s="36">
        <f>COUNTIF(Vertices[PageRank], "&gt;= " &amp; P14) - COUNTIF(Vertices[PageRank], "&gt;=" &amp; P15)</f>
        <v>0</v>
      </c>
      <c r="R14" s="35">
        <f t="shared" si="8"/>
        <v>0</v>
      </c>
      <c r="S14" s="41">
        <f>COUNTIF(Vertices[Clustering Coefficient], "&gt;= " &amp; R14) - COUNTIF(Vertices[Clustering Coefficient], "&gt;=" &amp; R15)</f>
        <v>0</v>
      </c>
      <c r="T14" s="35" t="e">
        <f t="shared" ca="1" si="9"/>
        <v>#REF!</v>
      </c>
      <c r="U14" s="36" t="e">
        <f t="shared" ca="1" si="0"/>
        <v>#REF!</v>
      </c>
    </row>
    <row r="15" spans="1:24" x14ac:dyDescent="0.25">
      <c r="A15" s="32" t="s">
        <v>152</v>
      </c>
      <c r="B15" s="32">
        <v>618</v>
      </c>
      <c r="D15" s="30">
        <f t="shared" si="1"/>
        <v>0</v>
      </c>
      <c r="E15">
        <f>COUNTIF(Vertices[Degree], "&gt;= " &amp; D15) - COUNTIF(Vertices[Degree], "&gt;=" &amp; D16)</f>
        <v>0</v>
      </c>
      <c r="F15" s="37">
        <f t="shared" si="2"/>
        <v>0</v>
      </c>
      <c r="G15" s="38">
        <f>COUNTIF(Vertices[In-Degree], "&gt;= " &amp; F15) - COUNTIF(Vertices[In-Degree], "&gt;=" &amp; F16)</f>
        <v>0</v>
      </c>
      <c r="H15" s="37">
        <f t="shared" si="3"/>
        <v>0</v>
      </c>
      <c r="I15" s="38">
        <f>COUNTIF(Vertices[Out-Degree], "&gt;= " &amp; H15) - COUNTIF(Vertices[Out-Degree], "&gt;=" &amp; H16)</f>
        <v>0</v>
      </c>
      <c r="J15" s="37">
        <f t="shared" si="4"/>
        <v>0</v>
      </c>
      <c r="K15" s="38">
        <f>COUNTIF(Vertices[Betweenness Centrality], "&gt;= " &amp; J15) - COUNTIF(Vertices[Betweenness Centrality], "&gt;=" &amp; J16)</f>
        <v>0</v>
      </c>
      <c r="L15" s="37">
        <f t="shared" si="5"/>
        <v>0</v>
      </c>
      <c r="M15" s="38">
        <f>COUNTIF(Vertices[Closeness Centrality], "&gt;= " &amp; L15) - COUNTIF(Vertices[Closeness Centrality], "&gt;=" &amp; L16)</f>
        <v>0</v>
      </c>
      <c r="N15" s="37">
        <f t="shared" si="6"/>
        <v>0</v>
      </c>
      <c r="O15" s="38">
        <f>COUNTIF(Vertices[Eigenvector Centrality], "&gt;= " &amp; N15) - COUNTIF(Vertices[Eigenvector Centrality], "&gt;=" &amp; N16)</f>
        <v>0</v>
      </c>
      <c r="P15" s="37">
        <f t="shared" si="7"/>
        <v>0</v>
      </c>
      <c r="Q15" s="38">
        <f>COUNTIF(Vertices[PageRank], "&gt;= " &amp; P15) - COUNTIF(Vertices[PageRank], "&gt;=" &amp; P16)</f>
        <v>0</v>
      </c>
      <c r="R15" s="37">
        <f t="shared" si="8"/>
        <v>0</v>
      </c>
      <c r="S15" s="42">
        <f>COUNTIF(Vertices[Clustering Coefficient], "&gt;= " &amp; R15) - COUNTIF(Vertices[Clustering Coefficient], "&gt;=" &amp; R16)</f>
        <v>0</v>
      </c>
      <c r="T15" s="37" t="e">
        <f t="shared" ca="1" si="9"/>
        <v>#REF!</v>
      </c>
      <c r="U15" s="38" t="e">
        <f t="shared" ca="1" si="0"/>
        <v>#REF!</v>
      </c>
    </row>
    <row r="16" spans="1:24" x14ac:dyDescent="0.25">
      <c r="A16" s="32" t="s">
        <v>153</v>
      </c>
      <c r="B16" s="32">
        <v>552</v>
      </c>
      <c r="D16" s="30">
        <f t="shared" si="1"/>
        <v>0</v>
      </c>
      <c r="E16">
        <f>COUNTIF(Vertices[Degree], "&gt;= " &amp; D16) - COUNTIF(Vertices[Degree], "&gt;=" &amp; D17)</f>
        <v>0</v>
      </c>
      <c r="F16" s="35">
        <f t="shared" si="2"/>
        <v>0</v>
      </c>
      <c r="G16" s="36">
        <f>COUNTIF(Vertices[In-Degree], "&gt;= " &amp; F16) - COUNTIF(Vertices[In-Degree], "&gt;=" &amp; F17)</f>
        <v>0</v>
      </c>
      <c r="H16" s="35">
        <f t="shared" si="3"/>
        <v>0</v>
      </c>
      <c r="I16" s="36">
        <f>COUNTIF(Vertices[Out-Degree], "&gt;= " &amp; H16) - COUNTIF(Vertices[Out-Degree], "&gt;=" &amp; H17)</f>
        <v>0</v>
      </c>
      <c r="J16" s="35">
        <f t="shared" si="4"/>
        <v>0</v>
      </c>
      <c r="K16" s="36">
        <f>COUNTIF(Vertices[Betweenness Centrality], "&gt;= " &amp; J16) - COUNTIF(Vertices[Betweenness Centrality], "&gt;=" &amp; J17)</f>
        <v>0</v>
      </c>
      <c r="L16" s="35">
        <f t="shared" si="5"/>
        <v>0</v>
      </c>
      <c r="M16" s="36">
        <f>COUNTIF(Vertices[Closeness Centrality], "&gt;= " &amp; L16) - COUNTIF(Vertices[Closeness Centrality], "&gt;=" &amp; L17)</f>
        <v>0</v>
      </c>
      <c r="N16" s="35">
        <f t="shared" si="6"/>
        <v>0</v>
      </c>
      <c r="O16" s="36">
        <f>COUNTIF(Vertices[Eigenvector Centrality], "&gt;= " &amp; N16) - COUNTIF(Vertices[Eigenvector Centrality], "&gt;=" &amp; N17)</f>
        <v>0</v>
      </c>
      <c r="P16" s="35">
        <f t="shared" si="7"/>
        <v>0</v>
      </c>
      <c r="Q16" s="36">
        <f>COUNTIF(Vertices[PageRank], "&gt;= " &amp; P16) - COUNTIF(Vertices[PageRank], "&gt;=" &amp; P17)</f>
        <v>0</v>
      </c>
      <c r="R16" s="35">
        <f t="shared" si="8"/>
        <v>0</v>
      </c>
      <c r="S16" s="41">
        <f>COUNTIF(Vertices[Clustering Coefficient], "&gt;= " &amp; R16) - COUNTIF(Vertices[Clustering Coefficient], "&gt;=" &amp; R17)</f>
        <v>0</v>
      </c>
      <c r="T16" s="35" t="e">
        <f t="shared" ca="1" si="9"/>
        <v>#REF!</v>
      </c>
      <c r="U16" s="36" t="e">
        <f t="shared" ca="1" si="0"/>
        <v>#REF!</v>
      </c>
    </row>
    <row r="17" spans="1:21" x14ac:dyDescent="0.25">
      <c r="A17" s="32" t="s">
        <v>154</v>
      </c>
      <c r="B17" s="32">
        <v>10</v>
      </c>
      <c r="D17" s="30">
        <f t="shared" si="1"/>
        <v>0</v>
      </c>
      <c r="E17">
        <f>COUNTIF(Vertices[Degree], "&gt;= " &amp; D17) - COUNTIF(Vertices[Degree], "&gt;=" &amp; D18)</f>
        <v>0</v>
      </c>
      <c r="F17" s="37">
        <f t="shared" si="2"/>
        <v>0</v>
      </c>
      <c r="G17" s="38">
        <f>COUNTIF(Vertices[In-Degree], "&gt;= " &amp; F17) - COUNTIF(Vertices[In-Degree], "&gt;=" &amp; F18)</f>
        <v>0</v>
      </c>
      <c r="H17" s="37">
        <f t="shared" si="3"/>
        <v>0</v>
      </c>
      <c r="I17" s="38">
        <f>COUNTIF(Vertices[Out-Degree], "&gt;= " &amp; H17) - COUNTIF(Vertices[Out-Degree], "&gt;=" &amp; H18)</f>
        <v>0</v>
      </c>
      <c r="J17" s="37">
        <f t="shared" si="4"/>
        <v>0</v>
      </c>
      <c r="K17" s="38">
        <f>COUNTIF(Vertices[Betweenness Centrality], "&gt;= " &amp; J17) - COUNTIF(Vertices[Betweenness Centrality], "&gt;=" &amp; J18)</f>
        <v>0</v>
      </c>
      <c r="L17" s="37">
        <f t="shared" si="5"/>
        <v>0</v>
      </c>
      <c r="M17" s="38">
        <f>COUNTIF(Vertices[Closeness Centrality], "&gt;= " &amp; L17) - COUNTIF(Vertices[Closeness Centrality], "&gt;=" &amp; L18)</f>
        <v>0</v>
      </c>
      <c r="N17" s="37">
        <f t="shared" si="6"/>
        <v>0</v>
      </c>
      <c r="O17" s="38">
        <f>COUNTIF(Vertices[Eigenvector Centrality], "&gt;= " &amp; N17) - COUNTIF(Vertices[Eigenvector Centrality], "&gt;=" &amp; N18)</f>
        <v>0</v>
      </c>
      <c r="P17" s="37">
        <f t="shared" si="7"/>
        <v>0</v>
      </c>
      <c r="Q17" s="38">
        <f>COUNTIF(Vertices[PageRank], "&gt;= " &amp; P17) - COUNTIF(Vertices[PageRank], "&gt;=" &amp; P18)</f>
        <v>0</v>
      </c>
      <c r="R17" s="37">
        <f t="shared" si="8"/>
        <v>0</v>
      </c>
      <c r="S17" s="42">
        <f>COUNTIF(Vertices[Clustering Coefficient], "&gt;= " &amp; R17) - COUNTIF(Vertices[Clustering Coefficient], "&gt;=" &amp; R18)</f>
        <v>0</v>
      </c>
      <c r="T17" s="37" t="e">
        <f t="shared" ca="1" si="9"/>
        <v>#REF!</v>
      </c>
      <c r="U17" s="38" t="e">
        <f t="shared" ca="1" si="0"/>
        <v>#REF!</v>
      </c>
    </row>
    <row r="18" spans="1:21" x14ac:dyDescent="0.25">
      <c r="A18" s="32" t="s">
        <v>155</v>
      </c>
      <c r="B18" s="32">
        <v>271</v>
      </c>
      <c r="D18" s="30">
        <f t="shared" si="1"/>
        <v>0</v>
      </c>
      <c r="E18">
        <f>COUNTIF(Vertices[Degree], "&gt;= " &amp; D18) - COUNTIF(Vertices[Degree], "&gt;=" &amp; D19)</f>
        <v>0</v>
      </c>
      <c r="F18" s="35">
        <f t="shared" si="2"/>
        <v>0</v>
      </c>
      <c r="G18" s="36">
        <f>COUNTIF(Vertices[In-Degree], "&gt;= " &amp; F18) - COUNTIF(Vertices[In-Degree], "&gt;=" &amp; F19)</f>
        <v>0</v>
      </c>
      <c r="H18" s="35">
        <f t="shared" si="3"/>
        <v>0</v>
      </c>
      <c r="I18" s="36">
        <f>COUNTIF(Vertices[Out-Degree], "&gt;= " &amp; H18) - COUNTIF(Vertices[Out-Degree], "&gt;=" &amp; H19)</f>
        <v>0</v>
      </c>
      <c r="J18" s="35">
        <f t="shared" si="4"/>
        <v>0</v>
      </c>
      <c r="K18" s="36">
        <f>COUNTIF(Vertices[Betweenness Centrality], "&gt;= " &amp; J18) - COUNTIF(Vertices[Betweenness Centrality], "&gt;=" &amp; J19)</f>
        <v>0</v>
      </c>
      <c r="L18" s="35">
        <f t="shared" si="5"/>
        <v>0</v>
      </c>
      <c r="M18" s="36">
        <f>COUNTIF(Vertices[Closeness Centrality], "&gt;= " &amp; L18) - COUNTIF(Vertices[Closeness Centrality], "&gt;=" &amp; L19)</f>
        <v>0</v>
      </c>
      <c r="N18" s="35">
        <f t="shared" si="6"/>
        <v>0</v>
      </c>
      <c r="O18" s="36">
        <f>COUNTIF(Vertices[Eigenvector Centrality], "&gt;= " &amp; N18) - COUNTIF(Vertices[Eigenvector Centrality], "&gt;=" &amp; N19)</f>
        <v>0</v>
      </c>
      <c r="P18" s="35">
        <f t="shared" si="7"/>
        <v>0</v>
      </c>
      <c r="Q18" s="36">
        <f>COUNTIF(Vertices[PageRank], "&gt;= " &amp; P18) - COUNTIF(Vertices[PageRank], "&gt;=" &amp; P19)</f>
        <v>0</v>
      </c>
      <c r="R18" s="35">
        <f t="shared" si="8"/>
        <v>0</v>
      </c>
      <c r="S18" s="41">
        <f>COUNTIF(Vertices[Clustering Coefficient], "&gt;= " &amp; R18) - COUNTIF(Vertices[Clustering Coefficient], "&gt;=" &amp; R19)</f>
        <v>0</v>
      </c>
      <c r="T18" s="35" t="e">
        <f t="shared" ca="1" si="9"/>
        <v>#REF!</v>
      </c>
      <c r="U18" s="36" t="e">
        <f t="shared" ca="1" si="0"/>
        <v>#REF!</v>
      </c>
    </row>
    <row r="19" spans="1:21" x14ac:dyDescent="0.25">
      <c r="A19" s="105"/>
      <c r="B19" s="105"/>
      <c r="D19" s="30">
        <f t="shared" si="1"/>
        <v>0</v>
      </c>
      <c r="E19">
        <f>COUNTIF(Vertices[Degree], "&gt;= " &amp; D19) - COUNTIF(Vertices[Degree], "&gt;=" &amp; D20)</f>
        <v>0</v>
      </c>
      <c r="F19" s="37">
        <f t="shared" si="2"/>
        <v>0</v>
      </c>
      <c r="G19" s="38">
        <f>COUNTIF(Vertices[In-Degree], "&gt;= " &amp; F19) - COUNTIF(Vertices[In-Degree], "&gt;=" &amp; F20)</f>
        <v>0</v>
      </c>
      <c r="H19" s="37">
        <f t="shared" si="3"/>
        <v>0</v>
      </c>
      <c r="I19" s="38">
        <f>COUNTIF(Vertices[Out-Degree], "&gt;= " &amp; H19) - COUNTIF(Vertices[Out-Degree], "&gt;=" &amp; H20)</f>
        <v>0</v>
      </c>
      <c r="J19" s="37">
        <f t="shared" si="4"/>
        <v>0</v>
      </c>
      <c r="K19" s="38">
        <f>COUNTIF(Vertices[Betweenness Centrality], "&gt;= " &amp; J19) - COUNTIF(Vertices[Betweenness Centrality], "&gt;=" &amp; J20)</f>
        <v>0</v>
      </c>
      <c r="L19" s="37">
        <f t="shared" si="5"/>
        <v>0</v>
      </c>
      <c r="M19" s="38">
        <f>COUNTIF(Vertices[Closeness Centrality], "&gt;= " &amp; L19) - COUNTIF(Vertices[Closeness Centrality], "&gt;=" &amp; L20)</f>
        <v>0</v>
      </c>
      <c r="N19" s="37">
        <f t="shared" si="6"/>
        <v>0</v>
      </c>
      <c r="O19" s="38">
        <f>COUNTIF(Vertices[Eigenvector Centrality], "&gt;= " &amp; N19) - COUNTIF(Vertices[Eigenvector Centrality], "&gt;=" &amp; N20)</f>
        <v>0</v>
      </c>
      <c r="P19" s="37">
        <f t="shared" si="7"/>
        <v>0</v>
      </c>
      <c r="Q19" s="38">
        <f>COUNTIF(Vertices[PageRank], "&gt;= " &amp; P19) - COUNTIF(Vertices[PageRank], "&gt;=" &amp; P20)</f>
        <v>0</v>
      </c>
      <c r="R19" s="37">
        <f t="shared" si="8"/>
        <v>0</v>
      </c>
      <c r="S19" s="42">
        <f>COUNTIF(Vertices[Clustering Coefficient], "&gt;= " &amp; R19) - COUNTIF(Vertices[Clustering Coefficient], "&gt;=" &amp; R20)</f>
        <v>0</v>
      </c>
      <c r="T19" s="37" t="e">
        <f t="shared" ca="1" si="9"/>
        <v>#REF!</v>
      </c>
      <c r="U19" s="38" t="e">
        <f t="shared" ca="1" si="0"/>
        <v>#REF!</v>
      </c>
    </row>
    <row r="20" spans="1:21" x14ac:dyDescent="0.25">
      <c r="A20" s="32" t="s">
        <v>156</v>
      </c>
      <c r="B20" s="32">
        <v>4</v>
      </c>
      <c r="D20" s="30">
        <f t="shared" si="1"/>
        <v>0</v>
      </c>
      <c r="E20">
        <f>COUNTIF(Vertices[Degree], "&gt;= " &amp; D20) - COUNTIF(Vertices[Degree], "&gt;=" &amp; D21)</f>
        <v>0</v>
      </c>
      <c r="F20" s="35">
        <f t="shared" si="2"/>
        <v>0</v>
      </c>
      <c r="G20" s="36">
        <f>COUNTIF(Vertices[In-Degree], "&gt;= " &amp; F20) - COUNTIF(Vertices[In-Degree], "&gt;=" &amp; F21)</f>
        <v>0</v>
      </c>
      <c r="H20" s="35">
        <f t="shared" si="3"/>
        <v>0</v>
      </c>
      <c r="I20" s="36">
        <f>COUNTIF(Vertices[Out-Degree], "&gt;= " &amp; H20) - COUNTIF(Vertices[Out-Degree], "&gt;=" &amp; H21)</f>
        <v>0</v>
      </c>
      <c r="J20" s="35">
        <f t="shared" si="4"/>
        <v>0</v>
      </c>
      <c r="K20" s="36">
        <f>COUNTIF(Vertices[Betweenness Centrality], "&gt;= " &amp; J20) - COUNTIF(Vertices[Betweenness Centrality], "&gt;=" &amp; J21)</f>
        <v>0</v>
      </c>
      <c r="L20" s="35">
        <f t="shared" si="5"/>
        <v>0</v>
      </c>
      <c r="M20" s="36">
        <f>COUNTIF(Vertices[Closeness Centrality], "&gt;= " &amp; L20) - COUNTIF(Vertices[Closeness Centrality], "&gt;=" &amp; L21)</f>
        <v>0</v>
      </c>
      <c r="N20" s="35">
        <f t="shared" si="6"/>
        <v>0</v>
      </c>
      <c r="O20" s="36">
        <f>COUNTIF(Vertices[Eigenvector Centrality], "&gt;= " &amp; N20) - COUNTIF(Vertices[Eigenvector Centrality], "&gt;=" &amp; N21)</f>
        <v>0</v>
      </c>
      <c r="P20" s="35">
        <f t="shared" si="7"/>
        <v>0</v>
      </c>
      <c r="Q20" s="36">
        <f>COUNTIF(Vertices[PageRank], "&gt;= " &amp; P20) - COUNTIF(Vertices[PageRank], "&gt;=" &amp; P21)</f>
        <v>0</v>
      </c>
      <c r="R20" s="35">
        <f t="shared" si="8"/>
        <v>0</v>
      </c>
      <c r="S20" s="41">
        <f>COUNTIF(Vertices[Clustering Coefficient], "&gt;= " &amp; R20) - COUNTIF(Vertices[Clustering Coefficient], "&gt;=" &amp; R21)</f>
        <v>0</v>
      </c>
      <c r="T20" s="35" t="e">
        <f t="shared" ca="1" si="9"/>
        <v>#REF!</v>
      </c>
      <c r="U20" s="36" t="e">
        <f t="shared" ca="1" si="0"/>
        <v>#REF!</v>
      </c>
    </row>
    <row r="21" spans="1:21" x14ac:dyDescent="0.25">
      <c r="A21" s="32" t="s">
        <v>157</v>
      </c>
      <c r="B21" s="32">
        <v>0.75130699999999995</v>
      </c>
      <c r="D21" s="30">
        <f t="shared" si="1"/>
        <v>0</v>
      </c>
      <c r="E21">
        <f>COUNTIF(Vertices[Degree], "&gt;= " &amp; D21) - COUNTIF(Vertices[Degree], "&gt;=" &amp; D22)</f>
        <v>0</v>
      </c>
      <c r="F21" s="37">
        <f t="shared" si="2"/>
        <v>0</v>
      </c>
      <c r="G21" s="38">
        <f>COUNTIF(Vertices[In-Degree], "&gt;= " &amp; F21) - COUNTIF(Vertices[In-Degree], "&gt;=" &amp; F22)</f>
        <v>0</v>
      </c>
      <c r="H21" s="37">
        <f t="shared" si="3"/>
        <v>0</v>
      </c>
      <c r="I21" s="38">
        <f>COUNTIF(Vertices[Out-Degree], "&gt;= " &amp; H21) - COUNTIF(Vertices[Out-Degree], "&gt;=" &amp; H22)</f>
        <v>0</v>
      </c>
      <c r="J21" s="37">
        <f t="shared" si="4"/>
        <v>0</v>
      </c>
      <c r="K21" s="38">
        <f>COUNTIF(Vertices[Betweenness Centrality], "&gt;= " &amp; J21) - COUNTIF(Vertices[Betweenness Centrality], "&gt;=" &amp; J22)</f>
        <v>0</v>
      </c>
      <c r="L21" s="37">
        <f t="shared" si="5"/>
        <v>0</v>
      </c>
      <c r="M21" s="38">
        <f>COUNTIF(Vertices[Closeness Centrality], "&gt;= " &amp; L21) - COUNTIF(Vertices[Closeness Centrality], "&gt;=" &amp; L22)</f>
        <v>0</v>
      </c>
      <c r="N21" s="37">
        <f t="shared" si="6"/>
        <v>0</v>
      </c>
      <c r="O21" s="38">
        <f>COUNTIF(Vertices[Eigenvector Centrality], "&gt;= " &amp; N21) - COUNTIF(Vertices[Eigenvector Centrality], "&gt;=" &amp; N22)</f>
        <v>0</v>
      </c>
      <c r="P21" s="37">
        <f t="shared" si="7"/>
        <v>0</v>
      </c>
      <c r="Q21" s="38">
        <f>COUNTIF(Vertices[PageRank], "&gt;= " &amp; P21) - COUNTIF(Vertices[PageRank], "&gt;=" &amp; P22)</f>
        <v>0</v>
      </c>
      <c r="R21" s="37">
        <f t="shared" si="8"/>
        <v>0</v>
      </c>
      <c r="S21" s="42">
        <f>COUNTIF(Vertices[Clustering Coefficient], "&gt;= " &amp; R21) - COUNTIF(Vertices[Clustering Coefficient], "&gt;=" &amp; R22)</f>
        <v>0</v>
      </c>
      <c r="T21" s="37" t="e">
        <f t="shared" ca="1" si="9"/>
        <v>#REF!</v>
      </c>
      <c r="U21" s="38" t="e">
        <f t="shared" ca="1" si="0"/>
        <v>#REF!</v>
      </c>
    </row>
    <row r="22" spans="1:21" x14ac:dyDescent="0.25">
      <c r="A22" s="105"/>
      <c r="B22" s="105"/>
      <c r="D22" s="30">
        <f t="shared" si="1"/>
        <v>0</v>
      </c>
      <c r="E22">
        <f>COUNTIF(Vertices[Degree], "&gt;= " &amp; D22) - COUNTIF(Vertices[Degree], "&gt;=" &amp; D23)</f>
        <v>0</v>
      </c>
      <c r="F22" s="35">
        <f t="shared" si="2"/>
        <v>0</v>
      </c>
      <c r="G22" s="36">
        <f>COUNTIF(Vertices[In-Degree], "&gt;= " &amp; F22) - COUNTIF(Vertices[In-Degree], "&gt;=" &amp; F23)</f>
        <v>0</v>
      </c>
      <c r="H22" s="35">
        <f t="shared" si="3"/>
        <v>0</v>
      </c>
      <c r="I22" s="36">
        <f>COUNTIF(Vertices[Out-Degree], "&gt;= " &amp; H22) - COUNTIF(Vertices[Out-Degree], "&gt;=" &amp; H23)</f>
        <v>0</v>
      </c>
      <c r="J22" s="35">
        <f t="shared" si="4"/>
        <v>0</v>
      </c>
      <c r="K22" s="36">
        <f>COUNTIF(Vertices[Betweenness Centrality], "&gt;= " &amp; J22) - COUNTIF(Vertices[Betweenness Centrality], "&gt;=" &amp; J23)</f>
        <v>0</v>
      </c>
      <c r="L22" s="35">
        <f t="shared" si="5"/>
        <v>0</v>
      </c>
      <c r="M22" s="36">
        <f>COUNTIF(Vertices[Closeness Centrality], "&gt;= " &amp; L22) - COUNTIF(Vertices[Closeness Centrality], "&gt;=" &amp; L23)</f>
        <v>0</v>
      </c>
      <c r="N22" s="35">
        <f t="shared" si="6"/>
        <v>0</v>
      </c>
      <c r="O22" s="36">
        <f>COUNTIF(Vertices[Eigenvector Centrality], "&gt;= " &amp; N22) - COUNTIF(Vertices[Eigenvector Centrality], "&gt;=" &amp; N23)</f>
        <v>0</v>
      </c>
      <c r="P22" s="35">
        <f t="shared" si="7"/>
        <v>0</v>
      </c>
      <c r="Q22" s="36">
        <f>COUNTIF(Vertices[PageRank], "&gt;= " &amp; P22) - COUNTIF(Vertices[PageRank], "&gt;=" &amp; P23)</f>
        <v>0</v>
      </c>
      <c r="R22" s="35">
        <f t="shared" si="8"/>
        <v>0</v>
      </c>
      <c r="S22" s="41">
        <f>COUNTIF(Vertices[Clustering Coefficient], "&gt;= " &amp; R22) - COUNTIF(Vertices[Clustering Coefficient], "&gt;=" &amp; R23)</f>
        <v>0</v>
      </c>
      <c r="T22" s="35" t="e">
        <f t="shared" ca="1" si="9"/>
        <v>#REF!</v>
      </c>
      <c r="U22" s="36" t="e">
        <f t="shared" ca="1" si="0"/>
        <v>#REF!</v>
      </c>
    </row>
    <row r="23" spans="1:21" x14ac:dyDescent="0.25">
      <c r="A23" s="32" t="s">
        <v>158</v>
      </c>
      <c r="B23" s="32">
        <v>2.3328344656552933E-4</v>
      </c>
      <c r="D23" s="30">
        <f t="shared" si="1"/>
        <v>0</v>
      </c>
      <c r="E23">
        <f>COUNTIF(Vertices[Degree], "&gt;= " &amp; D23) - COUNTIF(Vertices[Degree], "&gt;=" &amp; D24)</f>
        <v>0</v>
      </c>
      <c r="F23" s="37">
        <f t="shared" si="2"/>
        <v>0</v>
      </c>
      <c r="G23" s="38">
        <f>COUNTIF(Vertices[In-Degree], "&gt;= " &amp; F23) - COUNTIF(Vertices[In-Degree], "&gt;=" &amp; F24)</f>
        <v>0</v>
      </c>
      <c r="H23" s="37">
        <f t="shared" si="3"/>
        <v>0</v>
      </c>
      <c r="I23" s="38">
        <f>COUNTIF(Vertices[Out-Degree], "&gt;= " &amp; H23) - COUNTIF(Vertices[Out-Degree], "&gt;=" &amp; H24)</f>
        <v>0</v>
      </c>
      <c r="J23" s="37">
        <f t="shared" si="4"/>
        <v>0</v>
      </c>
      <c r="K23" s="38">
        <f>COUNTIF(Vertices[Betweenness Centrality], "&gt;= " &amp; J23) - COUNTIF(Vertices[Betweenness Centrality], "&gt;=" &amp; J24)</f>
        <v>0</v>
      </c>
      <c r="L23" s="37">
        <f t="shared" si="5"/>
        <v>0</v>
      </c>
      <c r="M23" s="38">
        <f>COUNTIF(Vertices[Closeness Centrality], "&gt;= " &amp; L23) - COUNTIF(Vertices[Closeness Centrality], "&gt;=" &amp; L24)</f>
        <v>0</v>
      </c>
      <c r="N23" s="37">
        <f t="shared" si="6"/>
        <v>0</v>
      </c>
      <c r="O23" s="38">
        <f>COUNTIF(Vertices[Eigenvector Centrality], "&gt;= " &amp; N23) - COUNTIF(Vertices[Eigenvector Centrality], "&gt;=" &amp; N24)</f>
        <v>0</v>
      </c>
      <c r="P23" s="37">
        <f t="shared" si="7"/>
        <v>0</v>
      </c>
      <c r="Q23" s="38">
        <f>COUNTIF(Vertices[PageRank], "&gt;= " &amp; P23) - COUNTIF(Vertices[PageRank], "&gt;=" &amp; P24)</f>
        <v>0</v>
      </c>
      <c r="R23" s="37">
        <f t="shared" si="8"/>
        <v>0</v>
      </c>
      <c r="S23" s="42">
        <f>COUNTIF(Vertices[Clustering Coefficient], "&gt;= " &amp; R23) - COUNTIF(Vertices[Clustering Coefficient], "&gt;=" &amp; R24)</f>
        <v>0</v>
      </c>
      <c r="T23" s="37" t="e">
        <f t="shared" ca="1" si="9"/>
        <v>#REF!</v>
      </c>
      <c r="U23" s="38" t="e">
        <f t="shared" ca="1" si="0"/>
        <v>#REF!</v>
      </c>
    </row>
    <row r="24" spans="1:21" x14ac:dyDescent="0.25">
      <c r="A24" s="32" t="s">
        <v>15203</v>
      </c>
      <c r="B24" s="32" t="s">
        <v>15219</v>
      </c>
      <c r="D24" s="30">
        <f t="shared" si="1"/>
        <v>0</v>
      </c>
      <c r="E24">
        <f>COUNTIF(Vertices[Degree], "&gt;= " &amp; D24) - COUNTIF(Vertices[Degree], "&gt;=" &amp; D25)</f>
        <v>0</v>
      </c>
      <c r="F24" s="35">
        <f t="shared" si="2"/>
        <v>0</v>
      </c>
      <c r="G24" s="36">
        <f>COUNTIF(Vertices[In-Degree], "&gt;= " &amp; F24) - COUNTIF(Vertices[In-Degree], "&gt;=" &amp; F25)</f>
        <v>0</v>
      </c>
      <c r="H24" s="35">
        <f t="shared" si="3"/>
        <v>0</v>
      </c>
      <c r="I24" s="36">
        <f>COUNTIF(Vertices[Out-Degree], "&gt;= " &amp; H24) - COUNTIF(Vertices[Out-Degree], "&gt;=" &amp; H25)</f>
        <v>0</v>
      </c>
      <c r="J24" s="35">
        <f t="shared" si="4"/>
        <v>0</v>
      </c>
      <c r="K24" s="36">
        <f>COUNTIF(Vertices[Betweenness Centrality], "&gt;= " &amp; J24) - COUNTIF(Vertices[Betweenness Centrality], "&gt;=" &amp; J25)</f>
        <v>0</v>
      </c>
      <c r="L24" s="35">
        <f t="shared" si="5"/>
        <v>0</v>
      </c>
      <c r="M24" s="36">
        <f>COUNTIF(Vertices[Closeness Centrality], "&gt;= " &amp; L24) - COUNTIF(Vertices[Closeness Centrality], "&gt;=" &amp; L25)</f>
        <v>0</v>
      </c>
      <c r="N24" s="35">
        <f t="shared" si="6"/>
        <v>0</v>
      </c>
      <c r="O24" s="36">
        <f>COUNTIF(Vertices[Eigenvector Centrality], "&gt;= " &amp; N24) - COUNTIF(Vertices[Eigenvector Centrality], "&gt;=" &amp; N25)</f>
        <v>0</v>
      </c>
      <c r="P24" s="35">
        <f t="shared" si="7"/>
        <v>0</v>
      </c>
      <c r="Q24" s="36">
        <f>COUNTIF(Vertices[PageRank], "&gt;= " &amp; P24) - COUNTIF(Vertices[PageRank], "&gt;=" &amp; P25)</f>
        <v>0</v>
      </c>
      <c r="R24" s="35">
        <f t="shared" si="8"/>
        <v>0</v>
      </c>
      <c r="S24" s="41">
        <f>COUNTIF(Vertices[Clustering Coefficient], "&gt;= " &amp; R24) - COUNTIF(Vertices[Clustering Coefficient], "&gt;=" &amp; R25)</f>
        <v>0</v>
      </c>
      <c r="T24" s="35" t="e">
        <f t="shared" ca="1" si="9"/>
        <v>#REF!</v>
      </c>
      <c r="U24" s="36" t="e">
        <f t="shared" ca="1" si="0"/>
        <v>#REF!</v>
      </c>
    </row>
    <row r="25" spans="1:21" x14ac:dyDescent="0.25">
      <c r="A25" s="105"/>
      <c r="B25" s="105"/>
      <c r="D25" s="30">
        <f t="shared" si="1"/>
        <v>0</v>
      </c>
      <c r="E25">
        <f>COUNTIF(Vertices[Degree], "&gt;= " &amp; D25) - COUNTIF(Vertices[Degree], "&gt;=" &amp; D26)</f>
        <v>0</v>
      </c>
      <c r="F25" s="37">
        <f t="shared" si="2"/>
        <v>0</v>
      </c>
      <c r="G25" s="38">
        <f>COUNTIF(Vertices[In-Degree], "&gt;= " &amp; F25) - COUNTIF(Vertices[In-Degree], "&gt;=" &amp; F26)</f>
        <v>0</v>
      </c>
      <c r="H25" s="37">
        <f t="shared" si="3"/>
        <v>0</v>
      </c>
      <c r="I25" s="38">
        <f>COUNTIF(Vertices[Out-Degree], "&gt;= " &amp; H25) - COUNTIF(Vertices[Out-Degree], "&gt;=" &amp; H26)</f>
        <v>0</v>
      </c>
      <c r="J25" s="37">
        <f t="shared" si="4"/>
        <v>0</v>
      </c>
      <c r="K25" s="38">
        <f>COUNTIF(Vertices[Betweenness Centrality], "&gt;= " &amp; J25) - COUNTIF(Vertices[Betweenness Centrality], "&gt;=" &amp; J26)</f>
        <v>0</v>
      </c>
      <c r="L25" s="37">
        <f t="shared" si="5"/>
        <v>0</v>
      </c>
      <c r="M25" s="38">
        <f>COUNTIF(Vertices[Closeness Centrality], "&gt;= " &amp; L25) - COUNTIF(Vertices[Closeness Centrality], "&gt;=" &amp; L26)</f>
        <v>0</v>
      </c>
      <c r="N25" s="37">
        <f t="shared" si="6"/>
        <v>0</v>
      </c>
      <c r="O25" s="38">
        <f>COUNTIF(Vertices[Eigenvector Centrality], "&gt;= " &amp; N25) - COUNTIF(Vertices[Eigenvector Centrality], "&gt;=" &amp; N26)</f>
        <v>0</v>
      </c>
      <c r="P25" s="37">
        <f t="shared" si="7"/>
        <v>0</v>
      </c>
      <c r="Q25" s="38">
        <f>COUNTIF(Vertices[PageRank], "&gt;= " &amp; P25) - COUNTIF(Vertices[PageRank], "&gt;=" &amp; P26)</f>
        <v>0</v>
      </c>
      <c r="R25" s="37">
        <f t="shared" si="8"/>
        <v>0</v>
      </c>
      <c r="S25" s="42">
        <f>COUNTIF(Vertices[Clustering Coefficient], "&gt;= " &amp; R25) - COUNTIF(Vertices[Clustering Coefficient], "&gt;=" &amp; R26)</f>
        <v>0</v>
      </c>
      <c r="T25" s="37" t="e">
        <f t="shared" ca="1" si="9"/>
        <v>#REF!</v>
      </c>
      <c r="U25" s="38" t="e">
        <f t="shared" ca="1" si="0"/>
        <v>#REF!</v>
      </c>
    </row>
    <row r="26" spans="1:21" x14ac:dyDescent="0.25">
      <c r="A26" s="32" t="s">
        <v>15204</v>
      </c>
      <c r="B26" s="32" t="s">
        <v>15220</v>
      </c>
      <c r="D26" s="30">
        <f t="shared" si="1"/>
        <v>0</v>
      </c>
      <c r="E26">
        <f>COUNTIF(Vertices[Degree], "&gt;= " &amp; D26) - COUNTIF(Vertices[Degree], "&gt;=" &amp; D27)</f>
        <v>0</v>
      </c>
      <c r="F26" s="35">
        <f t="shared" si="2"/>
        <v>0</v>
      </c>
      <c r="G26" s="36">
        <f>COUNTIF(Vertices[In-Degree], "&gt;= " &amp; F26) - COUNTIF(Vertices[In-Degree], "&gt;=" &amp; F27)</f>
        <v>0</v>
      </c>
      <c r="H26" s="35">
        <f t="shared" si="3"/>
        <v>0</v>
      </c>
      <c r="I26" s="36">
        <f>COUNTIF(Vertices[Out-Degree], "&gt;= " &amp; H26) - COUNTIF(Vertices[Out-Degree], "&gt;=" &amp; H27)</f>
        <v>0</v>
      </c>
      <c r="J26" s="35">
        <f t="shared" si="4"/>
        <v>0</v>
      </c>
      <c r="K26" s="36">
        <f>COUNTIF(Vertices[Betweenness Centrality], "&gt;= " &amp; J26) - COUNTIF(Vertices[Betweenness Centrality], "&gt;=" &amp; J27)</f>
        <v>0</v>
      </c>
      <c r="L26" s="35">
        <f t="shared" si="5"/>
        <v>0</v>
      </c>
      <c r="M26" s="36">
        <f>COUNTIF(Vertices[Closeness Centrality], "&gt;= " &amp; L26) - COUNTIF(Vertices[Closeness Centrality], "&gt;=" &amp; L27)</f>
        <v>0</v>
      </c>
      <c r="N26" s="35">
        <f t="shared" si="6"/>
        <v>0</v>
      </c>
      <c r="O26" s="36">
        <f>COUNTIF(Vertices[Eigenvector Centrality], "&gt;= " &amp; N26) - COUNTIF(Vertices[Eigenvector Centrality], "&gt;=" &amp; N27)</f>
        <v>0</v>
      </c>
      <c r="P26" s="35">
        <f t="shared" si="7"/>
        <v>0</v>
      </c>
      <c r="Q26" s="36">
        <f>COUNTIF(Vertices[PageRank], "&gt;= " &amp; P26) - COUNTIF(Vertices[PageRank], "&gt;=" &amp; P27)</f>
        <v>0</v>
      </c>
      <c r="R26" s="35">
        <f t="shared" si="8"/>
        <v>0</v>
      </c>
      <c r="S26" s="41">
        <f>COUNTIF(Vertices[Clustering Coefficient], "&gt;= " &amp; R26) - COUNTIF(Vertices[Clustering Coefficient], "&gt;=" &amp; R27)</f>
        <v>0</v>
      </c>
      <c r="T26" s="35" t="e">
        <f t="shared" ca="1" si="9"/>
        <v>#REF!</v>
      </c>
      <c r="U26" s="36" t="e">
        <f t="shared" ref="U26:U35" ca="1" si="10">COUNTIF(INDIRECT(DynamicFilterSourceColumnRange), "&gt;= " &amp; T26) - COUNTIF(INDIRECT(DynamicFilterSourceColumnRange), "&gt;=" &amp; T27)</f>
        <v>#REF!</v>
      </c>
    </row>
    <row r="27" spans="1:21" x14ac:dyDescent="0.25">
      <c r="A27" s="105"/>
      <c r="B27" s="105"/>
      <c r="D27" s="30">
        <f t="shared" si="1"/>
        <v>0</v>
      </c>
      <c r="E27">
        <f>COUNTIF(Vertices[Degree], "&gt;= " &amp; D27) - COUNTIF(Vertices[Degree], "&gt;=" &amp; D28)</f>
        <v>0</v>
      </c>
      <c r="F27" s="37">
        <f t="shared" si="2"/>
        <v>0</v>
      </c>
      <c r="G27" s="38">
        <f>COUNTIF(Vertices[In-Degree], "&gt;= " &amp; F27) - COUNTIF(Vertices[In-Degree], "&gt;=" &amp; F28)</f>
        <v>0</v>
      </c>
      <c r="H27" s="37">
        <f t="shared" si="3"/>
        <v>0</v>
      </c>
      <c r="I27" s="38">
        <f>COUNTIF(Vertices[Out-Degree], "&gt;= " &amp; H27) - COUNTIF(Vertices[Out-Degree], "&gt;=" &amp; H28)</f>
        <v>0</v>
      </c>
      <c r="J27" s="37">
        <f t="shared" si="4"/>
        <v>0</v>
      </c>
      <c r="K27" s="38">
        <f>COUNTIF(Vertices[Betweenness Centrality], "&gt;= " &amp; J27) - COUNTIF(Vertices[Betweenness Centrality], "&gt;=" &amp; J28)</f>
        <v>0</v>
      </c>
      <c r="L27" s="37">
        <f t="shared" si="5"/>
        <v>0</v>
      </c>
      <c r="M27" s="38">
        <f>COUNTIF(Vertices[Closeness Centrality], "&gt;= " &amp; L27) - COUNTIF(Vertices[Closeness Centrality], "&gt;=" &amp; L28)</f>
        <v>0</v>
      </c>
      <c r="N27" s="37">
        <f t="shared" si="6"/>
        <v>0</v>
      </c>
      <c r="O27" s="38">
        <f>COUNTIF(Vertices[Eigenvector Centrality], "&gt;= " &amp; N27) - COUNTIF(Vertices[Eigenvector Centrality], "&gt;=" &amp; N28)</f>
        <v>0</v>
      </c>
      <c r="P27" s="37">
        <f t="shared" si="7"/>
        <v>0</v>
      </c>
      <c r="Q27" s="38">
        <f>COUNTIF(Vertices[PageRank], "&gt;= " &amp; P27) - COUNTIF(Vertices[PageRank], "&gt;=" &amp; P28)</f>
        <v>0</v>
      </c>
      <c r="R27" s="37">
        <f t="shared" si="8"/>
        <v>0</v>
      </c>
      <c r="S27" s="42">
        <f>COUNTIF(Vertices[Clustering Coefficient], "&gt;= " &amp; R27) - COUNTIF(Vertices[Clustering Coefficient], "&gt;=" &amp; R28)</f>
        <v>0</v>
      </c>
      <c r="T27" s="37" t="e">
        <f t="shared" ca="1" si="9"/>
        <v>#REF!</v>
      </c>
      <c r="U27" s="38" t="e">
        <f t="shared" ca="1" si="10"/>
        <v>#REF!</v>
      </c>
    </row>
    <row r="28" spans="1:21" x14ac:dyDescent="0.25">
      <c r="A28" s="32" t="s">
        <v>15205</v>
      </c>
      <c r="B28" s="32" t="s">
        <v>85</v>
      </c>
      <c r="D28" s="30">
        <f t="shared" si="1"/>
        <v>0</v>
      </c>
      <c r="E28">
        <f>COUNTIF(Vertices[Degree], "&gt;= " &amp; D28) - COUNTIF(Vertices[Degree], "&gt;=" &amp; D29)</f>
        <v>0</v>
      </c>
      <c r="F28" s="35">
        <f t="shared" si="2"/>
        <v>0</v>
      </c>
      <c r="G28" s="36">
        <f>COUNTIF(Vertices[In-Degree], "&gt;= " &amp; F28) - COUNTIF(Vertices[In-Degree], "&gt;=" &amp; F29)</f>
        <v>0</v>
      </c>
      <c r="H28" s="35">
        <f t="shared" si="3"/>
        <v>0</v>
      </c>
      <c r="I28" s="36">
        <f>COUNTIF(Vertices[Out-Degree], "&gt;= " &amp; H28) - COUNTIF(Vertices[Out-Degree], "&gt;=" &amp; H29)</f>
        <v>0</v>
      </c>
      <c r="J28" s="35">
        <f t="shared" si="4"/>
        <v>0</v>
      </c>
      <c r="K28" s="36">
        <f>COUNTIF(Vertices[Betweenness Centrality], "&gt;= " &amp; J28) - COUNTIF(Vertices[Betweenness Centrality], "&gt;=" &amp; J29)</f>
        <v>0</v>
      </c>
      <c r="L28" s="35">
        <f t="shared" si="5"/>
        <v>0</v>
      </c>
      <c r="M28" s="36">
        <f>COUNTIF(Vertices[Closeness Centrality], "&gt;= " &amp; L28) - COUNTIF(Vertices[Closeness Centrality], "&gt;=" &amp; L29)</f>
        <v>0</v>
      </c>
      <c r="N28" s="35">
        <f t="shared" si="6"/>
        <v>0</v>
      </c>
      <c r="O28" s="36">
        <f>COUNTIF(Vertices[Eigenvector Centrality], "&gt;= " &amp; N28) - COUNTIF(Vertices[Eigenvector Centrality], "&gt;=" &amp; N29)</f>
        <v>0</v>
      </c>
      <c r="P28" s="35">
        <f t="shared" si="7"/>
        <v>0</v>
      </c>
      <c r="Q28" s="36">
        <f>COUNTIF(Vertices[PageRank], "&gt;= " &amp; P28) - COUNTIF(Vertices[PageRank], "&gt;=" &amp; P29)</f>
        <v>0</v>
      </c>
      <c r="R28" s="35">
        <f t="shared" si="8"/>
        <v>0</v>
      </c>
      <c r="S28" s="41">
        <f>COUNTIF(Vertices[Clustering Coefficient], "&gt;= " &amp; R28) - COUNTIF(Vertices[Clustering Coefficient], "&gt;=" &amp; R29)</f>
        <v>0</v>
      </c>
      <c r="T28" s="35" t="e">
        <f t="shared" ca="1" si="9"/>
        <v>#REF!</v>
      </c>
      <c r="U28" s="36" t="e">
        <f t="shared" ca="1" si="10"/>
        <v>#REF!</v>
      </c>
    </row>
    <row r="29" spans="1:21" x14ac:dyDescent="0.25">
      <c r="A29" s="32" t="s">
        <v>15206</v>
      </c>
      <c r="B29" s="32" t="s">
        <v>85</v>
      </c>
      <c r="D29" s="30">
        <f t="shared" si="1"/>
        <v>0</v>
      </c>
      <c r="E29">
        <f>COUNTIF(Vertices[Degree], "&gt;= " &amp; D29) - COUNTIF(Vertices[Degree], "&gt;=" &amp; D30)</f>
        <v>0</v>
      </c>
      <c r="F29" s="37">
        <f t="shared" si="2"/>
        <v>0</v>
      </c>
      <c r="G29" s="38">
        <f>COUNTIF(Vertices[In-Degree], "&gt;= " &amp; F29) - COUNTIF(Vertices[In-Degree], "&gt;=" &amp; F30)</f>
        <v>0</v>
      </c>
      <c r="H29" s="37">
        <f t="shared" si="3"/>
        <v>0</v>
      </c>
      <c r="I29" s="38">
        <f>COUNTIF(Vertices[Out-Degree], "&gt;= " &amp; H29) - COUNTIF(Vertices[Out-Degree], "&gt;=" &amp; H30)</f>
        <v>0</v>
      </c>
      <c r="J29" s="37">
        <f t="shared" si="4"/>
        <v>0</v>
      </c>
      <c r="K29" s="38">
        <f>COUNTIF(Vertices[Betweenness Centrality], "&gt;= " &amp; J29) - COUNTIF(Vertices[Betweenness Centrality], "&gt;=" &amp; J30)</f>
        <v>0</v>
      </c>
      <c r="L29" s="37">
        <f t="shared" si="5"/>
        <v>0</v>
      </c>
      <c r="M29" s="38">
        <f>COUNTIF(Vertices[Closeness Centrality], "&gt;= " &amp; L29) - COUNTIF(Vertices[Closeness Centrality], "&gt;=" &amp; L30)</f>
        <v>0</v>
      </c>
      <c r="N29" s="37">
        <f t="shared" si="6"/>
        <v>0</v>
      </c>
      <c r="O29" s="38">
        <f>COUNTIF(Vertices[Eigenvector Centrality], "&gt;= " &amp; N29) - COUNTIF(Vertices[Eigenvector Centrality], "&gt;=" &amp; N30)</f>
        <v>0</v>
      </c>
      <c r="P29" s="37">
        <f t="shared" si="7"/>
        <v>0</v>
      </c>
      <c r="Q29" s="38">
        <f>COUNTIF(Vertices[PageRank], "&gt;= " &amp; P29) - COUNTIF(Vertices[PageRank], "&gt;=" &amp; P30)</f>
        <v>0</v>
      </c>
      <c r="R29" s="37">
        <f t="shared" si="8"/>
        <v>0</v>
      </c>
      <c r="S29" s="42">
        <f>COUNTIF(Vertices[Clustering Coefficient], "&gt;= " &amp; R29) - COUNTIF(Vertices[Clustering Coefficient], "&gt;=" &amp; R30)</f>
        <v>0</v>
      </c>
      <c r="T29" s="37" t="e">
        <f t="shared" ca="1" si="9"/>
        <v>#REF!</v>
      </c>
      <c r="U29" s="38" t="e">
        <f t="shared" ca="1" si="10"/>
        <v>#REF!</v>
      </c>
    </row>
    <row r="30" spans="1:21" x14ac:dyDescent="0.25">
      <c r="A30" s="105"/>
      <c r="B30" s="105"/>
      <c r="D30" s="30">
        <f t="shared" si="1"/>
        <v>0</v>
      </c>
      <c r="E30">
        <f>COUNTIF(Vertices[Degree], "&gt;= " &amp; D30) - COUNTIF(Vertices[Degree], "&gt;=" &amp; D31)</f>
        <v>0</v>
      </c>
      <c r="F30" s="35">
        <f t="shared" si="2"/>
        <v>0</v>
      </c>
      <c r="G30" s="36">
        <f>COUNTIF(Vertices[In-Degree], "&gt;= " &amp; F30) - COUNTIF(Vertices[In-Degree], "&gt;=" &amp; F31)</f>
        <v>0</v>
      </c>
      <c r="H30" s="35">
        <f t="shared" si="3"/>
        <v>0</v>
      </c>
      <c r="I30" s="36">
        <f>COUNTIF(Vertices[Out-Degree], "&gt;= " &amp; H30) - COUNTIF(Vertices[Out-Degree], "&gt;=" &amp; H31)</f>
        <v>0</v>
      </c>
      <c r="J30" s="35">
        <f t="shared" si="4"/>
        <v>0</v>
      </c>
      <c r="K30" s="36">
        <f>COUNTIF(Vertices[Betweenness Centrality], "&gt;= " &amp; J30) - COUNTIF(Vertices[Betweenness Centrality], "&gt;=" &amp; J31)</f>
        <v>0</v>
      </c>
      <c r="L30" s="35">
        <f t="shared" si="5"/>
        <v>0</v>
      </c>
      <c r="M30" s="36">
        <f>COUNTIF(Vertices[Closeness Centrality], "&gt;= " &amp; L30) - COUNTIF(Vertices[Closeness Centrality], "&gt;=" &amp; L31)</f>
        <v>0</v>
      </c>
      <c r="N30" s="35">
        <f t="shared" si="6"/>
        <v>0</v>
      </c>
      <c r="O30" s="36">
        <f>COUNTIF(Vertices[Eigenvector Centrality], "&gt;= " &amp; N30) - COUNTIF(Vertices[Eigenvector Centrality], "&gt;=" &amp; N31)</f>
        <v>0</v>
      </c>
      <c r="P30" s="35">
        <f t="shared" si="7"/>
        <v>0</v>
      </c>
      <c r="Q30" s="36">
        <f>COUNTIF(Vertices[PageRank], "&gt;= " &amp; P30) - COUNTIF(Vertices[PageRank], "&gt;=" &amp; P31)</f>
        <v>0</v>
      </c>
      <c r="R30" s="35">
        <f t="shared" si="8"/>
        <v>0</v>
      </c>
      <c r="S30" s="41">
        <f>COUNTIF(Vertices[Clustering Coefficient], "&gt;= " &amp; R30) - COUNTIF(Vertices[Clustering Coefficient], "&gt;=" &amp; R31)</f>
        <v>0</v>
      </c>
      <c r="T30" s="35" t="e">
        <f t="shared" ca="1" si="9"/>
        <v>#REF!</v>
      </c>
      <c r="U30" s="36" t="e">
        <f t="shared" ca="1" si="10"/>
        <v>#REF!</v>
      </c>
    </row>
    <row r="31" spans="1:21" x14ac:dyDescent="0.25">
      <c r="A31" s="32" t="s">
        <v>15207</v>
      </c>
      <c r="B31" s="32" t="s">
        <v>15221</v>
      </c>
      <c r="D31" s="30">
        <f t="shared" si="1"/>
        <v>0</v>
      </c>
      <c r="E31">
        <f>COUNTIF(Vertices[Degree], "&gt;= " &amp; D31) - COUNTIF(Vertices[Degree], "&gt;=" &amp; D32)</f>
        <v>0</v>
      </c>
      <c r="F31" s="37">
        <f t="shared" si="2"/>
        <v>0</v>
      </c>
      <c r="G31" s="38">
        <f>COUNTIF(Vertices[In-Degree], "&gt;= " &amp; F31) - COUNTIF(Vertices[In-Degree], "&gt;=" &amp; F32)</f>
        <v>0</v>
      </c>
      <c r="H31" s="37">
        <f t="shared" si="3"/>
        <v>0</v>
      </c>
      <c r="I31" s="38">
        <f>COUNTIF(Vertices[Out-Degree], "&gt;= " &amp; H31) - COUNTIF(Vertices[Out-Degree], "&gt;=" &amp; H32)</f>
        <v>0</v>
      </c>
      <c r="J31" s="37">
        <f t="shared" si="4"/>
        <v>0</v>
      </c>
      <c r="K31" s="38">
        <f>COUNTIF(Vertices[Betweenness Centrality], "&gt;= " &amp; J31) - COUNTIF(Vertices[Betweenness Centrality], "&gt;=" &amp; J32)</f>
        <v>0</v>
      </c>
      <c r="L31" s="37">
        <f t="shared" si="5"/>
        <v>0</v>
      </c>
      <c r="M31" s="38">
        <f>COUNTIF(Vertices[Closeness Centrality], "&gt;= " &amp; L31) - COUNTIF(Vertices[Closeness Centrality], "&gt;=" &amp; L32)</f>
        <v>0</v>
      </c>
      <c r="N31" s="37">
        <f t="shared" si="6"/>
        <v>0</v>
      </c>
      <c r="O31" s="38">
        <f>COUNTIF(Vertices[Eigenvector Centrality], "&gt;= " &amp; N31) - COUNTIF(Vertices[Eigenvector Centrality], "&gt;=" &amp; N32)</f>
        <v>0</v>
      </c>
      <c r="P31" s="37">
        <f t="shared" si="7"/>
        <v>0</v>
      </c>
      <c r="Q31" s="38">
        <f>COUNTIF(Vertices[PageRank], "&gt;= " &amp; P31) - COUNTIF(Vertices[PageRank], "&gt;=" &amp; P32)</f>
        <v>0</v>
      </c>
      <c r="R31" s="37">
        <f t="shared" si="8"/>
        <v>0</v>
      </c>
      <c r="S31" s="42">
        <f>COUNTIF(Vertices[Clustering Coefficient], "&gt;= " &amp; R31) - COUNTIF(Vertices[Clustering Coefficient], "&gt;=" &amp; R32)</f>
        <v>0</v>
      </c>
      <c r="T31" s="37" t="e">
        <f t="shared" ca="1" si="9"/>
        <v>#REF!</v>
      </c>
      <c r="U31" s="38" t="e">
        <f t="shared" ca="1" si="10"/>
        <v>#REF!</v>
      </c>
    </row>
    <row r="32" spans="1:21" x14ac:dyDescent="0.25">
      <c r="A32" s="32" t="s">
        <v>15208</v>
      </c>
      <c r="B32" s="32" t="s">
        <v>15222</v>
      </c>
      <c r="D32" s="30">
        <f t="shared" si="1"/>
        <v>0</v>
      </c>
      <c r="E32">
        <f>COUNTIF(Vertices[Degree], "&gt;= " &amp; D32) - COUNTIF(Vertices[Degree], "&gt;=" &amp; D33)</f>
        <v>0</v>
      </c>
      <c r="F32" s="35">
        <f t="shared" si="2"/>
        <v>0</v>
      </c>
      <c r="G32" s="36">
        <f>COUNTIF(Vertices[In-Degree], "&gt;= " &amp; F32) - COUNTIF(Vertices[In-Degree], "&gt;=" &amp; F33)</f>
        <v>0</v>
      </c>
      <c r="H32" s="35">
        <f t="shared" si="3"/>
        <v>0</v>
      </c>
      <c r="I32" s="36">
        <f>COUNTIF(Vertices[Out-Degree], "&gt;= " &amp; H32) - COUNTIF(Vertices[Out-Degree], "&gt;=" &amp; H33)</f>
        <v>0</v>
      </c>
      <c r="J32" s="35">
        <f t="shared" si="4"/>
        <v>0</v>
      </c>
      <c r="K32" s="36">
        <f>COUNTIF(Vertices[Betweenness Centrality], "&gt;= " &amp; J32) - COUNTIF(Vertices[Betweenness Centrality], "&gt;=" &amp; J33)</f>
        <v>0</v>
      </c>
      <c r="L32" s="35">
        <f t="shared" si="5"/>
        <v>0</v>
      </c>
      <c r="M32" s="36">
        <f>COUNTIF(Vertices[Closeness Centrality], "&gt;= " &amp; L32) - COUNTIF(Vertices[Closeness Centrality], "&gt;=" &amp; L33)</f>
        <v>0</v>
      </c>
      <c r="N32" s="35">
        <f t="shared" si="6"/>
        <v>0</v>
      </c>
      <c r="O32" s="36">
        <f>COUNTIF(Vertices[Eigenvector Centrality], "&gt;= " &amp; N32) - COUNTIF(Vertices[Eigenvector Centrality], "&gt;=" &amp; N33)</f>
        <v>0</v>
      </c>
      <c r="P32" s="35">
        <f t="shared" si="7"/>
        <v>0</v>
      </c>
      <c r="Q32" s="36">
        <f>COUNTIF(Vertices[PageRank], "&gt;= " &amp; P32) - COUNTIF(Vertices[PageRank], "&gt;=" &amp; P33)</f>
        <v>0</v>
      </c>
      <c r="R32" s="35">
        <f t="shared" si="8"/>
        <v>0</v>
      </c>
      <c r="S32" s="41">
        <f>COUNTIF(Vertices[Clustering Coefficient], "&gt;= " &amp; R32) - COUNTIF(Vertices[Clustering Coefficient], "&gt;=" &amp; R33)</f>
        <v>0</v>
      </c>
      <c r="T32" s="35" t="e">
        <f t="shared" ca="1" si="9"/>
        <v>#REF!</v>
      </c>
      <c r="U32" s="36" t="e">
        <f t="shared" ca="1" si="10"/>
        <v>#REF!</v>
      </c>
    </row>
    <row r="33" spans="1:21" x14ac:dyDescent="0.25">
      <c r="A33" s="32" t="s">
        <v>15209</v>
      </c>
      <c r="B33" s="32" t="s">
        <v>15223</v>
      </c>
      <c r="D33" s="30">
        <f t="shared" si="1"/>
        <v>0</v>
      </c>
      <c r="E33">
        <f>COUNTIF(Vertices[Degree], "&gt;= " &amp; D33) - COUNTIF(Vertices[Degree], "&gt;=" &amp; D34)</f>
        <v>0</v>
      </c>
      <c r="F33" s="37">
        <f t="shared" si="2"/>
        <v>0</v>
      </c>
      <c r="G33" s="38">
        <f>COUNTIF(Vertices[In-Degree], "&gt;= " &amp; F33) - COUNTIF(Vertices[In-Degree], "&gt;=" &amp; F34)</f>
        <v>0</v>
      </c>
      <c r="H33" s="37">
        <f t="shared" si="3"/>
        <v>0</v>
      </c>
      <c r="I33" s="38">
        <f>COUNTIF(Vertices[Out-Degree], "&gt;= " &amp; H33) - COUNTIF(Vertices[Out-Degree], "&gt;=" &amp; H34)</f>
        <v>0</v>
      </c>
      <c r="J33" s="37">
        <f t="shared" si="4"/>
        <v>0</v>
      </c>
      <c r="K33" s="38">
        <f>COUNTIF(Vertices[Betweenness Centrality], "&gt;= " &amp; J33) - COUNTIF(Vertices[Betweenness Centrality], "&gt;=" &amp; J34)</f>
        <v>0</v>
      </c>
      <c r="L33" s="37">
        <f t="shared" si="5"/>
        <v>0</v>
      </c>
      <c r="M33" s="38">
        <f>COUNTIF(Vertices[Closeness Centrality], "&gt;= " &amp; L33) - COUNTIF(Vertices[Closeness Centrality], "&gt;=" &amp; L34)</f>
        <v>0</v>
      </c>
      <c r="N33" s="37">
        <f t="shared" si="6"/>
        <v>0</v>
      </c>
      <c r="O33" s="38">
        <f>COUNTIF(Vertices[Eigenvector Centrality], "&gt;= " &amp; N33) - COUNTIF(Vertices[Eigenvector Centrality], "&gt;=" &amp; N34)</f>
        <v>0</v>
      </c>
      <c r="P33" s="37">
        <f t="shared" si="7"/>
        <v>0</v>
      </c>
      <c r="Q33" s="38">
        <f>COUNTIF(Vertices[PageRank], "&gt;= " &amp; P33) - COUNTIF(Vertices[PageRank], "&gt;=" &amp; P34)</f>
        <v>0</v>
      </c>
      <c r="R33" s="37">
        <f t="shared" si="8"/>
        <v>0</v>
      </c>
      <c r="S33" s="42">
        <f>COUNTIF(Vertices[Clustering Coefficient], "&gt;= " &amp; R33) - COUNTIF(Vertices[Clustering Coefficient], "&gt;=" &amp; R34)</f>
        <v>0</v>
      </c>
      <c r="T33" s="37" t="e">
        <f t="shared" ca="1" si="9"/>
        <v>#REF!</v>
      </c>
      <c r="U33" s="38" t="e">
        <f t="shared" ca="1" si="10"/>
        <v>#REF!</v>
      </c>
    </row>
    <row r="34" spans="1:21" x14ac:dyDescent="0.25">
      <c r="A34" s="32" t="s">
        <v>15210</v>
      </c>
      <c r="B34" s="32" t="s">
        <v>85</v>
      </c>
      <c r="D34" s="30">
        <f t="shared" si="1"/>
        <v>0</v>
      </c>
      <c r="E34">
        <f>COUNTIF(Vertices[Degree], "&gt;= " &amp; D34) - COUNTIF(Vertices[Degree], "&gt;=" &amp; D35)</f>
        <v>0</v>
      </c>
      <c r="F34" s="35">
        <f t="shared" si="2"/>
        <v>0</v>
      </c>
      <c r="G34" s="36">
        <f>COUNTIF(Vertices[In-Degree], "&gt;= " &amp; F34) - COUNTIF(Vertices[In-Degree], "&gt;=" &amp; F35)</f>
        <v>0</v>
      </c>
      <c r="H34" s="35">
        <f t="shared" si="3"/>
        <v>0</v>
      </c>
      <c r="I34" s="36">
        <f>COUNTIF(Vertices[Out-Degree], "&gt;= " &amp; H34) - COUNTIF(Vertices[Out-Degree], "&gt;=" &amp; H35)</f>
        <v>0</v>
      </c>
      <c r="J34" s="35">
        <f t="shared" si="4"/>
        <v>0</v>
      </c>
      <c r="K34" s="36">
        <f>COUNTIF(Vertices[Betweenness Centrality], "&gt;= " &amp; J34) - COUNTIF(Vertices[Betweenness Centrality], "&gt;=" &amp; J35)</f>
        <v>0</v>
      </c>
      <c r="L34" s="35">
        <f t="shared" si="5"/>
        <v>0</v>
      </c>
      <c r="M34" s="36">
        <f>COUNTIF(Vertices[Closeness Centrality], "&gt;= " &amp; L34) - COUNTIF(Vertices[Closeness Centrality], "&gt;=" &amp; L35)</f>
        <v>0</v>
      </c>
      <c r="N34" s="35">
        <f t="shared" si="6"/>
        <v>0</v>
      </c>
      <c r="O34" s="36">
        <f>COUNTIF(Vertices[Eigenvector Centrality], "&gt;= " &amp; N34) - COUNTIF(Vertices[Eigenvector Centrality], "&gt;=" &amp; N35)</f>
        <v>0</v>
      </c>
      <c r="P34" s="35">
        <f t="shared" si="7"/>
        <v>0</v>
      </c>
      <c r="Q34" s="36">
        <f>COUNTIF(Vertices[PageRank], "&gt;= " &amp; P34) - COUNTIF(Vertices[PageRank], "&gt;=" &amp; P35)</f>
        <v>0</v>
      </c>
      <c r="R34" s="35">
        <f t="shared" si="8"/>
        <v>0</v>
      </c>
      <c r="S34" s="41">
        <f>COUNTIF(Vertices[Clustering Coefficient], "&gt;= " &amp; R34) - COUNTIF(Vertices[Clustering Coefficient], "&gt;=" &amp; R35)</f>
        <v>0</v>
      </c>
      <c r="T34" s="35" t="e">
        <f t="shared" ca="1" si="9"/>
        <v>#REF!</v>
      </c>
      <c r="U34" s="36" t="e">
        <f t="shared" ca="1" si="10"/>
        <v>#REF!</v>
      </c>
    </row>
    <row r="35" spans="1:21" x14ac:dyDescent="0.25">
      <c r="A35" s="32" t="s">
        <v>15211</v>
      </c>
      <c r="B35" s="32" t="s">
        <v>85</v>
      </c>
      <c r="D35" s="30">
        <f t="shared" si="1"/>
        <v>0</v>
      </c>
      <c r="E35">
        <f>COUNTIF(Vertices[Degree], "&gt;= " &amp; D35) - COUNTIF(Vertices[Degree], "&gt;=" &amp; D36)</f>
        <v>0</v>
      </c>
      <c r="F35" s="37">
        <f t="shared" si="2"/>
        <v>0</v>
      </c>
      <c r="G35" s="38">
        <f>COUNTIF(Vertices[In-Degree], "&gt;= " &amp; F35) - COUNTIF(Vertices[In-Degree], "&gt;=" &amp; F36)</f>
        <v>0</v>
      </c>
      <c r="H35" s="37">
        <f t="shared" si="3"/>
        <v>0</v>
      </c>
      <c r="I35" s="38">
        <f>COUNTIF(Vertices[Out-Degree], "&gt;= " &amp; H35) - COUNTIF(Vertices[Out-Degree], "&gt;=" &amp; H36)</f>
        <v>0</v>
      </c>
      <c r="J35" s="37">
        <f t="shared" si="4"/>
        <v>0</v>
      </c>
      <c r="K35" s="38">
        <f>COUNTIF(Vertices[Betweenness Centrality], "&gt;= " &amp; J35) - COUNTIF(Vertices[Betweenness Centrality], "&gt;=" &amp; J36)</f>
        <v>0</v>
      </c>
      <c r="L35" s="37">
        <f t="shared" si="5"/>
        <v>0</v>
      </c>
      <c r="M35" s="38">
        <f>COUNTIF(Vertices[Closeness Centrality], "&gt;= " &amp; L35) - COUNTIF(Vertices[Closeness Centrality], "&gt;=" &amp; L36)</f>
        <v>0</v>
      </c>
      <c r="N35" s="37">
        <f t="shared" si="6"/>
        <v>0</v>
      </c>
      <c r="O35" s="38">
        <f>COUNTIF(Vertices[Eigenvector Centrality], "&gt;= " &amp; N35) - COUNTIF(Vertices[Eigenvector Centrality], "&gt;=" &amp; N36)</f>
        <v>0</v>
      </c>
      <c r="P35" s="37">
        <f t="shared" si="7"/>
        <v>0</v>
      </c>
      <c r="Q35" s="38">
        <f>COUNTIF(Vertices[PageRank], "&gt;= " &amp; P35) - COUNTIF(Vertices[PageRank], "&gt;=" &amp; P36)</f>
        <v>0</v>
      </c>
      <c r="R35" s="37">
        <f t="shared" si="8"/>
        <v>0</v>
      </c>
      <c r="S35" s="42">
        <f>COUNTIF(Vertices[Clustering Coefficient], "&gt;= " &amp; R35) - COUNTIF(Vertices[Clustering Coefficient], "&gt;=" &amp; R36)</f>
        <v>0</v>
      </c>
      <c r="T35" s="37" t="e">
        <f t="shared" ca="1" si="9"/>
        <v>#REF!</v>
      </c>
      <c r="U35" s="38" t="e">
        <f t="shared" ca="1" si="10"/>
        <v>#REF!</v>
      </c>
    </row>
    <row r="36" spans="1:21" x14ac:dyDescent="0.25">
      <c r="A36" s="32" t="s">
        <v>15212</v>
      </c>
      <c r="B36" s="32" t="s">
        <v>85</v>
      </c>
      <c r="D36" s="30">
        <f>MAX(Vertices[Degree])</f>
        <v>0</v>
      </c>
      <c r="E36">
        <f>COUNTIF(Vertices[Degree], "&gt;= " &amp; D36) - COUNTIF(Vertices[Degree], "&gt;=" &amp;#REF!)</f>
        <v>0</v>
      </c>
      <c r="F36" s="39">
        <f>MAX(Vertices[In-Degree])</f>
        <v>0</v>
      </c>
      <c r="G36" s="40">
        <f>COUNTIF(Vertices[In-Degree], "&gt;= " &amp; F36) - COUNTIF(Vertices[In-Degree], "&gt;=" &amp;#REF!)</f>
        <v>0</v>
      </c>
      <c r="H36" s="39">
        <f>MAX(Vertices[Out-Degree])</f>
        <v>0</v>
      </c>
      <c r="I36" s="40">
        <f>COUNTIF(Vertices[Out-Degree], "&gt;= " &amp; H36) - COUNTIF(Vertices[Out-Degree], "&gt;=" &amp;#REF!)</f>
        <v>0</v>
      </c>
      <c r="J36" s="39">
        <f>MAX(Vertices[Betweenness Centrality])</f>
        <v>0</v>
      </c>
      <c r="K36" s="40">
        <f>COUNTIF(Vertices[Betweenness Centrality], "&gt;= " &amp; J36) - COUNTIF(Vertices[Betweenness Centrality], "&gt;=" &amp;#REF!)</f>
        <v>0</v>
      </c>
      <c r="L36" s="39">
        <f>MAX(Vertices[Closeness Centrality])</f>
        <v>0</v>
      </c>
      <c r="M36" s="40">
        <f>COUNTIF(Vertices[Closeness Centrality], "&gt;= " &amp; L36) - COUNTIF(Vertices[Closeness Centrality], "&gt;=" &amp;#REF!)</f>
        <v>0</v>
      </c>
      <c r="N36" s="39">
        <f>MAX(Vertices[Eigenvector Centrality])</f>
        <v>0</v>
      </c>
      <c r="O36" s="40">
        <f>COUNTIF(Vertices[Eigenvector Centrality], "&gt;= " &amp; N36) - COUNTIF(Vertices[Eigenvector Centrality], "&gt;=" &amp;#REF!)</f>
        <v>0</v>
      </c>
      <c r="P36" s="39">
        <f>MAX(Vertices[PageRank])</f>
        <v>0</v>
      </c>
      <c r="Q36" s="40">
        <f>COUNTIF(Vertices[PageRank], "&gt;= " &amp; P36) - COUNTIF(Vertices[PageRank], "&gt;=" &amp;#REF!)</f>
        <v>0</v>
      </c>
      <c r="R36" s="39">
        <f>MAX(Vertices[Clustering Coefficient])</f>
        <v>0</v>
      </c>
      <c r="S36" s="43">
        <f>COUNTIF(Vertices[Clustering Coefficient], "&gt;= " &amp; R36) - COUNTIF(Vertices[Clustering Coefficient], "&gt;=" &amp;#REF!)</f>
        <v>0</v>
      </c>
      <c r="T36" s="39" t="e">
        <f ca="1">MAX(INDIRECT(DynamicFilterSourceColumnRange))</f>
        <v>#REF!</v>
      </c>
      <c r="U36" s="40" t="e">
        <f ca="1">COUNTIF(INDIRECT(DynamicFilterSourceColumnRange), "&gt;= " &amp; T36) - COUNTIF(INDIRECT(DynamicFilterSourceColumnRange), "&gt;=" &amp;#REF!)</f>
        <v>#REF!</v>
      </c>
    </row>
    <row r="37" spans="1:21" x14ac:dyDescent="0.25">
      <c r="A37" s="32" t="s">
        <v>15213</v>
      </c>
      <c r="B37" s="32" t="s">
        <v>85</v>
      </c>
    </row>
    <row r="38" spans="1:21" x14ac:dyDescent="0.25">
      <c r="A38" s="32" t="s">
        <v>15214</v>
      </c>
      <c r="B38" s="32" t="s">
        <v>85</v>
      </c>
    </row>
    <row r="39" spans="1:21" x14ac:dyDescent="0.25">
      <c r="A39" s="32" t="s">
        <v>15215</v>
      </c>
      <c r="B39" s="32" t="s">
        <v>85</v>
      </c>
    </row>
    <row r="40" spans="1:21" x14ac:dyDescent="0.25">
      <c r="A40" s="32" t="s">
        <v>21</v>
      </c>
      <c r="B40" s="32" t="s">
        <v>85</v>
      </c>
    </row>
    <row r="41" spans="1:21" x14ac:dyDescent="0.25">
      <c r="A41" s="32" t="s">
        <v>15216</v>
      </c>
      <c r="B41" s="32" t="s">
        <v>85</v>
      </c>
    </row>
    <row r="42" spans="1:21" x14ac:dyDescent="0.25">
      <c r="A42" s="32" t="s">
        <v>15217</v>
      </c>
      <c r="B42" s="32" t="s">
        <v>85</v>
      </c>
    </row>
    <row r="43" spans="1:21" x14ac:dyDescent="0.25">
      <c r="A43" s="32" t="s">
        <v>15218</v>
      </c>
      <c r="B43" s="32" t="s">
        <v>85</v>
      </c>
    </row>
    <row r="60" spans="1:2" x14ac:dyDescent="0.25">
      <c r="A60" t="s">
        <v>163</v>
      </c>
      <c r="B60" t="s">
        <v>17</v>
      </c>
    </row>
    <row r="61" spans="1:2" x14ac:dyDescent="0.25">
      <c r="A61" s="31"/>
      <c r="B61" s="31"/>
    </row>
    <row r="74" spans="1:2" x14ac:dyDescent="0.25">
      <c r="A74" s="31" t="s">
        <v>81</v>
      </c>
      <c r="B74" s="44" t="str">
        <f>IF(COUNT(Vertices[Degree])&gt;0, D2, NoMetricMessage)</f>
        <v>Not Available</v>
      </c>
    </row>
    <row r="75" spans="1:2" x14ac:dyDescent="0.25">
      <c r="A75" s="31" t="s">
        <v>82</v>
      </c>
      <c r="B75" s="44" t="str">
        <f>IF(COUNT(Vertices[Degree])&gt;0, D36, NoMetricMessage)</f>
        <v>Not Available</v>
      </c>
    </row>
    <row r="76" spans="1:2" x14ac:dyDescent="0.25">
      <c r="A76" s="31" t="s">
        <v>83</v>
      </c>
      <c r="B76" s="45" t="str">
        <f>IFERROR(AVERAGE(Vertices[Degree]),NoMetricMessage)</f>
        <v>Not Available</v>
      </c>
    </row>
    <row r="77" spans="1:2" x14ac:dyDescent="0.25">
      <c r="A77" s="31" t="s">
        <v>84</v>
      </c>
      <c r="B77" s="45" t="str">
        <f>IFERROR(MEDIAN(Vertices[Degree]),NoMetricMessage)</f>
        <v>Not Available</v>
      </c>
    </row>
    <row r="88" spans="1:2" x14ac:dyDescent="0.25">
      <c r="A88" s="31" t="s">
        <v>88</v>
      </c>
      <c r="B88" s="44" t="str">
        <f>IF(COUNT(Vertices[In-Degree])&gt;0, F2, NoMetricMessage)</f>
        <v>Not Available</v>
      </c>
    </row>
    <row r="89" spans="1:2" x14ac:dyDescent="0.25">
      <c r="A89" s="31" t="s">
        <v>89</v>
      </c>
      <c r="B89" s="44" t="str">
        <f>IF(COUNT(Vertices[In-Degree])&gt;0, F36, NoMetricMessage)</f>
        <v>Not Available</v>
      </c>
    </row>
    <row r="90" spans="1:2" x14ac:dyDescent="0.25">
      <c r="A90" s="31" t="s">
        <v>90</v>
      </c>
      <c r="B90" s="45" t="str">
        <f>IFERROR(AVERAGE(Vertices[In-Degree]),NoMetricMessage)</f>
        <v>Not Available</v>
      </c>
    </row>
    <row r="91" spans="1:2" x14ac:dyDescent="0.25">
      <c r="A91" s="31" t="s">
        <v>91</v>
      </c>
      <c r="B91" s="45" t="str">
        <f>IFERROR(MEDIAN(Vertices[In-Degree]),NoMetricMessage)</f>
        <v>Not Available</v>
      </c>
    </row>
    <row r="102" spans="1:2" x14ac:dyDescent="0.25">
      <c r="A102" s="31" t="s">
        <v>94</v>
      </c>
      <c r="B102" s="44" t="str">
        <f>IF(COUNT(Vertices[Out-Degree])&gt;0, H2, NoMetricMessage)</f>
        <v>Not Available</v>
      </c>
    </row>
    <row r="103" spans="1:2" x14ac:dyDescent="0.25">
      <c r="A103" s="31" t="s">
        <v>95</v>
      </c>
      <c r="B103" s="44" t="str">
        <f>IF(COUNT(Vertices[Out-Degree])&gt;0, H36, NoMetricMessage)</f>
        <v>Not Available</v>
      </c>
    </row>
    <row r="104" spans="1:2" x14ac:dyDescent="0.25">
      <c r="A104" s="31" t="s">
        <v>96</v>
      </c>
      <c r="B104" s="45" t="str">
        <f>IFERROR(AVERAGE(Vertices[Out-Degree]),NoMetricMessage)</f>
        <v>Not Available</v>
      </c>
    </row>
    <row r="105" spans="1:2" x14ac:dyDescent="0.25">
      <c r="A105" s="31" t="s">
        <v>97</v>
      </c>
      <c r="B105" s="45" t="str">
        <f>IFERROR(MEDIAN(Vertices[Out-Degree]),NoMetricMessage)</f>
        <v>Not Available</v>
      </c>
    </row>
    <row r="116" spans="1:2" x14ac:dyDescent="0.25">
      <c r="A116" s="31" t="s">
        <v>100</v>
      </c>
      <c r="B116" s="45" t="str">
        <f>IF(COUNT(Vertices[Betweenness Centrality])&gt;0, J2, NoMetricMessage)</f>
        <v>Not Available</v>
      </c>
    </row>
    <row r="117" spans="1:2" x14ac:dyDescent="0.25">
      <c r="A117" s="31" t="s">
        <v>101</v>
      </c>
      <c r="B117" s="45" t="str">
        <f>IF(COUNT(Vertices[Betweenness Centrality])&gt;0, J36, NoMetricMessage)</f>
        <v>Not Available</v>
      </c>
    </row>
    <row r="118" spans="1:2" x14ac:dyDescent="0.25">
      <c r="A118" s="31" t="s">
        <v>102</v>
      </c>
      <c r="B118" s="45" t="str">
        <f>IFERROR(AVERAGE(Vertices[Betweenness Centrality]),NoMetricMessage)</f>
        <v>Not Available</v>
      </c>
    </row>
    <row r="119" spans="1:2" x14ac:dyDescent="0.25">
      <c r="A119" s="31" t="s">
        <v>103</v>
      </c>
      <c r="B119" s="45" t="str">
        <f>IFERROR(MEDIAN(Vertices[Betweenness Centrality]),NoMetricMessage)</f>
        <v>Not Available</v>
      </c>
    </row>
    <row r="130" spans="1:2" x14ac:dyDescent="0.25">
      <c r="A130" s="31" t="s">
        <v>106</v>
      </c>
      <c r="B130" s="45" t="str">
        <f>IF(COUNT(Vertices[Closeness Centrality])&gt;0, L2, NoMetricMessage)</f>
        <v>Not Available</v>
      </c>
    </row>
    <row r="131" spans="1:2" x14ac:dyDescent="0.25">
      <c r="A131" s="31" t="s">
        <v>107</v>
      </c>
      <c r="B131" s="45" t="str">
        <f>IF(COUNT(Vertices[Closeness Centrality])&gt;0, L36, NoMetricMessage)</f>
        <v>Not Available</v>
      </c>
    </row>
    <row r="132" spans="1:2" x14ac:dyDescent="0.25">
      <c r="A132" s="31" t="s">
        <v>108</v>
      </c>
      <c r="B132" s="45" t="str">
        <f>IFERROR(AVERAGE(Vertices[Closeness Centrality]),NoMetricMessage)</f>
        <v>Not Available</v>
      </c>
    </row>
    <row r="133" spans="1:2" x14ac:dyDescent="0.25">
      <c r="A133" s="31" t="s">
        <v>109</v>
      </c>
      <c r="B133" s="45" t="str">
        <f>IFERROR(MEDIAN(Vertices[Closeness Centrality]),NoMetricMessage)</f>
        <v>Not Available</v>
      </c>
    </row>
    <row r="144" spans="1:2" x14ac:dyDescent="0.25">
      <c r="A144" s="31" t="s">
        <v>112</v>
      </c>
      <c r="B144" s="45" t="str">
        <f>IF(COUNT(Vertices[Eigenvector Centrality])&gt;0, N2, NoMetricMessage)</f>
        <v>Not Available</v>
      </c>
    </row>
    <row r="145" spans="1:2" x14ac:dyDescent="0.25">
      <c r="A145" s="31" t="s">
        <v>113</v>
      </c>
      <c r="B145" s="45" t="str">
        <f>IF(COUNT(Vertices[Eigenvector Centrality])&gt;0, N36, NoMetricMessage)</f>
        <v>Not Available</v>
      </c>
    </row>
    <row r="146" spans="1:2" x14ac:dyDescent="0.25">
      <c r="A146" s="31" t="s">
        <v>114</v>
      </c>
      <c r="B146" s="45" t="str">
        <f>IFERROR(AVERAGE(Vertices[Eigenvector Centrality]),NoMetricMessage)</f>
        <v>Not Available</v>
      </c>
    </row>
    <row r="147" spans="1:2" x14ac:dyDescent="0.25">
      <c r="A147" s="31" t="s">
        <v>115</v>
      </c>
      <c r="B147" s="45" t="str">
        <f>IFERROR(MEDIAN(Vertices[Eigenvector Centrality]),NoMetricMessage)</f>
        <v>Not Available</v>
      </c>
    </row>
    <row r="158" spans="1:2" x14ac:dyDescent="0.25">
      <c r="A158" s="31" t="s">
        <v>140</v>
      </c>
      <c r="B158" s="45" t="str">
        <f>IF(COUNT(Vertices[PageRank])&gt;0, P2, NoMetricMessage)</f>
        <v>Not Available</v>
      </c>
    </row>
    <row r="159" spans="1:2" x14ac:dyDescent="0.25">
      <c r="A159" s="31" t="s">
        <v>141</v>
      </c>
      <c r="B159" s="45" t="str">
        <f>IF(COUNT(Vertices[PageRank])&gt;0, P36, NoMetricMessage)</f>
        <v>Not Available</v>
      </c>
    </row>
    <row r="160" spans="1:2" x14ac:dyDescent="0.25">
      <c r="A160" s="31" t="s">
        <v>142</v>
      </c>
      <c r="B160" s="45" t="str">
        <f>IFERROR(AVERAGE(Vertices[PageRank]),NoMetricMessage)</f>
        <v>Not Available</v>
      </c>
    </row>
    <row r="161" spans="1:2" x14ac:dyDescent="0.25">
      <c r="A161" s="31" t="s">
        <v>143</v>
      </c>
      <c r="B161" s="45" t="str">
        <f>IFERROR(MEDIAN(Vertices[PageRank]),NoMetricMessage)</f>
        <v>Not Available</v>
      </c>
    </row>
    <row r="172" spans="1:2" x14ac:dyDescent="0.25">
      <c r="A172" s="31" t="s">
        <v>118</v>
      </c>
      <c r="B172" s="45" t="str">
        <f>IF(COUNT(Vertices[Clustering Coefficient])&gt;0, R2, NoMetricMessage)</f>
        <v>Not Available</v>
      </c>
    </row>
    <row r="173" spans="1:2" x14ac:dyDescent="0.25">
      <c r="A173" s="31" t="s">
        <v>119</v>
      </c>
      <c r="B173" s="45" t="str">
        <f>IF(COUNT(Vertices[Clustering Coefficient])&gt;0, R36, NoMetricMessage)</f>
        <v>Not Available</v>
      </c>
    </row>
    <row r="174" spans="1:2" x14ac:dyDescent="0.25">
      <c r="A174" s="31" t="s">
        <v>120</v>
      </c>
      <c r="B174" s="45" t="str">
        <f>IFERROR(AVERAGE(Vertices[Clustering Coefficient]),NoMetricMessage)</f>
        <v>Not Available</v>
      </c>
    </row>
    <row r="175" spans="1:2" x14ac:dyDescent="0.25">
      <c r="A175" s="31" t="s">
        <v>121</v>
      </c>
      <c r="B175" s="45" t="str">
        <f>IFERROR(MEDIAN(Vertices[Clustering Coefficient]),NoMetricMessage)</f>
        <v>Not Available</v>
      </c>
    </row>
  </sheetData>
  <dataConsolidate/>
  <pageMargins left="0.7" right="0.7" top="0.75" bottom="0.75" header="0.3" footer="0.3"/>
  <pageSetup orientation="portrait" verticalDpi="0" r:id="rId1"/>
  <drawing r:id="rId2"/>
  <legacyDrawing r:id="rId3"/>
  <tableParts count="4">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R23"/>
  <sheetViews>
    <sheetView workbookViewId="0">
      <selection activeCell="A2" sqref="A2"/>
    </sheetView>
  </sheetViews>
  <sheetFormatPr defaultRowHeight="15" x14ac:dyDescent="0.25"/>
  <cols>
    <col min="1" max="1" width="10.42578125" style="1" bestFit="1" customWidth="1"/>
    <col min="2" max="2" width="12.42578125" style="1" bestFit="1" customWidth="1"/>
    <col min="3" max="3" width="22.85546875" bestFit="1" customWidth="1"/>
    <col min="4" max="4" width="16.85546875" bestFit="1" customWidth="1"/>
    <col min="5" max="6" width="16.85546875" customWidth="1"/>
    <col min="7" max="7" width="14.28515625" bestFit="1" customWidth="1"/>
    <col min="8" max="8" width="14.28515625" customWidth="1"/>
    <col min="10" max="10" width="39.140625" bestFit="1" customWidth="1"/>
    <col min="11" max="11" width="10.85546875" bestFit="1" customWidth="1"/>
    <col min="13" max="13" width="8.42578125" bestFit="1" customWidth="1"/>
    <col min="14" max="14" width="10" bestFit="1" customWidth="1"/>
    <col min="15" max="15" width="11.85546875" bestFit="1" customWidth="1"/>
    <col min="16" max="16" width="12.140625" bestFit="1" customWidth="1"/>
  </cols>
  <sheetData>
    <row r="1" spans="1:18" s="3" customFormat="1" ht="36" customHeight="1" x14ac:dyDescent="0.25">
      <c r="A1" s="4" t="s">
        <v>6</v>
      </c>
      <c r="B1" s="4" t="s">
        <v>131</v>
      </c>
      <c r="C1" s="3" t="s">
        <v>7</v>
      </c>
      <c r="D1" s="3" t="s">
        <v>9</v>
      </c>
      <c r="E1" s="3" t="s">
        <v>164</v>
      </c>
      <c r="F1" s="4" t="s">
        <v>169</v>
      </c>
      <c r="G1" s="3" t="s">
        <v>14</v>
      </c>
      <c r="H1" s="3" t="s">
        <v>67</v>
      </c>
      <c r="J1" s="3" t="s">
        <v>18</v>
      </c>
      <c r="K1" s="3" t="s">
        <v>17</v>
      </c>
      <c r="M1" s="3" t="s">
        <v>22</v>
      </c>
      <c r="N1" s="3" t="s">
        <v>23</v>
      </c>
      <c r="O1" s="3" t="s">
        <v>24</v>
      </c>
      <c r="P1" s="3" t="s">
        <v>25</v>
      </c>
    </row>
    <row r="2" spans="1:18" x14ac:dyDescent="0.25">
      <c r="A2" s="1" t="s">
        <v>51</v>
      </c>
      <c r="B2" s="1" t="s">
        <v>132</v>
      </c>
      <c r="C2" t="s">
        <v>54</v>
      </c>
      <c r="D2" t="s">
        <v>55</v>
      </c>
      <c r="E2" t="s">
        <v>55</v>
      </c>
      <c r="F2" s="1" t="s">
        <v>51</v>
      </c>
      <c r="G2" t="s">
        <v>65</v>
      </c>
      <c r="H2" t="s">
        <v>159</v>
      </c>
      <c r="J2" t="s">
        <v>19</v>
      </c>
      <c r="K2">
        <v>108</v>
      </c>
    </row>
    <row r="3" spans="1:18" x14ac:dyDescent="0.25">
      <c r="A3" s="1" t="s">
        <v>52</v>
      </c>
      <c r="B3" s="1" t="s">
        <v>133</v>
      </c>
      <c r="C3" t="s">
        <v>52</v>
      </c>
      <c r="D3" t="s">
        <v>56</v>
      </c>
      <c r="E3" t="s">
        <v>56</v>
      </c>
      <c r="F3" s="1" t="s">
        <v>52</v>
      </c>
      <c r="G3" t="s">
        <v>66</v>
      </c>
      <c r="H3" t="s">
        <v>68</v>
      </c>
      <c r="J3" t="s">
        <v>30</v>
      </c>
      <c r="K3" t="s">
        <v>15201</v>
      </c>
    </row>
    <row r="4" spans="1:18" x14ac:dyDescent="0.25">
      <c r="A4" s="1" t="s">
        <v>53</v>
      </c>
      <c r="B4" s="1" t="s">
        <v>134</v>
      </c>
      <c r="C4" t="s">
        <v>53</v>
      </c>
      <c r="D4" t="s">
        <v>57</v>
      </c>
      <c r="E4" t="s">
        <v>57</v>
      </c>
      <c r="F4" s="1" t="s">
        <v>53</v>
      </c>
      <c r="G4">
        <v>0</v>
      </c>
      <c r="H4" t="s">
        <v>69</v>
      </c>
      <c r="J4" t="s">
        <v>78</v>
      </c>
    </row>
    <row r="5" spans="1:18" ht="409.5" x14ac:dyDescent="0.25">
      <c r="A5">
        <v>1</v>
      </c>
      <c r="B5" s="1" t="s">
        <v>135</v>
      </c>
      <c r="C5" t="s">
        <v>51</v>
      </c>
      <c r="D5" t="s">
        <v>58</v>
      </c>
      <c r="E5" t="s">
        <v>58</v>
      </c>
      <c r="F5">
        <v>1</v>
      </c>
      <c r="G5">
        <v>1</v>
      </c>
      <c r="H5" t="s">
        <v>70</v>
      </c>
      <c r="J5" t="s">
        <v>172</v>
      </c>
      <c r="K5" s="7" t="s">
        <v>15230</v>
      </c>
    </row>
    <row r="6" spans="1:18" x14ac:dyDescent="0.25">
      <c r="A6">
        <v>0</v>
      </c>
      <c r="B6" s="1" t="s">
        <v>136</v>
      </c>
      <c r="C6">
        <v>1</v>
      </c>
      <c r="D6" t="s">
        <v>59</v>
      </c>
      <c r="E6" t="s">
        <v>59</v>
      </c>
      <c r="F6">
        <v>0</v>
      </c>
      <c r="H6" t="s">
        <v>71</v>
      </c>
      <c r="J6" t="s">
        <v>173</v>
      </c>
      <c r="K6">
        <v>1</v>
      </c>
      <c r="R6" t="s">
        <v>129</v>
      </c>
    </row>
    <row r="7" spans="1:18" x14ac:dyDescent="0.25">
      <c r="A7">
        <v>2</v>
      </c>
      <c r="B7">
        <v>1</v>
      </c>
      <c r="C7">
        <v>0</v>
      </c>
      <c r="D7" t="s">
        <v>60</v>
      </c>
      <c r="E7" t="s">
        <v>60</v>
      </c>
      <c r="F7">
        <v>2</v>
      </c>
      <c r="H7" t="s">
        <v>72</v>
      </c>
      <c r="J7" t="s">
        <v>174</v>
      </c>
      <c r="K7" t="s">
        <v>175</v>
      </c>
    </row>
    <row r="8" spans="1:18" ht="409.5" x14ac:dyDescent="0.25">
      <c r="A8"/>
      <c r="B8">
        <v>2</v>
      </c>
      <c r="C8">
        <v>2</v>
      </c>
      <c r="D8" t="s">
        <v>61</v>
      </c>
      <c r="E8" t="s">
        <v>61</v>
      </c>
      <c r="H8" t="s">
        <v>73</v>
      </c>
      <c r="J8" t="s">
        <v>176</v>
      </c>
      <c r="K8" s="7" t="s">
        <v>15200</v>
      </c>
    </row>
    <row r="9" spans="1:18" x14ac:dyDescent="0.25">
      <c r="A9"/>
      <c r="B9">
        <v>3</v>
      </c>
      <c r="C9">
        <v>4</v>
      </c>
      <c r="D9" t="s">
        <v>62</v>
      </c>
      <c r="E9" t="s">
        <v>62</v>
      </c>
      <c r="H9" t="s">
        <v>74</v>
      </c>
    </row>
    <row r="10" spans="1:18" x14ac:dyDescent="0.25">
      <c r="A10"/>
      <c r="B10">
        <v>4</v>
      </c>
      <c r="D10" t="s">
        <v>63</v>
      </c>
      <c r="E10" t="s">
        <v>63</v>
      </c>
      <c r="H10" t="s">
        <v>75</v>
      </c>
    </row>
    <row r="11" spans="1:18" x14ac:dyDescent="0.25">
      <c r="A11"/>
      <c r="B11">
        <v>5</v>
      </c>
      <c r="D11" t="s">
        <v>46</v>
      </c>
      <c r="E11">
        <v>1</v>
      </c>
      <c r="H11" t="s">
        <v>76</v>
      </c>
    </row>
    <row r="12" spans="1:18" x14ac:dyDescent="0.25">
      <c r="A12"/>
      <c r="B12"/>
      <c r="D12" t="s">
        <v>64</v>
      </c>
      <c r="E12">
        <v>2</v>
      </c>
      <c r="H12">
        <v>0</v>
      </c>
    </row>
    <row r="13" spans="1:18" x14ac:dyDescent="0.25">
      <c r="A13"/>
      <c r="B13"/>
      <c r="D13">
        <v>1</v>
      </c>
      <c r="E13">
        <v>3</v>
      </c>
      <c r="H13">
        <v>1</v>
      </c>
    </row>
    <row r="14" spans="1:18" x14ac:dyDescent="0.25">
      <c r="D14">
        <v>2</v>
      </c>
      <c r="E14">
        <v>4</v>
      </c>
      <c r="H14">
        <v>2</v>
      </c>
    </row>
    <row r="15" spans="1:18" x14ac:dyDescent="0.25">
      <c r="D15">
        <v>3</v>
      </c>
      <c r="E15">
        <v>5</v>
      </c>
      <c r="H15">
        <v>3</v>
      </c>
    </row>
    <row r="16" spans="1:18" x14ac:dyDescent="0.25">
      <c r="D16">
        <v>4</v>
      </c>
      <c r="E16">
        <v>6</v>
      </c>
      <c r="H16">
        <v>4</v>
      </c>
    </row>
    <row r="17" spans="4:8" x14ac:dyDescent="0.25">
      <c r="D17">
        <v>5</v>
      </c>
      <c r="E17">
        <v>7</v>
      </c>
      <c r="H17">
        <v>5</v>
      </c>
    </row>
    <row r="18" spans="4:8" x14ac:dyDescent="0.25">
      <c r="D18">
        <v>6</v>
      </c>
      <c r="E18">
        <v>8</v>
      </c>
      <c r="H18">
        <v>6</v>
      </c>
    </row>
    <row r="19" spans="4:8" x14ac:dyDescent="0.25">
      <c r="D19">
        <v>7</v>
      </c>
      <c r="E19">
        <v>9</v>
      </c>
      <c r="H19">
        <v>7</v>
      </c>
    </row>
    <row r="20" spans="4:8" x14ac:dyDescent="0.25">
      <c r="D20">
        <v>8</v>
      </c>
      <c r="H20">
        <v>8</v>
      </c>
    </row>
    <row r="21" spans="4:8" x14ac:dyDescent="0.25">
      <c r="D21">
        <v>9</v>
      </c>
      <c r="H21">
        <v>9</v>
      </c>
    </row>
    <row r="22" spans="4:8" x14ac:dyDescent="0.25">
      <c r="D22">
        <v>10</v>
      </c>
    </row>
    <row r="23" spans="4:8" x14ac:dyDescent="0.25">
      <c r="D23">
        <v>11</v>
      </c>
    </row>
  </sheetData>
  <dataConsolidate/>
  <pageMargins left="0.7" right="0.7" top="0.75" bottom="0.75" header="0.3" footer="0.3"/>
  <pageSetup orientation="portrait" horizontalDpi="0" verticalDpi="0" r:id="rId1"/>
  <drawing r:id="rId2"/>
  <tableParts count="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A76BD-56C1-490A-9A4F-CB9711ADB2AA}">
  <dimension ref="A1:B7"/>
  <sheetViews>
    <sheetView workbookViewId="0"/>
  </sheetViews>
  <sheetFormatPr defaultRowHeight="15" x14ac:dyDescent="0.25"/>
  <cols>
    <col min="1" max="1" width="6.5703125" bestFit="1" customWidth="1"/>
    <col min="2" max="2" width="8.42578125" bestFit="1" customWidth="1"/>
  </cols>
  <sheetData>
    <row r="1" spans="1:2" ht="15" customHeight="1" x14ac:dyDescent="0.25">
      <c r="A1" s="7" t="s">
        <v>15224</v>
      </c>
      <c r="B1" s="7" t="s">
        <v>17</v>
      </c>
    </row>
    <row r="2" spans="1:2" x14ac:dyDescent="0.25">
      <c r="A2" s="76" t="s">
        <v>15225</v>
      </c>
      <c r="B2" s="76"/>
    </row>
    <row r="3" spans="1:2" x14ac:dyDescent="0.25">
      <c r="A3" s="77" t="s">
        <v>15226</v>
      </c>
      <c r="B3" s="76"/>
    </row>
    <row r="4" spans="1:2" x14ac:dyDescent="0.25">
      <c r="A4" s="77" t="s">
        <v>15227</v>
      </c>
      <c r="B4" s="76"/>
    </row>
    <row r="5" spans="1:2" x14ac:dyDescent="0.25">
      <c r="A5" s="77" t="s">
        <v>15228</v>
      </c>
      <c r="B5" s="76"/>
    </row>
    <row r="6" spans="1:2" x14ac:dyDescent="0.25">
      <c r="A6" s="77" t="s">
        <v>15229</v>
      </c>
      <c r="B6" s="76"/>
    </row>
    <row r="7" spans="1:2" x14ac:dyDescent="0.25">
      <c r="A7" s="77" t="s">
        <v>11731</v>
      </c>
      <c r="B7" s="76"/>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dm:cachedDataManifest xmlns:cdm="http://schemas.microsoft.com/2004/VisualStudio/Tools/Applications/CachedDataManifest.xsd" cdm:revision="1"/>
</file>

<file path=customXml/itemProps1.xml><?xml version="1.0" encoding="utf-8"?>
<ds:datastoreItem xmlns:ds="http://schemas.openxmlformats.org/officeDocument/2006/customXml" ds:itemID="{1A7D4BF2-36DC-41D0-994B-93F413AAA5F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13</vt:i4>
      </vt:variant>
    </vt:vector>
  </HeadingPairs>
  <TitlesOfParts>
    <vt:vector size="21" baseType="lpstr">
      <vt:lpstr>Edges</vt:lpstr>
      <vt:lpstr>Vertices</vt:lpstr>
      <vt:lpstr>Do Not Delete</vt:lpstr>
      <vt:lpstr>Groups</vt:lpstr>
      <vt:lpstr>Group Vertices</vt:lpstr>
      <vt:lpstr>Overall Metrics</vt:lpstr>
      <vt:lpstr>Misc</vt:lpstr>
      <vt:lpstr>Export Options</vt:lpstr>
      <vt:lpstr>BinDivisor</vt:lpstr>
      <vt:lpstr>DynamicFilterForceCalculationRange</vt:lpstr>
      <vt:lpstr>DynamicFilterSourceColumnRange</vt:lpstr>
      <vt:lpstr>NoMetricMessage</vt:lpstr>
      <vt:lpstr>NotAvailable</vt:lpstr>
      <vt:lpstr>ValidBooleansDefaultFalse</vt:lpstr>
      <vt:lpstr>ValidEdgeStyles</vt:lpstr>
      <vt:lpstr>ValidEdgeVisibilities</vt:lpstr>
      <vt:lpstr>ValidGroupShapes</vt:lpstr>
      <vt:lpstr>ValidGroupVisibilities</vt:lpstr>
      <vt:lpstr>ValidVertexLabelPositions</vt:lpstr>
      <vt:lpstr>ValidVertexShapes</vt:lpstr>
      <vt:lpstr>ValidVertexVisibilities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Tony</dc:creator>
  <cp:lastModifiedBy>Mauricio Fernandes</cp:lastModifiedBy>
  <dcterms:created xsi:type="dcterms:W3CDTF">2008-01-30T00:41:58Z</dcterms:created>
  <dcterms:modified xsi:type="dcterms:W3CDTF">2023-09-28T11:40:18Z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2fab5c60-e3b5-439b-8f29-2ddb446af29a</vt:lpwstr>
  </property>
  <property fmtid="{D5CDD505-2E9C-101B-9397-08002B2CF9AE}" pid="3" name="_AssemblyLocation">
    <vt:lpwstr>http://www.nodexlgraphgallery.org/NodeXLSetup/Smrf.NodeXL.ExcelTemplate.vsto|aa51c0f3-62b4-4782-83a8-a15dcdd17698</vt:lpwstr>
  </property>
  <property fmtid="{D5CDD505-2E9C-101B-9397-08002B2CF9AE}" pid="4" name="_AssemblyName">
    <vt:lpwstr>4E3C66D5-58D4-491E-A7D4-64AF99AF6E8B</vt:lpwstr>
  </property>
  <property fmtid="{D5CDD505-2E9C-101B-9397-08002B2CF9AE}" pid="5" name="Solution ID">
    <vt:lpwstr>{15727DE6-F92D-4E46-ACB4-0E2C58B31A18}</vt:lpwstr>
  </property>
</Properties>
</file>